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5320" windowHeight="15390" tabRatio="790" activeTab="1"/>
  </bookViews>
  <sheets>
    <sheet name="Cover" sheetId="60" r:id="rId1"/>
    <sheet name="Dashboard" sheetId="3" r:id="rId2"/>
    <sheet name="Method-Specific Results" sheetId="33" r:id="rId3"/>
    <sheet name="Results Summary" sheetId="34" state="hidden" r:id="rId4"/>
    <sheet name="Results" sheetId="5" state="hidden" r:id="rId5"/>
    <sheet name="Parameters" sheetId="4" state="hidden" r:id="rId6"/>
    <sheet name="User Settings" sheetId="45" state="hidden" r:id="rId7"/>
    <sheet name="Financial Settings" sheetId="2" r:id="rId8"/>
    <sheet name="Pill_Base" sheetId="15" state="hidden" r:id="rId9"/>
    <sheet name="Pill_TMA" sheetId="48" state="hidden" r:id="rId10"/>
    <sheet name="IUD_Base" sheetId="49" state="hidden" r:id="rId11"/>
    <sheet name="IUD_TMA" sheetId="50" state="hidden" r:id="rId12"/>
    <sheet name="Implant_Base" sheetId="51" state="hidden" r:id="rId13"/>
    <sheet name="Implant_TMA" sheetId="52" state="hidden" r:id="rId14"/>
    <sheet name="Injectable_Base" sheetId="53" state="hidden" r:id="rId15"/>
    <sheet name="Injectable_TMA" sheetId="54" state="hidden" r:id="rId16"/>
    <sheet name="Condom_Base" sheetId="55" state="hidden" r:id="rId17"/>
    <sheet name="Condom_TMA" sheetId="56" state="hidden" r:id="rId18"/>
    <sheet name="FCondom" sheetId="14" state="hidden" r:id="rId19"/>
    <sheet name="DHS_Years" sheetId="59" state="hidden" r:id="rId20"/>
    <sheet name="Data_FP" sheetId="9" state="hidden" r:id="rId21"/>
    <sheet name="Data_WRA" sheetId="10" state="hidden" r:id="rId22"/>
    <sheet name="wra_trend_raw" sheetId="8" state="hidden" r:id="rId23"/>
    <sheet name="fp_wealth_breakdown_raw" sheetId="36" state="hidden" r:id="rId24"/>
    <sheet name="fp_income_breakdown_raw" sheetId="57" state="hidden" r:id="rId25"/>
    <sheet name="mcpr_breakdown_raw" sheetId="41" state="hidden" r:id="rId26"/>
    <sheet name="geo_income_breakdown_raw" sheetId="42" state="hidden" r:id="rId27"/>
    <sheet name="geo_wealth_breakdown_raw" sheetId="58" state="hidden" r:id="rId28"/>
  </sheets>
  <definedNames>
    <definedName name="ExchRate">'Financial Settings'!$C$3</definedName>
    <definedName name="QuoWomenPill">Pill_Base!$AG$116:$BB$122</definedName>
    <definedName name="QuoWomenPill_Src">Pill_Base!$AG$116:$AG$122</definedName>
    <definedName name="QuoWomenPill_Yrs">Pill_Base!$AG$116:$BB$116</definedName>
    <definedName name="Shift_RurQ1">Dashboard!$O$8</definedName>
    <definedName name="Shift_RurQ1Condom">Dashboard!$O$18</definedName>
    <definedName name="Shift_RurQ1Implant">Dashboard!$O$17</definedName>
    <definedName name="Shift_RurQ1Injectable">Dashboard!$O$16</definedName>
    <definedName name="Shift_RurQ1IUD">Dashboard!$O$15</definedName>
    <definedName name="Shift_RurQ1Pill">Dashboard!$O$14</definedName>
    <definedName name="Shift_RurQ2">Dashboard!$O$9</definedName>
    <definedName name="Shift_RurQ2Condom">Dashboard!$Q$18</definedName>
    <definedName name="Shift_RurQ2Implant">Dashboard!$Q$17</definedName>
    <definedName name="Shift_RurQ2Injectable">Dashboard!$Q$16</definedName>
    <definedName name="Shift_RurQ2IUD">Dashboard!$Q$15</definedName>
    <definedName name="Shift_RurQ2Pill">Dashboard!$Q$14</definedName>
    <definedName name="Shift_Subsidy">Dashboard!$U$4:$W$9</definedName>
    <definedName name="Shift_UrbQ1">Dashboard!$N$8</definedName>
    <definedName name="Shift_UrbQ1Condom">Dashboard!$N$18</definedName>
    <definedName name="Shift_UrbQ1Implant">Dashboard!$N$17</definedName>
    <definedName name="Shift_UrbQ1Injectable">Dashboard!$N$16</definedName>
    <definedName name="Shift_UrbQ1IUD">Dashboard!$N$15</definedName>
    <definedName name="Shift_UrbQ1Pill">Dashboard!$N$14</definedName>
    <definedName name="Shift_UrbQ2">Dashboard!$N$9</definedName>
    <definedName name="Shift_UrbQ2Condom">Dashboard!$P$18</definedName>
    <definedName name="Shift_UrbQ2Implant">Dashboard!$P$17</definedName>
    <definedName name="Shift_UrbQ2Injectable">Dashboard!$P$16</definedName>
    <definedName name="Shift_UrbQ2IUD">Dashboard!$P$15</definedName>
    <definedName name="Shift_UrbQ2Pill">Dashboard!$P$14</definedName>
    <definedName name="Tbl_PillB_HI">Pill_Base!$V$10:$X$16</definedName>
    <definedName name="Tbl_PillB_HI_N">Pill_Base!$V$40:$X$46</definedName>
    <definedName name="Tbl_PillB_HI_N_Source">Pill_Base!$V$40:$V$46</definedName>
    <definedName name="Tbl_PillB_HI_N_Yr">Pill_Base!$V$40:$X$40</definedName>
    <definedName name="Tbl_PillB_HI_Source">Pill_Base!$V$10:$V$16</definedName>
    <definedName name="Tbl_PillB_HI_Yr">Pill_Base!$V$10:$X$10</definedName>
    <definedName name="Tbl_PillB_Ot">Pill_Base!$V$19:$X$25</definedName>
    <definedName name="Tbl_PillB_Ot_N">Pill_Base!$V$49:$X$55</definedName>
    <definedName name="Tbl_PillB_Ot_N_Source">Pill_Base!$V$49:$V$55</definedName>
    <definedName name="Tbl_PillB_Ot_N_Yr">Pill_Base!$V$49:$X$49</definedName>
    <definedName name="Tbl_PillB_Ot_Source">Pill_Base!$V$19:$V$25</definedName>
    <definedName name="Tbl_PillB_Ot_Yr">Pill_Base!$V$19:$X$19</definedName>
    <definedName name="Tbl_Price">'Financial Settings'!$O$4:$P$9</definedName>
    <definedName name="Tbl_PriceType">'Financial Settings'!$O$11:$P$11</definedName>
    <definedName name="Tbl_Product">'Financial Settings'!$N$4:$N$9</definedName>
    <definedName name="Tbl_SubCost">'Financial Settings'!$G$4:$K$9</definedName>
    <definedName name="Tbl_Subsid">Dashboard!$V$5:$W$9</definedName>
    <definedName name="Tbl_Subsid_Product">Dashboard!$U$5:$U$9</definedName>
    <definedName name="Tbl_Subsid_Yr">Dashboard!$V$4:$W$4</definedName>
    <definedName name="Tbl_SubType">'Financial Settings'!$G$11:$K$11</definedName>
    <definedName name="Yr_DHS1">'User Settings'!$J$7</definedName>
    <definedName name="Yr_DHS2">'User Settings'!$J$6</definedName>
    <definedName name="Yr_End">Dashboard!$D$7</definedName>
    <definedName name="Yr_End2">Dashboard!$D$7</definedName>
    <definedName name="Yr_Start">Dashboard!$D$6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4" i="33" l="1"/>
  <c r="A18" i="33" l="1"/>
  <c r="F26" i="3"/>
  <c r="F25" i="3"/>
  <c r="A10" i="33" l="1"/>
  <c r="B11" i="33"/>
  <c r="A7" i="33" l="1"/>
  <c r="A8" i="33"/>
  <c r="B6" i="33"/>
  <c r="M9" i="3" l="1"/>
  <c r="M8" i="3"/>
  <c r="H3" i="33" l="1"/>
  <c r="F3" i="33"/>
  <c r="H3" i="3" l="1"/>
  <c r="C16" i="45" l="1"/>
  <c r="C17" i="45" s="1"/>
  <c r="C18" i="45" s="1"/>
  <c r="C19" i="45" s="1"/>
  <c r="C20" i="45" s="1"/>
  <c r="C21" i="45" s="1"/>
  <c r="C22" i="45" s="1"/>
  <c r="C23" i="45" s="1"/>
  <c r="C24" i="45" s="1"/>
  <c r="C25" i="45" s="1"/>
  <c r="C26" i="45" s="1"/>
  <c r="C27" i="45" s="1"/>
  <c r="C28" i="45" s="1"/>
  <c r="C29" i="45" s="1"/>
  <c r="C30" i="45" s="1"/>
  <c r="C31" i="45" s="1"/>
  <c r="C32" i="45" s="1"/>
  <c r="C33" i="45" s="1"/>
  <c r="C34" i="45" s="1"/>
  <c r="C35" i="45" s="1"/>
  <c r="A174" i="8" l="1"/>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AD197" i="8"/>
  <c r="AD198" i="8"/>
  <c r="AD199" i="8"/>
  <c r="AD200" i="8"/>
  <c r="AD201" i="8"/>
  <c r="AD202" i="8"/>
  <c r="AD203" i="8"/>
  <c r="AD204" i="8"/>
  <c r="AD205" i="8"/>
  <c r="AD206" i="8"/>
  <c r="AD207" i="8"/>
  <c r="AD208" i="8"/>
  <c r="AD209" i="8"/>
  <c r="AD210" i="8"/>
  <c r="AD211" i="8"/>
  <c r="AD212" i="8"/>
  <c r="AD213" i="8"/>
  <c r="AD214" i="8"/>
  <c r="AD215" i="8"/>
  <c r="AD216" i="8"/>
  <c r="AD217" i="8"/>
  <c r="AD218" i="8"/>
  <c r="AD219" i="8"/>
  <c r="AD220" i="8"/>
  <c r="AD221" i="8"/>
  <c r="AD222" i="8"/>
  <c r="AD223" i="8"/>
  <c r="AD224" i="8"/>
  <c r="AD225" i="8"/>
  <c r="AD226" i="8"/>
  <c r="AD227" i="8"/>
  <c r="AD228" i="8"/>
  <c r="AD229" i="8"/>
  <c r="AD230" i="8"/>
  <c r="AD231" i="8"/>
  <c r="AD232" i="8"/>
  <c r="AD233" i="8"/>
  <c r="AD234" i="8"/>
  <c r="AD235" i="8"/>
  <c r="AD236" i="8"/>
  <c r="AD237" i="8"/>
  <c r="AD238" i="8"/>
  <c r="AD239" i="8"/>
  <c r="AD240" i="8"/>
  <c r="AD241" i="8"/>
  <c r="AD242" i="8"/>
  <c r="AD243" i="8"/>
  <c r="AD244" i="8"/>
  <c r="AD245" i="8"/>
  <c r="AD246" i="8"/>
  <c r="AD247" i="8"/>
  <c r="AD248" i="8"/>
  <c r="AD249" i="8"/>
  <c r="AD250" i="8"/>
  <c r="AD251" i="8"/>
  <c r="AD252" i="8"/>
  <c r="AD253" i="8"/>
  <c r="AD254" i="8"/>
  <c r="AD255" i="8"/>
  <c r="AD256" i="8"/>
  <c r="AD257" i="8"/>
  <c r="AD258" i="8"/>
  <c r="AD259" i="8"/>
  <c r="AC174" i="8"/>
  <c r="AC175" i="8"/>
  <c r="AC176" i="8"/>
  <c r="AC177" i="8"/>
  <c r="AC178" i="8"/>
  <c r="AC179" i="8"/>
  <c r="AC180" i="8"/>
  <c r="AC181" i="8"/>
  <c r="AC182" i="8"/>
  <c r="AC183" i="8"/>
  <c r="AC184" i="8"/>
  <c r="AC185" i="8"/>
  <c r="AC186" i="8"/>
  <c r="AC187" i="8"/>
  <c r="AC188" i="8"/>
  <c r="AC189" i="8"/>
  <c r="AC190" i="8"/>
  <c r="AC191" i="8"/>
  <c r="AC192" i="8"/>
  <c r="AC193" i="8"/>
  <c r="AC194" i="8"/>
  <c r="AC195" i="8"/>
  <c r="AC196" i="8"/>
  <c r="AC197" i="8"/>
  <c r="AC198" i="8"/>
  <c r="AC199" i="8"/>
  <c r="AC200" i="8"/>
  <c r="AC201" i="8"/>
  <c r="AC202" i="8"/>
  <c r="AC203" i="8"/>
  <c r="AC204" i="8"/>
  <c r="AC205" i="8"/>
  <c r="AC206" i="8"/>
  <c r="AC207" i="8"/>
  <c r="AC208" i="8"/>
  <c r="AC209" i="8"/>
  <c r="AC210" i="8"/>
  <c r="AC211" i="8"/>
  <c r="AC212" i="8"/>
  <c r="AC213" i="8"/>
  <c r="AC214" i="8"/>
  <c r="AC215" i="8"/>
  <c r="AC216" i="8"/>
  <c r="AC217" i="8"/>
  <c r="AC218" i="8"/>
  <c r="AC219" i="8"/>
  <c r="AC220" i="8"/>
  <c r="AC221" i="8"/>
  <c r="AC222" i="8"/>
  <c r="AC223" i="8"/>
  <c r="AC224" i="8"/>
  <c r="AC225" i="8"/>
  <c r="AC226" i="8"/>
  <c r="AC227" i="8"/>
  <c r="AC228" i="8"/>
  <c r="AC229" i="8"/>
  <c r="AC230" i="8"/>
  <c r="AC231" i="8"/>
  <c r="AC232" i="8"/>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D31" i="3"/>
  <c r="H2" i="3"/>
  <c r="H10" i="3"/>
  <c r="D3" i="2" l="1"/>
  <c r="J7" i="45"/>
  <c r="J6" i="45"/>
  <c r="B16" i="45" s="1"/>
  <c r="B17" i="45" s="1"/>
  <c r="B18" i="45" s="1"/>
  <c r="B19" i="45" s="1"/>
  <c r="B20" i="45" s="1"/>
  <c r="B21" i="45" s="1"/>
  <c r="B22" i="45" s="1"/>
  <c r="B23" i="45" s="1"/>
  <c r="B24" i="45" s="1"/>
  <c r="B25" i="45" s="1"/>
  <c r="B26" i="45" s="1"/>
  <c r="B27" i="45" s="1"/>
  <c r="B28" i="45" s="1"/>
  <c r="B29" i="45" s="1"/>
  <c r="B30" i="45" s="1"/>
  <c r="B31" i="45" s="1"/>
  <c r="B32" i="45" s="1"/>
  <c r="B33" i="45" s="1"/>
  <c r="B34" i="45" s="1"/>
  <c r="B35" i="45" s="1"/>
  <c r="P9" i="2"/>
  <c r="P8" i="2"/>
  <c r="P7" i="2"/>
  <c r="P6" i="2"/>
  <c r="P5" i="2"/>
  <c r="P4" i="2"/>
  <c r="T3" i="2"/>
  <c r="Q6" i="2" l="1"/>
  <c r="U3" i="2"/>
  <c r="Q7" i="2"/>
  <c r="Q8" i="2"/>
  <c r="Q5" i="2"/>
  <c r="Q9" i="2"/>
  <c r="Q4" i="2"/>
  <c r="B15" i="33"/>
  <c r="D42" i="3"/>
  <c r="J4" i="10"/>
  <c r="I4" i="10"/>
  <c r="H4" i="10"/>
  <c r="E4" i="10"/>
  <c r="F4" i="10"/>
  <c r="D4" i="10"/>
  <c r="AC2" i="8"/>
  <c r="AD2" i="8"/>
  <c r="AC3" i="8"/>
  <c r="AD3" i="8"/>
  <c r="AC4" i="8"/>
  <c r="AD4" i="8"/>
  <c r="AC5" i="8"/>
  <c r="AD5" i="8"/>
  <c r="AC6" i="8"/>
  <c r="AD6" i="8"/>
  <c r="AC7" i="8"/>
  <c r="AD7" i="8"/>
  <c r="AC8" i="8"/>
  <c r="AD8" i="8"/>
  <c r="AC9" i="8"/>
  <c r="AD9" i="8"/>
  <c r="AC10" i="8"/>
  <c r="AD10" i="8"/>
  <c r="AC11" i="8"/>
  <c r="AD11" i="8"/>
  <c r="AC12" i="8"/>
  <c r="AD12" i="8"/>
  <c r="AC13" i="8"/>
  <c r="AD13" i="8"/>
  <c r="AC14" i="8"/>
  <c r="AD14" i="8"/>
  <c r="AC15" i="8"/>
  <c r="AD15" i="8"/>
  <c r="AC16" i="8"/>
  <c r="AD16" i="8"/>
  <c r="AC17" i="8"/>
  <c r="AD17" i="8"/>
  <c r="AC18" i="8"/>
  <c r="AD18" i="8"/>
  <c r="AC19" i="8"/>
  <c r="AD19" i="8"/>
  <c r="AC20" i="8"/>
  <c r="AD20" i="8"/>
  <c r="AC21" i="8"/>
  <c r="AD21" i="8"/>
  <c r="AC22" i="8"/>
  <c r="AD22" i="8"/>
  <c r="AC23" i="8"/>
  <c r="AD23" i="8"/>
  <c r="AC24" i="8"/>
  <c r="AD24" i="8"/>
  <c r="AC25" i="8"/>
  <c r="AD25" i="8"/>
  <c r="AC26" i="8"/>
  <c r="AD26" i="8"/>
  <c r="AC27" i="8"/>
  <c r="AD27" i="8"/>
  <c r="AC28" i="8"/>
  <c r="AD28" i="8"/>
  <c r="AC29" i="8"/>
  <c r="AD29" i="8"/>
  <c r="AC30" i="8"/>
  <c r="AD30" i="8"/>
  <c r="AC31" i="8"/>
  <c r="AD31" i="8"/>
  <c r="AC32" i="8"/>
  <c r="AD32" i="8"/>
  <c r="AC33" i="8"/>
  <c r="AD33" i="8"/>
  <c r="AC34" i="8"/>
  <c r="AD34" i="8"/>
  <c r="AC35" i="8"/>
  <c r="AD35" i="8"/>
  <c r="AC36" i="8"/>
  <c r="AD36" i="8"/>
  <c r="AC37" i="8"/>
  <c r="AD37" i="8"/>
  <c r="AC38" i="8"/>
  <c r="AD38" i="8"/>
  <c r="AC39" i="8"/>
  <c r="AD39" i="8"/>
  <c r="AC40" i="8"/>
  <c r="AD40" i="8"/>
  <c r="AC41" i="8"/>
  <c r="AD41" i="8"/>
  <c r="AC42" i="8"/>
  <c r="AD42" i="8"/>
  <c r="AC43" i="8"/>
  <c r="AD43" i="8"/>
  <c r="AC44" i="8"/>
  <c r="AD44" i="8"/>
  <c r="AC45" i="8"/>
  <c r="AD45" i="8"/>
  <c r="AC46" i="8"/>
  <c r="AD46" i="8"/>
  <c r="AC47" i="8"/>
  <c r="AD47" i="8"/>
  <c r="AC48" i="8"/>
  <c r="AD48" i="8"/>
  <c r="AC49" i="8"/>
  <c r="AD49" i="8"/>
  <c r="AC50" i="8"/>
  <c r="AD50" i="8"/>
  <c r="AC51" i="8"/>
  <c r="AD51" i="8"/>
  <c r="AC52" i="8"/>
  <c r="AD52" i="8"/>
  <c r="AC53" i="8"/>
  <c r="AD53" i="8"/>
  <c r="AC54" i="8"/>
  <c r="AD54" i="8"/>
  <c r="AC55" i="8"/>
  <c r="AD55" i="8"/>
  <c r="AC56" i="8"/>
  <c r="AD56" i="8"/>
  <c r="AC57" i="8"/>
  <c r="AD57" i="8"/>
  <c r="AC58" i="8"/>
  <c r="AD58" i="8"/>
  <c r="AC59" i="8"/>
  <c r="AD59" i="8"/>
  <c r="AC60" i="8"/>
  <c r="AD60" i="8"/>
  <c r="AC61" i="8"/>
  <c r="AD61" i="8"/>
  <c r="AC62" i="8"/>
  <c r="AD62" i="8"/>
  <c r="AC63" i="8"/>
  <c r="AD63" i="8"/>
  <c r="AC64" i="8"/>
  <c r="AD64" i="8"/>
  <c r="AC65" i="8"/>
  <c r="AD65" i="8"/>
  <c r="AC66" i="8"/>
  <c r="AD66" i="8"/>
  <c r="AC67" i="8"/>
  <c r="AD67" i="8"/>
  <c r="AC68" i="8"/>
  <c r="AD68" i="8"/>
  <c r="AC69" i="8"/>
  <c r="AD69" i="8"/>
  <c r="AC70" i="8"/>
  <c r="AD70" i="8"/>
  <c r="AC71" i="8"/>
  <c r="AD71" i="8"/>
  <c r="AC72" i="8"/>
  <c r="AD72" i="8"/>
  <c r="AC73" i="8"/>
  <c r="AD73" i="8"/>
  <c r="AC74" i="8"/>
  <c r="AD74" i="8"/>
  <c r="AC75" i="8"/>
  <c r="AD75" i="8"/>
  <c r="AC76" i="8"/>
  <c r="AD76" i="8"/>
  <c r="AC77" i="8"/>
  <c r="AD77" i="8"/>
  <c r="AC78" i="8"/>
  <c r="AD78" i="8"/>
  <c r="AC79" i="8"/>
  <c r="AD79" i="8"/>
  <c r="AC80" i="8"/>
  <c r="AD80" i="8"/>
  <c r="AC81" i="8"/>
  <c r="AD81" i="8"/>
  <c r="AC82" i="8"/>
  <c r="AD82" i="8"/>
  <c r="A3" i="9" l="1"/>
  <c r="C54" i="50"/>
  <c r="A2" i="10"/>
  <c r="A46" i="34"/>
  <c r="K4" i="50"/>
  <c r="J4" i="50" s="1"/>
  <c r="AI4" i="50"/>
  <c r="AI67" i="50"/>
  <c r="BE3" i="5"/>
  <c r="BF3" i="5" s="1"/>
  <c r="BG3" i="5" s="1"/>
  <c r="BH3" i="5" s="1"/>
  <c r="BI3" i="5" s="1"/>
  <c r="BJ3" i="5" s="1"/>
  <c r="BK3" i="5" s="1"/>
  <c r="BL3" i="5" s="1"/>
  <c r="BM3" i="5" s="1"/>
  <c r="BN3" i="5" s="1"/>
  <c r="BO3" i="5" s="1"/>
  <c r="BP3" i="5" s="1"/>
  <c r="BQ3" i="5" s="1"/>
  <c r="BR3" i="5" s="1"/>
  <c r="BS3" i="5" s="1"/>
  <c r="BT3" i="5" s="1"/>
  <c r="BU3" i="5" s="1"/>
  <c r="BV3" i="5" s="1"/>
  <c r="BW3" i="5" s="1"/>
  <c r="BX3" i="5" s="1"/>
  <c r="AI107" i="50"/>
  <c r="H4" i="49"/>
  <c r="G37" i="50"/>
  <c r="F4" i="49"/>
  <c r="H4" i="50"/>
  <c r="F4" i="50"/>
  <c r="G27" i="50"/>
  <c r="G17" i="50"/>
  <c r="G7" i="50"/>
  <c r="G35" i="50"/>
  <c r="G36" i="50"/>
  <c r="G40" i="50"/>
  <c r="G25" i="50"/>
  <c r="G26" i="50"/>
  <c r="G30" i="50"/>
  <c r="G15" i="50"/>
  <c r="G16" i="50"/>
  <c r="G20" i="50"/>
  <c r="G5" i="50"/>
  <c r="G6" i="50"/>
  <c r="G10" i="50"/>
  <c r="K4" i="49"/>
  <c r="AI4" i="49"/>
  <c r="AI67" i="49"/>
  <c r="AH67" i="49"/>
  <c r="AI107" i="49"/>
  <c r="AH107" i="49" s="1"/>
  <c r="AJ67" i="49"/>
  <c r="AK67" i="49"/>
  <c r="AL67" i="49"/>
  <c r="H45" i="34"/>
  <c r="D45" i="34"/>
  <c r="A55" i="34"/>
  <c r="K4" i="15"/>
  <c r="J4" i="15" s="1"/>
  <c r="AI4" i="15"/>
  <c r="AI107" i="15"/>
  <c r="H4" i="15"/>
  <c r="F4" i="15"/>
  <c r="AJ4" i="15"/>
  <c r="K4" i="48"/>
  <c r="AI4" i="48"/>
  <c r="AI3" i="48" s="1"/>
  <c r="AI107" i="48"/>
  <c r="G35" i="48"/>
  <c r="H4" i="48"/>
  <c r="F4" i="48"/>
  <c r="G25" i="48"/>
  <c r="G15" i="48"/>
  <c r="G5" i="48"/>
  <c r="G36" i="48"/>
  <c r="G26" i="48"/>
  <c r="G16" i="48"/>
  <c r="G6" i="48"/>
  <c r="G40" i="48"/>
  <c r="G30" i="48"/>
  <c r="G20" i="48"/>
  <c r="G10" i="48"/>
  <c r="AI67" i="15"/>
  <c r="AJ67" i="15"/>
  <c r="AK67" i="15"/>
  <c r="AL67" i="15"/>
  <c r="AI67" i="48"/>
  <c r="G37" i="48"/>
  <c r="G27" i="48"/>
  <c r="G17" i="48"/>
  <c r="G7" i="48"/>
  <c r="K4" i="51"/>
  <c r="L4" i="51" s="1"/>
  <c r="L3" i="51" s="1"/>
  <c r="AI4" i="51"/>
  <c r="AI107" i="51"/>
  <c r="H4" i="51"/>
  <c r="F4" i="51"/>
  <c r="K4" i="52"/>
  <c r="J4" i="52" s="1"/>
  <c r="AI4" i="52"/>
  <c r="AI107" i="52"/>
  <c r="G35" i="52"/>
  <c r="H4" i="52"/>
  <c r="F4" i="52"/>
  <c r="G25" i="52"/>
  <c r="G15" i="52"/>
  <c r="G5" i="52"/>
  <c r="G36" i="52"/>
  <c r="G26" i="52"/>
  <c r="G16" i="52"/>
  <c r="G6" i="52"/>
  <c r="G40" i="52"/>
  <c r="G30" i="52"/>
  <c r="G20" i="52"/>
  <c r="G10" i="52"/>
  <c r="AI67" i="51"/>
  <c r="AH67" i="51"/>
  <c r="AJ67" i="51"/>
  <c r="AK67" i="51"/>
  <c r="AL67" i="51"/>
  <c r="AI67" i="52"/>
  <c r="G37" i="52"/>
  <c r="G27" i="52"/>
  <c r="G17" i="52"/>
  <c r="G7" i="52"/>
  <c r="K4" i="53"/>
  <c r="J4" i="53" s="1"/>
  <c r="AI4" i="53"/>
  <c r="AJ4" i="53" s="1"/>
  <c r="AK4" i="53" s="1"/>
  <c r="AL4" i="53" s="1"/>
  <c r="AM4" i="53" s="1"/>
  <c r="AN4" i="53" s="1"/>
  <c r="AN3" i="53" s="1"/>
  <c r="AI107" i="53"/>
  <c r="AH107" i="53" s="1"/>
  <c r="H4" i="53"/>
  <c r="F4" i="53"/>
  <c r="K4" i="54"/>
  <c r="K3" i="54" s="1"/>
  <c r="AI4" i="54"/>
  <c r="AI3" i="54" s="1"/>
  <c r="AI107" i="54"/>
  <c r="G35" i="54"/>
  <c r="H4" i="54"/>
  <c r="F4" i="54"/>
  <c r="G25" i="54"/>
  <c r="G15" i="54"/>
  <c r="G5" i="54"/>
  <c r="G36" i="54"/>
  <c r="G26" i="54"/>
  <c r="G16" i="54"/>
  <c r="G6" i="54"/>
  <c r="G40" i="54"/>
  <c r="G30" i="54"/>
  <c r="G20" i="54"/>
  <c r="G10" i="54"/>
  <c r="AI67" i="53"/>
  <c r="AJ67" i="53"/>
  <c r="AK67" i="53"/>
  <c r="AL67" i="53"/>
  <c r="AI67" i="54"/>
  <c r="AH67" i="54" s="1"/>
  <c r="G37" i="54"/>
  <c r="G27" i="54"/>
  <c r="G17" i="54"/>
  <c r="G7" i="54"/>
  <c r="K4" i="55"/>
  <c r="J4" i="55" s="1"/>
  <c r="AI4" i="55"/>
  <c r="AJ4" i="55" s="1"/>
  <c r="AJ3" i="55" s="1"/>
  <c r="AI107" i="55"/>
  <c r="H4" i="55"/>
  <c r="F4" i="55"/>
  <c r="K4" i="56"/>
  <c r="J4" i="56" s="1"/>
  <c r="AI4" i="56"/>
  <c r="AI3" i="56" s="1"/>
  <c r="AI107" i="56"/>
  <c r="G35" i="56"/>
  <c r="H4" i="56"/>
  <c r="F4" i="56"/>
  <c r="G25" i="56"/>
  <c r="G15" i="56"/>
  <c r="G5" i="56"/>
  <c r="G36" i="56"/>
  <c r="G26" i="56"/>
  <c r="G16" i="56"/>
  <c r="G6" i="56"/>
  <c r="G40" i="56"/>
  <c r="G30" i="56"/>
  <c r="G20" i="56"/>
  <c r="G10" i="56"/>
  <c r="AI67" i="55"/>
  <c r="AJ67" i="55"/>
  <c r="AK67" i="55"/>
  <c r="AL67" i="55"/>
  <c r="AI67" i="56"/>
  <c r="AJ67" i="56" s="1"/>
  <c r="AK67" i="56" s="1"/>
  <c r="AL67" i="56" s="1"/>
  <c r="AM67" i="56" s="1"/>
  <c r="AN67" i="56" s="1"/>
  <c r="AO67" i="56" s="1"/>
  <c r="AP67" i="56" s="1"/>
  <c r="AQ67" i="56" s="1"/>
  <c r="AR67" i="56" s="1"/>
  <c r="AS67" i="56" s="1"/>
  <c r="AT67" i="56" s="1"/>
  <c r="AU67" i="56" s="1"/>
  <c r="AV67" i="56" s="1"/>
  <c r="AW67" i="56" s="1"/>
  <c r="AX67" i="56" s="1"/>
  <c r="AY67" i="56" s="1"/>
  <c r="AZ67" i="56" s="1"/>
  <c r="BA67" i="56" s="1"/>
  <c r="BB67" i="56" s="1"/>
  <c r="G37" i="56"/>
  <c r="G27" i="56"/>
  <c r="G17" i="56"/>
  <c r="G7" i="56"/>
  <c r="A51" i="34"/>
  <c r="AE3" i="5"/>
  <c r="AF3" i="5" s="1"/>
  <c r="AG3" i="5" s="1"/>
  <c r="AH3" i="5" s="1"/>
  <c r="AI3" i="5" s="1"/>
  <c r="AJ3" i="5" s="1"/>
  <c r="AK3" i="5" s="1"/>
  <c r="AL3" i="5" s="1"/>
  <c r="AM3" i="5" s="1"/>
  <c r="AN3" i="5" s="1"/>
  <c r="AO3" i="5" s="1"/>
  <c r="AP3" i="5" s="1"/>
  <c r="AQ3" i="5" s="1"/>
  <c r="AR3" i="5" s="1"/>
  <c r="AS3" i="5" s="1"/>
  <c r="AT3" i="5" s="1"/>
  <c r="AU3" i="5" s="1"/>
  <c r="AV3" i="5" s="1"/>
  <c r="AW3" i="5" s="1"/>
  <c r="AX3" i="5" s="1"/>
  <c r="AI116" i="49"/>
  <c r="AJ116" i="49" s="1"/>
  <c r="AK116" i="49" s="1"/>
  <c r="AL116" i="49" s="1"/>
  <c r="AM116" i="49" s="1"/>
  <c r="AN116" i="49" s="1"/>
  <c r="AO116" i="49" s="1"/>
  <c r="AP116" i="49" s="1"/>
  <c r="AQ116" i="49" s="1"/>
  <c r="AR116" i="49" s="1"/>
  <c r="AS116" i="49" s="1"/>
  <c r="AT116" i="49" s="1"/>
  <c r="AU116" i="49" s="1"/>
  <c r="AV116" i="49" s="1"/>
  <c r="AW116" i="49" s="1"/>
  <c r="AX116" i="49" s="1"/>
  <c r="AY116" i="49" s="1"/>
  <c r="AZ116" i="49" s="1"/>
  <c r="BA116" i="49" s="1"/>
  <c r="BB116" i="49" s="1"/>
  <c r="E4" i="34"/>
  <c r="A50" i="34"/>
  <c r="AI116" i="15"/>
  <c r="AJ116" i="15" s="1"/>
  <c r="AK116" i="15" s="1"/>
  <c r="AL116" i="15" s="1"/>
  <c r="AM116" i="15" s="1"/>
  <c r="AN116" i="15" s="1"/>
  <c r="AO116" i="15" s="1"/>
  <c r="AP116" i="15" s="1"/>
  <c r="AQ116" i="15" s="1"/>
  <c r="AR116" i="15" s="1"/>
  <c r="AS116" i="15" s="1"/>
  <c r="AT116" i="15" s="1"/>
  <c r="AU116" i="15" s="1"/>
  <c r="AV116" i="15" s="1"/>
  <c r="AW116" i="15" s="1"/>
  <c r="AX116" i="15" s="1"/>
  <c r="AY116" i="15" s="1"/>
  <c r="AZ116" i="15" s="1"/>
  <c r="BA116" i="15" s="1"/>
  <c r="BB116" i="15" s="1"/>
  <c r="AI116" i="51"/>
  <c r="AJ116" i="51" s="1"/>
  <c r="AK116" i="51" s="1"/>
  <c r="AL116" i="51" s="1"/>
  <c r="AM116" i="51" s="1"/>
  <c r="AN116" i="51" s="1"/>
  <c r="AO116" i="51" s="1"/>
  <c r="AP116" i="51" s="1"/>
  <c r="AQ116" i="51" s="1"/>
  <c r="AR116" i="51" s="1"/>
  <c r="AS116" i="51" s="1"/>
  <c r="AT116" i="51" s="1"/>
  <c r="AU116" i="51" s="1"/>
  <c r="AV116" i="51" s="1"/>
  <c r="AW116" i="51" s="1"/>
  <c r="AX116" i="51" s="1"/>
  <c r="AY116" i="51" s="1"/>
  <c r="AZ116" i="51" s="1"/>
  <c r="BA116" i="51" s="1"/>
  <c r="BB116" i="51" s="1"/>
  <c r="AI116" i="53"/>
  <c r="AI116" i="55"/>
  <c r="AH116" i="55" s="1"/>
  <c r="AI116" i="50"/>
  <c r="F4" i="34"/>
  <c r="AE36" i="5"/>
  <c r="AF36" i="5" s="1"/>
  <c r="AG36" i="5" s="1"/>
  <c r="AH36" i="5" s="1"/>
  <c r="AI36" i="5" s="1"/>
  <c r="AJ36" i="5" s="1"/>
  <c r="AK36" i="5" s="1"/>
  <c r="AL36" i="5" s="1"/>
  <c r="AM36" i="5" s="1"/>
  <c r="AN36" i="5" s="1"/>
  <c r="AO36" i="5" s="1"/>
  <c r="AP36" i="5" s="1"/>
  <c r="AQ36" i="5" s="1"/>
  <c r="AR36" i="5" s="1"/>
  <c r="AS36" i="5" s="1"/>
  <c r="AT36" i="5" s="1"/>
  <c r="AU36" i="5" s="1"/>
  <c r="AV36" i="5" s="1"/>
  <c r="AW36" i="5" s="1"/>
  <c r="AX36" i="5" s="1"/>
  <c r="AI116" i="48"/>
  <c r="AI116" i="52"/>
  <c r="AH116" i="52" s="1"/>
  <c r="AI116" i="54"/>
  <c r="AJ116" i="54" s="1"/>
  <c r="AK116" i="54" s="1"/>
  <c r="AL116" i="54" s="1"/>
  <c r="AM116" i="54" s="1"/>
  <c r="AN116" i="54" s="1"/>
  <c r="AO116" i="54" s="1"/>
  <c r="AP116" i="54" s="1"/>
  <c r="AQ116" i="54" s="1"/>
  <c r="AR116" i="54" s="1"/>
  <c r="AS116" i="54" s="1"/>
  <c r="AT116" i="54" s="1"/>
  <c r="AU116" i="54" s="1"/>
  <c r="AV116" i="54" s="1"/>
  <c r="AW116" i="54" s="1"/>
  <c r="AX116" i="54" s="1"/>
  <c r="AY116" i="54" s="1"/>
  <c r="AZ116" i="54" s="1"/>
  <c r="BA116" i="54" s="1"/>
  <c r="BB116" i="54" s="1"/>
  <c r="AI116" i="56"/>
  <c r="AJ116" i="56" s="1"/>
  <c r="AK116" i="56" s="1"/>
  <c r="AL116" i="56" s="1"/>
  <c r="AM116" i="56" s="1"/>
  <c r="AN116" i="56" s="1"/>
  <c r="AO116" i="56" s="1"/>
  <c r="AP116" i="56" s="1"/>
  <c r="AQ116" i="56" s="1"/>
  <c r="AR116" i="56" s="1"/>
  <c r="AS116" i="56" s="1"/>
  <c r="AT116" i="56" s="1"/>
  <c r="AU116" i="56" s="1"/>
  <c r="AV116" i="56" s="1"/>
  <c r="AW116" i="56" s="1"/>
  <c r="AX116" i="56" s="1"/>
  <c r="AY116" i="56" s="1"/>
  <c r="AZ116" i="56" s="1"/>
  <c r="BA116" i="56" s="1"/>
  <c r="BB116" i="56" s="1"/>
  <c r="D4" i="34"/>
  <c r="A47" i="34"/>
  <c r="A48" i="34"/>
  <c r="A49" i="34"/>
  <c r="A5" i="33"/>
  <c r="B7" i="5"/>
  <c r="AI70" i="53"/>
  <c r="AJ70" i="53" s="1"/>
  <c r="AK70" i="53" s="1"/>
  <c r="AL70" i="53" s="1"/>
  <c r="AM70" i="53" s="1"/>
  <c r="AN70" i="53" s="1"/>
  <c r="AO70" i="53" s="1"/>
  <c r="AP70" i="53" s="1"/>
  <c r="AQ70" i="53" s="1"/>
  <c r="AR70" i="53" s="1"/>
  <c r="AS70" i="53" s="1"/>
  <c r="AT70" i="53" s="1"/>
  <c r="AU70" i="53" s="1"/>
  <c r="AV70" i="53" s="1"/>
  <c r="AW70" i="53" s="1"/>
  <c r="AX70" i="53" s="1"/>
  <c r="AY70" i="53" s="1"/>
  <c r="AZ70" i="53" s="1"/>
  <c r="BA70" i="53" s="1"/>
  <c r="BB70" i="53" s="1"/>
  <c r="B10" i="5"/>
  <c r="B4" i="5"/>
  <c r="M5" i="3"/>
  <c r="E17" i="45"/>
  <c r="E4" i="45"/>
  <c r="F11" i="45"/>
  <c r="A14" i="58"/>
  <c r="A15" i="58"/>
  <c r="A16" i="58"/>
  <c r="A17" i="58"/>
  <c r="A18" i="58"/>
  <c r="A19" i="58"/>
  <c r="A20" i="58"/>
  <c r="A21" i="58"/>
  <c r="A22" i="58"/>
  <c r="A23" i="58"/>
  <c r="A24" i="58"/>
  <c r="A25" i="58"/>
  <c r="A26" i="58"/>
  <c r="A27" i="58"/>
  <c r="A28" i="58"/>
  <c r="A29" i="58"/>
  <c r="A30" i="58"/>
  <c r="A31" i="58"/>
  <c r="A32" i="58"/>
  <c r="A33" i="58"/>
  <c r="A34" i="58"/>
  <c r="A35" i="58"/>
  <c r="A36" i="58"/>
  <c r="A37" i="58"/>
  <c r="A14" i="42"/>
  <c r="A15" i="42"/>
  <c r="A16" i="42"/>
  <c r="A17" i="42"/>
  <c r="A18" i="42"/>
  <c r="A19" i="42"/>
  <c r="A20" i="42"/>
  <c r="A21" i="42"/>
  <c r="A22" i="42"/>
  <c r="A23" i="42"/>
  <c r="A24" i="42"/>
  <c r="A25" i="42"/>
  <c r="A26" i="42"/>
  <c r="A27" i="42"/>
  <c r="A28" i="42"/>
  <c r="A29" i="42"/>
  <c r="A30" i="42"/>
  <c r="A31" i="42"/>
  <c r="A32" i="42"/>
  <c r="A33" i="42"/>
  <c r="A447" i="36"/>
  <c r="A448" i="36"/>
  <c r="A449" i="36"/>
  <c r="A450" i="36"/>
  <c r="A451" i="36"/>
  <c r="A452" i="36"/>
  <c r="A453" i="36"/>
  <c r="A454" i="36"/>
  <c r="A455" i="36"/>
  <c r="A456" i="36"/>
  <c r="A457" i="36"/>
  <c r="A458" i="36"/>
  <c r="A459" i="36"/>
  <c r="A460" i="36"/>
  <c r="A461" i="36"/>
  <c r="A462" i="36"/>
  <c r="A463" i="36"/>
  <c r="A464" i="36"/>
  <c r="A465" i="36"/>
  <c r="A466" i="36"/>
  <c r="A467" i="36"/>
  <c r="A468" i="36"/>
  <c r="A469" i="36"/>
  <c r="A470" i="36"/>
  <c r="A471" i="36"/>
  <c r="A472" i="36"/>
  <c r="A473" i="36"/>
  <c r="A474" i="36"/>
  <c r="A475" i="36"/>
  <c r="A476" i="36"/>
  <c r="A477" i="36"/>
  <c r="A478" i="36"/>
  <c r="A479" i="36"/>
  <c r="A480" i="36"/>
  <c r="A481" i="36"/>
  <c r="A482" i="36"/>
  <c r="A483" i="36"/>
  <c r="A484" i="36"/>
  <c r="A485" i="36"/>
  <c r="A486" i="36"/>
  <c r="A487" i="36"/>
  <c r="A488" i="36"/>
  <c r="A489" i="36"/>
  <c r="A490" i="36"/>
  <c r="A491" i="36"/>
  <c r="A492" i="36"/>
  <c r="A493" i="36"/>
  <c r="A494" i="36"/>
  <c r="A495" i="36"/>
  <c r="A496" i="36"/>
  <c r="A497" i="36"/>
  <c r="A498" i="36"/>
  <c r="A499" i="36"/>
  <c r="A500" i="36"/>
  <c r="A501" i="36"/>
  <c r="A502" i="36"/>
  <c r="A503" i="36"/>
  <c r="A504" i="36"/>
  <c r="A505" i="36"/>
  <c r="A506" i="36"/>
  <c r="A507" i="36"/>
  <c r="A508" i="36"/>
  <c r="A509" i="36"/>
  <c r="A510" i="36"/>
  <c r="A511" i="36"/>
  <c r="A512" i="36"/>
  <c r="A513" i="36"/>
  <c r="A514" i="36"/>
  <c r="A515" i="36"/>
  <c r="A516" i="36"/>
  <c r="A517" i="36"/>
  <c r="A518" i="36"/>
  <c r="A519" i="36"/>
  <c r="A520" i="36"/>
  <c r="A521" i="36"/>
  <c r="A522" i="36"/>
  <c r="A523" i="36"/>
  <c r="A524" i="36"/>
  <c r="A525" i="36"/>
  <c r="A526" i="36"/>
  <c r="A527" i="36"/>
  <c r="A528" i="36"/>
  <c r="A529" i="36"/>
  <c r="A530" i="36"/>
  <c r="A531" i="36"/>
  <c r="A532" i="36"/>
  <c r="A533" i="36"/>
  <c r="A534" i="36"/>
  <c r="A535" i="36"/>
  <c r="A536" i="36"/>
  <c r="A537" i="36"/>
  <c r="A538" i="36"/>
  <c r="A539" i="36"/>
  <c r="A540" i="36"/>
  <c r="A541" i="36"/>
  <c r="A542" i="36"/>
  <c r="A543" i="36"/>
  <c r="A544" i="36"/>
  <c r="A545" i="36"/>
  <c r="A546" i="36"/>
  <c r="A547" i="36"/>
  <c r="A548" i="36"/>
  <c r="A549" i="36"/>
  <c r="A550" i="36"/>
  <c r="A551" i="36"/>
  <c r="A552" i="36"/>
  <c r="A553" i="36"/>
  <c r="A554" i="36"/>
  <c r="A555" i="36"/>
  <c r="A556" i="36"/>
  <c r="A557" i="36"/>
  <c r="A558" i="36"/>
  <c r="A559" i="36"/>
  <c r="A560" i="36"/>
  <c r="A561" i="36"/>
  <c r="A562" i="36"/>
  <c r="A563" i="36"/>
  <c r="A564" i="36"/>
  <c r="A565" i="36"/>
  <c r="A566" i="36"/>
  <c r="A567" i="36"/>
  <c r="A568" i="36"/>
  <c r="A569" i="36"/>
  <c r="A570" i="36"/>
  <c r="A571" i="36"/>
  <c r="A572" i="36"/>
  <c r="A573" i="36"/>
  <c r="A574" i="36"/>
  <c r="A575" i="36"/>
  <c r="A576" i="36"/>
  <c r="A577" i="36"/>
  <c r="A578" i="36"/>
  <c r="A579" i="36"/>
  <c r="A580" i="36"/>
  <c r="A581" i="36"/>
  <c r="A582" i="36"/>
  <c r="A583" i="36"/>
  <c r="A584" i="36"/>
  <c r="A585" i="36"/>
  <c r="A586" i="36"/>
  <c r="A587" i="36"/>
  <c r="A588" i="36"/>
  <c r="A589" i="36"/>
  <c r="A590" i="36"/>
  <c r="A591" i="36"/>
  <c r="A592" i="36"/>
  <c r="A593" i="36"/>
  <c r="A594" i="36"/>
  <c r="A595" i="36"/>
  <c r="A596" i="36"/>
  <c r="A597" i="36"/>
  <c r="A598" i="36"/>
  <c r="A599" i="36"/>
  <c r="A600" i="36"/>
  <c r="A601" i="36"/>
  <c r="A602" i="36"/>
  <c r="A603" i="36"/>
  <c r="A604" i="36"/>
  <c r="A605" i="36"/>
  <c r="A606" i="36"/>
  <c r="A607" i="36"/>
  <c r="A608" i="36"/>
  <c r="A609" i="36"/>
  <c r="A610" i="36"/>
  <c r="A611" i="36"/>
  <c r="A612" i="36"/>
  <c r="A613" i="36"/>
  <c r="A614" i="36"/>
  <c r="A615" i="36"/>
  <c r="A616" i="36"/>
  <c r="A617" i="36"/>
  <c r="A618" i="36"/>
  <c r="A619" i="36"/>
  <c r="A620" i="36"/>
  <c r="A621" i="36"/>
  <c r="A622" i="36"/>
  <c r="A623" i="36"/>
  <c r="A624" i="36"/>
  <c r="A625" i="36"/>
  <c r="A626" i="36"/>
  <c r="A627" i="36"/>
  <c r="A628" i="36"/>
  <c r="A629" i="36"/>
  <c r="A630" i="36"/>
  <c r="A631" i="36"/>
  <c r="A632" i="36"/>
  <c r="A633" i="36"/>
  <c r="A634" i="36"/>
  <c r="A635" i="36"/>
  <c r="A636" i="36"/>
  <c r="A637" i="36"/>
  <c r="A638" i="36"/>
  <c r="A639" i="36"/>
  <c r="A640" i="36"/>
  <c r="A641" i="36"/>
  <c r="A642" i="36"/>
  <c r="A643" i="36"/>
  <c r="A644" i="36"/>
  <c r="A645" i="36"/>
  <c r="A646" i="36"/>
  <c r="A647" i="36"/>
  <c r="A648" i="36"/>
  <c r="A649" i="36"/>
  <c r="A650" i="36"/>
  <c r="A651" i="36"/>
  <c r="A652" i="36"/>
  <c r="A653" i="36"/>
  <c r="A654" i="36"/>
  <c r="A655" i="36"/>
  <c r="A656" i="36"/>
  <c r="A657" i="36"/>
  <c r="A658" i="36"/>
  <c r="A659" i="36"/>
  <c r="A660" i="36"/>
  <c r="A661" i="36"/>
  <c r="A662" i="36"/>
  <c r="A663" i="36"/>
  <c r="A664" i="36"/>
  <c r="A665" i="36"/>
  <c r="A666" i="36"/>
  <c r="A667" i="36"/>
  <c r="A668" i="36"/>
  <c r="A669" i="36"/>
  <c r="A670" i="36"/>
  <c r="A671" i="36"/>
  <c r="A672" i="36"/>
  <c r="A673" i="36"/>
  <c r="A674" i="36"/>
  <c r="A675" i="36"/>
  <c r="A676" i="36"/>
  <c r="A677" i="36"/>
  <c r="A678" i="36"/>
  <c r="A679" i="36"/>
  <c r="A680" i="36"/>
  <c r="A681" i="36"/>
  <c r="A682" i="36"/>
  <c r="A683" i="36"/>
  <c r="A684" i="36"/>
  <c r="A685" i="36"/>
  <c r="A686" i="36"/>
  <c r="A687" i="36"/>
  <c r="A688" i="36"/>
  <c r="A689" i="36"/>
  <c r="A690" i="36"/>
  <c r="A691" i="36"/>
  <c r="A692" i="36"/>
  <c r="A693" i="36"/>
  <c r="A694" i="36"/>
  <c r="A695" i="36"/>
  <c r="A696" i="36"/>
  <c r="A697" i="36"/>
  <c r="A698" i="36"/>
  <c r="A699" i="36"/>
  <c r="A700" i="36"/>
  <c r="A701" i="36"/>
  <c r="A702" i="36"/>
  <c r="A703" i="36"/>
  <c r="A704" i="36"/>
  <c r="A705" i="36"/>
  <c r="A706" i="36"/>
  <c r="A707" i="36"/>
  <c r="A708" i="36"/>
  <c r="A709" i="36"/>
  <c r="A710" i="36"/>
  <c r="A711" i="36"/>
  <c r="A712" i="36"/>
  <c r="A713" i="36"/>
  <c r="A714" i="36"/>
  <c r="A715" i="36"/>
  <c r="A716" i="36"/>
  <c r="A717" i="36"/>
  <c r="A718" i="36"/>
  <c r="A719" i="36"/>
  <c r="A720" i="36"/>
  <c r="A721" i="36"/>
  <c r="A722" i="36"/>
  <c r="A723" i="36"/>
  <c r="A724" i="36"/>
  <c r="A725" i="36"/>
  <c r="A726" i="36"/>
  <c r="A727" i="36"/>
  <c r="A728" i="36"/>
  <c r="A729" i="36"/>
  <c r="A730" i="36"/>
  <c r="A731" i="36"/>
  <c r="A732" i="36"/>
  <c r="A733" i="36"/>
  <c r="A734" i="36"/>
  <c r="A735" i="36"/>
  <c r="A736" i="36"/>
  <c r="A737" i="36"/>
  <c r="A738" i="36"/>
  <c r="A739" i="36"/>
  <c r="A740" i="36"/>
  <c r="A741" i="36"/>
  <c r="A742" i="36"/>
  <c r="A743" i="36"/>
  <c r="A744" i="36"/>
  <c r="A745" i="36"/>
  <c r="A746" i="36"/>
  <c r="A747" i="36"/>
  <c r="A748" i="36"/>
  <c r="A749" i="36"/>
  <c r="A750" i="36"/>
  <c r="A751" i="36"/>
  <c r="A752" i="36"/>
  <c r="A753" i="36"/>
  <c r="A754" i="36"/>
  <c r="A755" i="36"/>
  <c r="A756" i="36"/>
  <c r="A757" i="36"/>
  <c r="A758" i="36"/>
  <c r="A759" i="36"/>
  <c r="A760" i="36"/>
  <c r="A761" i="36"/>
  <c r="A762" i="36"/>
  <c r="A763" i="36"/>
  <c r="A764" i="36"/>
  <c r="A765" i="36"/>
  <c r="A766" i="36"/>
  <c r="A767" i="36"/>
  <c r="A768" i="36"/>
  <c r="A769" i="36"/>
  <c r="A770" i="36"/>
  <c r="A771" i="36"/>
  <c r="A772" i="36"/>
  <c r="A773" i="36"/>
  <c r="A774" i="36"/>
  <c r="A775" i="36"/>
  <c r="A776" i="36"/>
  <c r="A777" i="36"/>
  <c r="A778" i="36"/>
  <c r="A779" i="36"/>
  <c r="A780" i="36"/>
  <c r="A781" i="36"/>
  <c r="A782" i="36"/>
  <c r="A783" i="36"/>
  <c r="A784" i="36"/>
  <c r="A785" i="36"/>
  <c r="A786" i="36"/>
  <c r="A787" i="36"/>
  <c r="A788" i="36"/>
  <c r="A789" i="36"/>
  <c r="A790" i="36"/>
  <c r="A791" i="36"/>
  <c r="A792" i="36"/>
  <c r="A793" i="36"/>
  <c r="A794" i="36"/>
  <c r="A795" i="36"/>
  <c r="A796" i="36"/>
  <c r="A797" i="36"/>
  <c r="A798" i="36"/>
  <c r="A799" i="36"/>
  <c r="A800" i="36"/>
  <c r="A801" i="36"/>
  <c r="A802" i="36"/>
  <c r="A803" i="36"/>
  <c r="A804" i="36"/>
  <c r="A805" i="36"/>
  <c r="A806" i="36"/>
  <c r="A807" i="36"/>
  <c r="A808" i="36"/>
  <c r="A809" i="36"/>
  <c r="A810" i="36"/>
  <c r="A811" i="36"/>
  <c r="A812" i="36"/>
  <c r="A813" i="36"/>
  <c r="A814" i="36"/>
  <c r="A815" i="36"/>
  <c r="A816" i="36"/>
  <c r="A817" i="36"/>
  <c r="A818" i="36"/>
  <c r="A819" i="36"/>
  <c r="A820" i="36"/>
  <c r="A821" i="36"/>
  <c r="A822" i="36"/>
  <c r="A823" i="36"/>
  <c r="A824" i="36"/>
  <c r="A825" i="36"/>
  <c r="A826" i="36"/>
  <c r="A827" i="36"/>
  <c r="A828" i="36"/>
  <c r="A829" i="36"/>
  <c r="A830" i="36"/>
  <c r="A831" i="36"/>
  <c r="A832" i="36"/>
  <c r="A833" i="36"/>
  <c r="A834" i="36"/>
  <c r="A835" i="36"/>
  <c r="A836" i="36"/>
  <c r="A837" i="36"/>
  <c r="A838" i="36"/>
  <c r="A839" i="36"/>
  <c r="A840" i="36"/>
  <c r="A841" i="36"/>
  <c r="A842" i="36"/>
  <c r="A843" i="36"/>
  <c r="A844" i="36"/>
  <c r="A845" i="36"/>
  <c r="A846" i="36"/>
  <c r="A847" i="36"/>
  <c r="A848" i="36"/>
  <c r="A849" i="36"/>
  <c r="A850" i="36"/>
  <c r="A851" i="36"/>
  <c r="A852" i="36"/>
  <c r="A853" i="36"/>
  <c r="A854" i="36"/>
  <c r="A855" i="36"/>
  <c r="A856" i="36"/>
  <c r="A857" i="36"/>
  <c r="A858" i="36"/>
  <c r="A859" i="36"/>
  <c r="A860" i="36"/>
  <c r="A861" i="36"/>
  <c r="A862" i="36"/>
  <c r="A863" i="36"/>
  <c r="A864" i="36"/>
  <c r="A865" i="36"/>
  <c r="A866" i="36"/>
  <c r="A867" i="36"/>
  <c r="A868" i="36"/>
  <c r="A869" i="36"/>
  <c r="A870" i="36"/>
  <c r="A871" i="36"/>
  <c r="A872" i="36"/>
  <c r="A873" i="36"/>
  <c r="A874" i="36"/>
  <c r="A875" i="36"/>
  <c r="A876" i="36"/>
  <c r="A877" i="36"/>
  <c r="A878" i="36"/>
  <c r="A879" i="36"/>
  <c r="A880" i="36"/>
  <c r="A881" i="36"/>
  <c r="A882" i="36"/>
  <c r="A883" i="36"/>
  <c r="A884" i="36"/>
  <c r="A885" i="36"/>
  <c r="A886" i="36"/>
  <c r="A887" i="36"/>
  <c r="A888" i="36"/>
  <c r="A889" i="36"/>
  <c r="A890" i="36"/>
  <c r="A891" i="36"/>
  <c r="A892" i="36"/>
  <c r="A893" i="36"/>
  <c r="A894" i="36"/>
  <c r="A895" i="36"/>
  <c r="A896" i="36"/>
  <c r="A897" i="36"/>
  <c r="A898" i="36"/>
  <c r="A899" i="36"/>
  <c r="A900" i="36"/>
  <c r="A901" i="36"/>
  <c r="A902" i="36"/>
  <c r="A903" i="36"/>
  <c r="A904" i="36"/>
  <c r="A905" i="36"/>
  <c r="A906" i="36"/>
  <c r="A907" i="36"/>
  <c r="A908" i="36"/>
  <c r="A909" i="36"/>
  <c r="A910" i="36"/>
  <c r="A911" i="36"/>
  <c r="A912" i="36"/>
  <c r="A913" i="36"/>
  <c r="A914" i="36"/>
  <c r="A915" i="36"/>
  <c r="A916" i="36"/>
  <c r="A917" i="36"/>
  <c r="A918" i="36"/>
  <c r="A919" i="36"/>
  <c r="A920" i="36"/>
  <c r="A921" i="36"/>
  <c r="A922" i="36"/>
  <c r="A923" i="36"/>
  <c r="A924" i="36"/>
  <c r="A925" i="36"/>
  <c r="A926" i="36"/>
  <c r="A927" i="36"/>
  <c r="A928" i="36"/>
  <c r="A929" i="36"/>
  <c r="A930" i="36"/>
  <c r="A931" i="36"/>
  <c r="A932" i="36"/>
  <c r="A933" i="36"/>
  <c r="A934" i="36"/>
  <c r="A935" i="36"/>
  <c r="A936" i="36"/>
  <c r="A937" i="36"/>
  <c r="A938" i="36"/>
  <c r="A939" i="36"/>
  <c r="A940" i="36"/>
  <c r="A941" i="36"/>
  <c r="A942" i="36"/>
  <c r="A943" i="36"/>
  <c r="A944" i="36"/>
  <c r="A945" i="36"/>
  <c r="A946" i="36"/>
  <c r="A947" i="36"/>
  <c r="A948" i="36"/>
  <c r="A949" i="36"/>
  <c r="A950" i="36"/>
  <c r="A951" i="36"/>
  <c r="A952" i="36"/>
  <c r="A953" i="36"/>
  <c r="A954" i="36"/>
  <c r="A955" i="36"/>
  <c r="A956" i="36"/>
  <c r="A957" i="36"/>
  <c r="A958" i="36"/>
  <c r="A959" i="36"/>
  <c r="A960" i="36"/>
  <c r="A961" i="36"/>
  <c r="A962" i="36"/>
  <c r="A963" i="36"/>
  <c r="A964" i="36"/>
  <c r="A965" i="36"/>
  <c r="A966" i="36"/>
  <c r="A967" i="36"/>
  <c r="A968" i="36"/>
  <c r="A969" i="36"/>
  <c r="A970" i="36"/>
  <c r="A971" i="36"/>
  <c r="A972" i="36"/>
  <c r="A973" i="36"/>
  <c r="A974" i="36"/>
  <c r="A975" i="36"/>
  <c r="A976" i="36"/>
  <c r="A977" i="36"/>
  <c r="A978" i="36"/>
  <c r="A979" i="36"/>
  <c r="A980" i="36"/>
  <c r="A981" i="36"/>
  <c r="A982" i="36"/>
  <c r="A983" i="36"/>
  <c r="A984" i="36"/>
  <c r="A985" i="36"/>
  <c r="A986" i="36"/>
  <c r="A987" i="36"/>
  <c r="A988" i="36"/>
  <c r="A989" i="36"/>
  <c r="A990" i="36"/>
  <c r="A991" i="36"/>
  <c r="A992" i="36"/>
  <c r="A993" i="36"/>
  <c r="A994" i="36"/>
  <c r="A995" i="36"/>
  <c r="A996" i="36"/>
  <c r="A997" i="36"/>
  <c r="A998" i="36"/>
  <c r="A999" i="36"/>
  <c r="A1000" i="36"/>
  <c r="A1001" i="36"/>
  <c r="A1002" i="36"/>
  <c r="A1003" i="36"/>
  <c r="A1004" i="36"/>
  <c r="A1005" i="36"/>
  <c r="A1006" i="36"/>
  <c r="A1007" i="36"/>
  <c r="A1008" i="36"/>
  <c r="A1009" i="36"/>
  <c r="A1010" i="36"/>
  <c r="A1011" i="36"/>
  <c r="A1012" i="36"/>
  <c r="A1013" i="36"/>
  <c r="A1014" i="36"/>
  <c r="A1015" i="36"/>
  <c r="A1016" i="36"/>
  <c r="A1017" i="36"/>
  <c r="A1018" i="36"/>
  <c r="A1019" i="36"/>
  <c r="A1020" i="36"/>
  <c r="A1021" i="36"/>
  <c r="A1022" i="36"/>
  <c r="A1023" i="36"/>
  <c r="A1024" i="36"/>
  <c r="A1025" i="36"/>
  <c r="A1026" i="36"/>
  <c r="A1027" i="36"/>
  <c r="A1028" i="36"/>
  <c r="A1029" i="36"/>
  <c r="A1030" i="36"/>
  <c r="A1031" i="36"/>
  <c r="A1032" i="36"/>
  <c r="A1033" i="36"/>
  <c r="A1034" i="36"/>
  <c r="A1035" i="36"/>
  <c r="A1036" i="36"/>
  <c r="A1037" i="36"/>
  <c r="A1038" i="36"/>
  <c r="A1039" i="36"/>
  <c r="A1040" i="36"/>
  <c r="A1041" i="36"/>
  <c r="A1042" i="36"/>
  <c r="A1043" i="36"/>
  <c r="A1044" i="36"/>
  <c r="A1045" i="36"/>
  <c r="A1046" i="36"/>
  <c r="A1047" i="36"/>
  <c r="A1048" i="36"/>
  <c r="A1049" i="36"/>
  <c r="A1050" i="36"/>
  <c r="A1051" i="36"/>
  <c r="A1052" i="36"/>
  <c r="A1053" i="36"/>
  <c r="A1054" i="36"/>
  <c r="A1055" i="36"/>
  <c r="A1056" i="36"/>
  <c r="A1057" i="36"/>
  <c r="A1058" i="36"/>
  <c r="A1059" i="36"/>
  <c r="A1060" i="36"/>
  <c r="A1061" i="36"/>
  <c r="A1062" i="36"/>
  <c r="A1063" i="36"/>
  <c r="A1064" i="36"/>
  <c r="A1065" i="36"/>
  <c r="A1066" i="36"/>
  <c r="A1067" i="36"/>
  <c r="A1068" i="36"/>
  <c r="A1069" i="36"/>
  <c r="A1070" i="36"/>
  <c r="A1071" i="36"/>
  <c r="A1072" i="36"/>
  <c r="A1073" i="36"/>
  <c r="A1074" i="36"/>
  <c r="A1075" i="36"/>
  <c r="A1076" i="36"/>
  <c r="A1077" i="36"/>
  <c r="A1078" i="36"/>
  <c r="A1079" i="36"/>
  <c r="A1080" i="36"/>
  <c r="A1081" i="36"/>
  <c r="A1082" i="36"/>
  <c r="A1083" i="36"/>
  <c r="A1084" i="36"/>
  <c r="A1085" i="36"/>
  <c r="A1086" i="36"/>
  <c r="A1087" i="36"/>
  <c r="A1088" i="36"/>
  <c r="A1089" i="36"/>
  <c r="A1090" i="36"/>
  <c r="A1091" i="36"/>
  <c r="A1092" i="36"/>
  <c r="A1093" i="36"/>
  <c r="A1094" i="36"/>
  <c r="A1095" i="36"/>
  <c r="A1096" i="36"/>
  <c r="A1097" i="36"/>
  <c r="A1098" i="36"/>
  <c r="A1099" i="36"/>
  <c r="A1100" i="36"/>
  <c r="A1101" i="36"/>
  <c r="A1102" i="36"/>
  <c r="A1103" i="36"/>
  <c r="A1104" i="36"/>
  <c r="A1105" i="36"/>
  <c r="A1106" i="36"/>
  <c r="A1107" i="36"/>
  <c r="A1108" i="36"/>
  <c r="A1109" i="36"/>
  <c r="A1110" i="36"/>
  <c r="A1111" i="36"/>
  <c r="A1112" i="36"/>
  <c r="A1113" i="36"/>
  <c r="A1114" i="36"/>
  <c r="A1115" i="36"/>
  <c r="A1116" i="36"/>
  <c r="A1117" i="36"/>
  <c r="A1118" i="36"/>
  <c r="A1119" i="36"/>
  <c r="A1120" i="36"/>
  <c r="A1121" i="36"/>
  <c r="A1122" i="36"/>
  <c r="A1123" i="36"/>
  <c r="A1124" i="36"/>
  <c r="A1125" i="36"/>
  <c r="A1126" i="36"/>
  <c r="A1127" i="36"/>
  <c r="A1128" i="36"/>
  <c r="A1129" i="36"/>
  <c r="A1130" i="36"/>
  <c r="A1131" i="36"/>
  <c r="A1132" i="36"/>
  <c r="A1133" i="36"/>
  <c r="A1134" i="36"/>
  <c r="A1135" i="36"/>
  <c r="A1136" i="36"/>
  <c r="A1137" i="36"/>
  <c r="A1138" i="36"/>
  <c r="A1139" i="36"/>
  <c r="A1140" i="36"/>
  <c r="A1141" i="36"/>
  <c r="A1142" i="36"/>
  <c r="A1143" i="36"/>
  <c r="A1144" i="36"/>
  <c r="A1145" i="36"/>
  <c r="A1146" i="36"/>
  <c r="A1147" i="36"/>
  <c r="A1148" i="36"/>
  <c r="A1149" i="36"/>
  <c r="A1150" i="36"/>
  <c r="A1151" i="36"/>
  <c r="A1152" i="36"/>
  <c r="A1153" i="36"/>
  <c r="A1154" i="36"/>
  <c r="A1155" i="36"/>
  <c r="A1156" i="36"/>
  <c r="A1157" i="36"/>
  <c r="A1158" i="36"/>
  <c r="A1159" i="36"/>
  <c r="A1160" i="36"/>
  <c r="A1161" i="36"/>
  <c r="A1162" i="36"/>
  <c r="A1163" i="36"/>
  <c r="A1164" i="36"/>
  <c r="A1165" i="36"/>
  <c r="A1166" i="36"/>
  <c r="A1167" i="36"/>
  <c r="A1168" i="36"/>
  <c r="A1169" i="36"/>
  <c r="A1170" i="36"/>
  <c r="A1171" i="36"/>
  <c r="A1172" i="36"/>
  <c r="A1173" i="36"/>
  <c r="A1174" i="36"/>
  <c r="A1175" i="36"/>
  <c r="A1176" i="36"/>
  <c r="A1177" i="36"/>
  <c r="A1178" i="36"/>
  <c r="A1179" i="36"/>
  <c r="A1180" i="36"/>
  <c r="A1181" i="36"/>
  <c r="A1182" i="36"/>
  <c r="A1183" i="36"/>
  <c r="A1184" i="36"/>
  <c r="A1185" i="36"/>
  <c r="A1186" i="36"/>
  <c r="A1187" i="36"/>
  <c r="A1188" i="36"/>
  <c r="A1189" i="36"/>
  <c r="A1190" i="36"/>
  <c r="A1191" i="36"/>
  <c r="A1192" i="36"/>
  <c r="A1193" i="36"/>
  <c r="A1194" i="36"/>
  <c r="A1195" i="36"/>
  <c r="A1196" i="36"/>
  <c r="A1197" i="36"/>
  <c r="A1198" i="36"/>
  <c r="A1199" i="36"/>
  <c r="A1200" i="36"/>
  <c r="A1201" i="36"/>
  <c r="A1202" i="36"/>
  <c r="A1203" i="36"/>
  <c r="A1204" i="36"/>
  <c r="A1205" i="36"/>
  <c r="A1206" i="36"/>
  <c r="A1207" i="36"/>
  <c r="A1208" i="36"/>
  <c r="A1209" i="36"/>
  <c r="A1210" i="36"/>
  <c r="A1211" i="36"/>
  <c r="A1212" i="36"/>
  <c r="A1213" i="36"/>
  <c r="A1214" i="36"/>
  <c r="A1215" i="36"/>
  <c r="A1216" i="36"/>
  <c r="A1217" i="36"/>
  <c r="A1218" i="36"/>
  <c r="A1219" i="36"/>
  <c r="A1220" i="36"/>
  <c r="A1221" i="36"/>
  <c r="A1222" i="36"/>
  <c r="A1223" i="36"/>
  <c r="A1224" i="36"/>
  <c r="A1225" i="36"/>
  <c r="A1226" i="36"/>
  <c r="A1227" i="36"/>
  <c r="A1228" i="36"/>
  <c r="A1229" i="36"/>
  <c r="A1230" i="36"/>
  <c r="A1231" i="36"/>
  <c r="A1232" i="36"/>
  <c r="A1233" i="36"/>
  <c r="A1234" i="36"/>
  <c r="A1235" i="36"/>
  <c r="A1236" i="36"/>
  <c r="A1237" i="36"/>
  <c r="A1238" i="36"/>
  <c r="A1239" i="36"/>
  <c r="A1240" i="36"/>
  <c r="A1241" i="36"/>
  <c r="A1242" i="36"/>
  <c r="A1243" i="36"/>
  <c r="A1244" i="36"/>
  <c r="A1245" i="36"/>
  <c r="A1246" i="36"/>
  <c r="A1247" i="36"/>
  <c r="A1248" i="36"/>
  <c r="A1249" i="36"/>
  <c r="A1250" i="36"/>
  <c r="A1251" i="36"/>
  <c r="A1252" i="36"/>
  <c r="A1253" i="36"/>
  <c r="A1254" i="36"/>
  <c r="A1255" i="36"/>
  <c r="A1256" i="36"/>
  <c r="A1257" i="36"/>
  <c r="A1258" i="36"/>
  <c r="A1259" i="36"/>
  <c r="A1260" i="36"/>
  <c r="A1261" i="36"/>
  <c r="A1262" i="36"/>
  <c r="A1263" i="36"/>
  <c r="A1264" i="36"/>
  <c r="A1265" i="36"/>
  <c r="A1266" i="36"/>
  <c r="A1267" i="36"/>
  <c r="A1268" i="36"/>
  <c r="A1269" i="36"/>
  <c r="A1270" i="36"/>
  <c r="A1271" i="36"/>
  <c r="A1272" i="36"/>
  <c r="A1273" i="36"/>
  <c r="A1274" i="36"/>
  <c r="A1275" i="36"/>
  <c r="A1276" i="36"/>
  <c r="A1277" i="36"/>
  <c r="A1278" i="36"/>
  <c r="A1279" i="36"/>
  <c r="A1280" i="36"/>
  <c r="A1281" i="36"/>
  <c r="A1282" i="36"/>
  <c r="A1283" i="36"/>
  <c r="A1284" i="36"/>
  <c r="A1285" i="36"/>
  <c r="A1286" i="36"/>
  <c r="A1287" i="36"/>
  <c r="A1288" i="36"/>
  <c r="A1289" i="36"/>
  <c r="A1290" i="36"/>
  <c r="A1291" i="36"/>
  <c r="A1292" i="36"/>
  <c r="A1293" i="36"/>
  <c r="A1294" i="36"/>
  <c r="A1295" i="36"/>
  <c r="A1296" i="36"/>
  <c r="A1297" i="36"/>
  <c r="A1298" i="36"/>
  <c r="A1299" i="36"/>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498" i="57"/>
  <c r="A499" i="57"/>
  <c r="A500" i="57"/>
  <c r="A501" i="57"/>
  <c r="A502"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56" i="57"/>
  <c r="A557" i="57"/>
  <c r="A558" i="57"/>
  <c r="A559" i="57"/>
  <c r="A560"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58" i="57"/>
  <c r="A959" i="57"/>
  <c r="A960" i="57"/>
  <c r="A961" i="57"/>
  <c r="A962" i="57"/>
  <c r="A963"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16" i="57"/>
  <c r="A1017" i="57"/>
  <c r="A1018" i="57"/>
  <c r="A1019" i="57"/>
  <c r="A1020" i="57"/>
  <c r="A1021"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74" i="57"/>
  <c r="A1075" i="57"/>
  <c r="A1076" i="57"/>
  <c r="A1077" i="57"/>
  <c r="A1078" i="57"/>
  <c r="A1079"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2" i="57"/>
  <c r="A1133" i="57"/>
  <c r="A1134" i="57"/>
  <c r="A1135" i="57"/>
  <c r="A1136" i="57"/>
  <c r="A1137"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7" i="41"/>
  <c r="A178" i="41"/>
  <c r="A179" i="41"/>
  <c r="A180" i="41"/>
  <c r="A181" i="41"/>
  <c r="A182" i="41"/>
  <c r="A183" i="41"/>
  <c r="AC346" i="8"/>
  <c r="AD346" i="8"/>
  <c r="AC347" i="8"/>
  <c r="AD347" i="8"/>
  <c r="AC348" i="8"/>
  <c r="AD348" i="8"/>
  <c r="AC349" i="8"/>
  <c r="AD349" i="8"/>
  <c r="AC350" i="8"/>
  <c r="AD350" i="8"/>
  <c r="AC351" i="8"/>
  <c r="AD351" i="8"/>
  <c r="AC352" i="8"/>
  <c r="AD352" i="8"/>
  <c r="AC353" i="8"/>
  <c r="AD353" i="8"/>
  <c r="AC354" i="8"/>
  <c r="AD354" i="8"/>
  <c r="AC355" i="8"/>
  <c r="AD355" i="8"/>
  <c r="AC356" i="8"/>
  <c r="AD356" i="8"/>
  <c r="AC357" i="8"/>
  <c r="AD357" i="8"/>
  <c r="AC358" i="8"/>
  <c r="AD358" i="8"/>
  <c r="AC359" i="8"/>
  <c r="AD359" i="8"/>
  <c r="AC360" i="8"/>
  <c r="AD360" i="8"/>
  <c r="AC361" i="8"/>
  <c r="AD361" i="8"/>
  <c r="AC362" i="8"/>
  <c r="AD362" i="8"/>
  <c r="AC363" i="8"/>
  <c r="AD363" i="8"/>
  <c r="AC364" i="8"/>
  <c r="AD364" i="8"/>
  <c r="AC365" i="8"/>
  <c r="AD365" i="8"/>
  <c r="AC366" i="8"/>
  <c r="AD366" i="8"/>
  <c r="AC367" i="8"/>
  <c r="AD367" i="8"/>
  <c r="AC368" i="8"/>
  <c r="AD368" i="8"/>
  <c r="AC369" i="8"/>
  <c r="AD369" i="8"/>
  <c r="AC370" i="8"/>
  <c r="AD370" i="8"/>
  <c r="AC371" i="8"/>
  <c r="AD371" i="8"/>
  <c r="AC372" i="8"/>
  <c r="AD372" i="8"/>
  <c r="AC373" i="8"/>
  <c r="AD373" i="8"/>
  <c r="AC374" i="8"/>
  <c r="AD374" i="8"/>
  <c r="AC375" i="8"/>
  <c r="AD375" i="8"/>
  <c r="AC376" i="8"/>
  <c r="AD376" i="8"/>
  <c r="AC377" i="8"/>
  <c r="AD377" i="8"/>
  <c r="AC378" i="8"/>
  <c r="AD378" i="8"/>
  <c r="AC379" i="8"/>
  <c r="AD379" i="8"/>
  <c r="AC380" i="8"/>
  <c r="AD380" i="8"/>
  <c r="AC381" i="8"/>
  <c r="AD381" i="8"/>
  <c r="AC382" i="8"/>
  <c r="AD382" i="8"/>
  <c r="AC383" i="8"/>
  <c r="AD383" i="8"/>
  <c r="AC384" i="8"/>
  <c r="AD384" i="8"/>
  <c r="AC385" i="8"/>
  <c r="AD385" i="8"/>
  <c r="AC386" i="8"/>
  <c r="AD386" i="8"/>
  <c r="AC387" i="8"/>
  <c r="AD387" i="8"/>
  <c r="AC388" i="8"/>
  <c r="AD388" i="8"/>
  <c r="AC389" i="8"/>
  <c r="AD389" i="8"/>
  <c r="AC390" i="8"/>
  <c r="AD390" i="8"/>
  <c r="AC391" i="8"/>
  <c r="AD391" i="8"/>
  <c r="AC392" i="8"/>
  <c r="AD392" i="8"/>
  <c r="AC393" i="8"/>
  <c r="AD393" i="8"/>
  <c r="AC394" i="8"/>
  <c r="AD394" i="8"/>
  <c r="AC395" i="8"/>
  <c r="AD395" i="8"/>
  <c r="AC396" i="8"/>
  <c r="AD396" i="8"/>
  <c r="AC397" i="8"/>
  <c r="AD397" i="8"/>
  <c r="AC398" i="8"/>
  <c r="AD398" i="8"/>
  <c r="AC399" i="8"/>
  <c r="AD399" i="8"/>
  <c r="AC400" i="8"/>
  <c r="AD400" i="8"/>
  <c r="AC401" i="8"/>
  <c r="AD401" i="8"/>
  <c r="AC402" i="8"/>
  <c r="AD402" i="8"/>
  <c r="AC403" i="8"/>
  <c r="AD403" i="8"/>
  <c r="AC404" i="8"/>
  <c r="AD404" i="8"/>
  <c r="AC405" i="8"/>
  <c r="AD405" i="8"/>
  <c r="AC406" i="8"/>
  <c r="AD406" i="8"/>
  <c r="AC407" i="8"/>
  <c r="AD407" i="8"/>
  <c r="AC408" i="8"/>
  <c r="AD408" i="8"/>
  <c r="AC409" i="8"/>
  <c r="AD409" i="8"/>
  <c r="AC410" i="8"/>
  <c r="AD410" i="8"/>
  <c r="AC411" i="8"/>
  <c r="AD411" i="8"/>
  <c r="AC412" i="8"/>
  <c r="AD412" i="8"/>
  <c r="AC413" i="8"/>
  <c r="AD413" i="8"/>
  <c r="AC414" i="8"/>
  <c r="AD414" i="8"/>
  <c r="AC415" i="8"/>
  <c r="AD415" i="8"/>
  <c r="AC416" i="8"/>
  <c r="AD416" i="8"/>
  <c r="AC417" i="8"/>
  <c r="AD417" i="8"/>
  <c r="AC418" i="8"/>
  <c r="AD418" i="8"/>
  <c r="AC419" i="8"/>
  <c r="AD419" i="8"/>
  <c r="AC420" i="8"/>
  <c r="AD420" i="8"/>
  <c r="AC421" i="8"/>
  <c r="AD421" i="8"/>
  <c r="AC422" i="8"/>
  <c r="AD422" i="8"/>
  <c r="AC423" i="8"/>
  <c r="AD423" i="8"/>
  <c r="AC424" i="8"/>
  <c r="AD424" i="8"/>
  <c r="AC425" i="8"/>
  <c r="AD425" i="8"/>
  <c r="AC426" i="8"/>
  <c r="AD426" i="8"/>
  <c r="AC427" i="8"/>
  <c r="AD427" i="8"/>
  <c r="AC428" i="8"/>
  <c r="AD428" i="8"/>
  <c r="AC429" i="8"/>
  <c r="AD429" i="8"/>
  <c r="AC430" i="8"/>
  <c r="AD430" i="8"/>
  <c r="AC431" i="8"/>
  <c r="AD431" i="8"/>
  <c r="AC432" i="8"/>
  <c r="AD432" i="8"/>
  <c r="AC433" i="8"/>
  <c r="AD433" i="8"/>
  <c r="AC434" i="8"/>
  <c r="AD434" i="8"/>
  <c r="AC435" i="8"/>
  <c r="AD435" i="8"/>
  <c r="AC436" i="8"/>
  <c r="AD436" i="8"/>
  <c r="AC437" i="8"/>
  <c r="AD437" i="8"/>
  <c r="AC438" i="8"/>
  <c r="AD438" i="8"/>
  <c r="AC439" i="8"/>
  <c r="AD439" i="8"/>
  <c r="AC440" i="8"/>
  <c r="AD440" i="8"/>
  <c r="AC441" i="8"/>
  <c r="AD441" i="8"/>
  <c r="AC442" i="8"/>
  <c r="AD442" i="8"/>
  <c r="AC443" i="8"/>
  <c r="AD443" i="8"/>
  <c r="AC444" i="8"/>
  <c r="AD444" i="8"/>
  <c r="AC445" i="8"/>
  <c r="AD445" i="8"/>
  <c r="AC446" i="8"/>
  <c r="AD446" i="8"/>
  <c r="AC447" i="8"/>
  <c r="AD447" i="8"/>
  <c r="AC448" i="8"/>
  <c r="AD448" i="8"/>
  <c r="AC449" i="8"/>
  <c r="AD449" i="8"/>
  <c r="AC450" i="8"/>
  <c r="AD450" i="8"/>
  <c r="AC451" i="8"/>
  <c r="AD451" i="8"/>
  <c r="AC452" i="8"/>
  <c r="AD452" i="8"/>
  <c r="AC453" i="8"/>
  <c r="AD453" i="8"/>
  <c r="AC454" i="8"/>
  <c r="AD454" i="8"/>
  <c r="AC455" i="8"/>
  <c r="AD455" i="8"/>
  <c r="AC456" i="8"/>
  <c r="AD456" i="8"/>
  <c r="AC457" i="8"/>
  <c r="AD457" i="8"/>
  <c r="AC458" i="8"/>
  <c r="AD458" i="8"/>
  <c r="AC459" i="8"/>
  <c r="AD459" i="8"/>
  <c r="AC460" i="8"/>
  <c r="AD460" i="8"/>
  <c r="AC461" i="8"/>
  <c r="AD461" i="8"/>
  <c r="AC462" i="8"/>
  <c r="AD462" i="8"/>
  <c r="AC463" i="8"/>
  <c r="AD463" i="8"/>
  <c r="AC464" i="8"/>
  <c r="AD464" i="8"/>
  <c r="AC465" i="8"/>
  <c r="AD465" i="8"/>
  <c r="AC466" i="8"/>
  <c r="AD466" i="8"/>
  <c r="AC467" i="8"/>
  <c r="AD467" i="8"/>
  <c r="AC468" i="8"/>
  <c r="AD468" i="8"/>
  <c r="AC469" i="8"/>
  <c r="AD469" i="8"/>
  <c r="AC470" i="8"/>
  <c r="AD470" i="8"/>
  <c r="AC471" i="8"/>
  <c r="AD471" i="8"/>
  <c r="AC472" i="8"/>
  <c r="AD472" i="8"/>
  <c r="AC473" i="8"/>
  <c r="AD473" i="8"/>
  <c r="AC474" i="8"/>
  <c r="AD474" i="8"/>
  <c r="AC475" i="8"/>
  <c r="AD475" i="8"/>
  <c r="AC476" i="8"/>
  <c r="AD476" i="8"/>
  <c r="AC477" i="8"/>
  <c r="AD477" i="8"/>
  <c r="AC478" i="8"/>
  <c r="AD478" i="8"/>
  <c r="AC479" i="8"/>
  <c r="AD479" i="8"/>
  <c r="AC480" i="8"/>
  <c r="AD480" i="8"/>
  <c r="AC481" i="8"/>
  <c r="AD481" i="8"/>
  <c r="AC482" i="8"/>
  <c r="AD482" i="8"/>
  <c r="AC483" i="8"/>
  <c r="AD483" i="8"/>
  <c r="AC484" i="8"/>
  <c r="AD484" i="8"/>
  <c r="AC485" i="8"/>
  <c r="AD485" i="8"/>
  <c r="AC486" i="8"/>
  <c r="AD486" i="8"/>
  <c r="AC487" i="8"/>
  <c r="AD487" i="8"/>
  <c r="AC488" i="8"/>
  <c r="AD488" i="8"/>
  <c r="AC489" i="8"/>
  <c r="AD489" i="8"/>
  <c r="AC490" i="8"/>
  <c r="AD490" i="8"/>
  <c r="AC491" i="8"/>
  <c r="AD491" i="8"/>
  <c r="AC492" i="8"/>
  <c r="AD492" i="8"/>
  <c r="AC493" i="8"/>
  <c r="AD493" i="8"/>
  <c r="AC494" i="8"/>
  <c r="AD494" i="8"/>
  <c r="AC495" i="8"/>
  <c r="AD495" i="8"/>
  <c r="AC496" i="8"/>
  <c r="AD496" i="8"/>
  <c r="AC497" i="8"/>
  <c r="AD497" i="8"/>
  <c r="AC498" i="8"/>
  <c r="AD498" i="8"/>
  <c r="AC499" i="8"/>
  <c r="AD499" i="8"/>
  <c r="AC500" i="8"/>
  <c r="AD500" i="8"/>
  <c r="AC501" i="8"/>
  <c r="AD501" i="8"/>
  <c r="AC502" i="8"/>
  <c r="AD502" i="8"/>
  <c r="AC503" i="8"/>
  <c r="AD503" i="8"/>
  <c r="AC504" i="8"/>
  <c r="AD504" i="8"/>
  <c r="AC505" i="8"/>
  <c r="AD505" i="8"/>
  <c r="AC506" i="8"/>
  <c r="AD506" i="8"/>
  <c r="AC507" i="8"/>
  <c r="AD507" i="8"/>
  <c r="AC508" i="8"/>
  <c r="AD508" i="8"/>
  <c r="AC509" i="8"/>
  <c r="AD509" i="8"/>
  <c r="AC510" i="8"/>
  <c r="AD510" i="8"/>
  <c r="AC511" i="8"/>
  <c r="AD511" i="8"/>
  <c r="AC512" i="8"/>
  <c r="AD512" i="8"/>
  <c r="AC513" i="8"/>
  <c r="AD513" i="8"/>
  <c r="AC514" i="8"/>
  <c r="AD514" i="8"/>
  <c r="AC515" i="8"/>
  <c r="AD515" i="8"/>
  <c r="AC516" i="8"/>
  <c r="AD516" i="8"/>
  <c r="AC517" i="8"/>
  <c r="AD517" i="8"/>
  <c r="AC518" i="8"/>
  <c r="AD518" i="8"/>
  <c r="AC519" i="8"/>
  <c r="AD519" i="8"/>
  <c r="AC520" i="8"/>
  <c r="AD520" i="8"/>
  <c r="AC521" i="8"/>
  <c r="AD521" i="8"/>
  <c r="AC522" i="8"/>
  <c r="AD522" i="8"/>
  <c r="AC523" i="8"/>
  <c r="AD523" i="8"/>
  <c r="AC524" i="8"/>
  <c r="AD524" i="8"/>
  <c r="AC525" i="8"/>
  <c r="AD525" i="8"/>
  <c r="AC526" i="8"/>
  <c r="AD526" i="8"/>
  <c r="AC527" i="8"/>
  <c r="AD527" i="8"/>
  <c r="AC528" i="8"/>
  <c r="AD528" i="8"/>
  <c r="AC529" i="8"/>
  <c r="AD529" i="8"/>
  <c r="AC530" i="8"/>
  <c r="AD530" i="8"/>
  <c r="AC531" i="8"/>
  <c r="AD531" i="8"/>
  <c r="AC532" i="8"/>
  <c r="AD532" i="8"/>
  <c r="AC533" i="8"/>
  <c r="AD533" i="8"/>
  <c r="AC534" i="8"/>
  <c r="AD534" i="8"/>
  <c r="AC535" i="8"/>
  <c r="AD535" i="8"/>
  <c r="AC536" i="8"/>
  <c r="AD536" i="8"/>
  <c r="AC537" i="8"/>
  <c r="AD537" i="8"/>
  <c r="AC538" i="8"/>
  <c r="AD538" i="8"/>
  <c r="AC539" i="8"/>
  <c r="AD539" i="8"/>
  <c r="AC540" i="8"/>
  <c r="AD540" i="8"/>
  <c r="AC541" i="8"/>
  <c r="AD541" i="8"/>
  <c r="AC542" i="8"/>
  <c r="AD542" i="8"/>
  <c r="AC543" i="8"/>
  <c r="AD543" i="8"/>
  <c r="AC544" i="8"/>
  <c r="AD544" i="8"/>
  <c r="AC545" i="8"/>
  <c r="AD545" i="8"/>
  <c r="AC546" i="8"/>
  <c r="AD546" i="8"/>
  <c r="AC547" i="8"/>
  <c r="AD547" i="8"/>
  <c r="AC548" i="8"/>
  <c r="AD548" i="8"/>
  <c r="AC549" i="8"/>
  <c r="AD549" i="8"/>
  <c r="AC550" i="8"/>
  <c r="AD550" i="8"/>
  <c r="AC551" i="8"/>
  <c r="AD551" i="8"/>
  <c r="AC552" i="8"/>
  <c r="AD552" i="8"/>
  <c r="AC553" i="8"/>
  <c r="AD553" i="8"/>
  <c r="AC554" i="8"/>
  <c r="AD554" i="8"/>
  <c r="AC555" i="8"/>
  <c r="AD555" i="8"/>
  <c r="AC556" i="8"/>
  <c r="AD556" i="8"/>
  <c r="AC557" i="8"/>
  <c r="AD557" i="8"/>
  <c r="AC558" i="8"/>
  <c r="AD558" i="8"/>
  <c r="AC559" i="8"/>
  <c r="AD559" i="8"/>
  <c r="AC560" i="8"/>
  <c r="AD560" i="8"/>
  <c r="AC561" i="8"/>
  <c r="AD561" i="8"/>
  <c r="AC562" i="8"/>
  <c r="AD562" i="8"/>
  <c r="AC563" i="8"/>
  <c r="AD563" i="8"/>
  <c r="AC564" i="8"/>
  <c r="AD564" i="8"/>
  <c r="AC565" i="8"/>
  <c r="AD565" i="8"/>
  <c r="AC566" i="8"/>
  <c r="AD566" i="8"/>
  <c r="AC567" i="8"/>
  <c r="AD567" i="8"/>
  <c r="AC568" i="8"/>
  <c r="AD568" i="8"/>
  <c r="AC569" i="8"/>
  <c r="AD569" i="8"/>
  <c r="AC570" i="8"/>
  <c r="AD570" i="8"/>
  <c r="AC571" i="8"/>
  <c r="AD571" i="8"/>
  <c r="AC572" i="8"/>
  <c r="AD572" i="8"/>
  <c r="AC573" i="8"/>
  <c r="AD573" i="8"/>
  <c r="AC574" i="8"/>
  <c r="AD574" i="8"/>
  <c r="AC575" i="8"/>
  <c r="AD575" i="8"/>
  <c r="AC576" i="8"/>
  <c r="AD576" i="8"/>
  <c r="AC577" i="8"/>
  <c r="AD577" i="8"/>
  <c r="AC578" i="8"/>
  <c r="AD578" i="8"/>
  <c r="AC579" i="8"/>
  <c r="AD579" i="8"/>
  <c r="AC580" i="8"/>
  <c r="AD580" i="8"/>
  <c r="AC581" i="8"/>
  <c r="AD581" i="8"/>
  <c r="AC582" i="8"/>
  <c r="AD582" i="8"/>
  <c r="AC583" i="8"/>
  <c r="AD583" i="8"/>
  <c r="AC584" i="8"/>
  <c r="AD584" i="8"/>
  <c r="AC585" i="8"/>
  <c r="AD585" i="8"/>
  <c r="AC586" i="8"/>
  <c r="AD586" i="8"/>
  <c r="AC587" i="8"/>
  <c r="AD587" i="8"/>
  <c r="AC588" i="8"/>
  <c r="AD588" i="8"/>
  <c r="AC589" i="8"/>
  <c r="AD589" i="8"/>
  <c r="AC590" i="8"/>
  <c r="AD590" i="8"/>
  <c r="AC591" i="8"/>
  <c r="AD591" i="8"/>
  <c r="AC592" i="8"/>
  <c r="AD592" i="8"/>
  <c r="AC593" i="8"/>
  <c r="AD593" i="8"/>
  <c r="AC594" i="8"/>
  <c r="AD594" i="8"/>
  <c r="AC595" i="8"/>
  <c r="AD595" i="8"/>
  <c r="AC596" i="8"/>
  <c r="AD596" i="8"/>
  <c r="AC597" i="8"/>
  <c r="AD597" i="8"/>
  <c r="AC598" i="8"/>
  <c r="AD598" i="8"/>
  <c r="AC599" i="8"/>
  <c r="AD599" i="8"/>
  <c r="AC600" i="8"/>
  <c r="AD600" i="8"/>
  <c r="AC601" i="8"/>
  <c r="AD601" i="8"/>
  <c r="AC602" i="8"/>
  <c r="AD602" i="8"/>
  <c r="AC603" i="8"/>
  <c r="AD603" i="8"/>
  <c r="AC604" i="8"/>
  <c r="AD604" i="8"/>
  <c r="AC605" i="8"/>
  <c r="AD605" i="8"/>
  <c r="AC606" i="8"/>
  <c r="AD606" i="8"/>
  <c r="AC607" i="8"/>
  <c r="AD607" i="8"/>
  <c r="AC608" i="8"/>
  <c r="AD608" i="8"/>
  <c r="AC609" i="8"/>
  <c r="AD609" i="8"/>
  <c r="AC610" i="8"/>
  <c r="AD610" i="8"/>
  <c r="AC611" i="8"/>
  <c r="AD611" i="8"/>
  <c r="AC612" i="8"/>
  <c r="AD612" i="8"/>
  <c r="AC613" i="8"/>
  <c r="AD613" i="8"/>
  <c r="AC614" i="8"/>
  <c r="AD614" i="8"/>
  <c r="AC615" i="8"/>
  <c r="AD615" i="8"/>
  <c r="AC616" i="8"/>
  <c r="AD616" i="8"/>
  <c r="AC617" i="8"/>
  <c r="AD617" i="8"/>
  <c r="AC618" i="8"/>
  <c r="AD618" i="8"/>
  <c r="AC619" i="8"/>
  <c r="AD619" i="8"/>
  <c r="AC620" i="8"/>
  <c r="AD620" i="8"/>
  <c r="AC621" i="8"/>
  <c r="AD621" i="8"/>
  <c r="AC622" i="8"/>
  <c r="AD622" i="8"/>
  <c r="AC623" i="8"/>
  <c r="AD623" i="8"/>
  <c r="AC624" i="8"/>
  <c r="AD624" i="8"/>
  <c r="AC625" i="8"/>
  <c r="AD625" i="8"/>
  <c r="AC626" i="8"/>
  <c r="AD626" i="8"/>
  <c r="AC627" i="8"/>
  <c r="AD627" i="8"/>
  <c r="AC628" i="8"/>
  <c r="AD628" i="8"/>
  <c r="AC629" i="8"/>
  <c r="AD629" i="8"/>
  <c r="AC630" i="8"/>
  <c r="AD630" i="8"/>
  <c r="AC631" i="8"/>
  <c r="AD631" i="8"/>
  <c r="AC632" i="8"/>
  <c r="AD632" i="8"/>
  <c r="AC633" i="8"/>
  <c r="AD633" i="8"/>
  <c r="AC634" i="8"/>
  <c r="AD634" i="8"/>
  <c r="AC635" i="8"/>
  <c r="AD635" i="8"/>
  <c r="AC636" i="8"/>
  <c r="AD636" i="8"/>
  <c r="AC637" i="8"/>
  <c r="AD637" i="8"/>
  <c r="AC638" i="8"/>
  <c r="AD638" i="8"/>
  <c r="AC639" i="8"/>
  <c r="AD639" i="8"/>
  <c r="AC640" i="8"/>
  <c r="AD640" i="8"/>
  <c r="AC641" i="8"/>
  <c r="AD641" i="8"/>
  <c r="AC642" i="8"/>
  <c r="AD642" i="8"/>
  <c r="AC643" i="8"/>
  <c r="AD643" i="8"/>
  <c r="AC644" i="8"/>
  <c r="AD644" i="8"/>
  <c r="AC645" i="8"/>
  <c r="AD645" i="8"/>
  <c r="AC646" i="8"/>
  <c r="AD646" i="8"/>
  <c r="AC647" i="8"/>
  <c r="AD647" i="8"/>
  <c r="AC648" i="8"/>
  <c r="AD648" i="8"/>
  <c r="AC649" i="8"/>
  <c r="AD649" i="8"/>
  <c r="AC650" i="8"/>
  <c r="AD650" i="8"/>
  <c r="AC651" i="8"/>
  <c r="AD651" i="8"/>
  <c r="AC652" i="8"/>
  <c r="AD652" i="8"/>
  <c r="AC653" i="8"/>
  <c r="AD653" i="8"/>
  <c r="AC654" i="8"/>
  <c r="AD654" i="8"/>
  <c r="AC655" i="8"/>
  <c r="AD655" i="8"/>
  <c r="AC656" i="8"/>
  <c r="AD656" i="8"/>
  <c r="AC657" i="8"/>
  <c r="AD657" i="8"/>
  <c r="AC658" i="8"/>
  <c r="AD658" i="8"/>
  <c r="AC659" i="8"/>
  <c r="AD659" i="8"/>
  <c r="AC660" i="8"/>
  <c r="AD660" i="8"/>
  <c r="AC661" i="8"/>
  <c r="AD661" i="8"/>
  <c r="AC662" i="8"/>
  <c r="AD662" i="8"/>
  <c r="AC663" i="8"/>
  <c r="AD663" i="8"/>
  <c r="AC664" i="8"/>
  <c r="AD664" i="8"/>
  <c r="AC665" i="8"/>
  <c r="AD665" i="8"/>
  <c r="AC666" i="8"/>
  <c r="AD666" i="8"/>
  <c r="AC667" i="8"/>
  <c r="AD667" i="8"/>
  <c r="AC668" i="8"/>
  <c r="AD668" i="8"/>
  <c r="AC669" i="8"/>
  <c r="AD669" i="8"/>
  <c r="AC670" i="8"/>
  <c r="AD670" i="8"/>
  <c r="AC671" i="8"/>
  <c r="AD671" i="8"/>
  <c r="AC672" i="8"/>
  <c r="AD672" i="8"/>
  <c r="AC673" i="8"/>
  <c r="AD673" i="8"/>
  <c r="AC674" i="8"/>
  <c r="AD674" i="8"/>
  <c r="AC675" i="8"/>
  <c r="AD675" i="8"/>
  <c r="AC676" i="8"/>
  <c r="AD676" i="8"/>
  <c r="AC677" i="8"/>
  <c r="AD677" i="8"/>
  <c r="AC678" i="8"/>
  <c r="AD678" i="8"/>
  <c r="AC679" i="8"/>
  <c r="AD679" i="8"/>
  <c r="AC680" i="8"/>
  <c r="AD680" i="8"/>
  <c r="AC681" i="8"/>
  <c r="AD681" i="8"/>
  <c r="AC682" i="8"/>
  <c r="AD682" i="8"/>
  <c r="AC683" i="8"/>
  <c r="AD683" i="8"/>
  <c r="AC684" i="8"/>
  <c r="AD684" i="8"/>
  <c r="AC685" i="8"/>
  <c r="AD685" i="8"/>
  <c r="AC686" i="8"/>
  <c r="AD686" i="8"/>
  <c r="AC687" i="8"/>
  <c r="AD687" i="8"/>
  <c r="AC688" i="8"/>
  <c r="AD688" i="8"/>
  <c r="AC689" i="8"/>
  <c r="AD689" i="8"/>
  <c r="AC690" i="8"/>
  <c r="AD690" i="8"/>
  <c r="AC691" i="8"/>
  <c r="AD691" i="8"/>
  <c r="AC692" i="8"/>
  <c r="AD692" i="8"/>
  <c r="AC693" i="8"/>
  <c r="AD693" i="8"/>
  <c r="AC694" i="8"/>
  <c r="AD694" i="8"/>
  <c r="AC695" i="8"/>
  <c r="AD695" i="8"/>
  <c r="AC696" i="8"/>
  <c r="AD696" i="8"/>
  <c r="AC697" i="8"/>
  <c r="AD697" i="8"/>
  <c r="AC698" i="8"/>
  <c r="AD698" i="8"/>
  <c r="AC699" i="8"/>
  <c r="AD699" i="8"/>
  <c r="AC700" i="8"/>
  <c r="AD700" i="8"/>
  <c r="AC701" i="8"/>
  <c r="AD701" i="8"/>
  <c r="AC702" i="8"/>
  <c r="AD702" i="8"/>
  <c r="AC703" i="8"/>
  <c r="AD703" i="8"/>
  <c r="AC704" i="8"/>
  <c r="AD704" i="8"/>
  <c r="AC705" i="8"/>
  <c r="AD705" i="8"/>
  <c r="AC706" i="8"/>
  <c r="AD706" i="8"/>
  <c r="AC707" i="8"/>
  <c r="AD707" i="8"/>
  <c r="AC708" i="8"/>
  <c r="AD708" i="8"/>
  <c r="AC709" i="8"/>
  <c r="AD709" i="8"/>
  <c r="AC710" i="8"/>
  <c r="AD710" i="8"/>
  <c r="AC711" i="8"/>
  <c r="AD711" i="8"/>
  <c r="AC712" i="8"/>
  <c r="AD712" i="8"/>
  <c r="AC713" i="8"/>
  <c r="AD713" i="8"/>
  <c r="AC714" i="8"/>
  <c r="AD714" i="8"/>
  <c r="AC715" i="8"/>
  <c r="AD715" i="8"/>
  <c r="AC716" i="8"/>
  <c r="AD716" i="8"/>
  <c r="AC717" i="8"/>
  <c r="AD717" i="8"/>
  <c r="AC718" i="8"/>
  <c r="AD718" i="8"/>
  <c r="AC719" i="8"/>
  <c r="AD719" i="8"/>
  <c r="AC720" i="8"/>
  <c r="AD720" i="8"/>
  <c r="AC721" i="8"/>
  <c r="AD721" i="8"/>
  <c r="AC722" i="8"/>
  <c r="AD722" i="8"/>
  <c r="AC723" i="8"/>
  <c r="AD723" i="8"/>
  <c r="AC724" i="8"/>
  <c r="AD724" i="8"/>
  <c r="AC725" i="8"/>
  <c r="AD725" i="8"/>
  <c r="AC726" i="8"/>
  <c r="AD726" i="8"/>
  <c r="AC727" i="8"/>
  <c r="AD727" i="8"/>
  <c r="AC728" i="8"/>
  <c r="AD728" i="8"/>
  <c r="AC729" i="8"/>
  <c r="AD729" i="8"/>
  <c r="AC730" i="8"/>
  <c r="AD730" i="8"/>
  <c r="AC731" i="8"/>
  <c r="AD731" i="8"/>
  <c r="AC732" i="8"/>
  <c r="AD732" i="8"/>
  <c r="AC733" i="8"/>
  <c r="AD733" i="8"/>
  <c r="AC734" i="8"/>
  <c r="AD734" i="8"/>
  <c r="AC735" i="8"/>
  <c r="AD735" i="8"/>
  <c r="AC736" i="8"/>
  <c r="AD736" i="8"/>
  <c r="AC737" i="8"/>
  <c r="AD737" i="8"/>
  <c r="AC738" i="8"/>
  <c r="AD738" i="8"/>
  <c r="AC739" i="8"/>
  <c r="AD739" i="8"/>
  <c r="AC740" i="8"/>
  <c r="AD740" i="8"/>
  <c r="AC741" i="8"/>
  <c r="AD741" i="8"/>
  <c r="AC742" i="8"/>
  <c r="AD742" i="8"/>
  <c r="AC743" i="8"/>
  <c r="AD743" i="8"/>
  <c r="AC744" i="8"/>
  <c r="AD744" i="8"/>
  <c r="AC745" i="8"/>
  <c r="AD745" i="8"/>
  <c r="AC746" i="8"/>
  <c r="AD746" i="8"/>
  <c r="AC747" i="8"/>
  <c r="AD747" i="8"/>
  <c r="AC748" i="8"/>
  <c r="AD748" i="8"/>
  <c r="AC749" i="8"/>
  <c r="AD749" i="8"/>
  <c r="AC750" i="8"/>
  <c r="AD750" i="8"/>
  <c r="AC751" i="8"/>
  <c r="AD751" i="8"/>
  <c r="AC752" i="8"/>
  <c r="AD752" i="8"/>
  <c r="AC753" i="8"/>
  <c r="AD753" i="8"/>
  <c r="AC754" i="8"/>
  <c r="AD754" i="8"/>
  <c r="AC755" i="8"/>
  <c r="AD755" i="8"/>
  <c r="AC756" i="8"/>
  <c r="AD756" i="8"/>
  <c r="AC757" i="8"/>
  <c r="AD757" i="8"/>
  <c r="AC758" i="8"/>
  <c r="AD758" i="8"/>
  <c r="AC759" i="8"/>
  <c r="AD759" i="8"/>
  <c r="AC760" i="8"/>
  <c r="AD760" i="8"/>
  <c r="AC761" i="8"/>
  <c r="AD761" i="8"/>
  <c r="AC762" i="8"/>
  <c r="AD762" i="8"/>
  <c r="AC763" i="8"/>
  <c r="AD763" i="8"/>
  <c r="AC764" i="8"/>
  <c r="AD764" i="8"/>
  <c r="AC765" i="8"/>
  <c r="AD765" i="8"/>
  <c r="AC766" i="8"/>
  <c r="AD766" i="8"/>
  <c r="AC767" i="8"/>
  <c r="AD767" i="8"/>
  <c r="AC768" i="8"/>
  <c r="AD768" i="8"/>
  <c r="AC769" i="8"/>
  <c r="AD769" i="8"/>
  <c r="AC770" i="8"/>
  <c r="AD770" i="8"/>
  <c r="AC771" i="8"/>
  <c r="AD771" i="8"/>
  <c r="AC772" i="8"/>
  <c r="AD772" i="8"/>
  <c r="AC773" i="8"/>
  <c r="AD773" i="8"/>
  <c r="AC774" i="8"/>
  <c r="AD774" i="8"/>
  <c r="AC775" i="8"/>
  <c r="AD775" i="8"/>
  <c r="AC776" i="8"/>
  <c r="AD776" i="8"/>
  <c r="AC777" i="8"/>
  <c r="AD777" i="8"/>
  <c r="AC778" i="8"/>
  <c r="AD778" i="8"/>
  <c r="AC779" i="8"/>
  <c r="AD779" i="8"/>
  <c r="AC780" i="8"/>
  <c r="AD780" i="8"/>
  <c r="AC781" i="8"/>
  <c r="AD781" i="8"/>
  <c r="AC782" i="8"/>
  <c r="AD782" i="8"/>
  <c r="AC783" i="8"/>
  <c r="AD783" i="8"/>
  <c r="AC784" i="8"/>
  <c r="AD784" i="8"/>
  <c r="AC785" i="8"/>
  <c r="AD785" i="8"/>
  <c r="AC786" i="8"/>
  <c r="AD786" i="8"/>
  <c r="AC787" i="8"/>
  <c r="AD787" i="8"/>
  <c r="AC788" i="8"/>
  <c r="AD788" i="8"/>
  <c r="AC789" i="8"/>
  <c r="AD789" i="8"/>
  <c r="AC790" i="8"/>
  <c r="AD790" i="8"/>
  <c r="AC791" i="8"/>
  <c r="AD791" i="8"/>
  <c r="AC792" i="8"/>
  <c r="AD792" i="8"/>
  <c r="AC793" i="8"/>
  <c r="AD793" i="8"/>
  <c r="AC794" i="8"/>
  <c r="AD794" i="8"/>
  <c r="AC795" i="8"/>
  <c r="AD795" i="8"/>
  <c r="AC796" i="8"/>
  <c r="AD796" i="8"/>
  <c r="AC797" i="8"/>
  <c r="AD797" i="8"/>
  <c r="AC798" i="8"/>
  <c r="AD798" i="8"/>
  <c r="AC799" i="8"/>
  <c r="AD799" i="8"/>
  <c r="AC800" i="8"/>
  <c r="AD800" i="8"/>
  <c r="AC801" i="8"/>
  <c r="AD801" i="8"/>
  <c r="AC802" i="8"/>
  <c r="AD802" i="8"/>
  <c r="AC803" i="8"/>
  <c r="AD803" i="8"/>
  <c r="AC804" i="8"/>
  <c r="AD804" i="8"/>
  <c r="AC805" i="8"/>
  <c r="AD805" i="8"/>
  <c r="AC806" i="8"/>
  <c r="AD806" i="8"/>
  <c r="AC807" i="8"/>
  <c r="AD807" i="8"/>
  <c r="AC808" i="8"/>
  <c r="AD808" i="8"/>
  <c r="AC809" i="8"/>
  <c r="AD809" i="8"/>
  <c r="AC810" i="8"/>
  <c r="AD810" i="8"/>
  <c r="AC811" i="8"/>
  <c r="AD811" i="8"/>
  <c r="AC812" i="8"/>
  <c r="AD812" i="8"/>
  <c r="AC813" i="8"/>
  <c r="AD813" i="8"/>
  <c r="AC814" i="8"/>
  <c r="AD814" i="8"/>
  <c r="AC815" i="8"/>
  <c r="AD815" i="8"/>
  <c r="AC816" i="8"/>
  <c r="AD816" i="8"/>
  <c r="AC817" i="8"/>
  <c r="AD817" i="8"/>
  <c r="AC818" i="8"/>
  <c r="AD818" i="8"/>
  <c r="AC819" i="8"/>
  <c r="AD819" i="8"/>
  <c r="AC820" i="8"/>
  <c r="AD820" i="8"/>
  <c r="AC821" i="8"/>
  <c r="AD821" i="8"/>
  <c r="AC822" i="8"/>
  <c r="AD822" i="8"/>
  <c r="AC823" i="8"/>
  <c r="AD823" i="8"/>
  <c r="AC824" i="8"/>
  <c r="AD824" i="8"/>
  <c r="AC825" i="8"/>
  <c r="AD825" i="8"/>
  <c r="AC826" i="8"/>
  <c r="AD826" i="8"/>
  <c r="AC827" i="8"/>
  <c r="AD827" i="8"/>
  <c r="AC828" i="8"/>
  <c r="AD828" i="8"/>
  <c r="AC829" i="8"/>
  <c r="AD829" i="8"/>
  <c r="AC830" i="8"/>
  <c r="AD830" i="8"/>
  <c r="AC831" i="8"/>
  <c r="AD831" i="8"/>
  <c r="AC832" i="8"/>
  <c r="AD832" i="8"/>
  <c r="AC833" i="8"/>
  <c r="AD833" i="8"/>
  <c r="AC834" i="8"/>
  <c r="AD834" i="8"/>
  <c r="AC835" i="8"/>
  <c r="AD835" i="8"/>
  <c r="AC836" i="8"/>
  <c r="AD836" i="8"/>
  <c r="AC837" i="8"/>
  <c r="AD837" i="8"/>
  <c r="AC838" i="8"/>
  <c r="AD838" i="8"/>
  <c r="AC839" i="8"/>
  <c r="AD839" i="8"/>
  <c r="AC840" i="8"/>
  <c r="AD840" i="8"/>
  <c r="AC841" i="8"/>
  <c r="AD841" i="8"/>
  <c r="AC842" i="8"/>
  <c r="AD842" i="8"/>
  <c r="AC843" i="8"/>
  <c r="AD843" i="8"/>
  <c r="AC844" i="8"/>
  <c r="AD844" i="8"/>
  <c r="AC845" i="8"/>
  <c r="AD845" i="8"/>
  <c r="AC846" i="8"/>
  <c r="AD846" i="8"/>
  <c r="AC847" i="8"/>
  <c r="AD847" i="8"/>
  <c r="AC848" i="8"/>
  <c r="AD848" i="8"/>
  <c r="AC849" i="8"/>
  <c r="AD849" i="8"/>
  <c r="AC850" i="8"/>
  <c r="AD850" i="8"/>
  <c r="AC851" i="8"/>
  <c r="AD851" i="8"/>
  <c r="AC852" i="8"/>
  <c r="AD852" i="8"/>
  <c r="AC853" i="8"/>
  <c r="AD853" i="8"/>
  <c r="AC854" i="8"/>
  <c r="AD854" i="8"/>
  <c r="AC855" i="8"/>
  <c r="AD855" i="8"/>
  <c r="AC856" i="8"/>
  <c r="AD856" i="8"/>
  <c r="AC857" i="8"/>
  <c r="AD857" i="8"/>
  <c r="AC858" i="8"/>
  <c r="AD858" i="8"/>
  <c r="AC859" i="8"/>
  <c r="AD859" i="8"/>
  <c r="AC860" i="8"/>
  <c r="AD860" i="8"/>
  <c r="AC861" i="8"/>
  <c r="AD861" i="8"/>
  <c r="AC862" i="8"/>
  <c r="AD862" i="8"/>
  <c r="AC863" i="8"/>
  <c r="AD863" i="8"/>
  <c r="AC864" i="8"/>
  <c r="AD864" i="8"/>
  <c r="AC865" i="8"/>
  <c r="AD865" i="8"/>
  <c r="AC866" i="8"/>
  <c r="AD866" i="8"/>
  <c r="AC867" i="8"/>
  <c r="AD867" i="8"/>
  <c r="AC868" i="8"/>
  <c r="AD868" i="8"/>
  <c r="AC869" i="8"/>
  <c r="AD869" i="8"/>
  <c r="AC870" i="8"/>
  <c r="AD870" i="8"/>
  <c r="AC871" i="8"/>
  <c r="AD871" i="8"/>
  <c r="AC872" i="8"/>
  <c r="AD872" i="8"/>
  <c r="AC873" i="8"/>
  <c r="AD873" i="8"/>
  <c r="AC874" i="8"/>
  <c r="AD874" i="8"/>
  <c r="AC875" i="8"/>
  <c r="AD875" i="8"/>
  <c r="AC876" i="8"/>
  <c r="AD876" i="8"/>
  <c r="AC877" i="8"/>
  <c r="AD877" i="8"/>
  <c r="AC878" i="8"/>
  <c r="AD878" i="8"/>
  <c r="AC879" i="8"/>
  <c r="AD879" i="8"/>
  <c r="AC880" i="8"/>
  <c r="AD880" i="8"/>
  <c r="AC881" i="8"/>
  <c r="AD881" i="8"/>
  <c r="AC882" i="8"/>
  <c r="AD882" i="8"/>
  <c r="AC883" i="8"/>
  <c r="AD883" i="8"/>
  <c r="AC884" i="8"/>
  <c r="AD884" i="8"/>
  <c r="AC885" i="8"/>
  <c r="AD885" i="8"/>
  <c r="AC886" i="8"/>
  <c r="AD886" i="8"/>
  <c r="AC887" i="8"/>
  <c r="AD887" i="8"/>
  <c r="AC888" i="8"/>
  <c r="AD888" i="8"/>
  <c r="AC889" i="8"/>
  <c r="AD889" i="8"/>
  <c r="AC890" i="8"/>
  <c r="AD890" i="8"/>
  <c r="AC891" i="8"/>
  <c r="AD891" i="8"/>
  <c r="AC892" i="8"/>
  <c r="AD892" i="8"/>
  <c r="AC893" i="8"/>
  <c r="AD893" i="8"/>
  <c r="AC894" i="8"/>
  <c r="AD894" i="8"/>
  <c r="AC895" i="8"/>
  <c r="AD895" i="8"/>
  <c r="AC896" i="8"/>
  <c r="AD896" i="8"/>
  <c r="AC897" i="8"/>
  <c r="AD897" i="8"/>
  <c r="AC898" i="8"/>
  <c r="AD898" i="8"/>
  <c r="AC899" i="8"/>
  <c r="AD899" i="8"/>
  <c r="AC900" i="8"/>
  <c r="AD900" i="8"/>
  <c r="AC901" i="8"/>
  <c r="AD901" i="8"/>
  <c r="AC902" i="8"/>
  <c r="AD902" i="8"/>
  <c r="AC903" i="8"/>
  <c r="AD903" i="8"/>
  <c r="AC904" i="8"/>
  <c r="AD904" i="8"/>
  <c r="AC905" i="8"/>
  <c r="AD905" i="8"/>
  <c r="AC906" i="8"/>
  <c r="AD906" i="8"/>
  <c r="AC907" i="8"/>
  <c r="AD907" i="8"/>
  <c r="AC908" i="8"/>
  <c r="AD908" i="8"/>
  <c r="AC909" i="8"/>
  <c r="AD909" i="8"/>
  <c r="AC910" i="8"/>
  <c r="AD910" i="8"/>
  <c r="AC911" i="8"/>
  <c r="AD911" i="8"/>
  <c r="AC912" i="8"/>
  <c r="AD912" i="8"/>
  <c r="AC913" i="8"/>
  <c r="AD913" i="8"/>
  <c r="AC914" i="8"/>
  <c r="AD914" i="8"/>
  <c r="AC915" i="8"/>
  <c r="AD915" i="8"/>
  <c r="AC916" i="8"/>
  <c r="AD916" i="8"/>
  <c r="AC917" i="8"/>
  <c r="AD917" i="8"/>
  <c r="AC918" i="8"/>
  <c r="AD918" i="8"/>
  <c r="AC919" i="8"/>
  <c r="AD919" i="8"/>
  <c r="AC920" i="8"/>
  <c r="AD920" i="8"/>
  <c r="AC921" i="8"/>
  <c r="AD921" i="8"/>
  <c r="AC922" i="8"/>
  <c r="AD922" i="8"/>
  <c r="AC923" i="8"/>
  <c r="AD923" i="8"/>
  <c r="AC924" i="8"/>
  <c r="AD924" i="8"/>
  <c r="AC925" i="8"/>
  <c r="AD925" i="8"/>
  <c r="AC926" i="8"/>
  <c r="AD926" i="8"/>
  <c r="AC927" i="8"/>
  <c r="AD927" i="8"/>
  <c r="AC928" i="8"/>
  <c r="AD928" i="8"/>
  <c r="AC929" i="8"/>
  <c r="AD929" i="8"/>
  <c r="AC930" i="8"/>
  <c r="AD930" i="8"/>
  <c r="AC931" i="8"/>
  <c r="AD931" i="8"/>
  <c r="AC932" i="8"/>
  <c r="AD932" i="8"/>
  <c r="AC933" i="8"/>
  <c r="AD933" i="8"/>
  <c r="AC934" i="8"/>
  <c r="AD934" i="8"/>
  <c r="AC935" i="8"/>
  <c r="AD935" i="8"/>
  <c r="AC936" i="8"/>
  <c r="AD936" i="8"/>
  <c r="AC937" i="8"/>
  <c r="AD937" i="8"/>
  <c r="AC938" i="8"/>
  <c r="AD938" i="8"/>
  <c r="AC939" i="8"/>
  <c r="AD939" i="8"/>
  <c r="AC940" i="8"/>
  <c r="AD940" i="8"/>
  <c r="AC941" i="8"/>
  <c r="AD941" i="8"/>
  <c r="AC942" i="8"/>
  <c r="AD942" i="8"/>
  <c r="AC943" i="8"/>
  <c r="AD943" i="8"/>
  <c r="AC944" i="8"/>
  <c r="AD944" i="8"/>
  <c r="AC945" i="8"/>
  <c r="AD945" i="8"/>
  <c r="AC946" i="8"/>
  <c r="AD946" i="8"/>
  <c r="AC947" i="8"/>
  <c r="AD947" i="8"/>
  <c r="AC948" i="8"/>
  <c r="AD948" i="8"/>
  <c r="AC949" i="8"/>
  <c r="AD949" i="8"/>
  <c r="AC950" i="8"/>
  <c r="AD950" i="8"/>
  <c r="AC951" i="8"/>
  <c r="AD951" i="8"/>
  <c r="AC952" i="8"/>
  <c r="AD952" i="8"/>
  <c r="AC953" i="8"/>
  <c r="AD953" i="8"/>
  <c r="AC954" i="8"/>
  <c r="AD954" i="8"/>
  <c r="AC955" i="8"/>
  <c r="AD955" i="8"/>
  <c r="AC956" i="8"/>
  <c r="AD956" i="8"/>
  <c r="AC957" i="8"/>
  <c r="AD957" i="8"/>
  <c r="AC958" i="8"/>
  <c r="AD958" i="8"/>
  <c r="AC959" i="8"/>
  <c r="AD959" i="8"/>
  <c r="AC960" i="8"/>
  <c r="AD960" i="8"/>
  <c r="AC961" i="8"/>
  <c r="AD961" i="8"/>
  <c r="AC962" i="8"/>
  <c r="AD962" i="8"/>
  <c r="AC963" i="8"/>
  <c r="AD963" i="8"/>
  <c r="AC964" i="8"/>
  <c r="AD964" i="8"/>
  <c r="AC965" i="8"/>
  <c r="AD965" i="8"/>
  <c r="AC966" i="8"/>
  <c r="AD966" i="8"/>
  <c r="AC967" i="8"/>
  <c r="AD967" i="8"/>
  <c r="AC968" i="8"/>
  <c r="AD968" i="8"/>
  <c r="AC969" i="8"/>
  <c r="AD969" i="8"/>
  <c r="AC970" i="8"/>
  <c r="AD970" i="8"/>
  <c r="AC971" i="8"/>
  <c r="AD971" i="8"/>
  <c r="AC972" i="8"/>
  <c r="AD972" i="8"/>
  <c r="AC973" i="8"/>
  <c r="AD973" i="8"/>
  <c r="AC974" i="8"/>
  <c r="AD974" i="8"/>
  <c r="AC975" i="8"/>
  <c r="AD975" i="8"/>
  <c r="AC976" i="8"/>
  <c r="AD976" i="8"/>
  <c r="AC977" i="8"/>
  <c r="AD977" i="8"/>
  <c r="AC978" i="8"/>
  <c r="AD978" i="8"/>
  <c r="AC979" i="8"/>
  <c r="AD979" i="8"/>
  <c r="AC980" i="8"/>
  <c r="AD980" i="8"/>
  <c r="AC981" i="8"/>
  <c r="AD981" i="8"/>
  <c r="AC982" i="8"/>
  <c r="AD982" i="8"/>
  <c r="AC983" i="8"/>
  <c r="AD983" i="8"/>
  <c r="AC984" i="8"/>
  <c r="AD984" i="8"/>
  <c r="AC985" i="8"/>
  <c r="AD985" i="8"/>
  <c r="AC986" i="8"/>
  <c r="AD986" i="8"/>
  <c r="AC987" i="8"/>
  <c r="AD987" i="8"/>
  <c r="AC988" i="8"/>
  <c r="AD988" i="8"/>
  <c r="AC989" i="8"/>
  <c r="AD989" i="8"/>
  <c r="AC990" i="8"/>
  <c r="AD990" i="8"/>
  <c r="AC991" i="8"/>
  <c r="AD991" i="8"/>
  <c r="AC992" i="8"/>
  <c r="AD992" i="8"/>
  <c r="AC993" i="8"/>
  <c r="AD993" i="8"/>
  <c r="AC994" i="8"/>
  <c r="AD994" i="8"/>
  <c r="AC995" i="8"/>
  <c r="AD995" i="8"/>
  <c r="AC996" i="8"/>
  <c r="AD996" i="8"/>
  <c r="AC997" i="8"/>
  <c r="AD997" i="8"/>
  <c r="AC998" i="8"/>
  <c r="AD998" i="8"/>
  <c r="AC999" i="8"/>
  <c r="AD999" i="8"/>
  <c r="AC1000" i="8"/>
  <c r="AD1000" i="8"/>
  <c r="AC1001" i="8"/>
  <c r="AD1001" i="8"/>
  <c r="AC1002" i="8"/>
  <c r="AD1002" i="8"/>
  <c r="AC1003" i="8"/>
  <c r="AD1003" i="8"/>
  <c r="AC1004" i="8"/>
  <c r="AD1004" i="8"/>
  <c r="AC1005" i="8"/>
  <c r="AD1005" i="8"/>
  <c r="AC1006" i="8"/>
  <c r="AD1006" i="8"/>
  <c r="AC1007" i="8"/>
  <c r="AD1007" i="8"/>
  <c r="AC1008" i="8"/>
  <c r="AD1008" i="8"/>
  <c r="AC1009" i="8"/>
  <c r="AD1009" i="8"/>
  <c r="AC1010" i="8"/>
  <c r="AD1010" i="8"/>
  <c r="AC1011" i="8"/>
  <c r="AD1011" i="8"/>
  <c r="AC1012" i="8"/>
  <c r="AD1012" i="8"/>
  <c r="AC1013" i="8"/>
  <c r="AD1013" i="8"/>
  <c r="AC1014" i="8"/>
  <c r="AD1014" i="8"/>
  <c r="AC1015" i="8"/>
  <c r="AD1015" i="8"/>
  <c r="AC1016" i="8"/>
  <c r="AD1016" i="8"/>
  <c r="AC1017" i="8"/>
  <c r="AD1017" i="8"/>
  <c r="AC1018" i="8"/>
  <c r="AD1018" i="8"/>
  <c r="AC1019" i="8"/>
  <c r="AD1019" i="8"/>
  <c r="AC1020" i="8"/>
  <c r="AD1020" i="8"/>
  <c r="AC1021" i="8"/>
  <c r="AD1021" i="8"/>
  <c r="AC1022" i="8"/>
  <c r="AD1022" i="8"/>
  <c r="AC1023" i="8"/>
  <c r="AD1023" i="8"/>
  <c r="AC1024" i="8"/>
  <c r="AD1024" i="8"/>
  <c r="AC1025" i="8"/>
  <c r="AD1025" i="8"/>
  <c r="AC1026" i="8"/>
  <c r="AD1026" i="8"/>
  <c r="AC1027" i="8"/>
  <c r="AD1027" i="8"/>
  <c r="AC1028" i="8"/>
  <c r="AD1028" i="8"/>
  <c r="AC1029" i="8"/>
  <c r="AD1029" i="8"/>
  <c r="AC1030" i="8"/>
  <c r="AD1030" i="8"/>
  <c r="AC1031" i="8"/>
  <c r="AD1031" i="8"/>
  <c r="AC1032" i="8"/>
  <c r="AD1032" i="8"/>
  <c r="AC1033" i="8"/>
  <c r="AD1033" i="8"/>
  <c r="AC1034" i="8"/>
  <c r="AD1034" i="8"/>
  <c r="AC1035" i="8"/>
  <c r="AD1035" i="8"/>
  <c r="AC1036" i="8"/>
  <c r="AD1036" i="8"/>
  <c r="AC1037" i="8"/>
  <c r="AD1037" i="8"/>
  <c r="AC1038" i="8"/>
  <c r="AD1038" i="8"/>
  <c r="AC1039" i="8"/>
  <c r="AD1039" i="8"/>
  <c r="AC1040" i="8"/>
  <c r="AD1040" i="8"/>
  <c r="AC1041" i="8"/>
  <c r="AD1041" i="8"/>
  <c r="AC1042" i="8"/>
  <c r="AD1042" i="8"/>
  <c r="AC1043" i="8"/>
  <c r="AD1043" i="8"/>
  <c r="AC1044" i="8"/>
  <c r="AD1044" i="8"/>
  <c r="AC1045" i="8"/>
  <c r="AD1045" i="8"/>
  <c r="AC1046" i="8"/>
  <c r="AD1046" i="8"/>
  <c r="AC1047" i="8"/>
  <c r="AD1047" i="8"/>
  <c r="AC1048" i="8"/>
  <c r="AD1048" i="8"/>
  <c r="AC1049" i="8"/>
  <c r="AD1049" i="8"/>
  <c r="AC1050" i="8"/>
  <c r="AD1050" i="8"/>
  <c r="AC1051" i="8"/>
  <c r="AD1051" i="8"/>
  <c r="AC1052" i="8"/>
  <c r="AD1052" i="8"/>
  <c r="AC1053" i="8"/>
  <c r="AD1053" i="8"/>
  <c r="AC1054" i="8"/>
  <c r="AD1054" i="8"/>
  <c r="AC1055" i="8"/>
  <c r="AD1055" i="8"/>
  <c r="AC1056" i="8"/>
  <c r="AD1056" i="8"/>
  <c r="AC1057" i="8"/>
  <c r="AD1057" i="8"/>
  <c r="AC1058" i="8"/>
  <c r="AD1058" i="8"/>
  <c r="AC1059" i="8"/>
  <c r="AD1059" i="8"/>
  <c r="AC1060" i="8"/>
  <c r="AD1060" i="8"/>
  <c r="AC1061" i="8"/>
  <c r="AD1061" i="8"/>
  <c r="AC1062" i="8"/>
  <c r="AD1062" i="8"/>
  <c r="AC1063" i="8"/>
  <c r="AD1063" i="8"/>
  <c r="AC1064" i="8"/>
  <c r="AD1064" i="8"/>
  <c r="AC1065" i="8"/>
  <c r="AD1065" i="8"/>
  <c r="AC1066" i="8"/>
  <c r="AD1066" i="8"/>
  <c r="AC1067" i="8"/>
  <c r="AD1067" i="8"/>
  <c r="AC1068" i="8"/>
  <c r="AD1068" i="8"/>
  <c r="AC1069" i="8"/>
  <c r="AD1069" i="8"/>
  <c r="AC1070" i="8"/>
  <c r="AD1070" i="8"/>
  <c r="AC1071" i="8"/>
  <c r="AD1071" i="8"/>
  <c r="AC1072" i="8"/>
  <c r="AD1072" i="8"/>
  <c r="AC1073" i="8"/>
  <c r="AD1073" i="8"/>
  <c r="AC1074" i="8"/>
  <c r="AD1074" i="8"/>
  <c r="AC1075" i="8"/>
  <c r="AD1075" i="8"/>
  <c r="AC1076" i="8"/>
  <c r="AD1076" i="8"/>
  <c r="AC1077" i="8"/>
  <c r="AD1077" i="8"/>
  <c r="AC1078" i="8"/>
  <c r="AD1078" i="8"/>
  <c r="AC1079" i="8"/>
  <c r="AD1079" i="8"/>
  <c r="AC1080" i="8"/>
  <c r="AD1080" i="8"/>
  <c r="AC1081" i="8"/>
  <c r="AD1081" i="8"/>
  <c r="AC1082" i="8"/>
  <c r="AD1082" i="8"/>
  <c r="AC1083" i="8"/>
  <c r="AD1083" i="8"/>
  <c r="AC1084" i="8"/>
  <c r="AD1084" i="8"/>
  <c r="AC1085" i="8"/>
  <c r="AD1085" i="8"/>
  <c r="AC1086" i="8"/>
  <c r="AD1086" i="8"/>
  <c r="AC1087" i="8"/>
  <c r="AD1087" i="8"/>
  <c r="AC1088" i="8"/>
  <c r="AD1088" i="8"/>
  <c r="AC1089" i="8"/>
  <c r="AD1089" i="8"/>
  <c r="AC1090" i="8"/>
  <c r="AD1090" i="8"/>
  <c r="AC1091" i="8"/>
  <c r="AD1091" i="8"/>
  <c r="AC1092" i="8"/>
  <c r="AD1092" i="8"/>
  <c r="AC1093" i="8"/>
  <c r="AD1093" i="8"/>
  <c r="AC1094" i="8"/>
  <c r="AD1094" i="8"/>
  <c r="AC1095" i="8"/>
  <c r="AD1095" i="8"/>
  <c r="AC1096" i="8"/>
  <c r="AD1096" i="8"/>
  <c r="AC1097" i="8"/>
  <c r="AD1097" i="8"/>
  <c r="AC1098" i="8"/>
  <c r="AD1098" i="8"/>
  <c r="AC1099" i="8"/>
  <c r="AD1099" i="8"/>
  <c r="AC1100" i="8"/>
  <c r="AD1100" i="8"/>
  <c r="AC1101" i="8"/>
  <c r="AD1101" i="8"/>
  <c r="AC1102" i="8"/>
  <c r="AD1102" i="8"/>
  <c r="AC1103" i="8"/>
  <c r="AD1103" i="8"/>
  <c r="AC1104" i="8"/>
  <c r="AD1104" i="8"/>
  <c r="AC1105" i="8"/>
  <c r="AD1105" i="8"/>
  <c r="AC1106" i="8"/>
  <c r="AD1106" i="8"/>
  <c r="AC1107" i="8"/>
  <c r="AD1107" i="8"/>
  <c r="AC1108" i="8"/>
  <c r="AD1108" i="8"/>
  <c r="AC1109" i="8"/>
  <c r="AD1109" i="8"/>
  <c r="AC1110" i="8"/>
  <c r="AD1110" i="8"/>
  <c r="AC1111" i="8"/>
  <c r="AD1111" i="8"/>
  <c r="AC1112" i="8"/>
  <c r="AD1112" i="8"/>
  <c r="AC1113" i="8"/>
  <c r="AD1113" i="8"/>
  <c r="AC1114" i="8"/>
  <c r="AD1114" i="8"/>
  <c r="AC1115" i="8"/>
  <c r="AD1115" i="8"/>
  <c r="AC1116" i="8"/>
  <c r="AD1116" i="8"/>
  <c r="AC1117" i="8"/>
  <c r="AD1117" i="8"/>
  <c r="AC1118" i="8"/>
  <c r="AD1118" i="8"/>
  <c r="AC1119" i="8"/>
  <c r="AD1119" i="8"/>
  <c r="AC1120" i="8"/>
  <c r="AD1120" i="8"/>
  <c r="AC1121" i="8"/>
  <c r="AD1121" i="8"/>
  <c r="AC1122" i="8"/>
  <c r="AD1122" i="8"/>
  <c r="AC1123" i="8"/>
  <c r="AD1123" i="8"/>
  <c r="AC1124" i="8"/>
  <c r="AD1124" i="8"/>
  <c r="AC1125" i="8"/>
  <c r="AD1125" i="8"/>
  <c r="AC1126" i="8"/>
  <c r="AD1126" i="8"/>
  <c r="AC1127" i="8"/>
  <c r="AD1127" i="8"/>
  <c r="AC1128" i="8"/>
  <c r="AD1128" i="8"/>
  <c r="AC1129" i="8"/>
  <c r="AD1129" i="8"/>
  <c r="AC1130" i="8"/>
  <c r="AD1130" i="8"/>
  <c r="AC1131" i="8"/>
  <c r="AD1131" i="8"/>
  <c r="AC1132" i="8"/>
  <c r="AD1132" i="8"/>
  <c r="AC1133" i="8"/>
  <c r="AD1133" i="8"/>
  <c r="AC1134" i="8"/>
  <c r="AD1134" i="8"/>
  <c r="AC1135" i="8"/>
  <c r="AD1135" i="8"/>
  <c r="AC1136" i="8"/>
  <c r="AD1136" i="8"/>
  <c r="AC1137" i="8"/>
  <c r="AD1137" i="8"/>
  <c r="AC1138" i="8"/>
  <c r="AD1138" i="8"/>
  <c r="AC1139" i="8"/>
  <c r="AD1139" i="8"/>
  <c r="AC1140" i="8"/>
  <c r="AD1140" i="8"/>
  <c r="AC1141" i="8"/>
  <c r="AD1141" i="8"/>
  <c r="AC1142" i="8"/>
  <c r="AD1142" i="8"/>
  <c r="AC1143" i="8"/>
  <c r="AD1143" i="8"/>
  <c r="AC1144" i="8"/>
  <c r="AD1144" i="8"/>
  <c r="AC1145" i="8"/>
  <c r="AD1145" i="8"/>
  <c r="AC1146" i="8"/>
  <c r="AD1146" i="8"/>
  <c r="AC1147" i="8"/>
  <c r="AD1147" i="8"/>
  <c r="AC1148" i="8"/>
  <c r="AD1148" i="8"/>
  <c r="AC1149" i="8"/>
  <c r="AD1149" i="8"/>
  <c r="AC1150" i="8"/>
  <c r="AD1150" i="8"/>
  <c r="AC1151" i="8"/>
  <c r="AD1151" i="8"/>
  <c r="AC1152" i="8"/>
  <c r="AD1152" i="8"/>
  <c r="AC1153" i="8"/>
  <c r="AD1153" i="8"/>
  <c r="AC1154" i="8"/>
  <c r="AD1154" i="8"/>
  <c r="AC1155" i="8"/>
  <c r="AD1155" i="8"/>
  <c r="AC1156" i="8"/>
  <c r="AD1156" i="8"/>
  <c r="AC1157" i="8"/>
  <c r="AD1157" i="8"/>
  <c r="AC1158" i="8"/>
  <c r="AD1158" i="8"/>
  <c r="AC1159" i="8"/>
  <c r="AD1159" i="8"/>
  <c r="AC1160" i="8"/>
  <c r="AD1160" i="8"/>
  <c r="AC1161" i="8"/>
  <c r="AD1161" i="8"/>
  <c r="AC1162" i="8"/>
  <c r="AD1162" i="8"/>
  <c r="AC1163" i="8"/>
  <c r="AD1163" i="8"/>
  <c r="AC1164" i="8"/>
  <c r="AD1164" i="8"/>
  <c r="AC1165" i="8"/>
  <c r="AD1165" i="8"/>
  <c r="AC1166" i="8"/>
  <c r="AD1166" i="8"/>
  <c r="AC1167" i="8"/>
  <c r="AD1167" i="8"/>
  <c r="AC1168" i="8"/>
  <c r="AD1168" i="8"/>
  <c r="AC1169" i="8"/>
  <c r="AD1169" i="8"/>
  <c r="AC1170" i="8"/>
  <c r="AD1170" i="8"/>
  <c r="AC1171" i="8"/>
  <c r="AD1171" i="8"/>
  <c r="AC1172" i="8"/>
  <c r="AD1172" i="8"/>
  <c r="AC1173" i="8"/>
  <c r="AD1173" i="8"/>
  <c r="AC1174" i="8"/>
  <c r="AD1174" i="8"/>
  <c r="AC1175" i="8"/>
  <c r="AD1175" i="8"/>
  <c r="AC1176" i="8"/>
  <c r="AD1176" i="8"/>
  <c r="AC1177" i="8"/>
  <c r="AD1177" i="8"/>
  <c r="AC1178" i="8"/>
  <c r="AD1178" i="8"/>
  <c r="AC1179" i="8"/>
  <c r="AD1179" i="8"/>
  <c r="AC1180" i="8"/>
  <c r="AD1180" i="8"/>
  <c r="AC1181" i="8"/>
  <c r="AD1181" i="8"/>
  <c r="AC1182" i="8"/>
  <c r="AD1182" i="8"/>
  <c r="AC1183" i="8"/>
  <c r="AD1183" i="8"/>
  <c r="AC1184" i="8"/>
  <c r="AD1184" i="8"/>
  <c r="AC1185" i="8"/>
  <c r="AD1185" i="8"/>
  <c r="AC1186" i="8"/>
  <c r="AD1186" i="8"/>
  <c r="AC1187" i="8"/>
  <c r="AD1187" i="8"/>
  <c r="AC1188" i="8"/>
  <c r="AD1188" i="8"/>
  <c r="AC1189" i="8"/>
  <c r="AD1189" i="8"/>
  <c r="AC1190" i="8"/>
  <c r="AD1190" i="8"/>
  <c r="AC1191" i="8"/>
  <c r="AD1191" i="8"/>
  <c r="AC1192" i="8"/>
  <c r="AD1192" i="8"/>
  <c r="AC1193" i="8"/>
  <c r="AD1193" i="8"/>
  <c r="AC1194" i="8"/>
  <c r="AD1194" i="8"/>
  <c r="AC1195" i="8"/>
  <c r="AD1195" i="8"/>
  <c r="AC1196" i="8"/>
  <c r="AD1196" i="8"/>
  <c r="AC1197" i="8"/>
  <c r="AD1197" i="8"/>
  <c r="AC1198" i="8"/>
  <c r="AD1198" i="8"/>
  <c r="AC1199" i="8"/>
  <c r="AD1199" i="8"/>
  <c r="AC1200" i="8"/>
  <c r="AD1200" i="8"/>
  <c r="AC1201" i="8"/>
  <c r="AD1201" i="8"/>
  <c r="AC1202" i="8"/>
  <c r="AD1202" i="8"/>
  <c r="AC1203" i="8"/>
  <c r="AD1203" i="8"/>
  <c r="AC1204" i="8"/>
  <c r="AD1204" i="8"/>
  <c r="AC1205" i="8"/>
  <c r="AD1205" i="8"/>
  <c r="AC1206" i="8"/>
  <c r="AD1206" i="8"/>
  <c r="AC1207" i="8"/>
  <c r="AD1207" i="8"/>
  <c r="AC1208" i="8"/>
  <c r="AD1208" i="8"/>
  <c r="AC1209" i="8"/>
  <c r="AD1209" i="8"/>
  <c r="AC1210" i="8"/>
  <c r="AD1210" i="8"/>
  <c r="AC1211" i="8"/>
  <c r="AD1211" i="8"/>
  <c r="AC1212" i="8"/>
  <c r="AD1212" i="8"/>
  <c r="AC1213" i="8"/>
  <c r="AD1213" i="8"/>
  <c r="AC1214" i="8"/>
  <c r="AD1214" i="8"/>
  <c r="AC1215" i="8"/>
  <c r="AD1215" i="8"/>
  <c r="AC1216" i="8"/>
  <c r="AD1216" i="8"/>
  <c r="AC1217" i="8"/>
  <c r="AD1217" i="8"/>
  <c r="AC1218" i="8"/>
  <c r="AD1218" i="8"/>
  <c r="AC1219" i="8"/>
  <c r="AD1219" i="8"/>
  <c r="AC1220" i="8"/>
  <c r="AD1220" i="8"/>
  <c r="AC1221" i="8"/>
  <c r="AD1221" i="8"/>
  <c r="AC1222" i="8"/>
  <c r="AD1222" i="8"/>
  <c r="AC1223" i="8"/>
  <c r="AD1223" i="8"/>
  <c r="AC1224" i="8"/>
  <c r="AD1224" i="8"/>
  <c r="AC1225" i="8"/>
  <c r="AD1225" i="8"/>
  <c r="AC1226" i="8"/>
  <c r="AD1226" i="8"/>
  <c r="AC1227" i="8"/>
  <c r="AD1227" i="8"/>
  <c r="AC1228" i="8"/>
  <c r="AD1228" i="8"/>
  <c r="AC1229" i="8"/>
  <c r="AD1229" i="8"/>
  <c r="AC1230" i="8"/>
  <c r="AD1230" i="8"/>
  <c r="AC1231" i="8"/>
  <c r="AD1231" i="8"/>
  <c r="AC1232" i="8"/>
  <c r="AD1232" i="8"/>
  <c r="AC1233" i="8"/>
  <c r="AD1233" i="8"/>
  <c r="AC1234" i="8"/>
  <c r="AD1234" i="8"/>
  <c r="AC1235" i="8"/>
  <c r="AD1235" i="8"/>
  <c r="AC1236" i="8"/>
  <c r="AD1236" i="8"/>
  <c r="AC1237" i="8"/>
  <c r="AD1237" i="8"/>
  <c r="AC1238" i="8"/>
  <c r="AD1238" i="8"/>
  <c r="AC1239" i="8"/>
  <c r="AD1239" i="8"/>
  <c r="AC1240" i="8"/>
  <c r="AD1240" i="8"/>
  <c r="AC1241" i="8"/>
  <c r="AD1241" i="8"/>
  <c r="AC1242" i="8"/>
  <c r="AD1242" i="8"/>
  <c r="AC1243" i="8"/>
  <c r="AD1243" i="8"/>
  <c r="AC1244" i="8"/>
  <c r="AD1244" i="8"/>
  <c r="AC1245" i="8"/>
  <c r="AD1245" i="8"/>
  <c r="AC1246" i="8"/>
  <c r="AD1246" i="8"/>
  <c r="AC1247" i="8"/>
  <c r="AD1247" i="8"/>
  <c r="AC1248" i="8"/>
  <c r="AD1248" i="8"/>
  <c r="AC1249" i="8"/>
  <c r="AD1249" i="8"/>
  <c r="AC1250" i="8"/>
  <c r="AD1250" i="8"/>
  <c r="AC1251" i="8"/>
  <c r="AD1251" i="8"/>
  <c r="AC1252" i="8"/>
  <c r="AD1252" i="8"/>
  <c r="AC1253" i="8"/>
  <c r="AD1253" i="8"/>
  <c r="AC1254" i="8"/>
  <c r="AD1254" i="8"/>
  <c r="AC1255" i="8"/>
  <c r="AD1255" i="8"/>
  <c r="AC1256" i="8"/>
  <c r="AD1256" i="8"/>
  <c r="AC1257" i="8"/>
  <c r="AD1257" i="8"/>
  <c r="AC1258" i="8"/>
  <c r="AD1258" i="8"/>
  <c r="AC1259" i="8"/>
  <c r="AD1259" i="8"/>
  <c r="AC1260" i="8"/>
  <c r="AD1260" i="8"/>
  <c r="AC1261" i="8"/>
  <c r="AD1261" i="8"/>
  <c r="AC1262" i="8"/>
  <c r="AD1262" i="8"/>
  <c r="AC1263" i="8"/>
  <c r="AD1263" i="8"/>
  <c r="AC1264" i="8"/>
  <c r="AD1264" i="8"/>
  <c r="AC1265" i="8"/>
  <c r="AD1265" i="8"/>
  <c r="AC1266" i="8"/>
  <c r="AD1266" i="8"/>
  <c r="AC1267" i="8"/>
  <c r="AD1267" i="8"/>
  <c r="AC1268" i="8"/>
  <c r="AD1268" i="8"/>
  <c r="AC1269" i="8"/>
  <c r="AD1269" i="8"/>
  <c r="AC1270" i="8"/>
  <c r="AD1270" i="8"/>
  <c r="AC1271" i="8"/>
  <c r="AD1271" i="8"/>
  <c r="AC1272" i="8"/>
  <c r="AD1272" i="8"/>
  <c r="AC1273" i="8"/>
  <c r="AD1273" i="8"/>
  <c r="AC1274" i="8"/>
  <c r="AD1274" i="8"/>
  <c r="AC1275" i="8"/>
  <c r="AD1275" i="8"/>
  <c r="AC1276" i="8"/>
  <c r="AD1276" i="8"/>
  <c r="AC1277" i="8"/>
  <c r="AD1277" i="8"/>
  <c r="AC1278" i="8"/>
  <c r="AD1278" i="8"/>
  <c r="AC1279" i="8"/>
  <c r="AD1279" i="8"/>
  <c r="AC1280" i="8"/>
  <c r="AD1280" i="8"/>
  <c r="AC1281" i="8"/>
  <c r="AD1281" i="8"/>
  <c r="AC1282" i="8"/>
  <c r="AD1282" i="8"/>
  <c r="AC1283" i="8"/>
  <c r="AD1283" i="8"/>
  <c r="AC1284" i="8"/>
  <c r="AD1284" i="8"/>
  <c r="AC1285" i="8"/>
  <c r="AD1285" i="8"/>
  <c r="AC1286" i="8"/>
  <c r="AD1286" i="8"/>
  <c r="AC1287" i="8"/>
  <c r="AD1287" i="8"/>
  <c r="AC1288" i="8"/>
  <c r="AD1288" i="8"/>
  <c r="AC1289" i="8"/>
  <c r="AD1289" i="8"/>
  <c r="AC1290" i="8"/>
  <c r="AD1290" i="8"/>
  <c r="AC1291" i="8"/>
  <c r="AD1291" i="8"/>
  <c r="A2" i="58"/>
  <c r="A3" i="58"/>
  <c r="A4" i="58"/>
  <c r="A2" i="36"/>
  <c r="A3" i="36"/>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A122" i="36"/>
  <c r="A123" i="36"/>
  <c r="A124" i="36"/>
  <c r="A125" i="36"/>
  <c r="A126" i="36"/>
  <c r="A127" i="36"/>
  <c r="A128" i="36"/>
  <c r="A129" i="36"/>
  <c r="A130" i="36"/>
  <c r="A131" i="36"/>
  <c r="A132" i="36"/>
  <c r="A133" i="36"/>
  <c r="A134" i="36"/>
  <c r="A135" i="36"/>
  <c r="A136" i="36"/>
  <c r="A137" i="36"/>
  <c r="A138" i="36"/>
  <c r="A139" i="36"/>
  <c r="A140" i="36"/>
  <c r="A141" i="36"/>
  <c r="A142" i="36"/>
  <c r="A143" i="36"/>
  <c r="A144" i="36"/>
  <c r="A145" i="36"/>
  <c r="A146" i="36"/>
  <c r="A147" i="36"/>
  <c r="A148" i="36"/>
  <c r="A149" i="36"/>
  <c r="A150" i="36"/>
  <c r="A151" i="36"/>
  <c r="A152" i="36"/>
  <c r="A153" i="36"/>
  <c r="A154" i="36"/>
  <c r="A155" i="36"/>
  <c r="A156" i="36"/>
  <c r="A157" i="36"/>
  <c r="A158" i="36"/>
  <c r="A159" i="36"/>
  <c r="A160" i="36"/>
  <c r="A161" i="36"/>
  <c r="A162" i="36"/>
  <c r="A163" i="36"/>
  <c r="A164" i="36"/>
  <c r="A165" i="36"/>
  <c r="A166" i="36"/>
  <c r="A167" i="36"/>
  <c r="A168" i="36"/>
  <c r="A169" i="36"/>
  <c r="A170" i="36"/>
  <c r="A171" i="36"/>
  <c r="A172" i="36"/>
  <c r="A173" i="36"/>
  <c r="A174" i="36"/>
  <c r="A175" i="36"/>
  <c r="A176" i="36"/>
  <c r="A177" i="36"/>
  <c r="A178" i="36"/>
  <c r="A179" i="36"/>
  <c r="A180" i="36"/>
  <c r="A181" i="36"/>
  <c r="A182" i="36"/>
  <c r="A183" i="36"/>
  <c r="A184" i="36"/>
  <c r="A185" i="36"/>
  <c r="A186" i="36"/>
  <c r="A187" i="36"/>
  <c r="A188" i="36"/>
  <c r="A189" i="36"/>
  <c r="A190" i="36"/>
  <c r="A191" i="36"/>
  <c r="A192" i="36"/>
  <c r="A193" i="36"/>
  <c r="A194" i="36"/>
  <c r="A195" i="36"/>
  <c r="A196" i="36"/>
  <c r="A197" i="36"/>
  <c r="A198" i="36"/>
  <c r="A199" i="36"/>
  <c r="A200" i="36"/>
  <c r="A201" i="36"/>
  <c r="A202" i="36"/>
  <c r="A203" i="36"/>
  <c r="A204" i="36"/>
  <c r="A205" i="36"/>
  <c r="A206" i="36"/>
  <c r="A207" i="36"/>
  <c r="A208" i="36"/>
  <c r="A209" i="36"/>
  <c r="A210" i="36"/>
  <c r="A211" i="36"/>
  <c r="A212" i="36"/>
  <c r="A213" i="36"/>
  <c r="A214" i="36"/>
  <c r="A215" i="36"/>
  <c r="A216" i="36"/>
  <c r="A217" i="36"/>
  <c r="A218" i="36"/>
  <c r="A219" i="36"/>
  <c r="A220" i="36"/>
  <c r="A221" i="36"/>
  <c r="A222" i="36"/>
  <c r="A223" i="36"/>
  <c r="A224" i="36"/>
  <c r="A225" i="36"/>
  <c r="A226" i="36"/>
  <c r="A227" i="36"/>
  <c r="A228" i="36"/>
  <c r="A229" i="36"/>
  <c r="A230" i="36"/>
  <c r="A231" i="36"/>
  <c r="A232" i="36"/>
  <c r="A233" i="36"/>
  <c r="A234" i="36"/>
  <c r="A235" i="36"/>
  <c r="A236" i="36"/>
  <c r="A237" i="36"/>
  <c r="A238" i="36"/>
  <c r="A239" i="36"/>
  <c r="A240" i="36"/>
  <c r="A241" i="36"/>
  <c r="A242" i="36"/>
  <c r="A243" i="36"/>
  <c r="A244" i="36"/>
  <c r="A245" i="36"/>
  <c r="A246" i="36"/>
  <c r="A247" i="36"/>
  <c r="A248" i="36"/>
  <c r="A249" i="36"/>
  <c r="A250" i="36"/>
  <c r="A251" i="36"/>
  <c r="A252" i="36"/>
  <c r="A253" i="36"/>
  <c r="A254" i="36"/>
  <c r="A255" i="36"/>
  <c r="A256" i="36"/>
  <c r="A257" i="36"/>
  <c r="A258" i="36"/>
  <c r="A259" i="36"/>
  <c r="A260" i="36"/>
  <c r="A261" i="36"/>
  <c r="A262" i="36"/>
  <c r="A263" i="36"/>
  <c r="A264" i="36"/>
  <c r="A265" i="36"/>
  <c r="A266" i="36"/>
  <c r="A267" i="36"/>
  <c r="A268" i="36"/>
  <c r="A269" i="36"/>
  <c r="A270" i="36"/>
  <c r="A271" i="36"/>
  <c r="A272" i="36"/>
  <c r="A273" i="36"/>
  <c r="A274" i="36"/>
  <c r="A275" i="36"/>
  <c r="A276" i="36"/>
  <c r="A277" i="36"/>
  <c r="A278" i="36"/>
  <c r="A279" i="36"/>
  <c r="A280" i="36"/>
  <c r="A281" i="36"/>
  <c r="A282" i="36"/>
  <c r="A283" i="36"/>
  <c r="A284" i="36"/>
  <c r="A285" i="36"/>
  <c r="A286" i="36"/>
  <c r="A287" i="36"/>
  <c r="A288" i="36"/>
  <c r="A289" i="36"/>
  <c r="A290" i="36"/>
  <c r="A291" i="36"/>
  <c r="A292" i="36"/>
  <c r="A293" i="36"/>
  <c r="A294" i="36"/>
  <c r="A295" i="36"/>
  <c r="A296" i="36"/>
  <c r="A297" i="36"/>
  <c r="A298" i="36"/>
  <c r="A299" i="36"/>
  <c r="A300" i="36"/>
  <c r="A301" i="36"/>
  <c r="A302" i="36"/>
  <c r="A303" i="36"/>
  <c r="A304" i="36"/>
  <c r="A305" i="36"/>
  <c r="A306" i="36"/>
  <c r="A307" i="36"/>
  <c r="A308" i="36"/>
  <c r="A309" i="36"/>
  <c r="A310" i="36"/>
  <c r="A311" i="36"/>
  <c r="A312" i="36"/>
  <c r="A313" i="36"/>
  <c r="A314" i="36"/>
  <c r="A315" i="36"/>
  <c r="A316" i="36"/>
  <c r="A317" i="36"/>
  <c r="A318" i="36"/>
  <c r="A319" i="36"/>
  <c r="A320" i="36"/>
  <c r="A321" i="36"/>
  <c r="A322" i="36"/>
  <c r="A323" i="36"/>
  <c r="A324" i="36"/>
  <c r="A325" i="36"/>
  <c r="A326" i="36"/>
  <c r="A327" i="36"/>
  <c r="A328" i="36"/>
  <c r="A329" i="36"/>
  <c r="A330" i="36"/>
  <c r="A331" i="36"/>
  <c r="A332" i="36"/>
  <c r="A333" i="36"/>
  <c r="A334" i="36"/>
  <c r="A335" i="36"/>
  <c r="A336" i="36"/>
  <c r="A337" i="36"/>
  <c r="A338" i="36"/>
  <c r="A339" i="36"/>
  <c r="A340" i="36"/>
  <c r="A341" i="36"/>
  <c r="A342" i="36"/>
  <c r="A343" i="36"/>
  <c r="A344" i="36"/>
  <c r="A345" i="36"/>
  <c r="A346" i="36"/>
  <c r="A347" i="36"/>
  <c r="A348" i="36"/>
  <c r="A349" i="36"/>
  <c r="A350" i="36"/>
  <c r="A351" i="36"/>
  <c r="A352" i="36"/>
  <c r="A353" i="36"/>
  <c r="A354" i="36"/>
  <c r="A355" i="36"/>
  <c r="A356" i="36"/>
  <c r="A357" i="36"/>
  <c r="A358" i="36"/>
  <c r="A359" i="36"/>
  <c r="A360" i="36"/>
  <c r="A361" i="36"/>
  <c r="A362" i="36"/>
  <c r="A363" i="36"/>
  <c r="A364" i="36"/>
  <c r="A365" i="36"/>
  <c r="A366" i="36"/>
  <c r="A367" i="36"/>
  <c r="A368" i="36"/>
  <c r="A369" i="36"/>
  <c r="A370" i="36"/>
  <c r="A371" i="36"/>
  <c r="A372" i="36"/>
  <c r="A373" i="36"/>
  <c r="A374" i="36"/>
  <c r="A375" i="36"/>
  <c r="A376" i="36"/>
  <c r="A377" i="36"/>
  <c r="A378" i="36"/>
  <c r="A379" i="36"/>
  <c r="A380" i="36"/>
  <c r="A381" i="36"/>
  <c r="A382" i="36"/>
  <c r="A383" i="36"/>
  <c r="A384" i="36"/>
  <c r="A385" i="36"/>
  <c r="A386" i="36"/>
  <c r="A387" i="36"/>
  <c r="A388" i="36"/>
  <c r="A389" i="36"/>
  <c r="A390" i="36"/>
  <c r="A391" i="36"/>
  <c r="A392" i="36"/>
  <c r="A393" i="36"/>
  <c r="A394" i="36"/>
  <c r="A395" i="36"/>
  <c r="A396" i="36"/>
  <c r="A397" i="36"/>
  <c r="A398" i="36"/>
  <c r="A399" i="36"/>
  <c r="A400" i="36"/>
  <c r="A401" i="36"/>
  <c r="A402" i="36"/>
  <c r="A403" i="36"/>
  <c r="A404" i="36"/>
  <c r="A405" i="36"/>
  <c r="A406" i="36"/>
  <c r="A407" i="36"/>
  <c r="A408" i="36"/>
  <c r="A409" i="36"/>
  <c r="A410" i="36"/>
  <c r="A411" i="36"/>
  <c r="A412" i="36"/>
  <c r="A413" i="36"/>
  <c r="A414" i="36"/>
  <c r="A415" i="36"/>
  <c r="A416" i="36"/>
  <c r="A417" i="36"/>
  <c r="A418" i="36"/>
  <c r="A419" i="36"/>
  <c r="A420" i="36"/>
  <c r="A421" i="36"/>
  <c r="A422" i="36"/>
  <c r="A423" i="36"/>
  <c r="A424" i="36"/>
  <c r="A425" i="36"/>
  <c r="A426" i="36"/>
  <c r="A427" i="36"/>
  <c r="A428" i="36"/>
  <c r="A429" i="36"/>
  <c r="A430" i="36"/>
  <c r="A431" i="36"/>
  <c r="A432" i="36"/>
  <c r="A433" i="36"/>
  <c r="A434" i="36"/>
  <c r="A435" i="36"/>
  <c r="A436" i="36"/>
  <c r="A437" i="36"/>
  <c r="A438" i="36"/>
  <c r="A439" i="36"/>
  <c r="A440" i="36"/>
  <c r="A441" i="36"/>
  <c r="A442" i="36"/>
  <c r="A443" i="36"/>
  <c r="A444" i="36"/>
  <c r="A445" i="36"/>
  <c r="A446" i="36"/>
  <c r="A5" i="58"/>
  <c r="A307" i="57"/>
  <c r="A308" i="57"/>
  <c r="A309" i="57"/>
  <c r="A310" i="57"/>
  <c r="A311" i="57"/>
  <c r="A312" i="57"/>
  <c r="A313" i="57"/>
  <c r="A314" i="57"/>
  <c r="A315" i="57"/>
  <c r="A316" i="57"/>
  <c r="A317" i="57"/>
  <c r="A318" i="57"/>
  <c r="A319" i="57"/>
  <c r="A320" i="57"/>
  <c r="A321" i="57"/>
  <c r="A322" i="57"/>
  <c r="A323" i="57"/>
  <c r="A324" i="57"/>
  <c r="A325" i="57"/>
  <c r="A326" i="57"/>
  <c r="A327" i="57"/>
  <c r="A328"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2" i="57"/>
  <c r="A383" i="57"/>
  <c r="A384" i="57"/>
  <c r="A385" i="57"/>
  <c r="A386" i="57"/>
  <c r="A387"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0" i="57"/>
  <c r="A441" i="57"/>
  <c r="A442" i="57"/>
  <c r="A443" i="57"/>
  <c r="A444" i="57"/>
  <c r="A445" i="57"/>
  <c r="A446" i="57"/>
  <c r="A22" i="41"/>
  <c r="A23" i="41"/>
  <c r="A24" i="41"/>
  <c r="A25" i="41"/>
  <c r="A26" i="41"/>
  <c r="A27" i="41"/>
  <c r="A28" i="41"/>
  <c r="A29" i="41"/>
  <c r="A30" i="41"/>
  <c r="A31" i="41"/>
  <c r="A10" i="42"/>
  <c r="A11" i="42"/>
  <c r="A12" i="42"/>
  <c r="A13" i="42"/>
  <c r="A10" i="58"/>
  <c r="A11" i="58"/>
  <c r="A12" i="58"/>
  <c r="A13" i="58"/>
  <c r="E5" i="59"/>
  <c r="E7" i="59"/>
  <c r="E8" i="59"/>
  <c r="E11" i="59"/>
  <c r="E12" i="59"/>
  <c r="E16" i="59"/>
  <c r="E17" i="59"/>
  <c r="E18" i="59"/>
  <c r="E20" i="59"/>
  <c r="E22" i="59"/>
  <c r="E23" i="59"/>
  <c r="E25" i="59"/>
  <c r="E26" i="59"/>
  <c r="E4" i="59"/>
  <c r="C5" i="59"/>
  <c r="C6" i="59"/>
  <c r="C7" i="59"/>
  <c r="C8" i="59"/>
  <c r="C9" i="59"/>
  <c r="C12" i="59"/>
  <c r="C14" i="59"/>
  <c r="C15" i="59"/>
  <c r="C16" i="59"/>
  <c r="C17" i="59"/>
  <c r="C18" i="59"/>
  <c r="C20" i="59"/>
  <c r="C21" i="59"/>
  <c r="C22" i="59"/>
  <c r="C23" i="59"/>
  <c r="C24" i="59"/>
  <c r="C25" i="59"/>
  <c r="C26" i="59"/>
  <c r="C27" i="59"/>
  <c r="C4" i="59"/>
  <c r="B14" i="5"/>
  <c r="AI70" i="48"/>
  <c r="AI70" i="15"/>
  <c r="AH70" i="15" s="1"/>
  <c r="W4" i="3"/>
  <c r="V4" i="3"/>
  <c r="AI66" i="48"/>
  <c r="AJ66" i="48" s="1"/>
  <c r="AK66" i="48" s="1"/>
  <c r="AL66" i="48" s="1"/>
  <c r="AM66" i="48" s="1"/>
  <c r="AN66" i="48" s="1"/>
  <c r="AO66" i="48" s="1"/>
  <c r="AP66" i="48" s="1"/>
  <c r="AQ66" i="48" s="1"/>
  <c r="AR66" i="48" s="1"/>
  <c r="AS66" i="48" s="1"/>
  <c r="AT66" i="48" s="1"/>
  <c r="AU66" i="48" s="1"/>
  <c r="AV66" i="48" s="1"/>
  <c r="AW66" i="48" s="1"/>
  <c r="AX66" i="48" s="1"/>
  <c r="AY66" i="48" s="1"/>
  <c r="AZ66" i="48" s="1"/>
  <c r="BA66" i="48" s="1"/>
  <c r="BB66" i="48" s="1"/>
  <c r="A6" i="58"/>
  <c r="A7" i="58"/>
  <c r="A8" i="58"/>
  <c r="A9" i="58"/>
  <c r="A2" i="8"/>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C83" i="8"/>
  <c r="AD83" i="8"/>
  <c r="AC84" i="8"/>
  <c r="AD84" i="8" s="1"/>
  <c r="AC85" i="8"/>
  <c r="AD85" i="8"/>
  <c r="AC86" i="8"/>
  <c r="AD86" i="8" s="1"/>
  <c r="AC87" i="8"/>
  <c r="AD87" i="8"/>
  <c r="AC88" i="8"/>
  <c r="AD88" i="8"/>
  <c r="AC89" i="8"/>
  <c r="AD89" i="8"/>
  <c r="AC90" i="8"/>
  <c r="AD90" i="8" s="1"/>
  <c r="AC91" i="8"/>
  <c r="AD91" i="8"/>
  <c r="AC92" i="8"/>
  <c r="AD92" i="8" s="1"/>
  <c r="AC93" i="8"/>
  <c r="AD93" i="8"/>
  <c r="AC94" i="8"/>
  <c r="AD94" i="8" s="1"/>
  <c r="AC95" i="8"/>
  <c r="AD95" i="8"/>
  <c r="AC96" i="8"/>
  <c r="AD96" i="8" s="1"/>
  <c r="AC97" i="8"/>
  <c r="AD97" i="8"/>
  <c r="AC98" i="8"/>
  <c r="AD98" i="8" s="1"/>
  <c r="AC99" i="8"/>
  <c r="AD99" i="8"/>
  <c r="AC100" i="8"/>
  <c r="AD100" i="8" s="1"/>
  <c r="AC101" i="8"/>
  <c r="AD101" i="8"/>
  <c r="AC102" i="8"/>
  <c r="AD102" i="8" s="1"/>
  <c r="AC103" i="8"/>
  <c r="AD103" i="8"/>
  <c r="AC104" i="8"/>
  <c r="AD104" i="8" s="1"/>
  <c r="AC105" i="8"/>
  <c r="AD105" i="8"/>
  <c r="AC106" i="8"/>
  <c r="AD106" i="8" s="1"/>
  <c r="AC107" i="8"/>
  <c r="AD107" i="8"/>
  <c r="AC108" i="8"/>
  <c r="AD108" i="8" s="1"/>
  <c r="AC109" i="8"/>
  <c r="AD109" i="8"/>
  <c r="AC110" i="8"/>
  <c r="AD110" i="8" s="1"/>
  <c r="AC111" i="8"/>
  <c r="AD111" i="8"/>
  <c r="AC112" i="8"/>
  <c r="AD112" i="8" s="1"/>
  <c r="AC113" i="8"/>
  <c r="AD114" i="8" s="1"/>
  <c r="AD113" i="8"/>
  <c r="AC114" i="8"/>
  <c r="AC115" i="8"/>
  <c r="AD116" i="8" s="1"/>
  <c r="AD115" i="8"/>
  <c r="AC116" i="8"/>
  <c r="AC117" i="8"/>
  <c r="AD118" i="8" s="1"/>
  <c r="AD117" i="8"/>
  <c r="AC118" i="8"/>
  <c r="AC119" i="8"/>
  <c r="AD120" i="8" s="1"/>
  <c r="AD119" i="8"/>
  <c r="AC120" i="8"/>
  <c r="AC121" i="8"/>
  <c r="AD122" i="8" s="1"/>
  <c r="AD121" i="8"/>
  <c r="AC122" i="8"/>
  <c r="AC123" i="8"/>
  <c r="AD124" i="8" s="1"/>
  <c r="AD123" i="8"/>
  <c r="AC124" i="8"/>
  <c r="AC125" i="8"/>
  <c r="AD126" i="8" s="1"/>
  <c r="AD125" i="8"/>
  <c r="AC126" i="8"/>
  <c r="AC127" i="8"/>
  <c r="AD128" i="8" s="1"/>
  <c r="AD127" i="8"/>
  <c r="AC128" i="8"/>
  <c r="AC129" i="8"/>
  <c r="AD130" i="8" s="1"/>
  <c r="AD129" i="8"/>
  <c r="AC130" i="8"/>
  <c r="AC131" i="8"/>
  <c r="AD132" i="8" s="1"/>
  <c r="AD131" i="8"/>
  <c r="AC132" i="8"/>
  <c r="AC133" i="8"/>
  <c r="AD133" i="8"/>
  <c r="AC134" i="8"/>
  <c r="AD135" i="8" s="1"/>
  <c r="AC135" i="8"/>
  <c r="AC136" i="8"/>
  <c r="AC137" i="8"/>
  <c r="AD138" i="8" s="1"/>
  <c r="AC138" i="8"/>
  <c r="AC139" i="8"/>
  <c r="AD140" i="8" s="1"/>
  <c r="AD139" i="8"/>
  <c r="AC140" i="8"/>
  <c r="AC141" i="8"/>
  <c r="AD141" i="8"/>
  <c r="AC142" i="8"/>
  <c r="AD143" i="8" s="1"/>
  <c r="AC143" i="8"/>
  <c r="AC144" i="8"/>
  <c r="AC145" i="8"/>
  <c r="AD146" i="8" s="1"/>
  <c r="AC146" i="8"/>
  <c r="AC147" i="8"/>
  <c r="AD148" i="8" s="1"/>
  <c r="AD147" i="8"/>
  <c r="AC148" i="8"/>
  <c r="AC149" i="8"/>
  <c r="AD149" i="8"/>
  <c r="AC150" i="8"/>
  <c r="AD151" i="8" s="1"/>
  <c r="AC151" i="8"/>
  <c r="AC152" i="8"/>
  <c r="AC153" i="8"/>
  <c r="AD154" i="8" s="1"/>
  <c r="AC154" i="8"/>
  <c r="AC155" i="8"/>
  <c r="AD155" i="8"/>
  <c r="AC156" i="8"/>
  <c r="AC157" i="8"/>
  <c r="AD157" i="8"/>
  <c r="AC158" i="8"/>
  <c r="AC159" i="8"/>
  <c r="AD159" i="8" s="1"/>
  <c r="AC160" i="8"/>
  <c r="AC161" i="8"/>
  <c r="AD162" i="8" s="1"/>
  <c r="AC162" i="8"/>
  <c r="AC163" i="8"/>
  <c r="AD164" i="8" s="1"/>
  <c r="AD163" i="8"/>
  <c r="AC164" i="8"/>
  <c r="AC165" i="8"/>
  <c r="AD165" i="8"/>
  <c r="AC166" i="8"/>
  <c r="AC167" i="8"/>
  <c r="AD167" i="8" s="1"/>
  <c r="AC168" i="8"/>
  <c r="AC169" i="8"/>
  <c r="AD170" i="8" s="1"/>
  <c r="AC170" i="8"/>
  <c r="AC171" i="8"/>
  <c r="AD172" i="8" s="1"/>
  <c r="AD171" i="8"/>
  <c r="AC172" i="8"/>
  <c r="AC173" i="8"/>
  <c r="AD173" i="8"/>
  <c r="AC260" i="8"/>
  <c r="AD261" i="8" s="1"/>
  <c r="AD260" i="8"/>
  <c r="AC261" i="8"/>
  <c r="AC262" i="8"/>
  <c r="AC263" i="8"/>
  <c r="AD264" i="8" s="1"/>
  <c r="AC264" i="8"/>
  <c r="AC265" i="8"/>
  <c r="AD266" i="8" s="1"/>
  <c r="AC266" i="8"/>
  <c r="AC267" i="8"/>
  <c r="AD267" i="8"/>
  <c r="AC268" i="8"/>
  <c r="AD269" i="8" s="1"/>
  <c r="AC269" i="8"/>
  <c r="AC270" i="8"/>
  <c r="AC271" i="8"/>
  <c r="AD272" i="8" s="1"/>
  <c r="AC272" i="8"/>
  <c r="AC273" i="8"/>
  <c r="AD274" i="8" s="1"/>
  <c r="AC274" i="8"/>
  <c r="AC275" i="8"/>
  <c r="AD275" i="8"/>
  <c r="AC276" i="8"/>
  <c r="AD277" i="8" s="1"/>
  <c r="AC277" i="8"/>
  <c r="AC278" i="8"/>
  <c r="AC279" i="8"/>
  <c r="AD280" i="8" s="1"/>
  <c r="AC280" i="8"/>
  <c r="AC281" i="8"/>
  <c r="AD281" i="8"/>
  <c r="AC282" i="8"/>
  <c r="AD282" i="8"/>
  <c r="AC283" i="8"/>
  <c r="AD283" i="8"/>
  <c r="AC284" i="8"/>
  <c r="AD284" i="8"/>
  <c r="AC285" i="8"/>
  <c r="AD285" i="8"/>
  <c r="AC286" i="8"/>
  <c r="AD286" i="8"/>
  <c r="AC287" i="8"/>
  <c r="AD287" i="8"/>
  <c r="AC288" i="8"/>
  <c r="AD288" i="8"/>
  <c r="AC289" i="8"/>
  <c r="AD289" i="8"/>
  <c r="AC290" i="8"/>
  <c r="AD290" i="8"/>
  <c r="AC291" i="8"/>
  <c r="AD291" i="8"/>
  <c r="AC292" i="8"/>
  <c r="AD292" i="8"/>
  <c r="AC293" i="8"/>
  <c r="AD293" i="8"/>
  <c r="AC294" i="8"/>
  <c r="AD294" i="8"/>
  <c r="AC295" i="8"/>
  <c r="AD295" i="8"/>
  <c r="AC296" i="8"/>
  <c r="AD296" i="8"/>
  <c r="AC297" i="8"/>
  <c r="AD297" i="8"/>
  <c r="AC298" i="8"/>
  <c r="AD298" i="8"/>
  <c r="AC299" i="8"/>
  <c r="AD299" i="8"/>
  <c r="AC300" i="8"/>
  <c r="AD300" i="8"/>
  <c r="AC301" i="8"/>
  <c r="AD301" i="8"/>
  <c r="AC302" i="8"/>
  <c r="AD302" i="8"/>
  <c r="AC303" i="8"/>
  <c r="AD303" i="8"/>
  <c r="AC304" i="8"/>
  <c r="AD304" i="8"/>
  <c r="AC305" i="8"/>
  <c r="AD305" i="8"/>
  <c r="AC306" i="8"/>
  <c r="AD306" i="8"/>
  <c r="AC307" i="8"/>
  <c r="AD307" i="8"/>
  <c r="AC308" i="8"/>
  <c r="AD308" i="8"/>
  <c r="AC309" i="8"/>
  <c r="AD309" i="8"/>
  <c r="AC310" i="8"/>
  <c r="AD310" i="8"/>
  <c r="AC311" i="8"/>
  <c r="AD311" i="8"/>
  <c r="AC312" i="8"/>
  <c r="AD312" i="8"/>
  <c r="AC313" i="8"/>
  <c r="AD313" i="8"/>
  <c r="AC314" i="8"/>
  <c r="AD314" i="8"/>
  <c r="AC315" i="8"/>
  <c r="AD315" i="8"/>
  <c r="AC316" i="8"/>
  <c r="AD316" i="8"/>
  <c r="AC317" i="8"/>
  <c r="AD317" i="8"/>
  <c r="AC318" i="8"/>
  <c r="AD318" i="8"/>
  <c r="AC319" i="8"/>
  <c r="AD319" i="8"/>
  <c r="AC320" i="8"/>
  <c r="AD320" i="8"/>
  <c r="AC321" i="8"/>
  <c r="AD321" i="8"/>
  <c r="AC322" i="8"/>
  <c r="AD322" i="8"/>
  <c r="AC323" i="8"/>
  <c r="AD323" i="8"/>
  <c r="AC324" i="8"/>
  <c r="AD324" i="8"/>
  <c r="AC325" i="8"/>
  <c r="AD325" i="8"/>
  <c r="AC326" i="8"/>
  <c r="AD326" i="8"/>
  <c r="AC327" i="8"/>
  <c r="AD327" i="8"/>
  <c r="AC328" i="8"/>
  <c r="AD328" i="8"/>
  <c r="AC329" i="8"/>
  <c r="AD329" i="8"/>
  <c r="AC330" i="8"/>
  <c r="AD330" i="8"/>
  <c r="AC331" i="8"/>
  <c r="AD331" i="8"/>
  <c r="AC332" i="8"/>
  <c r="AD332" i="8"/>
  <c r="AC333" i="8"/>
  <c r="AD333" i="8"/>
  <c r="AC334" i="8"/>
  <c r="AD334" i="8"/>
  <c r="AC335" i="8"/>
  <c r="AD335" i="8"/>
  <c r="AC336" i="8"/>
  <c r="AD336" i="8"/>
  <c r="AC337" i="8"/>
  <c r="AD337" i="8"/>
  <c r="AC338" i="8"/>
  <c r="AD338" i="8"/>
  <c r="AC339" i="8"/>
  <c r="AD339" i="8"/>
  <c r="AC340" i="8"/>
  <c r="AD340" i="8"/>
  <c r="AC341" i="8"/>
  <c r="AD341" i="8"/>
  <c r="AC342" i="8"/>
  <c r="AD342" i="8"/>
  <c r="AC343" i="8"/>
  <c r="AD343" i="8"/>
  <c r="AC344" i="8"/>
  <c r="AD344" i="8"/>
  <c r="AC345" i="8"/>
  <c r="AD345" i="8"/>
  <c r="BA37" i="5"/>
  <c r="BA38" i="5"/>
  <c r="BA39" i="5"/>
  <c r="BA40" i="5"/>
  <c r="BA41" i="5"/>
  <c r="BA42" i="5"/>
  <c r="BA43" i="5"/>
  <c r="BA44" i="5"/>
  <c r="BA45" i="5"/>
  <c r="BA46" i="5"/>
  <c r="BA47" i="5"/>
  <c r="BA48" i="5"/>
  <c r="BA49" i="5"/>
  <c r="BA50" i="5"/>
  <c r="BA51" i="5"/>
  <c r="BA52" i="5"/>
  <c r="BA53" i="5"/>
  <c r="BA54" i="5"/>
  <c r="BA55" i="5"/>
  <c r="BA56" i="5"/>
  <c r="BA57" i="5"/>
  <c r="BA58" i="5"/>
  <c r="BA59" i="5"/>
  <c r="BA60" i="5"/>
  <c r="BA61" i="5"/>
  <c r="BA62" i="5"/>
  <c r="BA63" i="5"/>
  <c r="BA64" i="5"/>
  <c r="BA65" i="5"/>
  <c r="BA66" i="5"/>
  <c r="BA4" i="5"/>
  <c r="BA5" i="5"/>
  <c r="BA6" i="5"/>
  <c r="BA7" i="5"/>
  <c r="BA8" i="5"/>
  <c r="BA9" i="5"/>
  <c r="BA10" i="5"/>
  <c r="BA11" i="5"/>
  <c r="BA12" i="5"/>
  <c r="BA13" i="5"/>
  <c r="BA14" i="5"/>
  <c r="BA15" i="5"/>
  <c r="BA16" i="5"/>
  <c r="BA17" i="5"/>
  <c r="BA18" i="5"/>
  <c r="BA19" i="5"/>
  <c r="BA20" i="5"/>
  <c r="BA21" i="5"/>
  <c r="BA22" i="5"/>
  <c r="BA23" i="5"/>
  <c r="BA24" i="5"/>
  <c r="BA25" i="5"/>
  <c r="BA26" i="5"/>
  <c r="BA27" i="5"/>
  <c r="BA28" i="5"/>
  <c r="BA29" i="5"/>
  <c r="BA30" i="5"/>
  <c r="BA31" i="5"/>
  <c r="BA32" i="5"/>
  <c r="BA33" i="5"/>
  <c r="AI66" i="50"/>
  <c r="AJ66" i="50" s="1"/>
  <c r="AK66" i="50" s="1"/>
  <c r="AL66" i="50" s="1"/>
  <c r="AM66" i="50" s="1"/>
  <c r="AN66" i="50" s="1"/>
  <c r="AO66" i="50" s="1"/>
  <c r="AP66" i="50" s="1"/>
  <c r="AQ66" i="50" s="1"/>
  <c r="AR66" i="50" s="1"/>
  <c r="AS66" i="50" s="1"/>
  <c r="AT66" i="50" s="1"/>
  <c r="AU66" i="50" s="1"/>
  <c r="AV66" i="50" s="1"/>
  <c r="AW66" i="50" s="1"/>
  <c r="AX66" i="50" s="1"/>
  <c r="AY66" i="50" s="1"/>
  <c r="AZ66" i="50" s="1"/>
  <c r="BA66" i="50" s="1"/>
  <c r="BB66" i="50" s="1"/>
  <c r="AI66" i="52"/>
  <c r="AI66" i="54"/>
  <c r="AI66" i="56"/>
  <c r="AI70" i="50"/>
  <c r="AI70" i="49"/>
  <c r="AJ70" i="49" s="1"/>
  <c r="AK70" i="49" s="1"/>
  <c r="AL70" i="49" s="1"/>
  <c r="AM70" i="49" s="1"/>
  <c r="AN70" i="49" s="1"/>
  <c r="AO70" i="49" s="1"/>
  <c r="AP70" i="49" s="1"/>
  <c r="AQ70" i="49" s="1"/>
  <c r="AR70" i="49" s="1"/>
  <c r="AS70" i="49" s="1"/>
  <c r="AT70" i="49" s="1"/>
  <c r="AU70" i="49" s="1"/>
  <c r="AV70" i="49" s="1"/>
  <c r="AW70" i="49" s="1"/>
  <c r="AX70" i="49" s="1"/>
  <c r="AY70" i="49" s="1"/>
  <c r="AZ70" i="49" s="1"/>
  <c r="BA70" i="49" s="1"/>
  <c r="BB70" i="49" s="1"/>
  <c r="AI70" i="52"/>
  <c r="AJ70" i="52" s="1"/>
  <c r="AK70" i="52" s="1"/>
  <c r="AL70" i="52" s="1"/>
  <c r="AM70" i="52" s="1"/>
  <c r="AN70" i="52" s="1"/>
  <c r="AO70" i="52" s="1"/>
  <c r="AP70" i="52" s="1"/>
  <c r="AQ70" i="52" s="1"/>
  <c r="AR70" i="52" s="1"/>
  <c r="AS70" i="52" s="1"/>
  <c r="AT70" i="52" s="1"/>
  <c r="AU70" i="52" s="1"/>
  <c r="AV70" i="52" s="1"/>
  <c r="AW70" i="52" s="1"/>
  <c r="AX70" i="52" s="1"/>
  <c r="AY70" i="52" s="1"/>
  <c r="AZ70" i="52" s="1"/>
  <c r="BA70" i="52" s="1"/>
  <c r="BB70" i="52" s="1"/>
  <c r="AI70" i="51"/>
  <c r="AH70" i="51" s="1"/>
  <c r="AI70" i="54"/>
  <c r="AH70" i="54" s="1"/>
  <c r="AI70" i="56"/>
  <c r="AI70" i="55"/>
  <c r="AJ70" i="55" s="1"/>
  <c r="AK70" i="55" s="1"/>
  <c r="AL70" i="55" s="1"/>
  <c r="AM70" i="55" s="1"/>
  <c r="AN70" i="55" s="1"/>
  <c r="AO70" i="55" s="1"/>
  <c r="AP70" i="55" s="1"/>
  <c r="AQ70" i="55" s="1"/>
  <c r="AR70" i="55" s="1"/>
  <c r="AS70" i="55" s="1"/>
  <c r="AT70" i="55" s="1"/>
  <c r="AU70" i="55" s="1"/>
  <c r="AV70" i="55" s="1"/>
  <c r="AW70" i="55" s="1"/>
  <c r="AX70" i="55" s="1"/>
  <c r="AY70" i="55" s="1"/>
  <c r="AZ70" i="55" s="1"/>
  <c r="BA70" i="55" s="1"/>
  <c r="BB70" i="55" s="1"/>
  <c r="B29" i="5"/>
  <c r="AI79" i="54"/>
  <c r="AI79" i="55"/>
  <c r="AJ79" i="55" s="1"/>
  <c r="AK79" i="55" s="1"/>
  <c r="AL79" i="55" s="1"/>
  <c r="AM79" i="55" s="1"/>
  <c r="AN79" i="55" s="1"/>
  <c r="AO79" i="55" s="1"/>
  <c r="AP79" i="55" s="1"/>
  <c r="AQ79" i="55" s="1"/>
  <c r="AR79" i="55" s="1"/>
  <c r="AS79" i="55" s="1"/>
  <c r="AT79" i="55" s="1"/>
  <c r="AU79" i="55" s="1"/>
  <c r="AV79" i="55" s="1"/>
  <c r="AW79" i="55" s="1"/>
  <c r="AX79" i="55" s="1"/>
  <c r="AY79" i="55" s="1"/>
  <c r="AZ79" i="55" s="1"/>
  <c r="BA79" i="55" s="1"/>
  <c r="BB79" i="55" s="1"/>
  <c r="AI79" i="56"/>
  <c r="AJ79" i="56" s="1"/>
  <c r="AK79" i="56" s="1"/>
  <c r="AL79" i="56" s="1"/>
  <c r="AM79" i="56" s="1"/>
  <c r="AN79" i="56" s="1"/>
  <c r="AO79" i="56" s="1"/>
  <c r="AP79" i="56" s="1"/>
  <c r="AQ79" i="56" s="1"/>
  <c r="AR79" i="56" s="1"/>
  <c r="AS79" i="56" s="1"/>
  <c r="AT79" i="56" s="1"/>
  <c r="AU79" i="56" s="1"/>
  <c r="AV79" i="56" s="1"/>
  <c r="AW79" i="56" s="1"/>
  <c r="AX79" i="56" s="1"/>
  <c r="AY79" i="56" s="1"/>
  <c r="AZ79" i="56" s="1"/>
  <c r="BA79" i="56" s="1"/>
  <c r="BB79" i="56" s="1"/>
  <c r="AI79" i="52"/>
  <c r="AI79" i="51"/>
  <c r="AI79" i="50"/>
  <c r="AJ79" i="50" s="1"/>
  <c r="AK79" i="50" s="1"/>
  <c r="AL79" i="50" s="1"/>
  <c r="AM79" i="50" s="1"/>
  <c r="AN79" i="50" s="1"/>
  <c r="AO79" i="50" s="1"/>
  <c r="AP79" i="50" s="1"/>
  <c r="AQ79" i="50" s="1"/>
  <c r="AR79" i="50" s="1"/>
  <c r="AS79" i="50" s="1"/>
  <c r="AT79" i="50" s="1"/>
  <c r="AU79" i="50" s="1"/>
  <c r="AV79" i="50" s="1"/>
  <c r="AW79" i="50" s="1"/>
  <c r="AX79" i="50" s="1"/>
  <c r="AY79" i="50" s="1"/>
  <c r="AZ79" i="50" s="1"/>
  <c r="BA79" i="50" s="1"/>
  <c r="BB79" i="50" s="1"/>
  <c r="AI79" i="49"/>
  <c r="AJ79" i="49" s="1"/>
  <c r="AK79" i="49" s="1"/>
  <c r="AL79" i="49" s="1"/>
  <c r="AM79" i="49" s="1"/>
  <c r="AN79" i="49" s="1"/>
  <c r="AO79" i="49" s="1"/>
  <c r="AP79" i="49" s="1"/>
  <c r="AQ79" i="49" s="1"/>
  <c r="AR79" i="49" s="1"/>
  <c r="AS79" i="49" s="1"/>
  <c r="AT79" i="49" s="1"/>
  <c r="AU79" i="49" s="1"/>
  <c r="AV79" i="49" s="1"/>
  <c r="AW79" i="49" s="1"/>
  <c r="AX79" i="49" s="1"/>
  <c r="AY79" i="49" s="1"/>
  <c r="AZ79" i="49" s="1"/>
  <c r="BA79" i="49" s="1"/>
  <c r="BB79" i="49" s="1"/>
  <c r="AI79" i="48"/>
  <c r="AI79" i="15"/>
  <c r="AH79" i="15" s="1"/>
  <c r="AB4" i="5"/>
  <c r="AH67" i="1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H8" i="2"/>
  <c r="I8" i="2" s="1"/>
  <c r="H6" i="2"/>
  <c r="I6" i="2" s="1"/>
  <c r="H7" i="2"/>
  <c r="I7" i="2" s="1"/>
  <c r="H5" i="2"/>
  <c r="I5" i="2" s="1"/>
  <c r="H4" i="2"/>
  <c r="I4" i="2" s="1"/>
  <c r="AM67" i="15"/>
  <c r="AN67" i="15"/>
  <c r="AO67" i="15"/>
  <c r="AP67" i="15"/>
  <c r="AQ67" i="15"/>
  <c r="AR67" i="15"/>
  <c r="AS67" i="15"/>
  <c r="AT67" i="15"/>
  <c r="AU67" i="15"/>
  <c r="AV67" i="15"/>
  <c r="AW67" i="15"/>
  <c r="AX67" i="15"/>
  <c r="AY67" i="15"/>
  <c r="AZ67" i="15"/>
  <c r="BA67" i="15"/>
  <c r="BB67" i="15"/>
  <c r="AM67" i="49"/>
  <c r="AN67" i="49"/>
  <c r="AO67" i="49"/>
  <c r="AP67" i="49"/>
  <c r="AQ67" i="49"/>
  <c r="AR67" i="49"/>
  <c r="AS67" i="49"/>
  <c r="AT67" i="49"/>
  <c r="AU67" i="49"/>
  <c r="AV67" i="49"/>
  <c r="AW67" i="49"/>
  <c r="AX67" i="49"/>
  <c r="AY67" i="49"/>
  <c r="AZ67" i="49"/>
  <c r="BA67" i="49"/>
  <c r="BB67" i="49"/>
  <c r="AM67" i="51"/>
  <c r="AN67" i="51"/>
  <c r="AO67" i="51"/>
  <c r="AP67" i="51"/>
  <c r="AQ67" i="51"/>
  <c r="AR67" i="51"/>
  <c r="AS67" i="51"/>
  <c r="AT67" i="51"/>
  <c r="AU67" i="51"/>
  <c r="AV67" i="51"/>
  <c r="AW67" i="51"/>
  <c r="AX67" i="51"/>
  <c r="AY67" i="51"/>
  <c r="AZ67" i="51"/>
  <c r="BA67" i="51"/>
  <c r="BB67" i="51"/>
  <c r="AM67" i="53"/>
  <c r="AN67" i="53"/>
  <c r="AO67" i="53"/>
  <c r="AP67" i="53"/>
  <c r="AQ67" i="53"/>
  <c r="AR67" i="53"/>
  <c r="AS67" i="53"/>
  <c r="AT67" i="53"/>
  <c r="AU67" i="53"/>
  <c r="AV67" i="53"/>
  <c r="AW67" i="53"/>
  <c r="AX67" i="53"/>
  <c r="AY67" i="53"/>
  <c r="AZ67" i="53"/>
  <c r="BA67" i="53"/>
  <c r="BB67" i="53"/>
  <c r="AM67" i="55"/>
  <c r="AN67" i="55"/>
  <c r="AO67" i="55"/>
  <c r="AP67" i="55"/>
  <c r="AQ67" i="55"/>
  <c r="AR67" i="55"/>
  <c r="AS67" i="55"/>
  <c r="AT67" i="55"/>
  <c r="AU67" i="55"/>
  <c r="AV67" i="55"/>
  <c r="AW67" i="55"/>
  <c r="AX67" i="55"/>
  <c r="AY67" i="55"/>
  <c r="AZ67" i="55"/>
  <c r="BA67" i="55"/>
  <c r="BB67" i="55"/>
  <c r="B19" i="5"/>
  <c r="BE36" i="5"/>
  <c r="BF36" i="5" s="1"/>
  <c r="BG36" i="5" s="1"/>
  <c r="BH36" i="5" s="1"/>
  <c r="BI36" i="5" s="1"/>
  <c r="BJ36" i="5" s="1"/>
  <c r="BK36" i="5" s="1"/>
  <c r="BL36" i="5" s="1"/>
  <c r="BM36" i="5" s="1"/>
  <c r="BN36" i="5" s="1"/>
  <c r="BO36" i="5" s="1"/>
  <c r="BP36" i="5" s="1"/>
  <c r="BQ36" i="5" s="1"/>
  <c r="BR36" i="5" s="1"/>
  <c r="BS36" i="5" s="1"/>
  <c r="BT36" i="5" s="1"/>
  <c r="BU36" i="5" s="1"/>
  <c r="BV36" i="5" s="1"/>
  <c r="BW36" i="5" s="1"/>
  <c r="BX36" i="5" s="1"/>
  <c r="BD36" i="5"/>
  <c r="BD3" i="5"/>
  <c r="B5" i="5"/>
  <c r="B8" i="5"/>
  <c r="B6" i="5"/>
  <c r="AI79" i="53"/>
  <c r="AJ79" i="53" s="1"/>
  <c r="AK79" i="53" s="1"/>
  <c r="AL79" i="53" s="1"/>
  <c r="AM79" i="53" s="1"/>
  <c r="AN79" i="53" s="1"/>
  <c r="AO79" i="53" s="1"/>
  <c r="AP79" i="53" s="1"/>
  <c r="AQ79" i="53" s="1"/>
  <c r="AR79" i="53" s="1"/>
  <c r="AS79" i="53" s="1"/>
  <c r="AT79" i="53" s="1"/>
  <c r="AU79" i="53" s="1"/>
  <c r="AV79" i="53" s="1"/>
  <c r="AW79" i="53" s="1"/>
  <c r="AX79" i="53" s="1"/>
  <c r="AY79" i="53" s="1"/>
  <c r="AZ79" i="53" s="1"/>
  <c r="BA79" i="53" s="1"/>
  <c r="BB79" i="53" s="1"/>
  <c r="B23" i="5"/>
  <c r="H34" i="56"/>
  <c r="H24" i="56"/>
  <c r="H14" i="56"/>
  <c r="H34" i="54"/>
  <c r="H24" i="54"/>
  <c r="H14" i="54"/>
  <c r="H34" i="52"/>
  <c r="H24" i="52"/>
  <c r="H14" i="52"/>
  <c r="H34" i="50"/>
  <c r="H24" i="50"/>
  <c r="H14" i="50"/>
  <c r="AI44" i="15"/>
  <c r="P12" i="3"/>
  <c r="N12" i="3"/>
  <c r="D15" i="45"/>
  <c r="H4" i="3"/>
  <c r="AI97" i="56"/>
  <c r="AH97" i="56" s="1"/>
  <c r="AI88" i="56"/>
  <c r="AH88" i="56" s="1"/>
  <c r="AI97" i="55"/>
  <c r="AH97" i="55" s="1"/>
  <c r="AI88" i="55"/>
  <c r="AH88" i="55" s="1"/>
  <c r="AI66" i="55"/>
  <c r="AH66" i="55" s="1"/>
  <c r="AI97" i="54"/>
  <c r="AH97" i="54" s="1"/>
  <c r="AI88" i="54"/>
  <c r="AH88" i="54" s="1"/>
  <c r="AI97" i="53"/>
  <c r="AH97" i="53" s="1"/>
  <c r="AI88" i="53"/>
  <c r="AH88" i="53" s="1"/>
  <c r="AI66" i="53"/>
  <c r="AH66" i="53" s="1"/>
  <c r="AI97" i="52"/>
  <c r="AH97" i="52" s="1"/>
  <c r="AI88" i="52"/>
  <c r="AH88" i="52" s="1"/>
  <c r="AI97" i="51"/>
  <c r="AH97" i="51" s="1"/>
  <c r="AI88" i="51"/>
  <c r="AH88" i="51" s="1"/>
  <c r="AI66" i="51"/>
  <c r="AH66" i="51" s="1"/>
  <c r="AI97" i="50"/>
  <c r="AH97" i="50" s="1"/>
  <c r="AI88" i="50"/>
  <c r="AJ88" i="50" s="1"/>
  <c r="AK88" i="50" s="1"/>
  <c r="AL88" i="50" s="1"/>
  <c r="AM88" i="50" s="1"/>
  <c r="AN88" i="50" s="1"/>
  <c r="AO88" i="50" s="1"/>
  <c r="AP88" i="50" s="1"/>
  <c r="AQ88" i="50" s="1"/>
  <c r="AR88" i="50" s="1"/>
  <c r="AS88" i="50" s="1"/>
  <c r="AT88" i="50" s="1"/>
  <c r="AU88" i="50" s="1"/>
  <c r="AV88" i="50" s="1"/>
  <c r="AW88" i="50" s="1"/>
  <c r="AX88" i="50" s="1"/>
  <c r="AY88" i="50" s="1"/>
  <c r="AZ88" i="50" s="1"/>
  <c r="BA88" i="50" s="1"/>
  <c r="BB88" i="50" s="1"/>
  <c r="AI97" i="49"/>
  <c r="AH97" i="49" s="1"/>
  <c r="AI88" i="49"/>
  <c r="AH88" i="49" s="1"/>
  <c r="AI66" i="49"/>
  <c r="AH66" i="49" s="1"/>
  <c r="AI97" i="48"/>
  <c r="AH97" i="48" s="1"/>
  <c r="AI88" i="48"/>
  <c r="AH88" i="48" s="1"/>
  <c r="AI97" i="15"/>
  <c r="AH97" i="15" s="1"/>
  <c r="AI88" i="15"/>
  <c r="AH88" i="15" s="1"/>
  <c r="AI66" i="15"/>
  <c r="AH66" i="15" s="1"/>
  <c r="AI54" i="56"/>
  <c r="AJ54" i="56" s="1"/>
  <c r="AJ53" i="56" s="1"/>
  <c r="AI44" i="56"/>
  <c r="AI34" i="56"/>
  <c r="AH34" i="56" s="1"/>
  <c r="AI24" i="56"/>
  <c r="AI14" i="56"/>
  <c r="AJ14" i="56" s="1"/>
  <c r="AI54" i="55"/>
  <c r="AI44" i="55"/>
  <c r="AJ44" i="55" s="1"/>
  <c r="AK44" i="55" s="1"/>
  <c r="AK43" i="55" s="1"/>
  <c r="AI34" i="55"/>
  <c r="AJ34" i="55" s="1"/>
  <c r="AK34" i="55" s="1"/>
  <c r="AI24" i="55"/>
  <c r="AJ24" i="55" s="1"/>
  <c r="AI14" i="55"/>
  <c r="AI13" i="55" s="1"/>
  <c r="AI54" i="54"/>
  <c r="AH54" i="54" s="1"/>
  <c r="AI44" i="54"/>
  <c r="AI34" i="54"/>
  <c r="AH34" i="54" s="1"/>
  <c r="AI24" i="54"/>
  <c r="AI14" i="54"/>
  <c r="AI13" i="54" s="1"/>
  <c r="AI54" i="53"/>
  <c r="AJ54" i="53" s="1"/>
  <c r="AJ53" i="53" s="1"/>
  <c r="AI44" i="53"/>
  <c r="AI43" i="53" s="1"/>
  <c r="AI34" i="53"/>
  <c r="AJ34" i="53" s="1"/>
  <c r="AI24" i="53"/>
  <c r="AH24" i="53" s="1"/>
  <c r="AI14" i="53"/>
  <c r="AJ14" i="53" s="1"/>
  <c r="AI54" i="52"/>
  <c r="AI44" i="52"/>
  <c r="AJ44" i="52" s="1"/>
  <c r="AI34" i="52"/>
  <c r="AI33" i="52" s="1"/>
  <c r="AI24" i="52"/>
  <c r="AJ24" i="52" s="1"/>
  <c r="AI14" i="52"/>
  <c r="AH14" i="52" s="1"/>
  <c r="AI54" i="51"/>
  <c r="AH54" i="51" s="1"/>
  <c r="AI44" i="51"/>
  <c r="AH44" i="51" s="1"/>
  <c r="AI34" i="51"/>
  <c r="AJ34" i="51" s="1"/>
  <c r="AJ33" i="51" s="1"/>
  <c r="AI24" i="51"/>
  <c r="AI23" i="51" s="1"/>
  <c r="AI14" i="51"/>
  <c r="AJ14" i="51" s="1"/>
  <c r="AI54" i="50"/>
  <c r="AI53" i="50" s="1"/>
  <c r="AI44" i="50"/>
  <c r="AH44" i="50" s="1"/>
  <c r="AI34" i="50"/>
  <c r="AI24" i="50"/>
  <c r="AJ24" i="50" s="1"/>
  <c r="AI14" i="50"/>
  <c r="AH14" i="50" s="1"/>
  <c r="AI54" i="49"/>
  <c r="AI53" i="49" s="1"/>
  <c r="AI44" i="49"/>
  <c r="AI34" i="49"/>
  <c r="AI24" i="49"/>
  <c r="AI14" i="49"/>
  <c r="AI13" i="49" s="1"/>
  <c r="AI54" i="48"/>
  <c r="AI53" i="48" s="1"/>
  <c r="AI44" i="48"/>
  <c r="AH44" i="48" s="1"/>
  <c r="AI34" i="48"/>
  <c r="AI33" i="48" s="1"/>
  <c r="AI24" i="48"/>
  <c r="AI23" i="48" s="1"/>
  <c r="AI14" i="48"/>
  <c r="AH14" i="48" s="1"/>
  <c r="AH67" i="55"/>
  <c r="AH67" i="53"/>
  <c r="AI54" i="15"/>
  <c r="AI34" i="15"/>
  <c r="AI24" i="15"/>
  <c r="AI23" i="15" s="1"/>
  <c r="AI14" i="15"/>
  <c r="AH14" i="15" s="1"/>
  <c r="K54" i="56"/>
  <c r="K44" i="56"/>
  <c r="L44" i="56" s="1"/>
  <c r="M44" i="56" s="1"/>
  <c r="M43" i="56" s="1"/>
  <c r="K34" i="56"/>
  <c r="J34" i="56" s="1"/>
  <c r="K24" i="56"/>
  <c r="L24" i="56" s="1"/>
  <c r="L23" i="56" s="1"/>
  <c r="K14" i="56"/>
  <c r="K54" i="55"/>
  <c r="K44" i="55"/>
  <c r="K43" i="55" s="1"/>
  <c r="K34" i="55"/>
  <c r="L34" i="55" s="1"/>
  <c r="K24" i="55"/>
  <c r="K14" i="55"/>
  <c r="L14" i="55" s="1"/>
  <c r="L13" i="55" s="1"/>
  <c r="K54" i="54"/>
  <c r="K53" i="54" s="1"/>
  <c r="K44" i="54"/>
  <c r="K34" i="54"/>
  <c r="K24" i="54"/>
  <c r="K23" i="54" s="1"/>
  <c r="K14" i="54"/>
  <c r="K13" i="54" s="1"/>
  <c r="K54" i="53"/>
  <c r="L54" i="53" s="1"/>
  <c r="K44" i="53"/>
  <c r="K34" i="53"/>
  <c r="K33" i="53" s="1"/>
  <c r="K24" i="53"/>
  <c r="K14" i="53"/>
  <c r="K13" i="53" s="1"/>
  <c r="K54" i="52"/>
  <c r="L54" i="52" s="1"/>
  <c r="K44" i="52"/>
  <c r="K34" i="52"/>
  <c r="K24" i="52"/>
  <c r="K14" i="52"/>
  <c r="K54" i="51"/>
  <c r="L54" i="51" s="1"/>
  <c r="L53" i="51" s="1"/>
  <c r="K44" i="51"/>
  <c r="L44" i="51" s="1"/>
  <c r="K34" i="51"/>
  <c r="L34" i="51" s="1"/>
  <c r="L33" i="51" s="1"/>
  <c r="K24" i="51"/>
  <c r="L24" i="51" s="1"/>
  <c r="L23" i="51" s="1"/>
  <c r="K14" i="51"/>
  <c r="K54" i="49"/>
  <c r="K53" i="49" s="1"/>
  <c r="K44" i="49"/>
  <c r="J44" i="49" s="1"/>
  <c r="K34" i="49"/>
  <c r="K24" i="49"/>
  <c r="K23" i="49" s="1"/>
  <c r="K14" i="49"/>
  <c r="K54" i="48"/>
  <c r="L54" i="48" s="1"/>
  <c r="K44" i="48"/>
  <c r="K43" i="48" s="1"/>
  <c r="K34" i="48"/>
  <c r="K24" i="48"/>
  <c r="J24" i="48" s="1"/>
  <c r="K14" i="48"/>
  <c r="K54" i="15"/>
  <c r="J54" i="15" s="1"/>
  <c r="K44" i="15"/>
  <c r="K34" i="15"/>
  <c r="K24" i="15"/>
  <c r="K23" i="15" s="1"/>
  <c r="K14" i="15"/>
  <c r="K54" i="50"/>
  <c r="K53" i="50" s="1"/>
  <c r="K44" i="50"/>
  <c r="K43" i="50" s="1"/>
  <c r="K34" i="50"/>
  <c r="K24" i="50"/>
  <c r="K23" i="50" s="1"/>
  <c r="K14" i="50"/>
  <c r="K13" i="50" s="1"/>
  <c r="B1" i="2"/>
  <c r="A6" i="42"/>
  <c r="A7" i="42"/>
  <c r="A8" i="42"/>
  <c r="A9" i="42"/>
  <c r="A151" i="57"/>
  <c r="A152" i="57"/>
  <c r="A153" i="57"/>
  <c r="A154"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08" i="57"/>
  <c r="A209" i="57"/>
  <c r="A210" i="57"/>
  <c r="A211" i="57"/>
  <c r="A212"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66" i="57"/>
  <c r="A267" i="57"/>
  <c r="A268" i="57"/>
  <c r="A269" i="57"/>
  <c r="A270"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12" i="41"/>
  <c r="A13" i="41"/>
  <c r="A14" i="41"/>
  <c r="A15" i="41"/>
  <c r="A16" i="41"/>
  <c r="A17" i="41"/>
  <c r="A18" i="41"/>
  <c r="A19" i="41"/>
  <c r="A20" i="41"/>
  <c r="A21" i="41"/>
  <c r="A2" i="41"/>
  <c r="A3" i="41"/>
  <c r="A4" i="41"/>
  <c r="A5" i="41"/>
  <c r="A6" i="41"/>
  <c r="A7" i="41"/>
  <c r="A8" i="41"/>
  <c r="A9" i="41"/>
  <c r="A10" i="41"/>
  <c r="A11" i="41"/>
  <c r="H9" i="2"/>
  <c r="I9" i="2" s="1"/>
  <c r="D54" i="55"/>
  <c r="D44" i="55"/>
  <c r="D34" i="55"/>
  <c r="D14" i="55"/>
  <c r="D54" i="53"/>
  <c r="D44" i="53"/>
  <c r="D24" i="53"/>
  <c r="D14" i="53"/>
  <c r="D44" i="51"/>
  <c r="D34" i="51"/>
  <c r="D24" i="51"/>
  <c r="D54" i="49"/>
  <c r="D44" i="49"/>
  <c r="D34" i="49"/>
  <c r="D14" i="49"/>
  <c r="A71" i="57"/>
  <c r="A72" i="57"/>
  <c r="A73" i="57"/>
  <c r="A74" i="57"/>
  <c r="A75" i="57"/>
  <c r="A76" i="57"/>
  <c r="A77" i="57"/>
  <c r="A78" i="57"/>
  <c r="A79" i="57"/>
  <c r="A80" i="57"/>
  <c r="A81" i="57"/>
  <c r="A82" i="57"/>
  <c r="A83" i="57"/>
  <c r="A84" i="57"/>
  <c r="A85" i="57"/>
  <c r="A86" i="57"/>
  <c r="A87" i="57"/>
  <c r="A88" i="57"/>
  <c r="A89" i="57"/>
  <c r="A90" i="57"/>
  <c r="A91" i="57"/>
  <c r="A92" i="57"/>
  <c r="A93" i="57"/>
  <c r="A94" i="57"/>
  <c r="A95" i="57"/>
  <c r="A96"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0" i="57"/>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2" i="57"/>
  <c r="A3" i="42"/>
  <c r="A4" i="42"/>
  <c r="A5" i="42"/>
  <c r="A2" i="42"/>
  <c r="B30" i="5"/>
  <c r="B28" i="5"/>
  <c r="B27" i="5"/>
  <c r="B26" i="5"/>
  <c r="B25" i="5"/>
  <c r="B24" i="5"/>
  <c r="B22" i="5"/>
  <c r="B21" i="5"/>
  <c r="B20" i="5"/>
  <c r="B11" i="5"/>
  <c r="B12" i="5"/>
  <c r="B13" i="5"/>
  <c r="B15" i="5"/>
  <c r="B9" i="5"/>
  <c r="D4" i="5"/>
  <c r="P4" i="5"/>
  <c r="D10" i="5"/>
  <c r="P10" i="5"/>
  <c r="D19" i="5"/>
  <c r="P19" i="5"/>
  <c r="D25" i="5"/>
  <c r="P25" i="5"/>
  <c r="H54" i="56"/>
  <c r="F54" i="56"/>
  <c r="H44" i="56"/>
  <c r="F44" i="56"/>
  <c r="F34" i="56"/>
  <c r="F24" i="56"/>
  <c r="F14" i="56"/>
  <c r="H54" i="54"/>
  <c r="F54" i="54"/>
  <c r="H44" i="54"/>
  <c r="F44" i="54"/>
  <c r="F34" i="54"/>
  <c r="F24" i="54"/>
  <c r="F14" i="54"/>
  <c r="H54" i="52"/>
  <c r="F54" i="52"/>
  <c r="H44" i="52"/>
  <c r="F44" i="52"/>
  <c r="F34" i="52"/>
  <c r="F24" i="52"/>
  <c r="F14" i="52"/>
  <c r="H54" i="50"/>
  <c r="F54" i="50"/>
  <c r="H44" i="50"/>
  <c r="F44" i="50"/>
  <c r="F34" i="50"/>
  <c r="F24" i="50"/>
  <c r="F14" i="50"/>
  <c r="H54" i="55"/>
  <c r="F54" i="55"/>
  <c r="H44" i="55"/>
  <c r="F44" i="55"/>
  <c r="H34" i="55"/>
  <c r="F34" i="55"/>
  <c r="H24" i="55"/>
  <c r="F24" i="55"/>
  <c r="H14" i="55"/>
  <c r="F14" i="55"/>
  <c r="H54" i="53"/>
  <c r="F54" i="53"/>
  <c r="H44" i="53"/>
  <c r="F44" i="53"/>
  <c r="H34" i="53"/>
  <c r="F34" i="53"/>
  <c r="H24" i="53"/>
  <c r="F24" i="53"/>
  <c r="H14" i="53"/>
  <c r="F14" i="53"/>
  <c r="H54" i="51"/>
  <c r="F54" i="51"/>
  <c r="H44" i="51"/>
  <c r="F44" i="51"/>
  <c r="H34" i="51"/>
  <c r="F34" i="51"/>
  <c r="H24" i="51"/>
  <c r="F24" i="51"/>
  <c r="H14" i="51"/>
  <c r="F14" i="51"/>
  <c r="H54" i="49"/>
  <c r="F54" i="49"/>
  <c r="H44" i="49"/>
  <c r="F44" i="49"/>
  <c r="H34" i="49"/>
  <c r="F34" i="49"/>
  <c r="H24" i="49"/>
  <c r="F24" i="49"/>
  <c r="H14" i="49"/>
  <c r="F14" i="49"/>
  <c r="H54" i="48"/>
  <c r="F54" i="48"/>
  <c r="H44" i="48"/>
  <c r="F44" i="48"/>
  <c r="H34" i="48"/>
  <c r="F34" i="48"/>
  <c r="H24" i="48"/>
  <c r="F24" i="48"/>
  <c r="H14" i="48"/>
  <c r="F14" i="48"/>
  <c r="H54" i="15"/>
  <c r="F54" i="15"/>
  <c r="H44" i="15"/>
  <c r="F44" i="15"/>
  <c r="H34" i="15"/>
  <c r="F34" i="15"/>
  <c r="H24" i="15"/>
  <c r="F24" i="15"/>
  <c r="H14" i="15"/>
  <c r="F14" i="15"/>
  <c r="AF54" i="56"/>
  <c r="AF53" i="56"/>
  <c r="AF44" i="56"/>
  <c r="AF43" i="56"/>
  <c r="AF34" i="56"/>
  <c r="AF33" i="56"/>
  <c r="AF24" i="56"/>
  <c r="AF23" i="56"/>
  <c r="AF14" i="56"/>
  <c r="AF13" i="56"/>
  <c r="AF4" i="56"/>
  <c r="AF3" i="56"/>
  <c r="AF54" i="55"/>
  <c r="AF53" i="55"/>
  <c r="AF44" i="55"/>
  <c r="AF43" i="55"/>
  <c r="AF34" i="55"/>
  <c r="AF33" i="55"/>
  <c r="AF24" i="55"/>
  <c r="AF23" i="55"/>
  <c r="AF14" i="55"/>
  <c r="AF13" i="55"/>
  <c r="AF4" i="55"/>
  <c r="AF3" i="55"/>
  <c r="AF54" i="54"/>
  <c r="AF53" i="54"/>
  <c r="AF44" i="54"/>
  <c r="AF43" i="54"/>
  <c r="AF34" i="54"/>
  <c r="AF33" i="54"/>
  <c r="AF24" i="54"/>
  <c r="AF23" i="54"/>
  <c r="AF14" i="54"/>
  <c r="AF13" i="54"/>
  <c r="AF4" i="54"/>
  <c r="AF3" i="54"/>
  <c r="AF54" i="53"/>
  <c r="AF53" i="53"/>
  <c r="AF44" i="53"/>
  <c r="AF43" i="53"/>
  <c r="AF34" i="53"/>
  <c r="AF33" i="53"/>
  <c r="AF24" i="53"/>
  <c r="AF23" i="53"/>
  <c r="AF14" i="53"/>
  <c r="AF13" i="53"/>
  <c r="AF4" i="53"/>
  <c r="AF3" i="53"/>
  <c r="AF54" i="52"/>
  <c r="AF53" i="52"/>
  <c r="AF44" i="52"/>
  <c r="AF43" i="52"/>
  <c r="AF34" i="52"/>
  <c r="AF33" i="52"/>
  <c r="AF24" i="52"/>
  <c r="AF23" i="52"/>
  <c r="AF14" i="52"/>
  <c r="AF13" i="52"/>
  <c r="AF4" i="52"/>
  <c r="AF3" i="52"/>
  <c r="AF54" i="51"/>
  <c r="AF53" i="51"/>
  <c r="AF44" i="51"/>
  <c r="AF43" i="51"/>
  <c r="AF34" i="51"/>
  <c r="AF33" i="51"/>
  <c r="AF24" i="51"/>
  <c r="AF23" i="51"/>
  <c r="AF14" i="51"/>
  <c r="AF13" i="51"/>
  <c r="AF4" i="51"/>
  <c r="AF3" i="51"/>
  <c r="AF54" i="50"/>
  <c r="AF53" i="50"/>
  <c r="AF44" i="50"/>
  <c r="AF43" i="50"/>
  <c r="AF34" i="50"/>
  <c r="AF33" i="50"/>
  <c r="AF24" i="50"/>
  <c r="AF23" i="50"/>
  <c r="AF14" i="50"/>
  <c r="AF13" i="50"/>
  <c r="AF4" i="50"/>
  <c r="AF3" i="50"/>
  <c r="AF54" i="49"/>
  <c r="AF53" i="49"/>
  <c r="AF44" i="49"/>
  <c r="AF43" i="49"/>
  <c r="AF34" i="49"/>
  <c r="AF33" i="49"/>
  <c r="AF24" i="49"/>
  <c r="AF23" i="49"/>
  <c r="AF14" i="49"/>
  <c r="AF13" i="49"/>
  <c r="AF4" i="49"/>
  <c r="AF3" i="49"/>
  <c r="AF54" i="48"/>
  <c r="AF53" i="48"/>
  <c r="AF44" i="48"/>
  <c r="AF43" i="48"/>
  <c r="AF34" i="48"/>
  <c r="AF33" i="48"/>
  <c r="AF24" i="48"/>
  <c r="AF23" i="48"/>
  <c r="AF14" i="48"/>
  <c r="AF13" i="48"/>
  <c r="AF4" i="48"/>
  <c r="AF3" i="48"/>
  <c r="AF54" i="15"/>
  <c r="AF53" i="15"/>
  <c r="AF44" i="15"/>
  <c r="AF43" i="15"/>
  <c r="AF34" i="15"/>
  <c r="AF33" i="15"/>
  <c r="AF24" i="15"/>
  <c r="AF23" i="15"/>
  <c r="AF14" i="15"/>
  <c r="AF13" i="15"/>
  <c r="AF4" i="15"/>
  <c r="AF3" i="15"/>
  <c r="AG77" i="5"/>
  <c r="AF77" i="5"/>
  <c r="AE77" i="5"/>
  <c r="AL69" i="5"/>
  <c r="AE69" i="5"/>
  <c r="R4" i="34"/>
  <c r="Q4" i="34"/>
  <c r="P4" i="34"/>
  <c r="J4" i="34"/>
  <c r="I4" i="34"/>
  <c r="H4" i="34"/>
  <c r="S74" i="5"/>
  <c r="N4" i="34"/>
  <c r="M4" i="34"/>
  <c r="L4" i="34"/>
  <c r="BJ69" i="5"/>
  <c r="BE77" i="5"/>
  <c r="BG77" i="5"/>
  <c r="BF77" i="5"/>
  <c r="BE69" i="5"/>
  <c r="C26" i="3"/>
  <c r="C25" i="3"/>
  <c r="P32" i="5"/>
  <c r="D32" i="5"/>
  <c r="G6" i="14"/>
  <c r="F6" i="14"/>
  <c r="AE2" i="14"/>
  <c r="AF3" i="14"/>
  <c r="G30" i="14"/>
  <c r="F30" i="14"/>
  <c r="G22" i="14"/>
  <c r="F22" i="14"/>
  <c r="G14" i="14"/>
  <c r="F14" i="14"/>
  <c r="G10" i="4"/>
  <c r="F10" i="4"/>
  <c r="AF2" i="14"/>
  <c r="D54" i="15"/>
  <c r="D54" i="50"/>
  <c r="D24" i="15"/>
  <c r="D24" i="48"/>
  <c r="E30" i="14"/>
  <c r="D34" i="15"/>
  <c r="D24" i="54"/>
  <c r="D44" i="56"/>
  <c r="D14" i="50"/>
  <c r="D34" i="52"/>
  <c r="D14" i="54"/>
  <c r="D54" i="48"/>
  <c r="D44" i="48"/>
  <c r="D54" i="56"/>
  <c r="D14" i="48"/>
  <c r="D14" i="15"/>
  <c r="E14" i="14"/>
  <c r="D14" i="52"/>
  <c r="E22" i="14"/>
  <c r="D34" i="54"/>
  <c r="D44" i="54"/>
  <c r="D24" i="50"/>
  <c r="D34" i="56"/>
  <c r="D54" i="54"/>
  <c r="D44" i="52"/>
  <c r="AG48" i="14"/>
  <c r="AH48" i="14" s="1"/>
  <c r="AI48" i="14" s="1"/>
  <c r="AJ48" i="14" s="1"/>
  <c r="AK48" i="14" s="1"/>
  <c r="AL48" i="14" s="1"/>
  <c r="AM48" i="14" s="1"/>
  <c r="AN48" i="14" s="1"/>
  <c r="AO48" i="14" s="1"/>
  <c r="AP48" i="14" s="1"/>
  <c r="AQ48" i="14" s="1"/>
  <c r="AR48" i="14" s="1"/>
  <c r="AS48" i="14" s="1"/>
  <c r="AT48" i="14" s="1"/>
  <c r="AU48" i="14" s="1"/>
  <c r="AV48" i="14" s="1"/>
  <c r="AW48" i="14" s="1"/>
  <c r="AX48" i="14" s="1"/>
  <c r="AY48" i="14" s="1"/>
  <c r="AZ48" i="14" s="1"/>
  <c r="J14" i="14"/>
  <c r="J13" i="14" s="1"/>
  <c r="AG40" i="14"/>
  <c r="AH40" i="14" s="1"/>
  <c r="AI40" i="14" s="1"/>
  <c r="AJ40" i="14" s="1"/>
  <c r="AK40" i="14" s="1"/>
  <c r="AL40" i="14" s="1"/>
  <c r="AM40" i="14" s="1"/>
  <c r="AN40" i="14" s="1"/>
  <c r="AO40" i="14" s="1"/>
  <c r="AP40" i="14" s="1"/>
  <c r="AQ40" i="14" s="1"/>
  <c r="AR40" i="14" s="1"/>
  <c r="AS40" i="14" s="1"/>
  <c r="AT40" i="14" s="1"/>
  <c r="AU40" i="14" s="1"/>
  <c r="AV40" i="14" s="1"/>
  <c r="AW40" i="14" s="1"/>
  <c r="AX40" i="14" s="1"/>
  <c r="AY40" i="14" s="1"/>
  <c r="AZ40" i="14" s="1"/>
  <c r="AG14" i="14"/>
  <c r="AG13" i="14" s="1"/>
  <c r="AG30" i="14"/>
  <c r="AG29" i="14" s="1"/>
  <c r="J22" i="14"/>
  <c r="J21" i="14" s="1"/>
  <c r="D10" i="4"/>
  <c r="E6" i="14"/>
  <c r="J6" i="14"/>
  <c r="J5" i="14" s="1"/>
  <c r="I5" i="10"/>
  <c r="E5" i="10"/>
  <c r="F5" i="10"/>
  <c r="H5" i="10"/>
  <c r="D5" i="10"/>
  <c r="J5" i="10"/>
  <c r="L4" i="54" l="1"/>
  <c r="L3" i="54" s="1"/>
  <c r="K3" i="15"/>
  <c r="L4" i="56"/>
  <c r="L3" i="56" s="1"/>
  <c r="K3" i="56"/>
  <c r="AH116" i="15"/>
  <c r="J4" i="54"/>
  <c r="AL3" i="53"/>
  <c r="AJ3" i="53"/>
  <c r="AJ97" i="54"/>
  <c r="AK97" i="54" s="1"/>
  <c r="AL97" i="54" s="1"/>
  <c r="AM97" i="54" s="1"/>
  <c r="AN97" i="54" s="1"/>
  <c r="AO97" i="54" s="1"/>
  <c r="AP97" i="54" s="1"/>
  <c r="AQ97" i="54" s="1"/>
  <c r="AR97" i="54" s="1"/>
  <c r="AS97" i="54" s="1"/>
  <c r="AT97" i="54" s="1"/>
  <c r="AU97" i="54" s="1"/>
  <c r="AV97" i="54" s="1"/>
  <c r="AW97" i="54" s="1"/>
  <c r="AX97" i="54" s="1"/>
  <c r="AY97" i="54" s="1"/>
  <c r="AZ97" i="54" s="1"/>
  <c r="BA97" i="54" s="1"/>
  <c r="BB97" i="54" s="1"/>
  <c r="L4" i="15"/>
  <c r="M4" i="15" s="1"/>
  <c r="AI3" i="55"/>
  <c r="AD276" i="8"/>
  <c r="AD268" i="8"/>
  <c r="AD156" i="8"/>
  <c r="AD279" i="8"/>
  <c r="AD278" i="8"/>
  <c r="AD271" i="8"/>
  <c r="AD270" i="8"/>
  <c r="AD263" i="8"/>
  <c r="AD262" i="8"/>
  <c r="AD166" i="8"/>
  <c r="AD158" i="8"/>
  <c r="AD150" i="8"/>
  <c r="AD142" i="8"/>
  <c r="AD134" i="8"/>
  <c r="AD273" i="8"/>
  <c r="AD265" i="8"/>
  <c r="AD169" i="8"/>
  <c r="AD168" i="8"/>
  <c r="AD161" i="8"/>
  <c r="AD160" i="8"/>
  <c r="AD153" i="8"/>
  <c r="AD152" i="8"/>
  <c r="AD145" i="8"/>
  <c r="AD144" i="8"/>
  <c r="AD137" i="8"/>
  <c r="AD136" i="8"/>
  <c r="B7" i="10"/>
  <c r="H7" i="10" s="1"/>
  <c r="B8" i="10"/>
  <c r="E8" i="10" s="1"/>
  <c r="B9" i="10"/>
  <c r="H9" i="10" s="1"/>
  <c r="AO4" i="53"/>
  <c r="AP4" i="53" s="1"/>
  <c r="AQ4" i="53" s="1"/>
  <c r="AR4" i="53" s="1"/>
  <c r="AS4" i="53" s="1"/>
  <c r="AT4" i="53" s="1"/>
  <c r="AU4" i="53" s="1"/>
  <c r="AV4" i="53" s="1"/>
  <c r="AW4" i="53" s="1"/>
  <c r="AX4" i="53" s="1"/>
  <c r="AY4" i="53" s="1"/>
  <c r="AZ4" i="53" s="1"/>
  <c r="AJ97" i="50"/>
  <c r="AK97" i="50" s="1"/>
  <c r="AL97" i="50" s="1"/>
  <c r="AM97" i="50" s="1"/>
  <c r="AN97" i="50" s="1"/>
  <c r="AO97" i="50" s="1"/>
  <c r="AP97" i="50" s="1"/>
  <c r="AQ97" i="50" s="1"/>
  <c r="AR97" i="50" s="1"/>
  <c r="AS97" i="50" s="1"/>
  <c r="AT97" i="50" s="1"/>
  <c r="AU97" i="50" s="1"/>
  <c r="AV97" i="50" s="1"/>
  <c r="AW97" i="50" s="1"/>
  <c r="AX97" i="50" s="1"/>
  <c r="AY97" i="50" s="1"/>
  <c r="AZ97" i="50" s="1"/>
  <c r="BA97" i="50" s="1"/>
  <c r="BB97" i="50" s="1"/>
  <c r="AJ14" i="49"/>
  <c r="AJ13" i="49" s="1"/>
  <c r="K6" i="2"/>
  <c r="L6" i="2" s="1"/>
  <c r="AL44" i="55"/>
  <c r="AM44" i="55" s="1"/>
  <c r="AJ66" i="55"/>
  <c r="AK66" i="55" s="1"/>
  <c r="AL66" i="55" s="1"/>
  <c r="AM66" i="55" s="1"/>
  <c r="AN66" i="55" s="1"/>
  <c r="AO66" i="55" s="1"/>
  <c r="AP66" i="55" s="1"/>
  <c r="AQ66" i="55" s="1"/>
  <c r="AR66" i="55" s="1"/>
  <c r="AS66" i="55" s="1"/>
  <c r="AT66" i="55" s="1"/>
  <c r="AU66" i="55" s="1"/>
  <c r="AV66" i="55" s="1"/>
  <c r="AW66" i="55" s="1"/>
  <c r="AX66" i="55" s="1"/>
  <c r="AY66" i="55" s="1"/>
  <c r="AZ66" i="55" s="1"/>
  <c r="BA66" i="55" s="1"/>
  <c r="BB66" i="55" s="1"/>
  <c r="K3" i="50"/>
  <c r="AJ97" i="56"/>
  <c r="AK97" i="56" s="1"/>
  <c r="AL97" i="56" s="1"/>
  <c r="AM97" i="56" s="1"/>
  <c r="AN97" i="56" s="1"/>
  <c r="AO97" i="56" s="1"/>
  <c r="AP97" i="56" s="1"/>
  <c r="AQ97" i="56" s="1"/>
  <c r="AR97" i="56" s="1"/>
  <c r="AS97" i="56" s="1"/>
  <c r="AT97" i="56" s="1"/>
  <c r="AU97" i="56" s="1"/>
  <c r="AV97" i="56" s="1"/>
  <c r="AW97" i="56" s="1"/>
  <c r="AX97" i="56" s="1"/>
  <c r="AY97" i="56" s="1"/>
  <c r="AZ97" i="56" s="1"/>
  <c r="BA97" i="56" s="1"/>
  <c r="BB97" i="56" s="1"/>
  <c r="AH88" i="50"/>
  <c r="AJ66" i="15"/>
  <c r="AK66" i="15" s="1"/>
  <c r="AL66" i="15" s="1"/>
  <c r="AM66" i="15" s="1"/>
  <c r="AN66" i="15" s="1"/>
  <c r="AO66" i="15" s="1"/>
  <c r="AP66" i="15" s="1"/>
  <c r="AQ66" i="15" s="1"/>
  <c r="AR66" i="15" s="1"/>
  <c r="AS66" i="15" s="1"/>
  <c r="AT66" i="15" s="1"/>
  <c r="AU66" i="15" s="1"/>
  <c r="AV66" i="15" s="1"/>
  <c r="AW66" i="15" s="1"/>
  <c r="AX66" i="15" s="1"/>
  <c r="AY66" i="15" s="1"/>
  <c r="AZ66" i="15" s="1"/>
  <c r="BA66" i="15" s="1"/>
  <c r="BB66" i="15" s="1"/>
  <c r="N44" i="56"/>
  <c r="N43" i="56" s="1"/>
  <c r="AJ88" i="53"/>
  <c r="AK88" i="53" s="1"/>
  <c r="AL88" i="53" s="1"/>
  <c r="AM88" i="53" s="1"/>
  <c r="AN88" i="53" s="1"/>
  <c r="AO88" i="53" s="1"/>
  <c r="AP88" i="53" s="1"/>
  <c r="AQ88" i="53" s="1"/>
  <c r="AR88" i="53" s="1"/>
  <c r="AS88" i="53" s="1"/>
  <c r="AT88" i="53" s="1"/>
  <c r="AU88" i="53" s="1"/>
  <c r="AV88" i="53" s="1"/>
  <c r="AW88" i="53" s="1"/>
  <c r="AX88" i="53" s="1"/>
  <c r="AY88" i="53" s="1"/>
  <c r="AZ88" i="53" s="1"/>
  <c r="BA88" i="53" s="1"/>
  <c r="BB88" i="53" s="1"/>
  <c r="AJ34" i="52"/>
  <c r="AK34" i="52" s="1"/>
  <c r="AK33" i="52" s="1"/>
  <c r="J14" i="50"/>
  <c r="AJ24" i="48"/>
  <c r="AK24" i="48" s="1"/>
  <c r="AK23" i="48" s="1"/>
  <c r="L4" i="50"/>
  <c r="M4" i="50" s="1"/>
  <c r="M3" i="50" s="1"/>
  <c r="AJ88" i="55"/>
  <c r="AK88" i="55" s="1"/>
  <c r="AL88" i="55" s="1"/>
  <c r="AM88" i="55" s="1"/>
  <c r="AN88" i="55" s="1"/>
  <c r="AO88" i="55" s="1"/>
  <c r="AP88" i="55" s="1"/>
  <c r="AQ88" i="55" s="1"/>
  <c r="AR88" i="55" s="1"/>
  <c r="AS88" i="55" s="1"/>
  <c r="AT88" i="55" s="1"/>
  <c r="AU88" i="55" s="1"/>
  <c r="AV88" i="55" s="1"/>
  <c r="AW88" i="55" s="1"/>
  <c r="AX88" i="55" s="1"/>
  <c r="AY88" i="55" s="1"/>
  <c r="AZ88" i="55" s="1"/>
  <c r="BA88" i="55" s="1"/>
  <c r="BB88" i="55" s="1"/>
  <c r="J34" i="51"/>
  <c r="K5" i="2"/>
  <c r="L5" i="2" s="1"/>
  <c r="K9" i="2"/>
  <c r="L9" i="2" s="1"/>
  <c r="K4" i="2"/>
  <c r="L4" i="2" s="1"/>
  <c r="K7" i="2"/>
  <c r="L7" i="2" s="1"/>
  <c r="K8" i="2"/>
  <c r="L8" i="2" s="1"/>
  <c r="C24" i="53"/>
  <c r="AG6" i="14"/>
  <c r="AH6" i="14" s="1"/>
  <c r="AH5" i="14" s="1"/>
  <c r="AG22" i="14"/>
  <c r="AG21" i="14" s="1"/>
  <c r="J30" i="14"/>
  <c r="J29" i="14" s="1"/>
  <c r="D54" i="52"/>
  <c r="D14" i="56"/>
  <c r="D24" i="56"/>
  <c r="D34" i="50"/>
  <c r="D34" i="48"/>
  <c r="D44" i="15"/>
  <c r="D44" i="50"/>
  <c r="D24" i="52"/>
  <c r="D24" i="49"/>
  <c r="D14" i="51"/>
  <c r="D54" i="51"/>
  <c r="D34" i="53"/>
  <c r="D24" i="55"/>
  <c r="D30" i="14"/>
  <c r="B107" i="9"/>
  <c r="A107" i="9" s="1"/>
  <c r="B9" i="9"/>
  <c r="A9" i="9" s="1"/>
  <c r="C34" i="53"/>
  <c r="AR3" i="53"/>
  <c r="AK3" i="53"/>
  <c r="L14" i="54"/>
  <c r="L13" i="54" s="1"/>
  <c r="K53" i="51"/>
  <c r="AJ44" i="53"/>
  <c r="AH14" i="53"/>
  <c r="AJ97" i="52"/>
  <c r="AK97" i="52" s="1"/>
  <c r="AL97" i="52" s="1"/>
  <c r="AM97" i="52" s="1"/>
  <c r="AN97" i="52" s="1"/>
  <c r="AO97" i="52" s="1"/>
  <c r="AP97" i="52" s="1"/>
  <c r="AQ97" i="52" s="1"/>
  <c r="AR97" i="52" s="1"/>
  <c r="AS97" i="52" s="1"/>
  <c r="AT97" i="52" s="1"/>
  <c r="AU97" i="52" s="1"/>
  <c r="AV97" i="52" s="1"/>
  <c r="AW97" i="52" s="1"/>
  <c r="AX97" i="52" s="1"/>
  <c r="AY97" i="52" s="1"/>
  <c r="AZ97" i="52" s="1"/>
  <c r="BA97" i="52" s="1"/>
  <c r="BB97" i="52" s="1"/>
  <c r="C24" i="52"/>
  <c r="D6" i="14"/>
  <c r="AM3" i="53"/>
  <c r="AH24" i="48"/>
  <c r="AI3" i="53"/>
  <c r="AH4" i="53"/>
  <c r="K23" i="48"/>
  <c r="AH67" i="56"/>
  <c r="AJ97" i="48"/>
  <c r="AK97" i="48" s="1"/>
  <c r="AL97" i="48" s="1"/>
  <c r="AM97" i="48" s="1"/>
  <c r="AN97" i="48" s="1"/>
  <c r="AO97" i="48" s="1"/>
  <c r="AP97" i="48" s="1"/>
  <c r="AQ97" i="48" s="1"/>
  <c r="AR97" i="48" s="1"/>
  <c r="AS97" i="48" s="1"/>
  <c r="AT97" i="48" s="1"/>
  <c r="AU97" i="48" s="1"/>
  <c r="AV97" i="48" s="1"/>
  <c r="AW97" i="48" s="1"/>
  <c r="AX97" i="48" s="1"/>
  <c r="AY97" i="48" s="1"/>
  <c r="AZ97" i="48" s="1"/>
  <c r="BA97" i="48" s="1"/>
  <c r="BB97" i="48" s="1"/>
  <c r="AI43" i="51"/>
  <c r="AI43" i="55"/>
  <c r="J54" i="50"/>
  <c r="AJ88" i="54"/>
  <c r="AK88" i="54" s="1"/>
  <c r="AL88" i="54" s="1"/>
  <c r="AM88" i="54" s="1"/>
  <c r="AN88" i="54" s="1"/>
  <c r="AO88" i="54" s="1"/>
  <c r="AP88" i="54" s="1"/>
  <c r="AQ88" i="54" s="1"/>
  <c r="AR88" i="54" s="1"/>
  <c r="AS88" i="54" s="1"/>
  <c r="AT88" i="54" s="1"/>
  <c r="AU88" i="54" s="1"/>
  <c r="AV88" i="54" s="1"/>
  <c r="AW88" i="54" s="1"/>
  <c r="AX88" i="54" s="1"/>
  <c r="AY88" i="54" s="1"/>
  <c r="AZ88" i="54" s="1"/>
  <c r="BA88" i="54" s="1"/>
  <c r="BB88" i="54" s="1"/>
  <c r="AJ66" i="51"/>
  <c r="AK66" i="51" s="1"/>
  <c r="AL66" i="51" s="1"/>
  <c r="AM66" i="51" s="1"/>
  <c r="AN66" i="51" s="1"/>
  <c r="AO66" i="51" s="1"/>
  <c r="AP66" i="51" s="1"/>
  <c r="AQ66" i="51" s="1"/>
  <c r="AR66" i="51" s="1"/>
  <c r="AS66" i="51" s="1"/>
  <c r="AT66" i="51" s="1"/>
  <c r="AU66" i="51" s="1"/>
  <c r="AV66" i="51" s="1"/>
  <c r="AW66" i="51" s="1"/>
  <c r="AX66" i="51" s="1"/>
  <c r="AY66" i="51" s="1"/>
  <c r="AZ66" i="51" s="1"/>
  <c r="BA66" i="51" s="1"/>
  <c r="BB66" i="51" s="1"/>
  <c r="AJ97" i="49"/>
  <c r="AK97" i="49" s="1"/>
  <c r="AL97" i="49" s="1"/>
  <c r="AM97" i="49" s="1"/>
  <c r="AN97" i="49" s="1"/>
  <c r="AO97" i="49" s="1"/>
  <c r="AP97" i="49" s="1"/>
  <c r="AQ97" i="49" s="1"/>
  <c r="AR97" i="49" s="1"/>
  <c r="AS97" i="49" s="1"/>
  <c r="AT97" i="49" s="1"/>
  <c r="AU97" i="49" s="1"/>
  <c r="AV97" i="49" s="1"/>
  <c r="AW97" i="49" s="1"/>
  <c r="AX97" i="49" s="1"/>
  <c r="AY97" i="49" s="1"/>
  <c r="AZ97" i="49" s="1"/>
  <c r="BA97" i="49" s="1"/>
  <c r="BB97" i="49" s="1"/>
  <c r="L43" i="56"/>
  <c r="L54" i="50"/>
  <c r="M34" i="51"/>
  <c r="M33" i="51" s="1"/>
  <c r="K13" i="55"/>
  <c r="AJ24" i="15"/>
  <c r="AJ23" i="15" s="1"/>
  <c r="AJ44" i="51"/>
  <c r="AJ43" i="55"/>
  <c r="AJ97" i="55"/>
  <c r="AK97" i="55" s="1"/>
  <c r="AL97" i="55" s="1"/>
  <c r="AM97" i="55" s="1"/>
  <c r="AN97" i="55" s="1"/>
  <c r="AO97" i="55" s="1"/>
  <c r="AP97" i="55" s="1"/>
  <c r="AQ97" i="55" s="1"/>
  <c r="AR97" i="55" s="1"/>
  <c r="AS97" i="55" s="1"/>
  <c r="AT97" i="55" s="1"/>
  <c r="AU97" i="55" s="1"/>
  <c r="AV97" i="55" s="1"/>
  <c r="AW97" i="55" s="1"/>
  <c r="AX97" i="55" s="1"/>
  <c r="AY97" i="55" s="1"/>
  <c r="AZ97" i="55" s="1"/>
  <c r="BA97" i="55" s="1"/>
  <c r="BB97" i="55" s="1"/>
  <c r="K53" i="52"/>
  <c r="C34" i="50"/>
  <c r="D4" i="56"/>
  <c r="D4" i="54"/>
  <c r="AK4" i="55"/>
  <c r="AK3" i="55" s="1"/>
  <c r="AJ97" i="53"/>
  <c r="AK97" i="53" s="1"/>
  <c r="AL97" i="53" s="1"/>
  <c r="AM97" i="53" s="1"/>
  <c r="AN97" i="53" s="1"/>
  <c r="AO97" i="53" s="1"/>
  <c r="AP97" i="53" s="1"/>
  <c r="AQ97" i="53" s="1"/>
  <c r="AR97" i="53" s="1"/>
  <c r="AS97" i="53" s="1"/>
  <c r="AT97" i="53" s="1"/>
  <c r="AU97" i="53" s="1"/>
  <c r="AV97" i="53" s="1"/>
  <c r="AW97" i="53" s="1"/>
  <c r="AX97" i="53" s="1"/>
  <c r="AY97" i="53" s="1"/>
  <c r="AZ97" i="53" s="1"/>
  <c r="BA97" i="53" s="1"/>
  <c r="BB97" i="53" s="1"/>
  <c r="AK54" i="56"/>
  <c r="AK53" i="56" s="1"/>
  <c r="K53" i="15"/>
  <c r="J34" i="55"/>
  <c r="J24" i="15"/>
  <c r="AH44" i="53"/>
  <c r="AH4" i="55"/>
  <c r="AJ107" i="53"/>
  <c r="AK107" i="53" s="1"/>
  <c r="AL107" i="53" s="1"/>
  <c r="AM107" i="53" s="1"/>
  <c r="AN107" i="53" s="1"/>
  <c r="AO107" i="53" s="1"/>
  <c r="AP107" i="53" s="1"/>
  <c r="AQ107" i="53" s="1"/>
  <c r="AR107" i="53" s="1"/>
  <c r="AS107" i="53" s="1"/>
  <c r="AT107" i="53" s="1"/>
  <c r="AU107" i="53" s="1"/>
  <c r="AV107" i="53" s="1"/>
  <c r="AW107" i="53" s="1"/>
  <c r="AX107" i="53" s="1"/>
  <c r="AY107" i="53" s="1"/>
  <c r="AZ107" i="53" s="1"/>
  <c r="BA107" i="53" s="1"/>
  <c r="BB107" i="53" s="1"/>
  <c r="AJ88" i="48"/>
  <c r="AK88" i="48" s="1"/>
  <c r="AL88" i="48" s="1"/>
  <c r="AM88" i="48" s="1"/>
  <c r="AN88" i="48" s="1"/>
  <c r="AO88" i="48" s="1"/>
  <c r="AP88" i="48" s="1"/>
  <c r="AQ88" i="48" s="1"/>
  <c r="AR88" i="48" s="1"/>
  <c r="AS88" i="48" s="1"/>
  <c r="AT88" i="48" s="1"/>
  <c r="AU88" i="48" s="1"/>
  <c r="AV88" i="48" s="1"/>
  <c r="AW88" i="48" s="1"/>
  <c r="AX88" i="48" s="1"/>
  <c r="AY88" i="48" s="1"/>
  <c r="AZ88" i="48" s="1"/>
  <c r="BA88" i="48" s="1"/>
  <c r="BB88" i="48" s="1"/>
  <c r="AJ88" i="52"/>
  <c r="AK88" i="52" s="1"/>
  <c r="AL88" i="52" s="1"/>
  <c r="AM88" i="52" s="1"/>
  <c r="AN88" i="52" s="1"/>
  <c r="AO88" i="52" s="1"/>
  <c r="AP88" i="52" s="1"/>
  <c r="AQ88" i="52" s="1"/>
  <c r="AR88" i="52" s="1"/>
  <c r="AS88" i="52" s="1"/>
  <c r="AT88" i="52" s="1"/>
  <c r="AU88" i="52" s="1"/>
  <c r="AV88" i="52" s="1"/>
  <c r="AW88" i="52" s="1"/>
  <c r="AX88" i="52" s="1"/>
  <c r="AY88" i="52" s="1"/>
  <c r="AZ88" i="52" s="1"/>
  <c r="BA88" i="52" s="1"/>
  <c r="BB88" i="52" s="1"/>
  <c r="AH14" i="54"/>
  <c r="L14" i="50"/>
  <c r="M14" i="50" s="1"/>
  <c r="N14" i="50" s="1"/>
  <c r="O14" i="50" s="1"/>
  <c r="O13" i="50" s="1"/>
  <c r="L54" i="15"/>
  <c r="M54" i="15" s="1"/>
  <c r="M53" i="15" s="1"/>
  <c r="AH116" i="54"/>
  <c r="AJ66" i="49"/>
  <c r="AK66" i="49" s="1"/>
  <c r="AL66" i="49" s="1"/>
  <c r="AM66" i="49" s="1"/>
  <c r="AN66" i="49" s="1"/>
  <c r="AO66" i="49" s="1"/>
  <c r="AP66" i="49" s="1"/>
  <c r="AQ66" i="49" s="1"/>
  <c r="AR66" i="49" s="1"/>
  <c r="AS66" i="49" s="1"/>
  <c r="AT66" i="49" s="1"/>
  <c r="AU66" i="49" s="1"/>
  <c r="AV66" i="49" s="1"/>
  <c r="AW66" i="49" s="1"/>
  <c r="AX66" i="49" s="1"/>
  <c r="AY66" i="49" s="1"/>
  <c r="AZ66" i="49" s="1"/>
  <c r="BA66" i="49" s="1"/>
  <c r="BB66" i="49" s="1"/>
  <c r="AJ88" i="56"/>
  <c r="AK88" i="56" s="1"/>
  <c r="AL88" i="56" s="1"/>
  <c r="AM88" i="56" s="1"/>
  <c r="AN88" i="56" s="1"/>
  <c r="AO88" i="56" s="1"/>
  <c r="AP88" i="56" s="1"/>
  <c r="AQ88" i="56" s="1"/>
  <c r="AR88" i="56" s="1"/>
  <c r="AS88" i="56" s="1"/>
  <c r="AT88" i="56" s="1"/>
  <c r="AU88" i="56" s="1"/>
  <c r="AV88" i="56" s="1"/>
  <c r="AW88" i="56" s="1"/>
  <c r="AX88" i="56" s="1"/>
  <c r="AY88" i="56" s="1"/>
  <c r="AZ88" i="56" s="1"/>
  <c r="BA88" i="56" s="1"/>
  <c r="BB88" i="56" s="1"/>
  <c r="L54" i="54"/>
  <c r="AI33" i="54"/>
  <c r="J54" i="54"/>
  <c r="AJ14" i="54"/>
  <c r="AK14" i="54" s="1"/>
  <c r="AL14" i="54" s="1"/>
  <c r="AL13" i="54" s="1"/>
  <c r="AH79" i="55"/>
  <c r="AJ66" i="53"/>
  <c r="AK66" i="53" s="1"/>
  <c r="AL66" i="53" s="1"/>
  <c r="AM66" i="53" s="1"/>
  <c r="AN66" i="53" s="1"/>
  <c r="AO66" i="53" s="1"/>
  <c r="AP66" i="53" s="1"/>
  <c r="AQ66" i="53" s="1"/>
  <c r="AR66" i="53" s="1"/>
  <c r="AS66" i="53" s="1"/>
  <c r="AT66" i="53" s="1"/>
  <c r="AU66" i="53" s="1"/>
  <c r="AV66" i="53" s="1"/>
  <c r="AW66" i="53" s="1"/>
  <c r="AX66" i="53" s="1"/>
  <c r="AY66" i="53" s="1"/>
  <c r="AZ66" i="53" s="1"/>
  <c r="BA66" i="53" s="1"/>
  <c r="BB66" i="53" s="1"/>
  <c r="K23" i="51"/>
  <c r="AI53" i="51"/>
  <c r="AH24" i="15"/>
  <c r="AH66" i="50"/>
  <c r="AJ88" i="51"/>
  <c r="AK88" i="51" s="1"/>
  <c r="AL88" i="51" s="1"/>
  <c r="AM88" i="51" s="1"/>
  <c r="AN88" i="51" s="1"/>
  <c r="AO88" i="51" s="1"/>
  <c r="AP88" i="51" s="1"/>
  <c r="AQ88" i="51" s="1"/>
  <c r="AR88" i="51" s="1"/>
  <c r="AS88" i="51" s="1"/>
  <c r="AT88" i="51" s="1"/>
  <c r="AU88" i="51" s="1"/>
  <c r="AV88" i="51" s="1"/>
  <c r="AW88" i="51" s="1"/>
  <c r="AX88" i="51" s="1"/>
  <c r="AY88" i="51" s="1"/>
  <c r="AZ88" i="51" s="1"/>
  <c r="BA88" i="51" s="1"/>
  <c r="BB88" i="51" s="1"/>
  <c r="AJ88" i="15"/>
  <c r="AK88" i="15" s="1"/>
  <c r="AL88" i="15" s="1"/>
  <c r="AM88" i="15" s="1"/>
  <c r="AN88" i="15" s="1"/>
  <c r="AO88" i="15" s="1"/>
  <c r="AP88" i="15" s="1"/>
  <c r="AQ88" i="15" s="1"/>
  <c r="AR88" i="15" s="1"/>
  <c r="AS88" i="15" s="1"/>
  <c r="AT88" i="15" s="1"/>
  <c r="AU88" i="15" s="1"/>
  <c r="AV88" i="15" s="1"/>
  <c r="AW88" i="15" s="1"/>
  <c r="AX88" i="15" s="1"/>
  <c r="AY88" i="15" s="1"/>
  <c r="AZ88" i="15" s="1"/>
  <c r="BA88" i="15" s="1"/>
  <c r="BB88" i="15" s="1"/>
  <c r="M24" i="51"/>
  <c r="M23" i="51" s="1"/>
  <c r="K33" i="55"/>
  <c r="AH14" i="49"/>
  <c r="J54" i="51"/>
  <c r="AH34" i="52"/>
  <c r="AJ70" i="15"/>
  <c r="AK70" i="15" s="1"/>
  <c r="AL70" i="15" s="1"/>
  <c r="AM70" i="15" s="1"/>
  <c r="AN70" i="15" s="1"/>
  <c r="AO70" i="15" s="1"/>
  <c r="AP70" i="15" s="1"/>
  <c r="AQ70" i="15" s="1"/>
  <c r="AR70" i="15" s="1"/>
  <c r="AS70" i="15" s="1"/>
  <c r="AT70" i="15" s="1"/>
  <c r="AU70" i="15" s="1"/>
  <c r="AV70" i="15" s="1"/>
  <c r="AW70" i="15" s="1"/>
  <c r="AX70" i="15" s="1"/>
  <c r="AY70" i="15" s="1"/>
  <c r="AZ70" i="15" s="1"/>
  <c r="BA70" i="15" s="1"/>
  <c r="BB70" i="15" s="1"/>
  <c r="AJ67" i="54"/>
  <c r="AK67" i="54" s="1"/>
  <c r="AL67" i="54" s="1"/>
  <c r="AM67" i="54" s="1"/>
  <c r="AN67" i="54" s="1"/>
  <c r="AO67" i="54" s="1"/>
  <c r="AP67" i="54" s="1"/>
  <c r="AQ67" i="54" s="1"/>
  <c r="AR67" i="54" s="1"/>
  <c r="AS67" i="54" s="1"/>
  <c r="AT67" i="54" s="1"/>
  <c r="AU67" i="54" s="1"/>
  <c r="AV67" i="54" s="1"/>
  <c r="AW67" i="54" s="1"/>
  <c r="AX67" i="54" s="1"/>
  <c r="AY67" i="54" s="1"/>
  <c r="AZ67" i="54" s="1"/>
  <c r="BA67" i="54" s="1"/>
  <c r="BB67" i="54" s="1"/>
  <c r="D4" i="52"/>
  <c r="D4" i="48"/>
  <c r="B182" i="9"/>
  <c r="A182" i="9" s="1"/>
  <c r="B147" i="9"/>
  <c r="A147" i="9" s="1"/>
  <c r="C44" i="48"/>
  <c r="C24" i="56"/>
  <c r="C24" i="51"/>
  <c r="C14" i="56"/>
  <c r="C54" i="54"/>
  <c r="C44" i="53"/>
  <c r="B104" i="9"/>
  <c r="A104" i="9" s="1"/>
  <c r="B97" i="9"/>
  <c r="A97" i="9" s="1"/>
  <c r="D4" i="15"/>
  <c r="B174" i="9"/>
  <c r="A174" i="9" s="1"/>
  <c r="B68" i="9"/>
  <c r="A68" i="9" s="1"/>
  <c r="D4" i="49"/>
  <c r="B183" i="9"/>
  <c r="A183" i="9" s="1"/>
  <c r="B140" i="9"/>
  <c r="A140" i="9" s="1"/>
  <c r="B63" i="9"/>
  <c r="A63" i="9" s="1"/>
  <c r="C54" i="49"/>
  <c r="C44" i="15"/>
  <c r="C14" i="48"/>
  <c r="C54" i="52"/>
  <c r="C44" i="54"/>
  <c r="C54" i="53"/>
  <c r="C34" i="54"/>
  <c r="C14" i="50"/>
  <c r="C34" i="48"/>
  <c r="B169" i="9"/>
  <c r="A169" i="9" s="1"/>
  <c r="B99" i="9"/>
  <c r="A99" i="9" s="1"/>
  <c r="B35" i="9"/>
  <c r="A35" i="9" s="1"/>
  <c r="D4" i="55"/>
  <c r="B172" i="9"/>
  <c r="A172" i="9" s="1"/>
  <c r="B134" i="9"/>
  <c r="A134" i="9" s="1"/>
  <c r="B73" i="9"/>
  <c r="A73" i="9" s="1"/>
  <c r="B33" i="9"/>
  <c r="A33" i="9" s="1"/>
  <c r="K43" i="53"/>
  <c r="L44" i="53"/>
  <c r="AH34" i="51"/>
  <c r="AI33" i="51"/>
  <c r="J4" i="48"/>
  <c r="K3" i="48"/>
  <c r="L4" i="48"/>
  <c r="J4" i="49"/>
  <c r="K3" i="49"/>
  <c r="L4" i="49"/>
  <c r="L3" i="49" s="1"/>
  <c r="AJ97" i="51"/>
  <c r="AK97" i="51" s="1"/>
  <c r="AL97" i="51" s="1"/>
  <c r="AM97" i="51" s="1"/>
  <c r="AN97" i="51" s="1"/>
  <c r="AO97" i="51" s="1"/>
  <c r="AP97" i="51" s="1"/>
  <c r="AQ97" i="51" s="1"/>
  <c r="AR97" i="51" s="1"/>
  <c r="AS97" i="51" s="1"/>
  <c r="AT97" i="51" s="1"/>
  <c r="AU97" i="51" s="1"/>
  <c r="AV97" i="51" s="1"/>
  <c r="AW97" i="51" s="1"/>
  <c r="AX97" i="51" s="1"/>
  <c r="AY97" i="51" s="1"/>
  <c r="AZ97" i="51" s="1"/>
  <c r="BA97" i="51" s="1"/>
  <c r="BB97" i="51" s="1"/>
  <c r="AH54" i="15"/>
  <c r="AI53" i="15"/>
  <c r="AJ44" i="56"/>
  <c r="AH44" i="56"/>
  <c r="AI43" i="56"/>
  <c r="L13" i="50"/>
  <c r="AJ44" i="48"/>
  <c r="AJ43" i="48" s="1"/>
  <c r="AK24" i="52"/>
  <c r="AJ23" i="52"/>
  <c r="J44" i="53"/>
  <c r="L54" i="49"/>
  <c r="J54" i="49"/>
  <c r="B13" i="9"/>
  <c r="A13" i="9" s="1"/>
  <c r="B50" i="9"/>
  <c r="A50" i="9" s="1"/>
  <c r="B79" i="9"/>
  <c r="A79" i="9" s="1"/>
  <c r="B154" i="9"/>
  <c r="A154" i="9" s="1"/>
  <c r="C4" i="54"/>
  <c r="C14" i="55"/>
  <c r="C34" i="51"/>
  <c r="C34" i="52"/>
  <c r="C24" i="48"/>
  <c r="C44" i="56"/>
  <c r="C24" i="15"/>
  <c r="B117" i="9"/>
  <c r="A117" i="9" s="1"/>
  <c r="C34" i="55"/>
  <c r="C54" i="51"/>
  <c r="C24" i="49"/>
  <c r="C44" i="55"/>
  <c r="C14" i="53"/>
  <c r="C34" i="49"/>
  <c r="C44" i="52"/>
  <c r="C44" i="50"/>
  <c r="AH30" i="14"/>
  <c r="AH29" i="14" s="1"/>
  <c r="AJ97" i="15"/>
  <c r="AK97" i="15" s="1"/>
  <c r="AL97" i="15" s="1"/>
  <c r="AM97" i="15" s="1"/>
  <c r="AN97" i="15" s="1"/>
  <c r="AO97" i="15" s="1"/>
  <c r="AP97" i="15" s="1"/>
  <c r="AQ97" i="15" s="1"/>
  <c r="AR97" i="15" s="1"/>
  <c r="AS97" i="15" s="1"/>
  <c r="AT97" i="15" s="1"/>
  <c r="AU97" i="15" s="1"/>
  <c r="AV97" i="15" s="1"/>
  <c r="AW97" i="15" s="1"/>
  <c r="AX97" i="15" s="1"/>
  <c r="AY97" i="15" s="1"/>
  <c r="AZ97" i="15" s="1"/>
  <c r="BA97" i="15" s="1"/>
  <c r="BB97" i="15" s="1"/>
  <c r="D22" i="14"/>
  <c r="C34" i="15"/>
  <c r="C14" i="52"/>
  <c r="C54" i="15"/>
  <c r="D14" i="14"/>
  <c r="C14" i="51"/>
  <c r="M24" i="56"/>
  <c r="N24" i="56" s="1"/>
  <c r="AK34" i="51"/>
  <c r="AI13" i="15"/>
  <c r="L44" i="48"/>
  <c r="M44" i="48" s="1"/>
  <c r="J44" i="48"/>
  <c r="J24" i="49"/>
  <c r="L24" i="49"/>
  <c r="L34" i="52"/>
  <c r="L33" i="52" s="1"/>
  <c r="K33" i="52"/>
  <c r="AH116" i="56"/>
  <c r="AJ116" i="52"/>
  <c r="AK116" i="52" s="1"/>
  <c r="AL116" i="52" s="1"/>
  <c r="AM116" i="52" s="1"/>
  <c r="AN116" i="52" s="1"/>
  <c r="AO116" i="52" s="1"/>
  <c r="AP116" i="52" s="1"/>
  <c r="AQ116" i="52" s="1"/>
  <c r="AR116" i="52" s="1"/>
  <c r="AS116" i="52" s="1"/>
  <c r="AT116" i="52" s="1"/>
  <c r="AU116" i="52" s="1"/>
  <c r="AV116" i="52" s="1"/>
  <c r="AW116" i="52" s="1"/>
  <c r="AX116" i="52" s="1"/>
  <c r="AY116" i="52" s="1"/>
  <c r="AZ116" i="52" s="1"/>
  <c r="BA116" i="52" s="1"/>
  <c r="BB116" i="52" s="1"/>
  <c r="AH107" i="55"/>
  <c r="AJ107" i="55"/>
  <c r="AK107" i="55" s="1"/>
  <c r="AL107" i="55" s="1"/>
  <c r="AM107" i="55" s="1"/>
  <c r="AN107" i="55" s="1"/>
  <c r="AO107" i="55" s="1"/>
  <c r="AP107" i="55" s="1"/>
  <c r="AQ107" i="55" s="1"/>
  <c r="AR107" i="55" s="1"/>
  <c r="AS107" i="55" s="1"/>
  <c r="AT107" i="55" s="1"/>
  <c r="AU107" i="55" s="1"/>
  <c r="AV107" i="55" s="1"/>
  <c r="AW107" i="55" s="1"/>
  <c r="AX107" i="55" s="1"/>
  <c r="AY107" i="55" s="1"/>
  <c r="AZ107" i="55" s="1"/>
  <c r="BA107" i="55" s="1"/>
  <c r="BB107" i="55" s="1"/>
  <c r="AH4" i="52"/>
  <c r="AI3" i="52"/>
  <c r="AJ4" i="52"/>
  <c r="AJ107" i="49"/>
  <c r="AK107" i="49" s="1"/>
  <c r="AL107" i="49" s="1"/>
  <c r="AM107" i="49" s="1"/>
  <c r="AN107" i="49" s="1"/>
  <c r="AO107" i="49" s="1"/>
  <c r="AP107" i="49" s="1"/>
  <c r="AQ107" i="49" s="1"/>
  <c r="AR107" i="49" s="1"/>
  <c r="AS107" i="49" s="1"/>
  <c r="AT107" i="49" s="1"/>
  <c r="AU107" i="49" s="1"/>
  <c r="AV107" i="49" s="1"/>
  <c r="AW107" i="49" s="1"/>
  <c r="AX107" i="49" s="1"/>
  <c r="AY107" i="49" s="1"/>
  <c r="AZ107" i="49" s="1"/>
  <c r="BA107" i="49" s="1"/>
  <c r="BB107" i="49" s="1"/>
  <c r="B151" i="9"/>
  <c r="A151" i="9" s="1"/>
  <c r="B120" i="9"/>
  <c r="A120" i="9" s="1"/>
  <c r="AH107" i="51"/>
  <c r="AJ107" i="51"/>
  <c r="AK107" i="51" s="1"/>
  <c r="AL107" i="51" s="1"/>
  <c r="AM107" i="51" s="1"/>
  <c r="AN107" i="51" s="1"/>
  <c r="AO107" i="51" s="1"/>
  <c r="AP107" i="51" s="1"/>
  <c r="AQ107" i="51" s="1"/>
  <c r="AR107" i="51" s="1"/>
  <c r="AS107" i="51" s="1"/>
  <c r="AT107" i="51" s="1"/>
  <c r="AU107" i="51" s="1"/>
  <c r="AV107" i="51" s="1"/>
  <c r="AW107" i="51" s="1"/>
  <c r="AX107" i="51" s="1"/>
  <c r="AY107" i="51" s="1"/>
  <c r="AZ107" i="51" s="1"/>
  <c r="BA107" i="51" s="1"/>
  <c r="BB107" i="51" s="1"/>
  <c r="M14" i="55"/>
  <c r="M13" i="55" s="1"/>
  <c r="AJ54" i="15"/>
  <c r="AJ44" i="50"/>
  <c r="M44" i="51"/>
  <c r="M43" i="51" s="1"/>
  <c r="L43" i="51"/>
  <c r="AJ14" i="50"/>
  <c r="AK14" i="50" s="1"/>
  <c r="AL14" i="50" s="1"/>
  <c r="AI13" i="50"/>
  <c r="AH24" i="52"/>
  <c r="AI23" i="52"/>
  <c r="B46" i="9"/>
  <c r="A46" i="9" s="1"/>
  <c r="C24" i="55"/>
  <c r="C44" i="51"/>
  <c r="C14" i="49"/>
  <c r="C14" i="54"/>
  <c r="C24" i="54"/>
  <c r="AJ88" i="49"/>
  <c r="AK88" i="49" s="1"/>
  <c r="AL88" i="49" s="1"/>
  <c r="AM88" i="49" s="1"/>
  <c r="AN88" i="49" s="1"/>
  <c r="AO88" i="49" s="1"/>
  <c r="AP88" i="49" s="1"/>
  <c r="AQ88" i="49" s="1"/>
  <c r="AR88" i="49" s="1"/>
  <c r="AS88" i="49" s="1"/>
  <c r="AT88" i="49" s="1"/>
  <c r="AU88" i="49" s="1"/>
  <c r="AV88" i="49" s="1"/>
  <c r="AW88" i="49" s="1"/>
  <c r="AX88" i="49" s="1"/>
  <c r="AY88" i="49" s="1"/>
  <c r="AZ88" i="49" s="1"/>
  <c r="BA88" i="49" s="1"/>
  <c r="BB88" i="49" s="1"/>
  <c r="C10" i="4"/>
  <c r="C15" i="4" s="1" a="1"/>
  <c r="C15" i="4" s="1"/>
  <c r="C14" i="15"/>
  <c r="C24" i="50"/>
  <c r="C34" i="56"/>
  <c r="C54" i="48"/>
  <c r="C54" i="56"/>
  <c r="C44" i="49"/>
  <c r="C54" i="55"/>
  <c r="L53" i="48"/>
  <c r="M54" i="48"/>
  <c r="N54" i="48" s="1"/>
  <c r="AJ14" i="15"/>
  <c r="AK14" i="15" s="1"/>
  <c r="J14" i="55"/>
  <c r="AJ14" i="55"/>
  <c r="AH14" i="55"/>
  <c r="AH79" i="54"/>
  <c r="AJ79" i="54"/>
  <c r="AK79" i="54" s="1"/>
  <c r="AL79" i="54" s="1"/>
  <c r="AM79" i="54" s="1"/>
  <c r="AN79" i="54" s="1"/>
  <c r="AO79" i="54" s="1"/>
  <c r="AP79" i="54" s="1"/>
  <c r="AQ79" i="54" s="1"/>
  <c r="AR79" i="54" s="1"/>
  <c r="AS79" i="54" s="1"/>
  <c r="AT79" i="54" s="1"/>
  <c r="AU79" i="54" s="1"/>
  <c r="AV79" i="54" s="1"/>
  <c r="AW79" i="54" s="1"/>
  <c r="AX79" i="54" s="1"/>
  <c r="AY79" i="54" s="1"/>
  <c r="AZ79" i="54" s="1"/>
  <c r="BA79" i="54" s="1"/>
  <c r="BB79" i="54" s="1"/>
  <c r="AJ70" i="54"/>
  <c r="AK70" i="54" s="1"/>
  <c r="AL70" i="54" s="1"/>
  <c r="AM70" i="54" s="1"/>
  <c r="AN70" i="54" s="1"/>
  <c r="AO70" i="54" s="1"/>
  <c r="AP70" i="54" s="1"/>
  <c r="AQ70" i="54" s="1"/>
  <c r="AR70" i="54" s="1"/>
  <c r="AS70" i="54" s="1"/>
  <c r="AT70" i="54" s="1"/>
  <c r="AU70" i="54" s="1"/>
  <c r="AV70" i="54" s="1"/>
  <c r="AW70" i="54" s="1"/>
  <c r="AX70" i="54" s="1"/>
  <c r="AY70" i="54" s="1"/>
  <c r="AZ70" i="54" s="1"/>
  <c r="BA70" i="54" s="1"/>
  <c r="BB70" i="54" s="1"/>
  <c r="AJ67" i="48"/>
  <c r="AK67" i="48" s="1"/>
  <c r="AL67" i="48" s="1"/>
  <c r="AM67" i="48" s="1"/>
  <c r="AN67" i="48" s="1"/>
  <c r="AO67" i="48" s="1"/>
  <c r="AP67" i="48" s="1"/>
  <c r="AQ67" i="48" s="1"/>
  <c r="AR67" i="48" s="1"/>
  <c r="AS67" i="48" s="1"/>
  <c r="AT67" i="48" s="1"/>
  <c r="AU67" i="48" s="1"/>
  <c r="AV67" i="48" s="1"/>
  <c r="AW67" i="48" s="1"/>
  <c r="AX67" i="48" s="1"/>
  <c r="AY67" i="48" s="1"/>
  <c r="AZ67" i="48" s="1"/>
  <c r="BA67" i="48" s="1"/>
  <c r="BB67" i="48" s="1"/>
  <c r="AH67" i="48"/>
  <c r="AH4" i="49"/>
  <c r="AJ4" i="49"/>
  <c r="AI3" i="49"/>
  <c r="AJ67" i="50"/>
  <c r="AK67" i="50" s="1"/>
  <c r="AL67" i="50" s="1"/>
  <c r="AM67" i="50" s="1"/>
  <c r="AN67" i="50" s="1"/>
  <c r="AO67" i="50" s="1"/>
  <c r="AP67" i="50" s="1"/>
  <c r="AQ67" i="50" s="1"/>
  <c r="AR67" i="50" s="1"/>
  <c r="AS67" i="50" s="1"/>
  <c r="AT67" i="50" s="1"/>
  <c r="AU67" i="50" s="1"/>
  <c r="AV67" i="50" s="1"/>
  <c r="AW67" i="50" s="1"/>
  <c r="AX67" i="50" s="1"/>
  <c r="AY67" i="50" s="1"/>
  <c r="AZ67" i="50" s="1"/>
  <c r="BA67" i="50" s="1"/>
  <c r="BB67" i="50" s="1"/>
  <c r="AH67" i="50"/>
  <c r="L24" i="48"/>
  <c r="C5" i="45"/>
  <c r="C8" i="45" s="1"/>
  <c r="D4" i="50"/>
  <c r="D4" i="51"/>
  <c r="B10" i="10"/>
  <c r="B180" i="9"/>
  <c r="A180" i="9" s="1"/>
  <c r="B139" i="9"/>
  <c r="A139" i="9" s="1"/>
  <c r="B109" i="9"/>
  <c r="A109" i="9" s="1"/>
  <c r="B27" i="9"/>
  <c r="A27" i="9" s="1"/>
  <c r="K14" i="14"/>
  <c r="L14" i="14" s="1"/>
  <c r="L13" i="14" s="1"/>
  <c r="L34" i="49"/>
  <c r="M34" i="49" s="1"/>
  <c r="J34" i="49"/>
  <c r="K33" i="49"/>
  <c r="L44" i="54"/>
  <c r="K43" i="54"/>
  <c r="J44" i="54"/>
  <c r="AJ23" i="50"/>
  <c r="AK24" i="50"/>
  <c r="AK23" i="50" s="1"/>
  <c r="K6" i="14"/>
  <c r="L6" i="14" s="1"/>
  <c r="AJ13" i="56"/>
  <c r="AK14" i="56"/>
  <c r="J34" i="15"/>
  <c r="L34" i="15"/>
  <c r="K33" i="15"/>
  <c r="M54" i="52"/>
  <c r="L53" i="52"/>
  <c r="AI23" i="53"/>
  <c r="AJ24" i="53"/>
  <c r="AJ23" i="53" s="1"/>
  <c r="AH54" i="53"/>
  <c r="AI53" i="53"/>
  <c r="AH79" i="51"/>
  <c r="AJ79" i="51"/>
  <c r="AK79" i="51" s="1"/>
  <c r="AL79" i="51" s="1"/>
  <c r="AM79" i="51" s="1"/>
  <c r="AN79" i="51" s="1"/>
  <c r="AO79" i="51" s="1"/>
  <c r="AP79" i="51" s="1"/>
  <c r="AQ79" i="51" s="1"/>
  <c r="AR79" i="51" s="1"/>
  <c r="AS79" i="51" s="1"/>
  <c r="AT79" i="51" s="1"/>
  <c r="AU79" i="51" s="1"/>
  <c r="AV79" i="51" s="1"/>
  <c r="AW79" i="51" s="1"/>
  <c r="AX79" i="51" s="1"/>
  <c r="AY79" i="51" s="1"/>
  <c r="AZ79" i="51" s="1"/>
  <c r="BA79" i="51" s="1"/>
  <c r="BB79" i="51" s="1"/>
  <c r="AH70" i="50"/>
  <c r="AJ70" i="50"/>
  <c r="AK70" i="50" s="1"/>
  <c r="AL70" i="50" s="1"/>
  <c r="AM70" i="50" s="1"/>
  <c r="AN70" i="50" s="1"/>
  <c r="AO70" i="50" s="1"/>
  <c r="AP70" i="50" s="1"/>
  <c r="AQ70" i="50" s="1"/>
  <c r="AR70" i="50" s="1"/>
  <c r="AS70" i="50" s="1"/>
  <c r="AT70" i="50" s="1"/>
  <c r="AU70" i="50" s="1"/>
  <c r="AV70" i="50" s="1"/>
  <c r="AW70" i="50" s="1"/>
  <c r="AX70" i="50" s="1"/>
  <c r="AY70" i="50" s="1"/>
  <c r="AZ70" i="50" s="1"/>
  <c r="BA70" i="50" s="1"/>
  <c r="BB70" i="50" s="1"/>
  <c r="AJ116" i="50"/>
  <c r="AK116" i="50" s="1"/>
  <c r="AL116" i="50" s="1"/>
  <c r="AM116" i="50" s="1"/>
  <c r="AN116" i="50" s="1"/>
  <c r="AO116" i="50" s="1"/>
  <c r="AP116" i="50" s="1"/>
  <c r="AQ116" i="50" s="1"/>
  <c r="AR116" i="50" s="1"/>
  <c r="AS116" i="50" s="1"/>
  <c r="AT116" i="50" s="1"/>
  <c r="AU116" i="50" s="1"/>
  <c r="AV116" i="50" s="1"/>
  <c r="AW116" i="50" s="1"/>
  <c r="AX116" i="50" s="1"/>
  <c r="AY116" i="50" s="1"/>
  <c r="AZ116" i="50" s="1"/>
  <c r="BA116" i="50" s="1"/>
  <c r="BB116" i="50" s="1"/>
  <c r="AH116" i="50"/>
  <c r="AJ4" i="54"/>
  <c r="AH4" i="54"/>
  <c r="L4" i="52"/>
  <c r="K3" i="52"/>
  <c r="K33" i="50"/>
  <c r="J34" i="50"/>
  <c r="L34" i="50"/>
  <c r="L24" i="52"/>
  <c r="K23" i="52"/>
  <c r="J24" i="52"/>
  <c r="M4" i="51"/>
  <c r="AK34" i="53"/>
  <c r="AL34" i="53" s="1"/>
  <c r="AJ33" i="53"/>
  <c r="AH54" i="50"/>
  <c r="AJ54" i="50"/>
  <c r="AK24" i="55"/>
  <c r="AK23" i="55" s="1"/>
  <c r="AJ23" i="55"/>
  <c r="L4" i="55"/>
  <c r="L3" i="55" s="1"/>
  <c r="K3" i="55"/>
  <c r="L24" i="15"/>
  <c r="M24" i="15" s="1"/>
  <c r="L44" i="49"/>
  <c r="L34" i="56"/>
  <c r="AI43" i="50"/>
  <c r="AJ34" i="54"/>
  <c r="J34" i="52"/>
  <c r="K43" i="49"/>
  <c r="K33" i="56"/>
  <c r="AI43" i="48"/>
  <c r="AH79" i="53"/>
  <c r="AJ79" i="15"/>
  <c r="AK79" i="15" s="1"/>
  <c r="AL79" i="15" s="1"/>
  <c r="AM79" i="15" s="1"/>
  <c r="AN79" i="15" s="1"/>
  <c r="AO79" i="15" s="1"/>
  <c r="AP79" i="15" s="1"/>
  <c r="AQ79" i="15" s="1"/>
  <c r="AR79" i="15" s="1"/>
  <c r="AS79" i="15" s="1"/>
  <c r="AT79" i="15" s="1"/>
  <c r="AU79" i="15" s="1"/>
  <c r="AV79" i="15" s="1"/>
  <c r="AW79" i="15" s="1"/>
  <c r="AX79" i="15" s="1"/>
  <c r="AY79" i="15" s="1"/>
  <c r="AZ79" i="15" s="1"/>
  <c r="BA79" i="15" s="1"/>
  <c r="BB79" i="15" s="1"/>
  <c r="AH79" i="50"/>
  <c r="AH70" i="55"/>
  <c r="AH70" i="49"/>
  <c r="AH70" i="53"/>
  <c r="AJ116" i="55"/>
  <c r="AK116" i="55" s="1"/>
  <c r="AL116" i="55" s="1"/>
  <c r="AM116" i="55" s="1"/>
  <c r="AN116" i="55" s="1"/>
  <c r="AO116" i="55" s="1"/>
  <c r="AP116" i="55" s="1"/>
  <c r="AQ116" i="55" s="1"/>
  <c r="AR116" i="55" s="1"/>
  <c r="AS116" i="55" s="1"/>
  <c r="AT116" i="55" s="1"/>
  <c r="AU116" i="55" s="1"/>
  <c r="AV116" i="55" s="1"/>
  <c r="AW116" i="55" s="1"/>
  <c r="AX116" i="55" s="1"/>
  <c r="AY116" i="55" s="1"/>
  <c r="AZ116" i="55" s="1"/>
  <c r="BA116" i="55" s="1"/>
  <c r="BB116" i="55" s="1"/>
  <c r="AH116" i="51"/>
  <c r="AH116" i="49"/>
  <c r="K33" i="51"/>
  <c r="AJ54" i="51"/>
  <c r="B175" i="9"/>
  <c r="A175" i="9" s="1"/>
  <c r="B164" i="9"/>
  <c r="A164" i="9" s="1"/>
  <c r="B142" i="9"/>
  <c r="A142" i="9" s="1"/>
  <c r="B132" i="9"/>
  <c r="A132" i="9" s="1"/>
  <c r="B106" i="9"/>
  <c r="A106" i="9" s="1"/>
  <c r="B83" i="9"/>
  <c r="A83" i="9" s="1"/>
  <c r="B66" i="9"/>
  <c r="A66" i="9" s="1"/>
  <c r="B37" i="9"/>
  <c r="A37" i="9" s="1"/>
  <c r="B24" i="9"/>
  <c r="A24" i="9" s="1"/>
  <c r="M4" i="56"/>
  <c r="AH4" i="50"/>
  <c r="AJ4" i="50"/>
  <c r="AI3" i="50"/>
  <c r="J14" i="52"/>
  <c r="L14" i="52"/>
  <c r="K13" i="52"/>
  <c r="K43" i="52"/>
  <c r="L44" i="52"/>
  <c r="AI33" i="49"/>
  <c r="AJ34" i="49"/>
  <c r="AH34" i="49"/>
  <c r="AH24" i="56"/>
  <c r="AJ24" i="56"/>
  <c r="AI23" i="56"/>
  <c r="AH107" i="52"/>
  <c r="AJ107" i="52"/>
  <c r="AK107" i="52" s="1"/>
  <c r="AL107" i="52" s="1"/>
  <c r="AM107" i="52" s="1"/>
  <c r="AN107" i="52" s="1"/>
  <c r="AO107" i="52" s="1"/>
  <c r="AP107" i="52" s="1"/>
  <c r="AQ107" i="52" s="1"/>
  <c r="AR107" i="52" s="1"/>
  <c r="AS107" i="52" s="1"/>
  <c r="AT107" i="52" s="1"/>
  <c r="AU107" i="52" s="1"/>
  <c r="AV107" i="52" s="1"/>
  <c r="AW107" i="52" s="1"/>
  <c r="AX107" i="52" s="1"/>
  <c r="AY107" i="52" s="1"/>
  <c r="AZ107" i="52" s="1"/>
  <c r="BA107" i="52" s="1"/>
  <c r="BB107" i="52" s="1"/>
  <c r="AK14" i="51"/>
  <c r="AJ13" i="51"/>
  <c r="AK44" i="52"/>
  <c r="AJ43" i="52"/>
  <c r="J14" i="51"/>
  <c r="K13" i="51"/>
  <c r="J54" i="56"/>
  <c r="L54" i="56"/>
  <c r="AH34" i="15"/>
  <c r="AJ34" i="15"/>
  <c r="AI33" i="15"/>
  <c r="AH54" i="55"/>
  <c r="AJ54" i="55"/>
  <c r="AJ53" i="55" s="1"/>
  <c r="AI53" i="55"/>
  <c r="AH44" i="15"/>
  <c r="AI43" i="15"/>
  <c r="AJ70" i="56"/>
  <c r="AK70" i="56" s="1"/>
  <c r="AL70" i="56" s="1"/>
  <c r="AM70" i="56" s="1"/>
  <c r="AN70" i="56" s="1"/>
  <c r="AO70" i="56" s="1"/>
  <c r="AP70" i="56" s="1"/>
  <c r="AQ70" i="56" s="1"/>
  <c r="AR70" i="56" s="1"/>
  <c r="AS70" i="56" s="1"/>
  <c r="AT70" i="56" s="1"/>
  <c r="AU70" i="56" s="1"/>
  <c r="AV70" i="56" s="1"/>
  <c r="AW70" i="56" s="1"/>
  <c r="AX70" i="56" s="1"/>
  <c r="AY70" i="56" s="1"/>
  <c r="AZ70" i="56" s="1"/>
  <c r="BA70" i="56" s="1"/>
  <c r="BB70" i="56" s="1"/>
  <c r="AH70" i="56"/>
  <c r="AJ66" i="52"/>
  <c r="AK66" i="52" s="1"/>
  <c r="AL66" i="52" s="1"/>
  <c r="AM66" i="52" s="1"/>
  <c r="AN66" i="52" s="1"/>
  <c r="AO66" i="52" s="1"/>
  <c r="AP66" i="52" s="1"/>
  <c r="AQ66" i="52" s="1"/>
  <c r="AR66" i="52" s="1"/>
  <c r="AS66" i="52" s="1"/>
  <c r="AT66" i="52" s="1"/>
  <c r="AU66" i="52" s="1"/>
  <c r="AV66" i="52" s="1"/>
  <c r="AW66" i="52" s="1"/>
  <c r="AX66" i="52" s="1"/>
  <c r="AY66" i="52" s="1"/>
  <c r="AZ66" i="52" s="1"/>
  <c r="BA66" i="52" s="1"/>
  <c r="BB66" i="52" s="1"/>
  <c r="AH66" i="52"/>
  <c r="M54" i="51"/>
  <c r="AJ44" i="15"/>
  <c r="K13" i="15"/>
  <c r="L14" i="15"/>
  <c r="J14" i="15"/>
  <c r="K43" i="15"/>
  <c r="J44" i="15"/>
  <c r="L44" i="15"/>
  <c r="K13" i="49"/>
  <c r="J14" i="49"/>
  <c r="L14" i="49"/>
  <c r="L54" i="55"/>
  <c r="J54" i="55"/>
  <c r="K53" i="55"/>
  <c r="AI33" i="50"/>
  <c r="AJ34" i="50"/>
  <c r="AH34" i="50"/>
  <c r="AH14" i="51"/>
  <c r="AI13" i="51"/>
  <c r="AJ54" i="52"/>
  <c r="AI53" i="52"/>
  <c r="AH54" i="52"/>
  <c r="AH34" i="53"/>
  <c r="AI33" i="53"/>
  <c r="AL34" i="55"/>
  <c r="AK33" i="55"/>
  <c r="AH107" i="54"/>
  <c r="AJ107" i="54"/>
  <c r="AK107" i="54" s="1"/>
  <c r="AL107" i="54" s="1"/>
  <c r="AM107" i="54" s="1"/>
  <c r="AN107" i="54" s="1"/>
  <c r="AO107" i="54" s="1"/>
  <c r="AP107" i="54" s="1"/>
  <c r="AQ107" i="54" s="1"/>
  <c r="AR107" i="54" s="1"/>
  <c r="AS107" i="54" s="1"/>
  <c r="AT107" i="54" s="1"/>
  <c r="AU107" i="54" s="1"/>
  <c r="AV107" i="54" s="1"/>
  <c r="AW107" i="54" s="1"/>
  <c r="AX107" i="54" s="1"/>
  <c r="AY107" i="54" s="1"/>
  <c r="AZ107" i="54" s="1"/>
  <c r="BA107" i="54" s="1"/>
  <c r="BB107" i="54" s="1"/>
  <c r="L4" i="53"/>
  <c r="K3" i="53"/>
  <c r="AK4" i="15"/>
  <c r="AJ3" i="15"/>
  <c r="AH4" i="15"/>
  <c r="AI3" i="15"/>
  <c r="L14" i="51"/>
  <c r="L24" i="53"/>
  <c r="J24" i="53"/>
  <c r="K23" i="53"/>
  <c r="M54" i="53"/>
  <c r="L53" i="53"/>
  <c r="K33" i="54"/>
  <c r="L34" i="54"/>
  <c r="J34" i="54"/>
  <c r="M34" i="55"/>
  <c r="L33" i="55"/>
  <c r="AH4" i="51"/>
  <c r="AI3" i="51"/>
  <c r="AJ4" i="51"/>
  <c r="AH24" i="51"/>
  <c r="AJ24" i="51"/>
  <c r="AK14" i="53"/>
  <c r="AJ13" i="53"/>
  <c r="AH34" i="55"/>
  <c r="AI33" i="55"/>
  <c r="AJ4" i="56"/>
  <c r="AH4" i="56"/>
  <c r="AH67" i="52"/>
  <c r="AJ67" i="52"/>
  <c r="AK67" i="52" s="1"/>
  <c r="AL67" i="52" s="1"/>
  <c r="AM67" i="52" s="1"/>
  <c r="AN67" i="52" s="1"/>
  <c r="AO67" i="52" s="1"/>
  <c r="AP67" i="52" s="1"/>
  <c r="AQ67" i="52" s="1"/>
  <c r="AR67" i="52" s="1"/>
  <c r="AS67" i="52" s="1"/>
  <c r="AT67" i="52" s="1"/>
  <c r="AU67" i="52" s="1"/>
  <c r="AV67" i="52" s="1"/>
  <c r="AW67" i="52" s="1"/>
  <c r="AX67" i="52" s="1"/>
  <c r="AY67" i="52" s="1"/>
  <c r="AZ67" i="52" s="1"/>
  <c r="BA67" i="52" s="1"/>
  <c r="BB67" i="52" s="1"/>
  <c r="K3" i="51"/>
  <c r="J4" i="51"/>
  <c r="AJ4" i="48"/>
  <c r="AH4" i="48"/>
  <c r="L14" i="56"/>
  <c r="K13" i="56"/>
  <c r="J14" i="56"/>
  <c r="K43" i="56"/>
  <c r="J44" i="56"/>
  <c r="AJ54" i="49"/>
  <c r="AH54" i="49"/>
  <c r="AH24" i="50"/>
  <c r="AI23" i="50"/>
  <c r="AJ66" i="56"/>
  <c r="AK66" i="56" s="1"/>
  <c r="AL66" i="56" s="1"/>
  <c r="AM66" i="56" s="1"/>
  <c r="AN66" i="56" s="1"/>
  <c r="AO66" i="56" s="1"/>
  <c r="AP66" i="56" s="1"/>
  <c r="AQ66" i="56" s="1"/>
  <c r="AR66" i="56" s="1"/>
  <c r="AS66" i="56" s="1"/>
  <c r="AT66" i="56" s="1"/>
  <c r="AU66" i="56" s="1"/>
  <c r="AV66" i="56" s="1"/>
  <c r="AW66" i="56" s="1"/>
  <c r="AX66" i="56" s="1"/>
  <c r="AY66" i="56" s="1"/>
  <c r="AZ66" i="56" s="1"/>
  <c r="BA66" i="56" s="1"/>
  <c r="BB66" i="56" s="1"/>
  <c r="AH66" i="56"/>
  <c r="J54" i="52"/>
  <c r="J24" i="51"/>
  <c r="J24" i="54"/>
  <c r="L24" i="54"/>
  <c r="K23" i="56"/>
  <c r="J24" i="56"/>
  <c r="AJ14" i="52"/>
  <c r="AI13" i="52"/>
  <c r="AI43" i="52"/>
  <c r="AH44" i="52"/>
  <c r="AI53" i="54"/>
  <c r="AJ54" i="54"/>
  <c r="AK54" i="54" s="1"/>
  <c r="AJ66" i="54"/>
  <c r="AK66" i="54" s="1"/>
  <c r="AL66" i="54" s="1"/>
  <c r="AM66" i="54" s="1"/>
  <c r="AN66" i="54" s="1"/>
  <c r="AO66" i="54" s="1"/>
  <c r="AP66" i="54" s="1"/>
  <c r="AQ66" i="54" s="1"/>
  <c r="AR66" i="54" s="1"/>
  <c r="AS66" i="54" s="1"/>
  <c r="AT66" i="54" s="1"/>
  <c r="AU66" i="54" s="1"/>
  <c r="AV66" i="54" s="1"/>
  <c r="AW66" i="54" s="1"/>
  <c r="AX66" i="54" s="1"/>
  <c r="AY66" i="54" s="1"/>
  <c r="AZ66" i="54" s="1"/>
  <c r="BA66" i="54" s="1"/>
  <c r="BB66" i="54" s="1"/>
  <c r="AH66" i="54"/>
  <c r="C4" i="56"/>
  <c r="B161" i="9"/>
  <c r="A161" i="9" s="1"/>
  <c r="B130" i="9"/>
  <c r="A130" i="9" s="1"/>
  <c r="B113" i="9"/>
  <c r="A113" i="9" s="1"/>
  <c r="B94" i="9"/>
  <c r="A94" i="9" s="1"/>
  <c r="B42" i="9"/>
  <c r="A42" i="9" s="1"/>
  <c r="B22" i="9"/>
  <c r="A22" i="9" s="1"/>
  <c r="AH66" i="48"/>
  <c r="B177" i="9"/>
  <c r="A177" i="9" s="1"/>
  <c r="B171" i="9"/>
  <c r="A171" i="9" s="1"/>
  <c r="B157" i="9"/>
  <c r="A157" i="9" s="1"/>
  <c r="B144" i="9"/>
  <c r="A144" i="9" s="1"/>
  <c r="B137" i="9"/>
  <c r="A137" i="9" s="1"/>
  <c r="B127" i="9"/>
  <c r="A127" i="9" s="1"/>
  <c r="B111" i="9"/>
  <c r="A111" i="9" s="1"/>
  <c r="B101" i="9"/>
  <c r="A101" i="9" s="1"/>
  <c r="B88" i="9"/>
  <c r="A88" i="9" s="1"/>
  <c r="B71" i="9"/>
  <c r="A71" i="9" s="1"/>
  <c r="B60" i="9"/>
  <c r="A60" i="9" s="1"/>
  <c r="B40" i="9"/>
  <c r="A40" i="9" s="1"/>
  <c r="B30" i="9"/>
  <c r="A30" i="9" s="1"/>
  <c r="K22" i="14"/>
  <c r="K21" i="14" s="1"/>
  <c r="AH14" i="14"/>
  <c r="AK54" i="53"/>
  <c r="AJ33" i="55"/>
  <c r="K53" i="48"/>
  <c r="J54" i="48"/>
  <c r="L14" i="53"/>
  <c r="J14" i="53"/>
  <c r="AI13" i="48"/>
  <c r="AJ14" i="48"/>
  <c r="AH44" i="49"/>
  <c r="AJ44" i="49"/>
  <c r="AI43" i="49"/>
  <c r="AI43" i="54"/>
  <c r="AJ44" i="54"/>
  <c r="AH44" i="54"/>
  <c r="AI33" i="56"/>
  <c r="AJ34" i="56"/>
  <c r="L44" i="50"/>
  <c r="J44" i="50"/>
  <c r="L34" i="48"/>
  <c r="J34" i="48"/>
  <c r="K33" i="48"/>
  <c r="L44" i="55"/>
  <c r="J44" i="55"/>
  <c r="AH24" i="49"/>
  <c r="AJ24" i="49"/>
  <c r="AI23" i="49"/>
  <c r="AH24" i="54"/>
  <c r="AJ24" i="54"/>
  <c r="AI23" i="54"/>
  <c r="AH14" i="56"/>
  <c r="AI13" i="56"/>
  <c r="L24" i="50"/>
  <c r="J24" i="50"/>
  <c r="L14" i="48"/>
  <c r="J14" i="48"/>
  <c r="K13" i="48"/>
  <c r="K53" i="53"/>
  <c r="J54" i="53"/>
  <c r="L24" i="55"/>
  <c r="J24" i="55"/>
  <c r="K23" i="55"/>
  <c r="AH54" i="48"/>
  <c r="AJ54" i="48"/>
  <c r="K43" i="51"/>
  <c r="J44" i="51"/>
  <c r="L34" i="53"/>
  <c r="J34" i="53"/>
  <c r="AH34" i="48"/>
  <c r="AJ34" i="48"/>
  <c r="AI53" i="56"/>
  <c r="AH54" i="56"/>
  <c r="AH79" i="48"/>
  <c r="AJ79" i="48"/>
  <c r="AK79" i="48" s="1"/>
  <c r="AL79" i="48" s="1"/>
  <c r="AM79" i="48" s="1"/>
  <c r="AN79" i="48" s="1"/>
  <c r="AO79" i="48" s="1"/>
  <c r="AP79" i="48" s="1"/>
  <c r="AQ79" i="48" s="1"/>
  <c r="AR79" i="48" s="1"/>
  <c r="AS79" i="48" s="1"/>
  <c r="AT79" i="48" s="1"/>
  <c r="AU79" i="48" s="1"/>
  <c r="AV79" i="48" s="1"/>
  <c r="AW79" i="48" s="1"/>
  <c r="AX79" i="48" s="1"/>
  <c r="AY79" i="48" s="1"/>
  <c r="AZ79" i="48" s="1"/>
  <c r="BA79" i="48" s="1"/>
  <c r="BB79" i="48" s="1"/>
  <c r="AH79" i="52"/>
  <c r="AJ79" i="52"/>
  <c r="AK79" i="52" s="1"/>
  <c r="AL79" i="52" s="1"/>
  <c r="AM79" i="52" s="1"/>
  <c r="AN79" i="52" s="1"/>
  <c r="AO79" i="52" s="1"/>
  <c r="AP79" i="52" s="1"/>
  <c r="AQ79" i="52" s="1"/>
  <c r="AR79" i="52" s="1"/>
  <c r="AS79" i="52" s="1"/>
  <c r="AT79" i="52" s="1"/>
  <c r="AU79" i="52" s="1"/>
  <c r="AV79" i="52" s="1"/>
  <c r="AW79" i="52" s="1"/>
  <c r="AX79" i="52" s="1"/>
  <c r="AY79" i="52" s="1"/>
  <c r="AZ79" i="52" s="1"/>
  <c r="BA79" i="52" s="1"/>
  <c r="BB79" i="52" s="1"/>
  <c r="K53" i="56"/>
  <c r="AH44" i="55"/>
  <c r="J14" i="54"/>
  <c r="J44" i="52"/>
  <c r="AI13" i="53"/>
  <c r="AI23" i="55"/>
  <c r="AH24" i="55"/>
  <c r="AH79" i="49"/>
  <c r="AH79" i="56"/>
  <c r="AJ70" i="51"/>
  <c r="AK70" i="51" s="1"/>
  <c r="AL70" i="51" s="1"/>
  <c r="AM70" i="51" s="1"/>
  <c r="AN70" i="51" s="1"/>
  <c r="AO70" i="51" s="1"/>
  <c r="AP70" i="51" s="1"/>
  <c r="AQ70" i="51" s="1"/>
  <c r="AR70" i="51" s="1"/>
  <c r="AS70" i="51" s="1"/>
  <c r="AT70" i="51" s="1"/>
  <c r="AU70" i="51" s="1"/>
  <c r="AV70" i="51" s="1"/>
  <c r="AW70" i="51" s="1"/>
  <c r="AX70" i="51" s="1"/>
  <c r="AY70" i="51" s="1"/>
  <c r="AZ70" i="51" s="1"/>
  <c r="BA70" i="51" s="1"/>
  <c r="BB70" i="51" s="1"/>
  <c r="AH70" i="48"/>
  <c r="AJ70" i="48"/>
  <c r="AK70" i="48" s="1"/>
  <c r="AL70" i="48" s="1"/>
  <c r="AM70" i="48" s="1"/>
  <c r="AN70" i="48" s="1"/>
  <c r="AO70" i="48" s="1"/>
  <c r="AP70" i="48" s="1"/>
  <c r="AQ70" i="48" s="1"/>
  <c r="AR70" i="48" s="1"/>
  <c r="AS70" i="48" s="1"/>
  <c r="AT70" i="48" s="1"/>
  <c r="AU70" i="48" s="1"/>
  <c r="AV70" i="48" s="1"/>
  <c r="AW70" i="48" s="1"/>
  <c r="AX70" i="48" s="1"/>
  <c r="AY70" i="48" s="1"/>
  <c r="AZ70" i="48" s="1"/>
  <c r="BA70" i="48" s="1"/>
  <c r="BB70" i="48" s="1"/>
  <c r="AH70" i="52"/>
  <c r="AH116" i="48"/>
  <c r="AJ116" i="48"/>
  <c r="AK116" i="48" s="1"/>
  <c r="AL116" i="48" s="1"/>
  <c r="AM116" i="48" s="1"/>
  <c r="AN116" i="48" s="1"/>
  <c r="AO116" i="48" s="1"/>
  <c r="AP116" i="48" s="1"/>
  <c r="AQ116" i="48" s="1"/>
  <c r="AR116" i="48" s="1"/>
  <c r="AS116" i="48" s="1"/>
  <c r="AT116" i="48" s="1"/>
  <c r="AU116" i="48" s="1"/>
  <c r="AV116" i="48" s="1"/>
  <c r="AW116" i="48" s="1"/>
  <c r="AX116" i="48" s="1"/>
  <c r="AY116" i="48" s="1"/>
  <c r="AZ116" i="48" s="1"/>
  <c r="BA116" i="48" s="1"/>
  <c r="BB116" i="48" s="1"/>
  <c r="AH116" i="53"/>
  <c r="AJ116" i="53"/>
  <c r="AK116" i="53" s="1"/>
  <c r="AL116" i="53" s="1"/>
  <c r="AM116" i="53" s="1"/>
  <c r="AN116" i="53" s="1"/>
  <c r="AO116" i="53" s="1"/>
  <c r="AP116" i="53" s="1"/>
  <c r="AQ116" i="53" s="1"/>
  <c r="AR116" i="53" s="1"/>
  <c r="AS116" i="53" s="1"/>
  <c r="AT116" i="53" s="1"/>
  <c r="AU116" i="53" s="1"/>
  <c r="AV116" i="53" s="1"/>
  <c r="AW116" i="53" s="1"/>
  <c r="AX116" i="53" s="1"/>
  <c r="AY116" i="53" s="1"/>
  <c r="AZ116" i="53" s="1"/>
  <c r="BA116" i="53" s="1"/>
  <c r="BB116" i="53" s="1"/>
  <c r="AH107" i="56"/>
  <c r="AJ107" i="56"/>
  <c r="AK107" i="56" s="1"/>
  <c r="AL107" i="56" s="1"/>
  <c r="AM107" i="56" s="1"/>
  <c r="AN107" i="56" s="1"/>
  <c r="AO107" i="56" s="1"/>
  <c r="AP107" i="56" s="1"/>
  <c r="AQ107" i="56" s="1"/>
  <c r="AR107" i="56" s="1"/>
  <c r="AS107" i="56" s="1"/>
  <c r="AT107" i="56" s="1"/>
  <c r="AU107" i="56" s="1"/>
  <c r="AV107" i="56" s="1"/>
  <c r="AW107" i="56" s="1"/>
  <c r="AX107" i="56" s="1"/>
  <c r="AY107" i="56" s="1"/>
  <c r="AZ107" i="56" s="1"/>
  <c r="BA107" i="56" s="1"/>
  <c r="BB107" i="56" s="1"/>
  <c r="B6" i="9"/>
  <c r="B5" i="9"/>
  <c r="A5" i="9" s="1"/>
  <c r="B10" i="9"/>
  <c r="A10" i="9" s="1"/>
  <c r="B14" i="9"/>
  <c r="A14" i="9" s="1"/>
  <c r="B18" i="9"/>
  <c r="A18" i="9" s="1"/>
  <c r="B47" i="9"/>
  <c r="A47" i="9" s="1"/>
  <c r="B51" i="9"/>
  <c r="A51" i="9" s="1"/>
  <c r="B56" i="9"/>
  <c r="A56" i="9" s="1"/>
  <c r="B80" i="9"/>
  <c r="A80" i="9" s="1"/>
  <c r="B85" i="9"/>
  <c r="A85" i="9" s="1"/>
  <c r="B89" i="9"/>
  <c r="A89" i="9" s="1"/>
  <c r="B118" i="9"/>
  <c r="A118" i="9" s="1"/>
  <c r="B121" i="9"/>
  <c r="A121" i="9" s="1"/>
  <c r="B124" i="9"/>
  <c r="A124" i="9" s="1"/>
  <c r="B128" i="9"/>
  <c r="A128" i="9" s="1"/>
  <c r="B155" i="9"/>
  <c r="A155" i="9" s="1"/>
  <c r="B158" i="9"/>
  <c r="A158" i="9" s="1"/>
  <c r="B165" i="9"/>
  <c r="A165" i="9" s="1"/>
  <c r="C4" i="49"/>
  <c r="C4" i="55"/>
  <c r="C4" i="50"/>
  <c r="C4" i="48"/>
  <c r="C4" i="52"/>
  <c r="B7" i="9"/>
  <c r="A7" i="9" s="1"/>
  <c r="B15" i="9"/>
  <c r="A15" i="9" s="1"/>
  <c r="B19" i="9"/>
  <c r="A19" i="9" s="1"/>
  <c r="B44" i="9"/>
  <c r="A44" i="9" s="1"/>
  <c r="B48" i="9"/>
  <c r="A48" i="9" s="1"/>
  <c r="B53" i="9"/>
  <c r="A53" i="9" s="1"/>
  <c r="B57" i="9"/>
  <c r="A57" i="9" s="1"/>
  <c r="B77" i="9"/>
  <c r="A77" i="9" s="1"/>
  <c r="B86" i="9"/>
  <c r="A86" i="9" s="1"/>
  <c r="B91" i="9"/>
  <c r="A91" i="9" s="1"/>
  <c r="B115" i="9"/>
  <c r="A115" i="9" s="1"/>
  <c r="B119" i="9"/>
  <c r="A119" i="9" s="1"/>
  <c r="B122" i="9"/>
  <c r="A122" i="9" s="1"/>
  <c r="B125" i="9"/>
  <c r="A125" i="9" s="1"/>
  <c r="B129" i="9"/>
  <c r="A129" i="9" s="1"/>
  <c r="B149" i="9"/>
  <c r="A149" i="9" s="1"/>
  <c r="B152" i="9"/>
  <c r="A152" i="9" s="1"/>
  <c r="B159" i="9"/>
  <c r="A159" i="9" s="1"/>
  <c r="B162" i="9"/>
  <c r="A162" i="9" s="1"/>
  <c r="B166" i="9"/>
  <c r="A166" i="9" s="1"/>
  <c r="C4" i="53"/>
  <c r="B8" i="9"/>
  <c r="A8" i="9" s="1"/>
  <c r="B12" i="9"/>
  <c r="A12" i="9" s="1"/>
  <c r="B16" i="9"/>
  <c r="A16" i="9" s="1"/>
  <c r="B21" i="9"/>
  <c r="A21" i="9" s="1"/>
  <c r="B41" i="9"/>
  <c r="A41" i="9" s="1"/>
  <c r="B45" i="9"/>
  <c r="A45" i="9" s="1"/>
  <c r="B54" i="9"/>
  <c r="A54" i="9" s="1"/>
  <c r="B78" i="9"/>
  <c r="A78" i="9" s="1"/>
  <c r="B82" i="9"/>
  <c r="A82" i="9" s="1"/>
  <c r="B92" i="9"/>
  <c r="A92" i="9" s="1"/>
  <c r="B116" i="9"/>
  <c r="A116" i="9" s="1"/>
  <c r="B123" i="9"/>
  <c r="A123" i="9" s="1"/>
  <c r="B126" i="9"/>
  <c r="A126" i="9" s="1"/>
  <c r="B150" i="9"/>
  <c r="A150" i="9" s="1"/>
  <c r="B153" i="9"/>
  <c r="A153" i="9" s="1"/>
  <c r="B156" i="9"/>
  <c r="A156" i="9" s="1"/>
  <c r="B160" i="9"/>
  <c r="A160" i="9" s="1"/>
  <c r="B163" i="9"/>
  <c r="A163" i="9" s="1"/>
  <c r="C4" i="15"/>
  <c r="C4" i="51"/>
  <c r="B5" i="45"/>
  <c r="B11" i="45" s="1"/>
  <c r="AH107" i="48"/>
  <c r="AJ107" i="48"/>
  <c r="AK107" i="48" s="1"/>
  <c r="AL107" i="48" s="1"/>
  <c r="AM107" i="48" s="1"/>
  <c r="AN107" i="48" s="1"/>
  <c r="AO107" i="48" s="1"/>
  <c r="AP107" i="48" s="1"/>
  <c r="AQ107" i="48" s="1"/>
  <c r="AR107" i="48" s="1"/>
  <c r="AS107" i="48" s="1"/>
  <c r="AT107" i="48" s="1"/>
  <c r="AU107" i="48" s="1"/>
  <c r="AV107" i="48" s="1"/>
  <c r="AW107" i="48" s="1"/>
  <c r="AX107" i="48" s="1"/>
  <c r="AY107" i="48" s="1"/>
  <c r="AZ107" i="48" s="1"/>
  <c r="BA107" i="48" s="1"/>
  <c r="BB107" i="48" s="1"/>
  <c r="AH107" i="15"/>
  <c r="AJ107" i="15"/>
  <c r="AK107" i="15" s="1"/>
  <c r="AL107" i="15" s="1"/>
  <c r="AM107" i="15" s="1"/>
  <c r="AN107" i="15" s="1"/>
  <c r="AO107" i="15" s="1"/>
  <c r="AP107" i="15" s="1"/>
  <c r="AQ107" i="15" s="1"/>
  <c r="AR107" i="15" s="1"/>
  <c r="AS107" i="15" s="1"/>
  <c r="AT107" i="15" s="1"/>
  <c r="AU107" i="15" s="1"/>
  <c r="AV107" i="15" s="1"/>
  <c r="AW107" i="15" s="1"/>
  <c r="AX107" i="15" s="1"/>
  <c r="AY107" i="15" s="1"/>
  <c r="AZ107" i="15" s="1"/>
  <c r="BA107" i="15" s="1"/>
  <c r="BB107" i="15" s="1"/>
  <c r="AH107" i="50"/>
  <c r="AJ107" i="50"/>
  <c r="AK107" i="50" s="1"/>
  <c r="AL107" i="50" s="1"/>
  <c r="AM107" i="50" s="1"/>
  <c r="AN107" i="50" s="1"/>
  <c r="AO107" i="50" s="1"/>
  <c r="AP107" i="50" s="1"/>
  <c r="AQ107" i="50" s="1"/>
  <c r="AR107" i="50" s="1"/>
  <c r="AS107" i="50" s="1"/>
  <c r="AT107" i="50" s="1"/>
  <c r="AU107" i="50" s="1"/>
  <c r="AV107" i="50" s="1"/>
  <c r="AW107" i="50" s="1"/>
  <c r="AX107" i="50" s="1"/>
  <c r="AY107" i="50" s="1"/>
  <c r="AZ107" i="50" s="1"/>
  <c r="BA107" i="50" s="1"/>
  <c r="BB107" i="50" s="1"/>
  <c r="B179" i="9"/>
  <c r="A179" i="9" s="1"/>
  <c r="B176" i="9"/>
  <c r="A176" i="9" s="1"/>
  <c r="B173" i="9"/>
  <c r="A173" i="9" s="1"/>
  <c r="B170" i="9"/>
  <c r="A170" i="9" s="1"/>
  <c r="B167" i="9"/>
  <c r="A167" i="9" s="1"/>
  <c r="B146" i="9"/>
  <c r="A146" i="9" s="1"/>
  <c r="B143" i="9"/>
  <c r="A143" i="9" s="1"/>
  <c r="B136" i="9"/>
  <c r="A136" i="9" s="1"/>
  <c r="B133" i="9"/>
  <c r="A133" i="9" s="1"/>
  <c r="B112" i="9"/>
  <c r="A112" i="9" s="1"/>
  <c r="B103" i="9"/>
  <c r="A103" i="9" s="1"/>
  <c r="B98" i="9"/>
  <c r="A98" i="9" s="1"/>
  <c r="B74" i="9"/>
  <c r="A74" i="9" s="1"/>
  <c r="B69" i="9"/>
  <c r="A69" i="9" s="1"/>
  <c r="B65" i="9"/>
  <c r="A65" i="9" s="1"/>
  <c r="B59" i="9"/>
  <c r="A59" i="9" s="1"/>
  <c r="B36" i="9"/>
  <c r="A36" i="9" s="1"/>
  <c r="B31" i="9"/>
  <c r="A31" i="9" s="1"/>
  <c r="B25" i="9"/>
  <c r="A25" i="9" s="1"/>
  <c r="D4" i="53"/>
  <c r="B184" i="9"/>
  <c r="A184" i="9" s="1"/>
  <c r="B181" i="9"/>
  <c r="A181" i="9" s="1"/>
  <c r="B178" i="9"/>
  <c r="A178" i="9" s="1"/>
  <c r="B168" i="9"/>
  <c r="A168" i="9" s="1"/>
  <c r="B148" i="9"/>
  <c r="A148" i="9" s="1"/>
  <c r="B145" i="9"/>
  <c r="A145" i="9" s="1"/>
  <c r="B141" i="9"/>
  <c r="A141" i="9" s="1"/>
  <c r="B138" i="9"/>
  <c r="A138" i="9" s="1"/>
  <c r="B135" i="9"/>
  <c r="A135" i="9" s="1"/>
  <c r="B131" i="9"/>
  <c r="A131" i="9" s="1"/>
  <c r="B110" i="9"/>
  <c r="A110" i="9" s="1"/>
  <c r="B105" i="9"/>
  <c r="A105" i="9" s="1"/>
  <c r="B100" i="9"/>
  <c r="A100" i="9" s="1"/>
  <c r="B95" i="9"/>
  <c r="A95" i="9" s="1"/>
  <c r="B76" i="9"/>
  <c r="A76" i="9" s="1"/>
  <c r="B72" i="9"/>
  <c r="A72" i="9" s="1"/>
  <c r="B67" i="9"/>
  <c r="A67" i="9" s="1"/>
  <c r="B62" i="9"/>
  <c r="A62" i="9" s="1"/>
  <c r="B39" i="9"/>
  <c r="A39" i="9" s="1"/>
  <c r="B34" i="9"/>
  <c r="A34" i="9" s="1"/>
  <c r="B28" i="9"/>
  <c r="A28" i="9" s="1"/>
  <c r="A6" i="9"/>
  <c r="B114" i="9"/>
  <c r="A114" i="9" s="1"/>
  <c r="B108" i="9"/>
  <c r="A108" i="9" s="1"/>
  <c r="B102" i="9"/>
  <c r="A102" i="9" s="1"/>
  <c r="B96" i="9"/>
  <c r="A96" i="9" s="1"/>
  <c r="B93" i="9"/>
  <c r="A93" i="9" s="1"/>
  <c r="B90" i="9"/>
  <c r="A90" i="9" s="1"/>
  <c r="B87" i="9"/>
  <c r="A87" i="9" s="1"/>
  <c r="B84" i="9"/>
  <c r="A84" i="9" s="1"/>
  <c r="B81" i="9"/>
  <c r="A81" i="9" s="1"/>
  <c r="B75" i="9"/>
  <c r="A75" i="9" s="1"/>
  <c r="B70" i="9"/>
  <c r="A70" i="9" s="1"/>
  <c r="B64" i="9"/>
  <c r="A64" i="9" s="1"/>
  <c r="B61" i="9"/>
  <c r="A61" i="9" s="1"/>
  <c r="B58" i="9"/>
  <c r="A58" i="9" s="1"/>
  <c r="B55" i="9"/>
  <c r="A55" i="9" s="1"/>
  <c r="B52" i="9"/>
  <c r="A52" i="9" s="1"/>
  <c r="B49" i="9"/>
  <c r="A49" i="9" s="1"/>
  <c r="B43" i="9"/>
  <c r="A43" i="9" s="1"/>
  <c r="B38" i="9"/>
  <c r="A38" i="9" s="1"/>
  <c r="B32" i="9"/>
  <c r="A32" i="9" s="1"/>
  <c r="B29" i="9"/>
  <c r="A29" i="9" s="1"/>
  <c r="B26" i="9"/>
  <c r="A26" i="9" s="1"/>
  <c r="B23" i="9"/>
  <c r="A23" i="9" s="1"/>
  <c r="B20" i="9"/>
  <c r="B17" i="9"/>
  <c r="A17" i="9" s="1"/>
  <c r="B11" i="9"/>
  <c r="A11" i="9" s="1"/>
  <c r="D22" i="4" a="1"/>
  <c r="D22" i="4" s="1"/>
  <c r="D19" i="4" a="1"/>
  <c r="D19" i="4" s="1"/>
  <c r="D13" i="4" a="1"/>
  <c r="D13" i="4" s="1"/>
  <c r="D23" i="4" a="1"/>
  <c r="D23" i="4" s="1"/>
  <c r="D12" i="4" a="1"/>
  <c r="D12" i="4" s="1"/>
  <c r="D16" i="4" a="1"/>
  <c r="D16" i="4" s="1"/>
  <c r="D15" i="4" a="1"/>
  <c r="D15" i="4" s="1"/>
  <c r="D21" i="4" a="1"/>
  <c r="D21" i="4" s="1"/>
  <c r="D11" i="4" a="1"/>
  <c r="D11" i="4" s="1"/>
  <c r="D18" i="4" a="1"/>
  <c r="D18" i="4" s="1"/>
  <c r="D14" i="4" a="1"/>
  <c r="D14" i="4" s="1"/>
  <c r="D17" i="4" a="1"/>
  <c r="D17" i="4" s="1"/>
  <c r="D20" i="4" a="1"/>
  <c r="D20" i="4" s="1"/>
  <c r="M4" i="54" l="1"/>
  <c r="M3" i="54" s="1"/>
  <c r="L43" i="48"/>
  <c r="AK14" i="49"/>
  <c r="AK13" i="49" s="1"/>
  <c r="O44" i="56"/>
  <c r="P44" i="56" s="1"/>
  <c r="M34" i="52"/>
  <c r="N34" i="52" s="1"/>
  <c r="AL24" i="48"/>
  <c r="AM24" i="48" s="1"/>
  <c r="AN24" i="48" s="1"/>
  <c r="AK13" i="50"/>
  <c r="AT3" i="53"/>
  <c r="N14" i="55"/>
  <c r="O14" i="55" s="1"/>
  <c r="AL43" i="55"/>
  <c r="AL4" i="55"/>
  <c r="AL3" i="55" s="1"/>
  <c r="L3" i="15"/>
  <c r="AO3" i="53"/>
  <c r="AP3" i="53"/>
  <c r="AW3" i="53"/>
  <c r="AQ3" i="53"/>
  <c r="E7" i="10"/>
  <c r="J7" i="10"/>
  <c r="D8" i="10"/>
  <c r="J8" i="10"/>
  <c r="D7" i="10"/>
  <c r="I7" i="10"/>
  <c r="H8" i="10"/>
  <c r="F7" i="10"/>
  <c r="I8" i="10"/>
  <c r="F8" i="10"/>
  <c r="E9" i="10"/>
  <c r="D9" i="10"/>
  <c r="I9" i="10"/>
  <c r="J9" i="10"/>
  <c r="F9" i="10"/>
  <c r="AI6" i="14"/>
  <c r="M4" i="49"/>
  <c r="M3" i="49" s="1"/>
  <c r="N34" i="51"/>
  <c r="N33" i="51" s="1"/>
  <c r="AJ13" i="54"/>
  <c r="N13" i="50"/>
  <c r="AJ13" i="50"/>
  <c r="N4" i="50"/>
  <c r="O4" i="50" s="1"/>
  <c r="M13" i="50"/>
  <c r="N54" i="15"/>
  <c r="O54" i="15" s="1"/>
  <c r="P14" i="50"/>
  <c r="P13" i="50" s="1"/>
  <c r="AJ23" i="48"/>
  <c r="AY3" i="53"/>
  <c r="AS3" i="53"/>
  <c r="AX3" i="53"/>
  <c r="AU3" i="53"/>
  <c r="AV3" i="53"/>
  <c r="M14" i="14"/>
  <c r="M13" i="14" s="1"/>
  <c r="L3" i="50"/>
  <c r="BA4" i="53"/>
  <c r="AZ3" i="53"/>
  <c r="L53" i="15"/>
  <c r="N24" i="51"/>
  <c r="O24" i="51" s="1"/>
  <c r="AL54" i="56"/>
  <c r="AM54" i="56" s="1"/>
  <c r="AJ33" i="52"/>
  <c r="AL34" i="52"/>
  <c r="AK54" i="55"/>
  <c r="AL54" i="55" s="1"/>
  <c r="AL24" i="50"/>
  <c r="AM24" i="50" s="1"/>
  <c r="AK24" i="53"/>
  <c r="AK23" i="53" s="1"/>
  <c r="L33" i="49"/>
  <c r="AG3" i="14" a="1"/>
  <c r="AG3" i="14" s="1"/>
  <c r="AH3" i="14" s="1"/>
  <c r="AG5" i="14"/>
  <c r="AG2" i="14" a="1"/>
  <c r="AG2" i="14" s="1"/>
  <c r="AH2" i="14" s="1"/>
  <c r="K30" i="14"/>
  <c r="K29" i="14" s="1"/>
  <c r="AH22" i="14"/>
  <c r="AH21" i="14" s="1"/>
  <c r="K5" i="14"/>
  <c r="B11" i="10"/>
  <c r="AK24" i="15"/>
  <c r="AK23" i="15" s="1"/>
  <c r="M53" i="48"/>
  <c r="AK44" i="48"/>
  <c r="AK43" i="48" s="1"/>
  <c r="M14" i="54"/>
  <c r="AJ43" i="53"/>
  <c r="AK44" i="53"/>
  <c r="L23" i="15"/>
  <c r="AJ43" i="51"/>
  <c r="AK44" i="51"/>
  <c r="L53" i="50"/>
  <c r="M54" i="50"/>
  <c r="AJ13" i="15"/>
  <c r="AL24" i="55"/>
  <c r="AL23" i="55" s="1"/>
  <c r="M23" i="56"/>
  <c r="N44" i="51"/>
  <c r="O44" i="51" s="1"/>
  <c r="AM14" i="54"/>
  <c r="AN14" i="54" s="1"/>
  <c r="AK13" i="54"/>
  <c r="L53" i="54"/>
  <c r="M54" i="54"/>
  <c r="L22" i="14"/>
  <c r="M22" i="14" s="1"/>
  <c r="N22" i="14" s="1"/>
  <c r="C10" i="45"/>
  <c r="C13" i="4" a="1"/>
  <c r="C13" i="4" s="1"/>
  <c r="E13" i="4" s="1"/>
  <c r="F13" i="4" s="1"/>
  <c r="C6" i="45"/>
  <c r="K13" i="14"/>
  <c r="F10" i="10"/>
  <c r="AI22" i="14"/>
  <c r="AJ22" i="14" s="1"/>
  <c r="AJ21" i="14" s="1"/>
  <c r="AI30" i="14"/>
  <c r="AJ30" i="14" s="1"/>
  <c r="AK30" i="14" s="1"/>
  <c r="AK29" i="14" s="1"/>
  <c r="C11" i="4" a="1"/>
  <c r="C11" i="4" s="1"/>
  <c r="E11" i="4" s="1"/>
  <c r="F11" i="4" s="1"/>
  <c r="C16" i="4" a="1"/>
  <c r="C16" i="4" s="1"/>
  <c r="E16" i="4" s="1"/>
  <c r="C21" i="4" a="1"/>
  <c r="C21" i="4" s="1"/>
  <c r="E21" i="4" s="1"/>
  <c r="C22" i="4" a="1"/>
  <c r="C22" i="4" s="1"/>
  <c r="E22" i="4" s="1"/>
  <c r="G22" i="4" s="1"/>
  <c r="C17" i="4" a="1"/>
  <c r="C17" i="4" s="1"/>
  <c r="E17" i="4" s="1"/>
  <c r="F17" i="4" s="1"/>
  <c r="AK13" i="15"/>
  <c r="AL14" i="15"/>
  <c r="AK54" i="15"/>
  <c r="AJ53" i="15"/>
  <c r="M54" i="49"/>
  <c r="L53" i="49"/>
  <c r="AK44" i="56"/>
  <c r="AJ43" i="56"/>
  <c r="C7" i="45"/>
  <c r="C9" i="45"/>
  <c r="C11" i="45"/>
  <c r="D11" i="45" s="1"/>
  <c r="E11" i="45" s="1"/>
  <c r="C23" i="4" a="1"/>
  <c r="C23" i="4" s="1"/>
  <c r="E23" i="4" s="1"/>
  <c r="C18" i="4" a="1"/>
  <c r="C18" i="4" s="1"/>
  <c r="E18" i="4" s="1"/>
  <c r="G18" i="4" s="1"/>
  <c r="C12" i="4" a="1"/>
  <c r="C12" i="4" s="1"/>
  <c r="E12" i="4" s="1"/>
  <c r="F12" i="4" s="1"/>
  <c r="C19" i="4" a="1"/>
  <c r="C19" i="4" s="1"/>
  <c r="E19" i="4" s="1"/>
  <c r="G19" i="4" s="1"/>
  <c r="C20" i="4" a="1"/>
  <c r="C20" i="4" s="1"/>
  <c r="E20" i="4" s="1"/>
  <c r="G20" i="4" s="1"/>
  <c r="C14" i="4" a="1"/>
  <c r="C14" i="4" s="1"/>
  <c r="E14" i="4" s="1"/>
  <c r="F14" i="4" s="1"/>
  <c r="M3" i="15"/>
  <c r="N4" i="15"/>
  <c r="AK4" i="52"/>
  <c r="AJ3" i="52"/>
  <c r="AL34" i="51"/>
  <c r="AK33" i="51"/>
  <c r="M4" i="48"/>
  <c r="L3" i="48"/>
  <c r="B8" i="45"/>
  <c r="D8" i="45" s="1"/>
  <c r="E8" i="45" s="1"/>
  <c r="M24" i="48"/>
  <c r="L23" i="48"/>
  <c r="AK4" i="49"/>
  <c r="AJ3" i="49"/>
  <c r="AJ13" i="55"/>
  <c r="AK14" i="55"/>
  <c r="M24" i="49"/>
  <c r="L23" i="49"/>
  <c r="L43" i="53"/>
  <c r="M44" i="53"/>
  <c r="AK44" i="50"/>
  <c r="AJ43" i="50"/>
  <c r="AL24" i="52"/>
  <c r="AK23" i="52"/>
  <c r="AK34" i="54"/>
  <c r="AJ33" i="54"/>
  <c r="AK33" i="53"/>
  <c r="AM14" i="50"/>
  <c r="AL13" i="50"/>
  <c r="M33" i="49"/>
  <c r="N34" i="49"/>
  <c r="L33" i="50"/>
  <c r="M34" i="50"/>
  <c r="AN44" i="55"/>
  <c r="AM43" i="55"/>
  <c r="M4" i="55"/>
  <c r="M3" i="55" s="1"/>
  <c r="M34" i="56"/>
  <c r="L33" i="56"/>
  <c r="M3" i="51"/>
  <c r="N4" i="51"/>
  <c r="AK4" i="54"/>
  <c r="AJ3" i="54"/>
  <c r="N54" i="52"/>
  <c r="M53" i="52"/>
  <c r="AK13" i="56"/>
  <c r="AL14" i="56"/>
  <c r="M44" i="54"/>
  <c r="L43" i="54"/>
  <c r="AK54" i="51"/>
  <c r="AJ53" i="51"/>
  <c r="L3" i="52"/>
  <c r="M4" i="52"/>
  <c r="M34" i="15"/>
  <c r="L33" i="15"/>
  <c r="L43" i="49"/>
  <c r="M44" i="49"/>
  <c r="AK54" i="50"/>
  <c r="AJ53" i="50"/>
  <c r="M24" i="52"/>
  <c r="L23" i="52"/>
  <c r="B10" i="45"/>
  <c r="B9" i="45"/>
  <c r="M14" i="56"/>
  <c r="L13" i="56"/>
  <c r="AK4" i="56"/>
  <c r="AJ3" i="56"/>
  <c r="AK13" i="53"/>
  <c r="AL14" i="53"/>
  <c r="N54" i="53"/>
  <c r="M53" i="53"/>
  <c r="N24" i="15"/>
  <c r="M23" i="15"/>
  <c r="AK54" i="52"/>
  <c r="AJ53" i="52"/>
  <c r="AK34" i="50"/>
  <c r="AJ33" i="50"/>
  <c r="M54" i="55"/>
  <c r="L53" i="55"/>
  <c r="N53" i="48"/>
  <c r="O54" i="48"/>
  <c r="N4" i="56"/>
  <c r="M3" i="56"/>
  <c r="B6" i="45"/>
  <c r="B7" i="45"/>
  <c r="AL54" i="54"/>
  <c r="AK53" i="54"/>
  <c r="M24" i="54"/>
  <c r="L23" i="54"/>
  <c r="AJ23" i="51"/>
  <c r="AK24" i="51"/>
  <c r="M34" i="54"/>
  <c r="L33" i="54"/>
  <c r="AL4" i="15"/>
  <c r="AK3" i="15"/>
  <c r="L13" i="49"/>
  <c r="M14" i="49"/>
  <c r="M43" i="48"/>
  <c r="N44" i="48"/>
  <c r="AL33" i="53"/>
  <c r="AM34" i="53"/>
  <c r="AJ33" i="15"/>
  <c r="AK34" i="15"/>
  <c r="AK43" i="52"/>
  <c r="AL44" i="52"/>
  <c r="AJ33" i="49"/>
  <c r="AK34" i="49"/>
  <c r="AJ3" i="50"/>
  <c r="AK4" i="50"/>
  <c r="AJ53" i="54"/>
  <c r="AJ13" i="52"/>
  <c r="AK14" i="52"/>
  <c r="AK4" i="48"/>
  <c r="AJ3" i="48"/>
  <c r="M14" i="51"/>
  <c r="L13" i="51"/>
  <c r="M44" i="15"/>
  <c r="L43" i="15"/>
  <c r="L13" i="15"/>
  <c r="M14" i="15"/>
  <c r="AJ43" i="15"/>
  <c r="AK44" i="15"/>
  <c r="AK24" i="56"/>
  <c r="AJ23" i="56"/>
  <c r="L13" i="52"/>
  <c r="M14" i="52"/>
  <c r="E31" i="14" a="1"/>
  <c r="E31" i="14" s="1"/>
  <c r="E35" i="14" s="1"/>
  <c r="AK54" i="49"/>
  <c r="AJ53" i="49"/>
  <c r="AK4" i="51"/>
  <c r="AJ3" i="51"/>
  <c r="N34" i="55"/>
  <c r="M33" i="55"/>
  <c r="M24" i="53"/>
  <c r="L23" i="53"/>
  <c r="L3" i="53"/>
  <c r="M4" i="53"/>
  <c r="AM34" i="55"/>
  <c r="AL33" i="55"/>
  <c r="M53" i="51"/>
  <c r="N54" i="51"/>
  <c r="L53" i="56"/>
  <c r="M54" i="56"/>
  <c r="AL14" i="51"/>
  <c r="AK13" i="51"/>
  <c r="N23" i="56"/>
  <c r="O24" i="56"/>
  <c r="M44" i="52"/>
  <c r="L43" i="52"/>
  <c r="AJ53" i="48"/>
  <c r="AK54" i="48"/>
  <c r="L23" i="55"/>
  <c r="M24" i="55"/>
  <c r="M34" i="48"/>
  <c r="L33" i="48"/>
  <c r="L13" i="53"/>
  <c r="M14" i="53"/>
  <c r="M34" i="53"/>
  <c r="L33" i="53"/>
  <c r="L13" i="48"/>
  <c r="M14" i="48"/>
  <c r="M44" i="55"/>
  <c r="L43" i="55"/>
  <c r="AK14" i="48"/>
  <c r="AJ13" i="48"/>
  <c r="AK53" i="53"/>
  <c r="AL54" i="53"/>
  <c r="AK34" i="48"/>
  <c r="AJ33" i="48"/>
  <c r="AJ23" i="49"/>
  <c r="AK24" i="49"/>
  <c r="M44" i="50"/>
  <c r="L43" i="50"/>
  <c r="AK44" i="54"/>
  <c r="AJ43" i="54"/>
  <c r="AI14" i="14"/>
  <c r="AH13" i="14"/>
  <c r="M24" i="50"/>
  <c r="L23" i="50"/>
  <c r="AJ23" i="54"/>
  <c r="AK24" i="54"/>
  <c r="AJ33" i="56"/>
  <c r="AK34" i="56"/>
  <c r="AK44" i="49"/>
  <c r="AJ43" i="49"/>
  <c r="A20" i="9"/>
  <c r="D9" i="14" a="1"/>
  <c r="D9" i="14" s="1"/>
  <c r="D8" i="14" a="1"/>
  <c r="D8" i="14" s="1"/>
  <c r="D32" i="14" a="1"/>
  <c r="D32" i="14" s="1"/>
  <c r="D23" i="14" a="1"/>
  <c r="D23" i="14" s="1"/>
  <c r="E10" i="14" a="1"/>
  <c r="E10" i="14" s="1"/>
  <c r="E24" i="14" a="1"/>
  <c r="E24" i="14" s="1"/>
  <c r="D17" i="14" a="1"/>
  <c r="D17" i="14" s="1"/>
  <c r="D18" i="14" a="1"/>
  <c r="D18" i="14" s="1"/>
  <c r="D7" i="14" a="1"/>
  <c r="D7" i="14" s="1"/>
  <c r="D24" i="14" a="1"/>
  <c r="D24" i="14" s="1"/>
  <c r="D26" i="14" a="1"/>
  <c r="D26" i="14" s="1"/>
  <c r="D15" i="14" a="1"/>
  <c r="D15" i="14" s="1"/>
  <c r="E23" i="14" a="1"/>
  <c r="E23" i="14" s="1"/>
  <c r="E17" i="14" a="1"/>
  <c r="E17" i="14" s="1"/>
  <c r="E26" i="14" a="1"/>
  <c r="E26" i="14" s="1"/>
  <c r="E18" i="14" a="1"/>
  <c r="E18" i="14" s="1"/>
  <c r="D10" i="14" a="1"/>
  <c r="D10" i="14" s="1"/>
  <c r="D33" i="14" a="1"/>
  <c r="D33" i="14" s="1"/>
  <c r="E9" i="14" a="1"/>
  <c r="E9" i="14" s="1"/>
  <c r="E15" i="14" a="1"/>
  <c r="E15" i="14" s="1"/>
  <c r="E25" i="14" a="1"/>
  <c r="E25" i="14" s="1"/>
  <c r="E16" i="14" a="1"/>
  <c r="E16" i="14" s="1"/>
  <c r="E33" i="14" a="1"/>
  <c r="E33" i="14" s="1"/>
  <c r="D25" i="14" a="1"/>
  <c r="D25" i="14" s="1"/>
  <c r="D16" i="14" a="1"/>
  <c r="D16" i="14" s="1"/>
  <c r="D31" i="14" a="1"/>
  <c r="D31" i="14" s="1"/>
  <c r="E7" i="14" a="1"/>
  <c r="E7" i="14" s="1"/>
  <c r="E8" i="14" a="1"/>
  <c r="E8" i="14" s="1"/>
  <c r="E34" i="14" a="1"/>
  <c r="E34" i="14" s="1"/>
  <c r="D34" i="14" a="1"/>
  <c r="D34" i="14" s="1"/>
  <c r="E32" i="14" a="1"/>
  <c r="E32" i="14" s="1"/>
  <c r="L5" i="14"/>
  <c r="M6" i="14"/>
  <c r="D24" i="4"/>
  <c r="D25" i="4"/>
  <c r="E15" i="4"/>
  <c r="G15" i="4" s="1"/>
  <c r="N4" i="54" l="1"/>
  <c r="O4" i="54" s="1"/>
  <c r="AL14" i="49"/>
  <c r="AM14" i="49" s="1"/>
  <c r="O43" i="56"/>
  <c r="AI3" i="14"/>
  <c r="N4" i="49"/>
  <c r="N3" i="49" s="1"/>
  <c r="N3" i="50"/>
  <c r="M33" i="52"/>
  <c r="AM23" i="48"/>
  <c r="AL23" i="48"/>
  <c r="O34" i="51"/>
  <c r="P34" i="51" s="1"/>
  <c r="AI2" i="14"/>
  <c r="AL24" i="53"/>
  <c r="AL23" i="53" s="1"/>
  <c r="N13" i="55"/>
  <c r="Q14" i="50"/>
  <c r="R14" i="50" s="1"/>
  <c r="R13" i="50" s="1"/>
  <c r="N23" i="51"/>
  <c r="AL44" i="48"/>
  <c r="AM44" i="48" s="1"/>
  <c r="N43" i="51"/>
  <c r="N53" i="15"/>
  <c r="AM4" i="55"/>
  <c r="AN4" i="55" s="1"/>
  <c r="AM24" i="55"/>
  <c r="AN24" i="55" s="1"/>
  <c r="AJ6" i="14"/>
  <c r="AK6" i="14" s="1"/>
  <c r="AI5" i="14"/>
  <c r="N14" i="14"/>
  <c r="N13" i="14" s="1"/>
  <c r="AL23" i="50"/>
  <c r="AL53" i="56"/>
  <c r="BB4" i="53"/>
  <c r="BB3" i="53" s="1"/>
  <c r="BA3" i="53"/>
  <c r="AK53" i="55"/>
  <c r="AL33" i="52"/>
  <c r="AM34" i="52"/>
  <c r="AL24" i="15"/>
  <c r="AL23" i="15" s="1"/>
  <c r="L30" i="14"/>
  <c r="L29" i="14" s="1"/>
  <c r="AK22" i="14"/>
  <c r="AK21" i="14" s="1"/>
  <c r="AI21" i="14"/>
  <c r="B6" i="10"/>
  <c r="H6" i="10" s="1"/>
  <c r="B12" i="10"/>
  <c r="I12" i="10" s="1"/>
  <c r="D10" i="45"/>
  <c r="E10" i="45" s="1"/>
  <c r="F10" i="45" s="1"/>
  <c r="G10" i="45" s="1"/>
  <c r="B13" i="10"/>
  <c r="M21" i="14"/>
  <c r="N4" i="55"/>
  <c r="O4" i="55" s="1"/>
  <c r="N14" i="54"/>
  <c r="M13" i="54"/>
  <c r="AK43" i="53"/>
  <c r="AL44" i="53"/>
  <c r="AK43" i="51"/>
  <c r="AL44" i="51"/>
  <c r="N54" i="50"/>
  <c r="M53" i="50"/>
  <c r="D7" i="45"/>
  <c r="E7" i="45" s="1"/>
  <c r="F7" i="45" s="1"/>
  <c r="G7" i="45" s="1"/>
  <c r="D6" i="45"/>
  <c r="E6" i="45" s="1"/>
  <c r="F6" i="45" s="1"/>
  <c r="G6" i="45" s="1"/>
  <c r="H1" i="15" s="1"/>
  <c r="N54" i="54"/>
  <c r="M53" i="54"/>
  <c r="AM13" i="54"/>
  <c r="L21" i="14"/>
  <c r="AL30" i="14"/>
  <c r="AL29" i="14" s="1"/>
  <c r="D9" i="45"/>
  <c r="E9" i="45" s="1"/>
  <c r="F9" i="45" s="1"/>
  <c r="G9" i="45" s="1"/>
  <c r="H1" i="51" s="1"/>
  <c r="AI29" i="14"/>
  <c r="G23" i="4"/>
  <c r="F23" i="4"/>
  <c r="H31" i="14"/>
  <c r="F31" i="14" s="1"/>
  <c r="J10" i="10"/>
  <c r="D10" i="10"/>
  <c r="E10" i="10"/>
  <c r="I10" i="10"/>
  <c r="AJ29" i="14"/>
  <c r="H10" i="10"/>
  <c r="G31" i="14"/>
  <c r="AL23" i="52"/>
  <c r="AM24" i="52"/>
  <c r="AK43" i="50"/>
  <c r="AL44" i="50"/>
  <c r="N24" i="48"/>
  <c r="M23" i="48"/>
  <c r="N4" i="48"/>
  <c r="M3" i="48"/>
  <c r="AL4" i="52"/>
  <c r="AK3" i="52"/>
  <c r="AL13" i="15"/>
  <c r="AM14" i="15"/>
  <c r="F8" i="45"/>
  <c r="G8" i="45" s="1"/>
  <c r="O4" i="15"/>
  <c r="N3" i="15"/>
  <c r="M53" i="49"/>
  <c r="N54" i="49"/>
  <c r="AO14" i="54"/>
  <c r="AN13" i="54"/>
  <c r="M23" i="49"/>
  <c r="N24" i="49"/>
  <c r="AL4" i="49"/>
  <c r="AK3" i="49"/>
  <c r="AL33" i="51"/>
  <c r="AM34" i="51"/>
  <c r="C24" i="4"/>
  <c r="E24" i="4" s="1"/>
  <c r="C25" i="4"/>
  <c r="E25" i="4" s="1"/>
  <c r="N44" i="53"/>
  <c r="M43" i="53"/>
  <c r="AK13" i="55"/>
  <c r="AL14" i="55"/>
  <c r="AL44" i="56"/>
  <c r="AK43" i="56"/>
  <c r="AL54" i="15"/>
  <c r="AK53" i="15"/>
  <c r="G13" i="4"/>
  <c r="P14" i="55"/>
  <c r="O13" i="55"/>
  <c r="AN23" i="48"/>
  <c r="AO24" i="48"/>
  <c r="J31" i="14"/>
  <c r="AG31" i="14" s="1"/>
  <c r="M33" i="15"/>
  <c r="N34" i="15"/>
  <c r="P44" i="51"/>
  <c r="O43" i="51"/>
  <c r="P24" i="51"/>
  <c r="O23" i="51"/>
  <c r="M43" i="54"/>
  <c r="N44" i="54"/>
  <c r="N53" i="52"/>
  <c r="O54" i="52"/>
  <c r="N33" i="52"/>
  <c r="O34" i="52"/>
  <c r="N34" i="56"/>
  <c r="M33" i="56"/>
  <c r="AO44" i="55"/>
  <c r="AN43" i="55"/>
  <c r="N24" i="52"/>
  <c r="M23" i="52"/>
  <c r="AL54" i="50"/>
  <c r="AK53" i="50"/>
  <c r="N4" i="52"/>
  <c r="M3" i="52"/>
  <c r="Q44" i="56"/>
  <c r="P43" i="56"/>
  <c r="AM14" i="56"/>
  <c r="AL13" i="56"/>
  <c r="N3" i="51"/>
  <c r="O4" i="51"/>
  <c r="M33" i="50"/>
  <c r="N34" i="50"/>
  <c r="O34" i="49"/>
  <c r="N33" i="49"/>
  <c r="M43" i="49"/>
  <c r="N44" i="49"/>
  <c r="AL54" i="51"/>
  <c r="AK53" i="51"/>
  <c r="AM53" i="56"/>
  <c r="AN54" i="56"/>
  <c r="AL4" i="54"/>
  <c r="AK3" i="54"/>
  <c r="O53" i="15"/>
  <c r="P54" i="15"/>
  <c r="AM13" i="50"/>
  <c r="AN14" i="50"/>
  <c r="AK33" i="54"/>
  <c r="AL34" i="54"/>
  <c r="N44" i="52"/>
  <c r="M43" i="52"/>
  <c r="N33" i="55"/>
  <c r="O34" i="55"/>
  <c r="AK53" i="49"/>
  <c r="AL54" i="49"/>
  <c r="AL24" i="56"/>
  <c r="AK23" i="56"/>
  <c r="M13" i="51"/>
  <c r="N14" i="51"/>
  <c r="AK33" i="49"/>
  <c r="AL34" i="49"/>
  <c r="AL43" i="52"/>
  <c r="AM44" i="52"/>
  <c r="AL34" i="15"/>
  <c r="AK33" i="15"/>
  <c r="AN34" i="53"/>
  <c r="AM33" i="53"/>
  <c r="M13" i="49"/>
  <c r="N14" i="49"/>
  <c r="AK23" i="51"/>
  <c r="AL24" i="51"/>
  <c r="O4" i="49"/>
  <c r="AM14" i="53"/>
  <c r="AL13" i="53"/>
  <c r="F22" i="4"/>
  <c r="N14" i="52"/>
  <c r="M13" i="52"/>
  <c r="AK43" i="15"/>
  <c r="AL44" i="15"/>
  <c r="AL53" i="54"/>
  <c r="AM54" i="54"/>
  <c r="N3" i="56"/>
  <c r="O4" i="56"/>
  <c r="N54" i="55"/>
  <c r="M53" i="55"/>
  <c r="AL54" i="52"/>
  <c r="AK53" i="52"/>
  <c r="N14" i="56"/>
  <c r="M13" i="56"/>
  <c r="AL13" i="51"/>
  <c r="AM14" i="51"/>
  <c r="AN34" i="55"/>
  <c r="AM33" i="55"/>
  <c r="M23" i="53"/>
  <c r="N24" i="53"/>
  <c r="AL4" i="51"/>
  <c r="AK3" i="51"/>
  <c r="N44" i="15"/>
  <c r="M43" i="15"/>
  <c r="AN24" i="50"/>
  <c r="AM23" i="50"/>
  <c r="AK3" i="48"/>
  <c r="AL4" i="48"/>
  <c r="AL4" i="50"/>
  <c r="AK3" i="50"/>
  <c r="N43" i="48"/>
  <c r="O44" i="48"/>
  <c r="P54" i="48"/>
  <c r="O53" i="48"/>
  <c r="F15" i="4"/>
  <c r="P24" i="56"/>
  <c r="O23" i="56"/>
  <c r="N54" i="56"/>
  <c r="M53" i="56"/>
  <c r="O54" i="51"/>
  <c r="N53" i="51"/>
  <c r="N4" i="53"/>
  <c r="M3" i="53"/>
  <c r="M13" i="15"/>
  <c r="N14" i="15"/>
  <c r="AL14" i="52"/>
  <c r="AK13" i="52"/>
  <c r="AM4" i="15"/>
  <c r="AL3" i="15"/>
  <c r="N34" i="54"/>
  <c r="M33" i="54"/>
  <c r="N24" i="54"/>
  <c r="M23" i="54"/>
  <c r="AL34" i="50"/>
  <c r="AK33" i="50"/>
  <c r="O24" i="15"/>
  <c r="N23" i="15"/>
  <c r="N53" i="53"/>
  <c r="O54" i="53"/>
  <c r="AK3" i="56"/>
  <c r="AL4" i="56"/>
  <c r="G11" i="4"/>
  <c r="AL13" i="49"/>
  <c r="AL34" i="56"/>
  <c r="AK33" i="56"/>
  <c r="AL24" i="49"/>
  <c r="AK23" i="49"/>
  <c r="AL54" i="48"/>
  <c r="AK53" i="48"/>
  <c r="AL53" i="55"/>
  <c r="AM54" i="55"/>
  <c r="M23" i="50"/>
  <c r="N24" i="50"/>
  <c r="AL44" i="54"/>
  <c r="AK43" i="54"/>
  <c r="AM54" i="53"/>
  <c r="AL53" i="53"/>
  <c r="M33" i="48"/>
  <c r="N34" i="48"/>
  <c r="O3" i="50"/>
  <c r="P4" i="50"/>
  <c r="AL24" i="54"/>
  <c r="AK23" i="54"/>
  <c r="AL14" i="48"/>
  <c r="AK13" i="48"/>
  <c r="M43" i="55"/>
  <c r="N44" i="55"/>
  <c r="N34" i="53"/>
  <c r="M33" i="53"/>
  <c r="N14" i="53"/>
  <c r="M13" i="53"/>
  <c r="N24" i="55"/>
  <c r="M23" i="55"/>
  <c r="AK43" i="49"/>
  <c r="AL44" i="49"/>
  <c r="AI13" i="14"/>
  <c r="AJ14" i="14"/>
  <c r="N44" i="50"/>
  <c r="M43" i="50"/>
  <c r="AL34" i="48"/>
  <c r="AK33" i="48"/>
  <c r="M13" i="48"/>
  <c r="N14" i="48"/>
  <c r="G16" i="4"/>
  <c r="F16" i="4"/>
  <c r="G21" i="4"/>
  <c r="F21" i="4"/>
  <c r="G17" i="4"/>
  <c r="G12" i="4"/>
  <c r="F20" i="4"/>
  <c r="J8" i="14"/>
  <c r="G8" i="14"/>
  <c r="H8" i="14"/>
  <c r="F8" i="14" s="1"/>
  <c r="H16" i="14"/>
  <c r="F16" i="14" s="1"/>
  <c r="G16" i="14"/>
  <c r="J16" i="14"/>
  <c r="J18" i="14"/>
  <c r="G18" i="14"/>
  <c r="H18" i="14"/>
  <c r="F18" i="14" s="1"/>
  <c r="AJ5" i="14"/>
  <c r="G10" i="14"/>
  <c r="J10" i="14"/>
  <c r="H10" i="14"/>
  <c r="F10" i="14" s="1"/>
  <c r="G32" i="14"/>
  <c r="J32" i="14"/>
  <c r="H32" i="14"/>
  <c r="F32" i="14" s="1"/>
  <c r="E11" i="14"/>
  <c r="G7" i="14"/>
  <c r="H7" i="14"/>
  <c r="F7" i="14" s="1"/>
  <c r="J7" i="14"/>
  <c r="J25" i="14"/>
  <c r="H25" i="14"/>
  <c r="F25" i="14" s="1"/>
  <c r="J26" i="14"/>
  <c r="H26" i="14"/>
  <c r="F26" i="14" s="1"/>
  <c r="G26" i="14"/>
  <c r="J15" i="14"/>
  <c r="E19" i="14"/>
  <c r="G15" i="14"/>
  <c r="H15" i="14"/>
  <c r="F15" i="14" s="1"/>
  <c r="H17" i="14"/>
  <c r="F17" i="14" s="1"/>
  <c r="J17" i="14"/>
  <c r="J34" i="14"/>
  <c r="AG34" i="14" s="1"/>
  <c r="AG52" i="14" s="1"/>
  <c r="G34" i="14"/>
  <c r="G33" i="14" s="1"/>
  <c r="H34" i="14"/>
  <c r="J33" i="14"/>
  <c r="H33" i="14"/>
  <c r="F33" i="14" s="1"/>
  <c r="H9" i="14"/>
  <c r="F9" i="14" s="1"/>
  <c r="J9" i="14"/>
  <c r="G23" i="14"/>
  <c r="J23" i="14"/>
  <c r="E27" i="14"/>
  <c r="H23" i="14"/>
  <c r="F23" i="14" s="1"/>
  <c r="H24" i="14"/>
  <c r="F24" i="14" s="1"/>
  <c r="G24" i="14"/>
  <c r="J24" i="14"/>
  <c r="G14" i="4"/>
  <c r="F18" i="4"/>
  <c r="F19" i="4"/>
  <c r="B14" i="10"/>
  <c r="N21" i="14"/>
  <c r="O22" i="14"/>
  <c r="M5" i="14"/>
  <c r="N6" i="14"/>
  <c r="M30" i="14" l="1"/>
  <c r="N3" i="54"/>
  <c r="AJ3" i="14"/>
  <c r="AJ2" i="14"/>
  <c r="O14" i="14"/>
  <c r="P14" i="14" s="1"/>
  <c r="AL22" i="14"/>
  <c r="AM22" i="14" s="1"/>
  <c r="O33" i="51"/>
  <c r="H12" i="10"/>
  <c r="AM24" i="53"/>
  <c r="AN24" i="53" s="1"/>
  <c r="AL43" i="48"/>
  <c r="AM23" i="55"/>
  <c r="S14" i="50"/>
  <c r="S13" i="50" s="1"/>
  <c r="Q13" i="50"/>
  <c r="AM3" i="55"/>
  <c r="AM24" i="15"/>
  <c r="AM23" i="15" s="1"/>
  <c r="O3" i="54"/>
  <c r="P4" i="54"/>
  <c r="D12" i="10"/>
  <c r="AK3" i="14"/>
  <c r="J12" i="10"/>
  <c r="F12" i="10"/>
  <c r="N3" i="55"/>
  <c r="AM33" i="52"/>
  <c r="AN34" i="52"/>
  <c r="E12" i="10"/>
  <c r="D6" i="10"/>
  <c r="E6" i="10"/>
  <c r="F6" i="10"/>
  <c r="I11" i="10"/>
  <c r="F11" i="10"/>
  <c r="H11" i="10"/>
  <c r="E11" i="10"/>
  <c r="D11" i="10"/>
  <c r="J11" i="10"/>
  <c r="J6" i="10"/>
  <c r="AM30" i="14"/>
  <c r="AM29" i="14" s="1"/>
  <c r="N13" i="54"/>
  <c r="O14" i="54"/>
  <c r="AL43" i="53"/>
  <c r="AM44" i="53"/>
  <c r="N53" i="50"/>
  <c r="O54" i="50"/>
  <c r="AL43" i="51"/>
  <c r="AM44" i="51"/>
  <c r="I31" i="14"/>
  <c r="K31" i="14" s="1"/>
  <c r="I6" i="10"/>
  <c r="I15" i="14"/>
  <c r="K15" i="14" s="1"/>
  <c r="H1" i="48"/>
  <c r="N53" i="54"/>
  <c r="O54" i="54"/>
  <c r="G17" i="14"/>
  <c r="I17" i="14" s="1"/>
  <c r="K17" i="14" s="1"/>
  <c r="H1" i="52"/>
  <c r="G25" i="4"/>
  <c r="AL53" i="15"/>
  <c r="AM54" i="15"/>
  <c r="AN14" i="15"/>
  <c r="AM13" i="15"/>
  <c r="AN24" i="52"/>
  <c r="AM23" i="52"/>
  <c r="AM4" i="52"/>
  <c r="AL3" i="52"/>
  <c r="N23" i="48"/>
  <c r="O24" i="48"/>
  <c r="AM44" i="56"/>
  <c r="AL43" i="56"/>
  <c r="O44" i="53"/>
  <c r="N43" i="53"/>
  <c r="AM4" i="49"/>
  <c r="AL3" i="49"/>
  <c r="AP14" i="54"/>
  <c r="AO13" i="54"/>
  <c r="P4" i="15"/>
  <c r="O3" i="15"/>
  <c r="AM44" i="50"/>
  <c r="AL43" i="50"/>
  <c r="AM14" i="55"/>
  <c r="AL13" i="55"/>
  <c r="AN34" i="51"/>
  <c r="AM33" i="51"/>
  <c r="O24" i="49"/>
  <c r="N23" i="49"/>
  <c r="O54" i="49"/>
  <c r="N53" i="49"/>
  <c r="H1" i="53"/>
  <c r="H1" i="54"/>
  <c r="O4" i="48"/>
  <c r="N3" i="48"/>
  <c r="H1" i="55"/>
  <c r="H1" i="56"/>
  <c r="H1" i="49"/>
  <c r="H1" i="50"/>
  <c r="AO14" i="50"/>
  <c r="AN13" i="50"/>
  <c r="Q54" i="15"/>
  <c r="P53" i="15"/>
  <c r="AO54" i="56"/>
  <c r="AN53" i="56"/>
  <c r="O44" i="49"/>
  <c r="N43" i="49"/>
  <c r="O3" i="51"/>
  <c r="P4" i="51"/>
  <c r="O33" i="52"/>
  <c r="P34" i="52"/>
  <c r="T14" i="50"/>
  <c r="Q14" i="55"/>
  <c r="P13" i="55"/>
  <c r="I7" i="14"/>
  <c r="K7" i="14" s="1"/>
  <c r="AL53" i="51"/>
  <c r="AM54" i="51"/>
  <c r="AN44" i="48"/>
  <c r="AM43" i="48"/>
  <c r="R44" i="56"/>
  <c r="Q43" i="56"/>
  <c r="AL53" i="50"/>
  <c r="AM54" i="50"/>
  <c r="AP44" i="55"/>
  <c r="AO43" i="55"/>
  <c r="P43" i="51"/>
  <c r="Q44" i="51"/>
  <c r="AO23" i="48"/>
  <c r="AP24" i="48"/>
  <c r="AM34" i="54"/>
  <c r="AL33" i="54"/>
  <c r="O34" i="50"/>
  <c r="N33" i="50"/>
  <c r="P54" i="52"/>
  <c r="O53" i="52"/>
  <c r="N43" i="54"/>
  <c r="O44" i="54"/>
  <c r="O34" i="15"/>
  <c r="N33" i="15"/>
  <c r="AM4" i="54"/>
  <c r="AL3" i="54"/>
  <c r="P34" i="49"/>
  <c r="O33" i="49"/>
  <c r="AM13" i="56"/>
  <c r="AN14" i="56"/>
  <c r="N3" i="52"/>
  <c r="O4" i="52"/>
  <c r="N23" i="52"/>
  <c r="O24" i="52"/>
  <c r="N33" i="56"/>
  <c r="O34" i="56"/>
  <c r="P23" i="51"/>
  <c r="Q24" i="51"/>
  <c r="I33" i="14"/>
  <c r="K33" i="14" s="1"/>
  <c r="I23" i="14"/>
  <c r="K23" i="14" s="1"/>
  <c r="F24" i="4"/>
  <c r="O23" i="15"/>
  <c r="P24" i="15"/>
  <c r="N33" i="54"/>
  <c r="O34" i="54"/>
  <c r="O4" i="53"/>
  <c r="N3" i="53"/>
  <c r="N53" i="56"/>
  <c r="O54" i="56"/>
  <c r="AL3" i="48"/>
  <c r="AM4" i="48"/>
  <c r="O3" i="56"/>
  <c r="P4" i="56"/>
  <c r="AL23" i="51"/>
  <c r="AM24" i="51"/>
  <c r="AM43" i="52"/>
  <c r="AN44" i="52"/>
  <c r="AM54" i="49"/>
  <c r="AL53" i="49"/>
  <c r="I26" i="14"/>
  <c r="K26" i="14" s="1"/>
  <c r="I16" i="14"/>
  <c r="K16" i="14" s="1"/>
  <c r="P54" i="53"/>
  <c r="O53" i="53"/>
  <c r="Q54" i="48"/>
  <c r="P53" i="48"/>
  <c r="O44" i="15"/>
  <c r="N43" i="15"/>
  <c r="AM4" i="51"/>
  <c r="AL3" i="51"/>
  <c r="O14" i="56"/>
  <c r="N13" i="56"/>
  <c r="AM54" i="52"/>
  <c r="AL53" i="52"/>
  <c r="N13" i="52"/>
  <c r="O14" i="52"/>
  <c r="AN14" i="53"/>
  <c r="AM13" i="53"/>
  <c r="AN3" i="55"/>
  <c r="AO4" i="55"/>
  <c r="AO34" i="53"/>
  <c r="AN33" i="53"/>
  <c r="AL33" i="50"/>
  <c r="AM34" i="50"/>
  <c r="N23" i="54"/>
  <c r="O24" i="54"/>
  <c r="AN4" i="15"/>
  <c r="AM3" i="15"/>
  <c r="AM14" i="52"/>
  <c r="AL13" i="52"/>
  <c r="O53" i="51"/>
  <c r="P54" i="51"/>
  <c r="Q24" i="56"/>
  <c r="P23" i="56"/>
  <c r="P44" i="48"/>
  <c r="O43" i="48"/>
  <c r="N23" i="53"/>
  <c r="O24" i="53"/>
  <c r="AM13" i="51"/>
  <c r="AN14" i="51"/>
  <c r="AM53" i="54"/>
  <c r="AN54" i="54"/>
  <c r="AL43" i="15"/>
  <c r="AM44" i="15"/>
  <c r="O14" i="49"/>
  <c r="N13" i="49"/>
  <c r="AL33" i="49"/>
  <c r="AM34" i="49"/>
  <c r="N13" i="51"/>
  <c r="O14" i="51"/>
  <c r="O33" i="55"/>
  <c r="P34" i="55"/>
  <c r="AL3" i="56"/>
  <c r="AM4" i="56"/>
  <c r="N13" i="15"/>
  <c r="O14" i="15"/>
  <c r="AM4" i="50"/>
  <c r="AL3" i="50"/>
  <c r="AN23" i="50"/>
  <c r="AO24" i="50"/>
  <c r="AN33" i="55"/>
  <c r="AO34" i="55"/>
  <c r="Q34" i="51"/>
  <c r="P33" i="51"/>
  <c r="N53" i="55"/>
  <c r="O54" i="55"/>
  <c r="O3" i="49"/>
  <c r="P4" i="49"/>
  <c r="AM34" i="15"/>
  <c r="AL33" i="15"/>
  <c r="AL23" i="56"/>
  <c r="AM24" i="56"/>
  <c r="O44" i="52"/>
  <c r="N43" i="52"/>
  <c r="O14" i="48"/>
  <c r="N13" i="48"/>
  <c r="O34" i="48"/>
  <c r="N33" i="48"/>
  <c r="AN54" i="55"/>
  <c r="AM53" i="55"/>
  <c r="G25" i="14"/>
  <c r="I25" i="14" s="1"/>
  <c r="K25" i="14" s="1"/>
  <c r="AH25" i="14" s="1"/>
  <c r="AL33" i="48"/>
  <c r="AM34" i="48"/>
  <c r="AO24" i="55"/>
  <c r="AN23" i="55"/>
  <c r="N13" i="53"/>
  <c r="O14" i="53"/>
  <c r="AL23" i="54"/>
  <c r="AM24" i="54"/>
  <c r="AM44" i="54"/>
  <c r="AL43" i="54"/>
  <c r="AL23" i="49"/>
  <c r="AM24" i="49"/>
  <c r="AN14" i="49"/>
  <c r="AM13" i="49"/>
  <c r="AK14" i="14"/>
  <c r="AJ13" i="14"/>
  <c r="O44" i="55"/>
  <c r="N43" i="55"/>
  <c r="G9" i="14"/>
  <c r="I9" i="14" s="1"/>
  <c r="K9" i="14" s="1"/>
  <c r="AL43" i="49"/>
  <c r="AM44" i="49"/>
  <c r="Q4" i="50"/>
  <c r="P3" i="50"/>
  <c r="N23" i="50"/>
  <c r="O24" i="50"/>
  <c r="G24" i="4"/>
  <c r="I32" i="14"/>
  <c r="K32" i="14" s="1"/>
  <c r="N43" i="50"/>
  <c r="O44" i="50"/>
  <c r="O24" i="55"/>
  <c r="N23" i="55"/>
  <c r="N33" i="53"/>
  <c r="O34" i="53"/>
  <c r="AL13" i="48"/>
  <c r="AM14" i="48"/>
  <c r="AN54" i="53"/>
  <c r="AM53" i="53"/>
  <c r="AL53" i="48"/>
  <c r="AM54" i="48"/>
  <c r="P4" i="55"/>
  <c r="O3" i="55"/>
  <c r="AL33" i="56"/>
  <c r="AM34" i="56"/>
  <c r="AG24" i="14"/>
  <c r="AK2" i="14"/>
  <c r="I18" i="14"/>
  <c r="K18" i="14" s="1"/>
  <c r="AG16" i="14"/>
  <c r="I8" i="14"/>
  <c r="K8" i="14" s="1"/>
  <c r="I24" i="14"/>
  <c r="K24" i="14" s="1"/>
  <c r="AG23" i="14"/>
  <c r="AG27" i="14" s="1"/>
  <c r="N30" i="14"/>
  <c r="M29" i="14"/>
  <c r="AG26" i="14"/>
  <c r="AK5" i="14"/>
  <c r="AL6" i="14"/>
  <c r="AG8" i="14"/>
  <c r="AG42" i="14" s="1"/>
  <c r="AG35" i="14"/>
  <c r="AG53" i="14" s="1"/>
  <c r="AG49" i="14"/>
  <c r="AG17" i="14"/>
  <c r="AG25" i="14"/>
  <c r="AG32" i="14"/>
  <c r="AG50" i="14" s="1"/>
  <c r="AG10" i="14"/>
  <c r="AG44" i="14" s="1"/>
  <c r="AG18" i="14"/>
  <c r="AG9" i="14"/>
  <c r="AG43" i="14" s="1"/>
  <c r="AG33" i="14"/>
  <c r="AG51" i="14" s="1"/>
  <c r="AG15" i="14"/>
  <c r="AG19" i="14" s="1"/>
  <c r="AG7" i="14"/>
  <c r="I10" i="14"/>
  <c r="K10" i="14" s="1"/>
  <c r="F34" i="14"/>
  <c r="I34" i="14" s="1"/>
  <c r="K34" i="14" s="1"/>
  <c r="AH34" i="14" s="1"/>
  <c r="AH52" i="14" s="1"/>
  <c r="O21" i="14"/>
  <c r="P22" i="14"/>
  <c r="B15" i="10"/>
  <c r="F25" i="4"/>
  <c r="N5" i="14"/>
  <c r="O6" i="14"/>
  <c r="F13" i="10"/>
  <c r="AH11" i="15" s="1"/>
  <c r="E13" i="10"/>
  <c r="J13" i="10"/>
  <c r="H13" i="10"/>
  <c r="D13" i="10"/>
  <c r="I13" i="10"/>
  <c r="F52" i="9"/>
  <c r="G132" i="9"/>
  <c r="F142" i="9"/>
  <c r="H47" i="9"/>
  <c r="F15" i="9"/>
  <c r="H149" i="9"/>
  <c r="F81" i="9"/>
  <c r="H48" i="9"/>
  <c r="F37" i="9"/>
  <c r="F149" i="9"/>
  <c r="G104" i="9"/>
  <c r="F16" i="9"/>
  <c r="H56" i="9"/>
  <c r="H103" i="9"/>
  <c r="G78" i="9"/>
  <c r="F68" i="9"/>
  <c r="G169" i="9"/>
  <c r="H27" i="9"/>
  <c r="F58" i="9"/>
  <c r="H155" i="9"/>
  <c r="F33" i="9"/>
  <c r="G143" i="9"/>
  <c r="F46" i="9"/>
  <c r="H133" i="9"/>
  <c r="G108" i="9"/>
  <c r="G95" i="9"/>
  <c r="G134" i="9"/>
  <c r="H156" i="9"/>
  <c r="F41" i="9"/>
  <c r="H6" i="9"/>
  <c r="F77" i="9"/>
  <c r="G83" i="9"/>
  <c r="G13" i="9"/>
  <c r="H12" i="9"/>
  <c r="G72" i="9"/>
  <c r="G59" i="9"/>
  <c r="G141" i="9"/>
  <c r="F42" i="9"/>
  <c r="G155" i="9"/>
  <c r="H115" i="9"/>
  <c r="G64" i="9"/>
  <c r="F126" i="9"/>
  <c r="H91" i="9"/>
  <c r="H78" i="9"/>
  <c r="H119" i="9"/>
  <c r="F173" i="9"/>
  <c r="H42" i="9"/>
  <c r="G121" i="9"/>
  <c r="H117" i="9"/>
  <c r="G54" i="9"/>
  <c r="F117" i="9"/>
  <c r="F66" i="9"/>
  <c r="F125" i="9"/>
  <c r="F80" i="9"/>
  <c r="F136" i="9"/>
  <c r="G88" i="9"/>
  <c r="F13" i="9"/>
  <c r="H178" i="9"/>
  <c r="F121" i="9"/>
  <c r="H63" i="9"/>
  <c r="H98" i="9"/>
  <c r="G39" i="9"/>
  <c r="H124" i="9"/>
  <c r="G105" i="9"/>
  <c r="H123" i="9"/>
  <c r="H139" i="9"/>
  <c r="F20" i="9"/>
  <c r="H38" i="9"/>
  <c r="G107" i="9"/>
  <c r="G138" i="9"/>
  <c r="H174" i="9"/>
  <c r="F127" i="9"/>
  <c r="F170" i="9"/>
  <c r="F25" i="9"/>
  <c r="G40" i="9"/>
  <c r="H82" i="9"/>
  <c r="F87" i="9"/>
  <c r="F50" i="9"/>
  <c r="H24" i="9"/>
  <c r="H146" i="9"/>
  <c r="G31" i="9"/>
  <c r="G25" i="9"/>
  <c r="H145" i="9"/>
  <c r="G16" i="9"/>
  <c r="F23" i="9"/>
  <c r="H18" i="9"/>
  <c r="H95" i="9"/>
  <c r="F154" i="9"/>
  <c r="H68" i="9"/>
  <c r="H110" i="9"/>
  <c r="F78" i="9"/>
  <c r="H94" i="9"/>
  <c r="F163" i="9"/>
  <c r="H72" i="9"/>
  <c r="H175" i="9"/>
  <c r="F139" i="9"/>
  <c r="G79" i="9"/>
  <c r="G11" i="9"/>
  <c r="G76" i="9"/>
  <c r="H113" i="9"/>
  <c r="F179" i="9"/>
  <c r="G71" i="9"/>
  <c r="F49" i="9"/>
  <c r="H179" i="9"/>
  <c r="H108" i="9"/>
  <c r="G65" i="9"/>
  <c r="F9" i="9"/>
  <c r="H162" i="9"/>
  <c r="F100" i="9"/>
  <c r="G55" i="9"/>
  <c r="F150" i="9"/>
  <c r="F109" i="9"/>
  <c r="G49" i="9"/>
  <c r="H76" i="9"/>
  <c r="H168" i="9"/>
  <c r="F124" i="9"/>
  <c r="F102" i="9"/>
  <c r="H138" i="9"/>
  <c r="G113" i="9"/>
  <c r="F110" i="9"/>
  <c r="F26" i="9"/>
  <c r="G19" i="9"/>
  <c r="H86" i="9"/>
  <c r="G111" i="9"/>
  <c r="F22" i="9"/>
  <c r="G75" i="9"/>
  <c r="H16" i="9"/>
  <c r="H43" i="9"/>
  <c r="G184" i="9"/>
  <c r="H83" i="9"/>
  <c r="F72" i="9"/>
  <c r="G51" i="9"/>
  <c r="G52" i="9"/>
  <c r="H10" i="9"/>
  <c r="F11" i="9"/>
  <c r="H57" i="9"/>
  <c r="H107" i="9"/>
  <c r="F119" i="9"/>
  <c r="H127" i="9"/>
  <c r="F55" i="9"/>
  <c r="F153" i="9"/>
  <c r="H15" i="9"/>
  <c r="F157" i="9"/>
  <c r="F164" i="9"/>
  <c r="G119" i="9"/>
  <c r="G160" i="9"/>
  <c r="H151" i="9"/>
  <c r="F27" i="9"/>
  <c r="H111" i="9"/>
  <c r="G125" i="9"/>
  <c r="G136" i="9"/>
  <c r="F95" i="9"/>
  <c r="G90" i="9"/>
  <c r="H8" i="9"/>
  <c r="G21" i="9"/>
  <c r="F118" i="9"/>
  <c r="H73" i="9"/>
  <c r="F131" i="9"/>
  <c r="F5" i="9"/>
  <c r="G163" i="9"/>
  <c r="G91" i="9"/>
  <c r="F161" i="9"/>
  <c r="G81" i="9"/>
  <c r="H64" i="9"/>
  <c r="F24" i="9"/>
  <c r="G173" i="9"/>
  <c r="H172" i="9"/>
  <c r="G182" i="9"/>
  <c r="H49" i="9"/>
  <c r="F75" i="9"/>
  <c r="F143" i="9"/>
  <c r="F74" i="9"/>
  <c r="F70" i="9"/>
  <c r="F53" i="9"/>
  <c r="H9" i="9"/>
  <c r="G26" i="9"/>
  <c r="G122" i="9"/>
  <c r="F63" i="9"/>
  <c r="F151" i="9"/>
  <c r="G77" i="9"/>
  <c r="H135" i="9"/>
  <c r="H116" i="9"/>
  <c r="G181" i="9"/>
  <c r="F175" i="9"/>
  <c r="F141" i="9"/>
  <c r="G43" i="9"/>
  <c r="G165" i="9"/>
  <c r="H90" i="9"/>
  <c r="G161" i="9"/>
  <c r="H169" i="9"/>
  <c r="H23" i="9"/>
  <c r="H71" i="9"/>
  <c r="F62" i="9"/>
  <c r="H13" i="9"/>
  <c r="G41" i="9"/>
  <c r="H79" i="9"/>
  <c r="H40" i="9"/>
  <c r="H136" i="9"/>
  <c r="G158" i="9"/>
  <c r="G109" i="9"/>
  <c r="G180" i="9"/>
  <c r="F48" i="9"/>
  <c r="H89" i="9"/>
  <c r="H41" i="9"/>
  <c r="F123" i="9"/>
  <c r="G174" i="9"/>
  <c r="H93" i="9"/>
  <c r="F177" i="9"/>
  <c r="F36" i="9"/>
  <c r="G98" i="9"/>
  <c r="H153" i="9"/>
  <c r="F183" i="9"/>
  <c r="G170" i="9"/>
  <c r="F180" i="9"/>
  <c r="G120" i="9"/>
  <c r="G17" i="9"/>
  <c r="H104" i="9"/>
  <c r="F61" i="9"/>
  <c r="H126" i="9"/>
  <c r="G27" i="9"/>
  <c r="G172" i="9"/>
  <c r="G20" i="9"/>
  <c r="G110" i="9"/>
  <c r="G148" i="9"/>
  <c r="F115" i="9"/>
  <c r="H167" i="9"/>
  <c r="F178" i="9"/>
  <c r="G116" i="9"/>
  <c r="G137" i="9"/>
  <c r="G117" i="9"/>
  <c r="F30" i="9"/>
  <c r="F113" i="9"/>
  <c r="H182" i="9"/>
  <c r="H11" i="9"/>
  <c r="H160" i="9"/>
  <c r="G166" i="9"/>
  <c r="H102" i="9"/>
  <c r="H125" i="9"/>
  <c r="G61" i="9"/>
  <c r="G101" i="9"/>
  <c r="H36" i="9"/>
  <c r="G164" i="9"/>
  <c r="G80" i="9"/>
  <c r="F32" i="9"/>
  <c r="H105" i="9"/>
  <c r="G5" i="9"/>
  <c r="F181" i="9"/>
  <c r="G42" i="9"/>
  <c r="G69" i="9"/>
  <c r="H165" i="9"/>
  <c r="F99" i="9"/>
  <c r="F160" i="9"/>
  <c r="H87" i="9"/>
  <c r="H28" i="9"/>
  <c r="G12" i="9"/>
  <c r="G23" i="9"/>
  <c r="H166" i="9"/>
  <c r="F129" i="9"/>
  <c r="G50" i="9"/>
  <c r="G10" i="9"/>
  <c r="H60" i="9"/>
  <c r="H37" i="9"/>
  <c r="G157" i="9"/>
  <c r="G114" i="9"/>
  <c r="H184" i="9"/>
  <c r="H99" i="9"/>
  <c r="G153" i="9"/>
  <c r="H173" i="9"/>
  <c r="F7" i="9"/>
  <c r="F10" i="9"/>
  <c r="F94" i="9"/>
  <c r="F65" i="9"/>
  <c r="G147" i="9"/>
  <c r="G33" i="9"/>
  <c r="G34" i="9"/>
  <c r="G38" i="9"/>
  <c r="F167" i="9"/>
  <c r="F39" i="9"/>
  <c r="H100" i="9"/>
  <c r="H152" i="9"/>
  <c r="G179" i="9"/>
  <c r="H51" i="9"/>
  <c r="H81" i="9"/>
  <c r="F83" i="9"/>
  <c r="G93" i="9"/>
  <c r="G176" i="9"/>
  <c r="G167" i="9"/>
  <c r="F144" i="9"/>
  <c r="H80" i="9"/>
  <c r="H53" i="9"/>
  <c r="H134" i="9"/>
  <c r="G99" i="9"/>
  <c r="F93" i="9"/>
  <c r="F120" i="9"/>
  <c r="G66" i="9"/>
  <c r="F45" i="9"/>
  <c r="H180" i="9"/>
  <c r="G118" i="9"/>
  <c r="F165" i="9"/>
  <c r="G133" i="9"/>
  <c r="H84" i="9"/>
  <c r="F138" i="9"/>
  <c r="H101" i="9"/>
  <c r="G53" i="9"/>
  <c r="G35" i="9"/>
  <c r="F111" i="9"/>
  <c r="H25" i="9"/>
  <c r="H141" i="9"/>
  <c r="G102" i="9"/>
  <c r="H129" i="9"/>
  <c r="G48" i="9"/>
  <c r="F182" i="9"/>
  <c r="F176" i="9"/>
  <c r="H120" i="9"/>
  <c r="F171" i="9"/>
  <c r="H92" i="9"/>
  <c r="F82" i="9"/>
  <c r="H128" i="9"/>
  <c r="H44" i="9"/>
  <c r="F147" i="9"/>
  <c r="F96" i="9"/>
  <c r="F132" i="9"/>
  <c r="H59" i="9"/>
  <c r="F73" i="9"/>
  <c r="G73" i="9"/>
  <c r="H66" i="9"/>
  <c r="F21" i="9"/>
  <c r="F148" i="9"/>
  <c r="G159" i="9"/>
  <c r="G30" i="9"/>
  <c r="F91" i="9"/>
  <c r="G28" i="9"/>
  <c r="F137" i="9"/>
  <c r="H31" i="9"/>
  <c r="F54" i="9"/>
  <c r="H154" i="9"/>
  <c r="H61" i="9"/>
  <c r="G9" i="9"/>
  <c r="H118" i="9"/>
  <c r="G112" i="9"/>
  <c r="F156" i="9"/>
  <c r="H140" i="9"/>
  <c r="F101" i="9"/>
  <c r="F135" i="9"/>
  <c r="H114" i="9"/>
  <c r="H20" i="9"/>
  <c r="F140" i="9"/>
  <c r="G67" i="9"/>
  <c r="F158" i="9"/>
  <c r="H39" i="9"/>
  <c r="G74" i="9"/>
  <c r="H159" i="9"/>
  <c r="F59" i="9"/>
  <c r="F12" i="9"/>
  <c r="F152" i="9"/>
  <c r="G97" i="9"/>
  <c r="F122" i="9"/>
  <c r="G84" i="9"/>
  <c r="G82" i="9"/>
  <c r="G36" i="9"/>
  <c r="H157" i="9"/>
  <c r="G58" i="9"/>
  <c r="F159" i="9"/>
  <c r="G29" i="9"/>
  <c r="F43" i="9"/>
  <c r="F97" i="9"/>
  <c r="G92" i="9"/>
  <c r="G135" i="9"/>
  <c r="H19" i="9"/>
  <c r="G149" i="9"/>
  <c r="H122" i="9"/>
  <c r="H181" i="9"/>
  <c r="H121" i="9"/>
  <c r="H50" i="9"/>
  <c r="G162" i="9"/>
  <c r="F168" i="9"/>
  <c r="H5" i="9"/>
  <c r="G151" i="9"/>
  <c r="H54" i="9"/>
  <c r="F107" i="9"/>
  <c r="H74" i="9"/>
  <c r="H14" i="9"/>
  <c r="G37" i="9"/>
  <c r="F103" i="9"/>
  <c r="F31" i="9"/>
  <c r="G171" i="9"/>
  <c r="F69" i="9"/>
  <c r="G144" i="9"/>
  <c r="G56" i="9"/>
  <c r="H106" i="9"/>
  <c r="H45" i="9"/>
  <c r="H32" i="9"/>
  <c r="G8" i="9"/>
  <c r="H17" i="9"/>
  <c r="H22" i="9"/>
  <c r="G7" i="9"/>
  <c r="G85" i="9"/>
  <c r="H69" i="9"/>
  <c r="G57" i="9"/>
  <c r="F105" i="9"/>
  <c r="F145" i="9"/>
  <c r="F29" i="9"/>
  <c r="H176" i="9"/>
  <c r="G130" i="9"/>
  <c r="F47" i="9"/>
  <c r="H164" i="9"/>
  <c r="F133" i="9"/>
  <c r="F172" i="9"/>
  <c r="F64" i="9"/>
  <c r="H7" i="9"/>
  <c r="H177" i="9"/>
  <c r="G96" i="9"/>
  <c r="F88" i="9"/>
  <c r="F67" i="9"/>
  <c r="F166" i="9"/>
  <c r="H131" i="9"/>
  <c r="F35" i="9"/>
  <c r="F40" i="9"/>
  <c r="G63" i="9"/>
  <c r="G18" i="9"/>
  <c r="G127" i="9"/>
  <c r="H65" i="9"/>
  <c r="H158" i="9"/>
  <c r="F57" i="9"/>
  <c r="F112" i="9"/>
  <c r="G100" i="9"/>
  <c r="F146" i="9"/>
  <c r="H170" i="9"/>
  <c r="G68" i="9"/>
  <c r="F92" i="9"/>
  <c r="H77" i="9"/>
  <c r="H35" i="9"/>
  <c r="H150" i="9"/>
  <c r="G129" i="9"/>
  <c r="G128" i="9"/>
  <c r="G60" i="9"/>
  <c r="F174" i="9"/>
  <c r="G142" i="9"/>
  <c r="F28" i="9"/>
  <c r="F106" i="9"/>
  <c r="F6" i="9"/>
  <c r="G106" i="9"/>
  <c r="F116" i="9"/>
  <c r="G177" i="9"/>
  <c r="F98" i="9"/>
  <c r="F8" i="9"/>
  <c r="H30" i="9"/>
  <c r="F108" i="9"/>
  <c r="H55" i="9"/>
  <c r="H58" i="9"/>
  <c r="G6" i="9"/>
  <c r="F19" i="9"/>
  <c r="F104" i="9"/>
  <c r="H137" i="9"/>
  <c r="G24" i="9"/>
  <c r="G175" i="9"/>
  <c r="F17" i="9"/>
  <c r="F155" i="9"/>
  <c r="F134" i="9"/>
  <c r="F89" i="9"/>
  <c r="H70" i="9"/>
  <c r="F130" i="9"/>
  <c r="F90" i="9"/>
  <c r="H75" i="9"/>
  <c r="G178" i="9"/>
  <c r="F114" i="9"/>
  <c r="G145" i="9"/>
  <c r="G47" i="9"/>
  <c r="H183" i="9"/>
  <c r="H52" i="9"/>
  <c r="H171" i="9"/>
  <c r="F56" i="9"/>
  <c r="H109" i="9"/>
  <c r="H67" i="9"/>
  <c r="F128" i="9"/>
  <c r="F184" i="9"/>
  <c r="G115" i="9"/>
  <c r="H33" i="9"/>
  <c r="G89" i="9"/>
  <c r="F169" i="9"/>
  <c r="H144" i="9"/>
  <c r="F71" i="9"/>
  <c r="F76" i="9"/>
  <c r="H142" i="9"/>
  <c r="H26" i="9"/>
  <c r="H132" i="9"/>
  <c r="G152" i="9"/>
  <c r="G94" i="9"/>
  <c r="G146" i="9"/>
  <c r="G62" i="9"/>
  <c r="F18" i="9"/>
  <c r="F51" i="9"/>
  <c r="H143" i="9"/>
  <c r="G14" i="9"/>
  <c r="H130" i="9"/>
  <c r="H148" i="9"/>
  <c r="F34" i="9"/>
  <c r="G32" i="9"/>
  <c r="G22" i="9"/>
  <c r="H88" i="9"/>
  <c r="F85" i="9"/>
  <c r="H147" i="9"/>
  <c r="G87" i="9"/>
  <c r="H85" i="9"/>
  <c r="G103" i="9"/>
  <c r="G131" i="9"/>
  <c r="F84" i="9"/>
  <c r="G86" i="9"/>
  <c r="F38" i="9"/>
  <c r="G123" i="9"/>
  <c r="G126" i="9"/>
  <c r="G46" i="9"/>
  <c r="F44" i="9"/>
  <c r="G140" i="9"/>
  <c r="F86" i="9"/>
  <c r="H97" i="9"/>
  <c r="H21" i="9"/>
  <c r="G139" i="9"/>
  <c r="G150" i="9"/>
  <c r="H46" i="9"/>
  <c r="G45" i="9"/>
  <c r="H161" i="9"/>
  <c r="H29" i="9"/>
  <c r="G154" i="9"/>
  <c r="H112" i="9"/>
  <c r="G124" i="9"/>
  <c r="G70" i="9"/>
  <c r="G44" i="9"/>
  <c r="H163" i="9"/>
  <c r="G183" i="9"/>
  <c r="F14" i="9"/>
  <c r="G168" i="9"/>
  <c r="F60" i="9"/>
  <c r="G15" i="9"/>
  <c r="H62" i="9"/>
  <c r="H34" i="9"/>
  <c r="G156" i="9"/>
  <c r="H96" i="9"/>
  <c r="F162" i="9"/>
  <c r="F79" i="9"/>
  <c r="AL21" i="14" l="1"/>
  <c r="O13" i="14"/>
  <c r="AM23" i="53"/>
  <c r="AN24" i="15"/>
  <c r="AN23" i="15" s="1"/>
  <c r="AL3" i="14"/>
  <c r="Q4" i="54"/>
  <c r="P3" i="54"/>
  <c r="AN33" i="52"/>
  <c r="AO34" i="52"/>
  <c r="AN30" i="14"/>
  <c r="AO30" i="14" s="1"/>
  <c r="AH31" i="14"/>
  <c r="AH35" i="14" s="1"/>
  <c r="AH53" i="14" s="1"/>
  <c r="L31" i="14"/>
  <c r="AI31" i="14" s="1"/>
  <c r="O13" i="54"/>
  <c r="P14" i="54"/>
  <c r="AM43" i="53"/>
  <c r="AN44" i="53"/>
  <c r="O53" i="50"/>
  <c r="P54" i="50"/>
  <c r="AN44" i="51"/>
  <c r="AM43" i="51"/>
  <c r="P54" i="54"/>
  <c r="O53" i="54"/>
  <c r="L34" i="14"/>
  <c r="M34" i="14" s="1"/>
  <c r="O23" i="48"/>
  <c r="P24" i="48"/>
  <c r="P54" i="49"/>
  <c r="O53" i="49"/>
  <c r="AN33" i="51"/>
  <c r="AO34" i="51"/>
  <c r="AM43" i="50"/>
  <c r="AN44" i="50"/>
  <c r="AQ14" i="54"/>
  <c r="AP13" i="54"/>
  <c r="P44" i="53"/>
  <c r="O43" i="53"/>
  <c r="AN13" i="15"/>
  <c r="AO14" i="15"/>
  <c r="AM53" i="15"/>
  <c r="AN54" i="15"/>
  <c r="P4" i="48"/>
  <c r="O3" i="48"/>
  <c r="P24" i="49"/>
  <c r="O23" i="49"/>
  <c r="AN14" i="55"/>
  <c r="AM13" i="55"/>
  <c r="P3" i="15"/>
  <c r="Q4" i="15"/>
  <c r="AM3" i="49"/>
  <c r="AN4" i="49"/>
  <c r="AN44" i="56"/>
  <c r="AM43" i="56"/>
  <c r="AN4" i="52"/>
  <c r="AM3" i="52"/>
  <c r="AO24" i="52"/>
  <c r="AN23" i="52"/>
  <c r="P33" i="49"/>
  <c r="Q34" i="49"/>
  <c r="P34" i="50"/>
  <c r="O33" i="50"/>
  <c r="AN34" i="54"/>
  <c r="AM33" i="54"/>
  <c r="AP43" i="55"/>
  <c r="AQ44" i="55"/>
  <c r="Q34" i="52"/>
  <c r="P33" i="52"/>
  <c r="Q23" i="51"/>
  <c r="R24" i="51"/>
  <c r="P24" i="52"/>
  <c r="O23" i="52"/>
  <c r="AO14" i="56"/>
  <c r="AN13" i="56"/>
  <c r="AQ24" i="48"/>
  <c r="AP23" i="48"/>
  <c r="R44" i="51"/>
  <c r="Q43" i="51"/>
  <c r="P44" i="49"/>
  <c r="O43" i="49"/>
  <c r="R54" i="15"/>
  <c r="Q53" i="15"/>
  <c r="AN4" i="54"/>
  <c r="AM3" i="54"/>
  <c r="P34" i="15"/>
  <c r="O33" i="15"/>
  <c r="P53" i="52"/>
  <c r="Q54" i="52"/>
  <c r="R43" i="56"/>
  <c r="S44" i="56"/>
  <c r="AN43" i="48"/>
  <c r="AO44" i="48"/>
  <c r="P3" i="51"/>
  <c r="Q4" i="51"/>
  <c r="P34" i="56"/>
  <c r="O33" i="56"/>
  <c r="P4" i="52"/>
  <c r="O3" i="52"/>
  <c r="P44" i="54"/>
  <c r="O43" i="54"/>
  <c r="AM53" i="50"/>
  <c r="AN54" i="50"/>
  <c r="AM53" i="51"/>
  <c r="AN54" i="51"/>
  <c r="Q13" i="55"/>
  <c r="R14" i="55"/>
  <c r="U14" i="50"/>
  <c r="T13" i="50"/>
  <c r="AP54" i="56"/>
  <c r="AO53" i="56"/>
  <c r="AP14" i="50"/>
  <c r="AO13" i="50"/>
  <c r="AM33" i="15"/>
  <c r="AN34" i="15"/>
  <c r="R34" i="51"/>
  <c r="Q33" i="51"/>
  <c r="AN4" i="50"/>
  <c r="AM3" i="50"/>
  <c r="Q44" i="48"/>
  <c r="P43" i="48"/>
  <c r="AN14" i="52"/>
  <c r="AM13" i="52"/>
  <c r="AO4" i="15"/>
  <c r="AN3" i="15"/>
  <c r="AO33" i="53"/>
  <c r="AP34" i="53"/>
  <c r="AN13" i="53"/>
  <c r="AO14" i="53"/>
  <c r="AM53" i="52"/>
  <c r="AN54" i="52"/>
  <c r="O43" i="15"/>
  <c r="P44" i="15"/>
  <c r="Q54" i="53"/>
  <c r="P53" i="53"/>
  <c r="P54" i="55"/>
  <c r="O53" i="55"/>
  <c r="O13" i="15"/>
  <c r="P14" i="15"/>
  <c r="AM3" i="56"/>
  <c r="AN4" i="56"/>
  <c r="P14" i="51"/>
  <c r="O13" i="51"/>
  <c r="AO54" i="54"/>
  <c r="AN53" i="54"/>
  <c r="O23" i="53"/>
  <c r="P24" i="53"/>
  <c r="O23" i="54"/>
  <c r="P24" i="54"/>
  <c r="AM33" i="50"/>
  <c r="AN34" i="50"/>
  <c r="AP4" i="55"/>
  <c r="AO3" i="55"/>
  <c r="AN43" i="52"/>
  <c r="AO44" i="52"/>
  <c r="AN4" i="48"/>
  <c r="AM3" i="48"/>
  <c r="P34" i="54"/>
  <c r="O33" i="54"/>
  <c r="P23" i="15"/>
  <c r="Q24" i="15"/>
  <c r="O43" i="52"/>
  <c r="P44" i="52"/>
  <c r="P14" i="49"/>
  <c r="O13" i="49"/>
  <c r="Q23" i="56"/>
  <c r="R24" i="56"/>
  <c r="P14" i="56"/>
  <c r="O13" i="56"/>
  <c r="AN4" i="51"/>
  <c r="AM3" i="51"/>
  <c r="Q53" i="48"/>
  <c r="R54" i="48"/>
  <c r="AN54" i="49"/>
  <c r="AM53" i="49"/>
  <c r="O3" i="53"/>
  <c r="P4" i="53"/>
  <c r="AM23" i="56"/>
  <c r="AN24" i="56"/>
  <c r="P3" i="49"/>
  <c r="Q4" i="49"/>
  <c r="AP34" i="55"/>
  <c r="AO33" i="55"/>
  <c r="AP24" i="50"/>
  <c r="AO23" i="50"/>
  <c r="Q34" i="55"/>
  <c r="P33" i="55"/>
  <c r="AM33" i="49"/>
  <c r="AN34" i="49"/>
  <c r="AN44" i="15"/>
  <c r="AM43" i="15"/>
  <c r="AO14" i="51"/>
  <c r="AN13" i="51"/>
  <c r="Q54" i="51"/>
  <c r="P53" i="51"/>
  <c r="P14" i="52"/>
  <c r="O13" i="52"/>
  <c r="AN24" i="51"/>
  <c r="AM23" i="51"/>
  <c r="Q4" i="56"/>
  <c r="P3" i="56"/>
  <c r="P54" i="56"/>
  <c r="O53" i="56"/>
  <c r="AM33" i="56"/>
  <c r="AN34" i="56"/>
  <c r="AN54" i="48"/>
  <c r="AM53" i="48"/>
  <c r="AN14" i="48"/>
  <c r="AM13" i="48"/>
  <c r="P44" i="55"/>
  <c r="O43" i="55"/>
  <c r="AN13" i="49"/>
  <c r="AO14" i="49"/>
  <c r="AO23" i="55"/>
  <c r="AP24" i="55"/>
  <c r="P34" i="48"/>
  <c r="O33" i="48"/>
  <c r="P3" i="55"/>
  <c r="Q4" i="55"/>
  <c r="AN53" i="53"/>
  <c r="AO54" i="53"/>
  <c r="AN24" i="54"/>
  <c r="AM23" i="54"/>
  <c r="O23" i="55"/>
  <c r="P24" i="55"/>
  <c r="Q3" i="50"/>
  <c r="R4" i="50"/>
  <c r="AO24" i="53"/>
  <c r="AN23" i="53"/>
  <c r="AM23" i="49"/>
  <c r="AN24" i="49"/>
  <c r="O13" i="53"/>
  <c r="P14" i="53"/>
  <c r="AN34" i="48"/>
  <c r="AM33" i="48"/>
  <c r="P34" i="53"/>
  <c r="O33" i="53"/>
  <c r="P44" i="50"/>
  <c r="O43" i="50"/>
  <c r="P24" i="50"/>
  <c r="O23" i="50"/>
  <c r="AM43" i="49"/>
  <c r="AN44" i="49"/>
  <c r="AL14" i="14"/>
  <c r="AK13" i="14"/>
  <c r="AN44" i="54"/>
  <c r="AM43" i="54"/>
  <c r="AO54" i="55"/>
  <c r="AN53" i="55"/>
  <c r="O13" i="48"/>
  <c r="P14" i="48"/>
  <c r="P13" i="14"/>
  <c r="Q14" i="14"/>
  <c r="AH17" i="14"/>
  <c r="L17" i="14"/>
  <c r="AH8" i="14"/>
  <c r="AH42" i="14" s="1"/>
  <c r="L8" i="14"/>
  <c r="AH26" i="14"/>
  <c r="L26" i="14"/>
  <c r="AN29" i="14"/>
  <c r="AH23" i="14"/>
  <c r="AH27" i="14" s="1"/>
  <c r="L23" i="14"/>
  <c r="AH24" i="14"/>
  <c r="L24" i="14"/>
  <c r="AH7" i="14"/>
  <c r="L7" i="14"/>
  <c r="AH33" i="14"/>
  <c r="AH51" i="14" s="1"/>
  <c r="L33" i="14"/>
  <c r="AH10" i="14"/>
  <c r="AH44" i="14" s="1"/>
  <c r="L10" i="14"/>
  <c r="AL2" i="14"/>
  <c r="AG11" i="14"/>
  <c r="AG45" i="14" s="1"/>
  <c r="AG41" i="14"/>
  <c r="AH15" i="14"/>
  <c r="AH19" i="14" s="1"/>
  <c r="L15" i="14"/>
  <c r="AL5" i="14"/>
  <c r="AM6" i="14"/>
  <c r="AH16" i="14"/>
  <c r="L16" i="14"/>
  <c r="AH9" i="14"/>
  <c r="AH43" i="14" s="1"/>
  <c r="L9" i="14"/>
  <c r="L18" i="14"/>
  <c r="AH18" i="14"/>
  <c r="L32" i="14"/>
  <c r="AH32" i="14"/>
  <c r="AH50" i="14" s="1"/>
  <c r="N29" i="14"/>
  <c r="O30" i="14"/>
  <c r="L25" i="14"/>
  <c r="O5" i="14"/>
  <c r="P6" i="14"/>
  <c r="AM21" i="14"/>
  <c r="AN22" i="14"/>
  <c r="B16" i="10"/>
  <c r="P21" i="14"/>
  <c r="Q22" i="14"/>
  <c r="D14" i="10"/>
  <c r="H14" i="10"/>
  <c r="J14" i="10"/>
  <c r="E14" i="10"/>
  <c r="I14" i="10"/>
  <c r="F14" i="10"/>
  <c r="AO24" i="15" l="1"/>
  <c r="AP24" i="15" s="1"/>
  <c r="AH49" i="14"/>
  <c r="Q3" i="54"/>
  <c r="R4" i="54"/>
  <c r="AP34" i="52"/>
  <c r="AO33" i="52"/>
  <c r="M31" i="14"/>
  <c r="AJ31" i="14" s="1"/>
  <c r="P13" i="54"/>
  <c r="Q14" i="54"/>
  <c r="AO44" i="53"/>
  <c r="AN43" i="53"/>
  <c r="AN43" i="51"/>
  <c r="AO44" i="51"/>
  <c r="P53" i="50"/>
  <c r="Q54" i="50"/>
  <c r="AI34" i="14"/>
  <c r="AI52" i="14" s="1"/>
  <c r="P53" i="54"/>
  <c r="Q54" i="54"/>
  <c r="Q3" i="15"/>
  <c r="R4" i="15"/>
  <c r="AO54" i="15"/>
  <c r="AN53" i="15"/>
  <c r="AP34" i="51"/>
  <c r="AO33" i="51"/>
  <c r="AO23" i="52"/>
  <c r="AP24" i="52"/>
  <c r="AO44" i="56"/>
  <c r="AN43" i="56"/>
  <c r="P23" i="49"/>
  <c r="Q24" i="49"/>
  <c r="AQ13" i="54"/>
  <c r="AR14" i="54"/>
  <c r="AO4" i="49"/>
  <c r="AN3" i="49"/>
  <c r="AP14" i="15"/>
  <c r="AO13" i="15"/>
  <c r="AN43" i="50"/>
  <c r="AO44" i="50"/>
  <c r="Q24" i="48"/>
  <c r="P23" i="48"/>
  <c r="AO4" i="52"/>
  <c r="AN3" i="52"/>
  <c r="AN13" i="55"/>
  <c r="AO14" i="55"/>
  <c r="P3" i="48"/>
  <c r="Q4" i="48"/>
  <c r="P43" i="53"/>
  <c r="Q44" i="53"/>
  <c r="P53" i="49"/>
  <c r="Q54" i="49"/>
  <c r="R13" i="55"/>
  <c r="S14" i="55"/>
  <c r="R4" i="51"/>
  <c r="Q3" i="51"/>
  <c r="T44" i="56"/>
  <c r="S43" i="56"/>
  <c r="Q53" i="52"/>
  <c r="R54" i="52"/>
  <c r="R34" i="49"/>
  <c r="Q33" i="49"/>
  <c r="AP53" i="56"/>
  <c r="AQ54" i="56"/>
  <c r="Q44" i="54"/>
  <c r="P43" i="54"/>
  <c r="Q4" i="52"/>
  <c r="P3" i="52"/>
  <c r="AO4" i="54"/>
  <c r="AN3" i="54"/>
  <c r="P43" i="49"/>
  <c r="Q44" i="49"/>
  <c r="R43" i="51"/>
  <c r="S44" i="51"/>
  <c r="Q24" i="52"/>
  <c r="P23" i="52"/>
  <c r="R34" i="52"/>
  <c r="Q33" i="52"/>
  <c r="Q34" i="50"/>
  <c r="P33" i="50"/>
  <c r="AN53" i="51"/>
  <c r="AO54" i="51"/>
  <c r="AO54" i="50"/>
  <c r="AN53" i="50"/>
  <c r="AO43" i="48"/>
  <c r="AP44" i="48"/>
  <c r="R23" i="51"/>
  <c r="S24" i="51"/>
  <c r="AR44" i="55"/>
  <c r="AQ43" i="55"/>
  <c r="AP13" i="50"/>
  <c r="AQ14" i="50"/>
  <c r="U13" i="50"/>
  <c r="V14" i="50"/>
  <c r="Q34" i="56"/>
  <c r="P33" i="56"/>
  <c r="P33" i="15"/>
  <c r="Q34" i="15"/>
  <c r="R53" i="15"/>
  <c r="S54" i="15"/>
  <c r="AR24" i="48"/>
  <c r="AQ23" i="48"/>
  <c r="AO13" i="56"/>
  <c r="AP14" i="56"/>
  <c r="AO34" i="54"/>
  <c r="AN33" i="54"/>
  <c r="AO34" i="49"/>
  <c r="AN33" i="49"/>
  <c r="AO24" i="56"/>
  <c r="AN23" i="56"/>
  <c r="R24" i="15"/>
  <c r="Q23" i="15"/>
  <c r="AP44" i="52"/>
  <c r="AO43" i="52"/>
  <c r="Q24" i="54"/>
  <c r="P23" i="54"/>
  <c r="Q24" i="53"/>
  <c r="P23" i="53"/>
  <c r="Q14" i="15"/>
  <c r="P13" i="15"/>
  <c r="AN53" i="52"/>
  <c r="AO54" i="52"/>
  <c r="AP33" i="53"/>
  <c r="AQ34" i="53"/>
  <c r="AO24" i="51"/>
  <c r="AN23" i="51"/>
  <c r="Q14" i="52"/>
  <c r="P13" i="52"/>
  <c r="AP14" i="51"/>
  <c r="AO13" i="51"/>
  <c r="AQ24" i="50"/>
  <c r="AP23" i="50"/>
  <c r="P13" i="56"/>
  <c r="Q14" i="56"/>
  <c r="AQ4" i="55"/>
  <c r="AP3" i="55"/>
  <c r="Q14" i="51"/>
  <c r="P13" i="51"/>
  <c r="Q54" i="55"/>
  <c r="P53" i="55"/>
  <c r="Q53" i="53"/>
  <c r="R54" i="53"/>
  <c r="AN13" i="52"/>
  <c r="AO14" i="52"/>
  <c r="S34" i="51"/>
  <c r="R33" i="51"/>
  <c r="R4" i="49"/>
  <c r="Q3" i="49"/>
  <c r="Q4" i="53"/>
  <c r="P3" i="53"/>
  <c r="R53" i="48"/>
  <c r="S54" i="48"/>
  <c r="R23" i="56"/>
  <c r="S24" i="56"/>
  <c r="P43" i="52"/>
  <c r="Q44" i="52"/>
  <c r="AO34" i="50"/>
  <c r="AN33" i="50"/>
  <c r="AO4" i="56"/>
  <c r="AN3" i="56"/>
  <c r="P43" i="15"/>
  <c r="Q44" i="15"/>
  <c r="AP14" i="53"/>
  <c r="AO13" i="53"/>
  <c r="AO34" i="15"/>
  <c r="AN33" i="15"/>
  <c r="Q54" i="56"/>
  <c r="P53" i="56"/>
  <c r="Q3" i="56"/>
  <c r="R4" i="56"/>
  <c r="R54" i="51"/>
  <c r="Q53" i="51"/>
  <c r="AO44" i="15"/>
  <c r="AN43" i="15"/>
  <c r="R34" i="55"/>
  <c r="Q33" i="55"/>
  <c r="AQ34" i="55"/>
  <c r="AP33" i="55"/>
  <c r="AO54" i="49"/>
  <c r="AN53" i="49"/>
  <c r="AO4" i="51"/>
  <c r="AN3" i="51"/>
  <c r="Q14" i="49"/>
  <c r="P13" i="49"/>
  <c r="Q34" i="54"/>
  <c r="P33" i="54"/>
  <c r="AO4" i="48"/>
  <c r="AN3" i="48"/>
  <c r="AO53" i="54"/>
  <c r="AP54" i="54"/>
  <c r="AP4" i="15"/>
  <c r="AO3" i="15"/>
  <c r="Q43" i="48"/>
  <c r="R44" i="48"/>
  <c r="AO4" i="50"/>
  <c r="AN3" i="50"/>
  <c r="AP54" i="55"/>
  <c r="AO53" i="55"/>
  <c r="AL13" i="14"/>
  <c r="AM14" i="14"/>
  <c r="Q24" i="50"/>
  <c r="P23" i="50"/>
  <c r="Q34" i="53"/>
  <c r="P33" i="53"/>
  <c r="Q14" i="53"/>
  <c r="P13" i="53"/>
  <c r="P23" i="55"/>
  <c r="Q24" i="55"/>
  <c r="AO23" i="15"/>
  <c r="R4" i="55"/>
  <c r="Q3" i="55"/>
  <c r="AP23" i="55"/>
  <c r="AQ24" i="55"/>
  <c r="Q14" i="48"/>
  <c r="P13" i="48"/>
  <c r="AO44" i="49"/>
  <c r="AN43" i="49"/>
  <c r="AP24" i="53"/>
  <c r="AO23" i="53"/>
  <c r="Q44" i="55"/>
  <c r="P43" i="55"/>
  <c r="AO54" i="48"/>
  <c r="AN53" i="48"/>
  <c r="AN43" i="54"/>
  <c r="AO44" i="54"/>
  <c r="P43" i="50"/>
  <c r="Q44" i="50"/>
  <c r="AO24" i="49"/>
  <c r="AN23" i="49"/>
  <c r="R3" i="50"/>
  <c r="S4" i="50"/>
  <c r="AP54" i="53"/>
  <c r="AO53" i="53"/>
  <c r="AO13" i="49"/>
  <c r="AP14" i="49"/>
  <c r="AO34" i="56"/>
  <c r="AN33" i="56"/>
  <c r="AO34" i="48"/>
  <c r="AN33" i="48"/>
  <c r="AO24" i="54"/>
  <c r="AN23" i="54"/>
  <c r="Q34" i="48"/>
  <c r="P33" i="48"/>
  <c r="AO14" i="48"/>
  <c r="AN13" i="48"/>
  <c r="AI9" i="14"/>
  <c r="AI43" i="14" s="1"/>
  <c r="M9" i="14"/>
  <c r="AI16" i="14"/>
  <c r="M16" i="14"/>
  <c r="AI7" i="14"/>
  <c r="M7" i="14"/>
  <c r="AI25" i="14"/>
  <c r="M25" i="14"/>
  <c r="AI32" i="14"/>
  <c r="AI50" i="14" s="1"/>
  <c r="M32" i="14"/>
  <c r="AN6" i="14"/>
  <c r="AM5" i="14"/>
  <c r="AI15" i="14"/>
  <c r="AI19" i="14" s="1"/>
  <c r="M15" i="14"/>
  <c r="AM2" i="14"/>
  <c r="AI10" i="14"/>
  <c r="AI44" i="14" s="1"/>
  <c r="M10" i="14"/>
  <c r="AH11" i="14"/>
  <c r="AH45" i="14" s="1"/>
  <c r="AH41" i="14"/>
  <c r="AP30" i="14"/>
  <c r="AO29" i="14"/>
  <c r="AI8" i="14"/>
  <c r="AI42" i="14" s="1"/>
  <c r="M8" i="14"/>
  <c r="R14" i="14"/>
  <c r="Q13" i="14"/>
  <c r="AM3" i="14"/>
  <c r="AI35" i="14"/>
  <c r="AI53" i="14" s="1"/>
  <c r="AI49" i="14"/>
  <c r="AJ34" i="14"/>
  <c r="AJ52" i="14" s="1"/>
  <c r="N34" i="14"/>
  <c r="O29" i="14"/>
  <c r="P30" i="14"/>
  <c r="AI18" i="14"/>
  <c r="M18" i="14"/>
  <c r="AI33" i="14"/>
  <c r="AI51" i="14" s="1"/>
  <c r="M33" i="14"/>
  <c r="AI24" i="14"/>
  <c r="M24" i="14"/>
  <c r="AI23" i="14"/>
  <c r="AI27" i="14" s="1"/>
  <c r="M23" i="14"/>
  <c r="AI26" i="14"/>
  <c r="M26" i="14"/>
  <c r="AI17" i="14"/>
  <c r="M17" i="14"/>
  <c r="D15" i="10"/>
  <c r="H15" i="10"/>
  <c r="I15" i="10"/>
  <c r="E15" i="10"/>
  <c r="F15" i="10"/>
  <c r="J15" i="10"/>
  <c r="R22" i="14"/>
  <c r="Q21" i="14"/>
  <c r="AO22" i="14"/>
  <c r="AN21" i="14"/>
  <c r="P5" i="14"/>
  <c r="Q6" i="14"/>
  <c r="B17" i="10"/>
  <c r="N31" i="14" l="1"/>
  <c r="AK31" i="14" s="1"/>
  <c r="R3" i="54"/>
  <c r="S4" i="54"/>
  <c r="AQ34" i="52"/>
  <c r="AP33" i="52"/>
  <c r="AP44" i="53"/>
  <c r="AO43" i="53"/>
  <c r="R14" i="54"/>
  <c r="Q13" i="54"/>
  <c r="Q53" i="50"/>
  <c r="R54" i="50"/>
  <c r="AO43" i="51"/>
  <c r="AP44" i="51"/>
  <c r="Q53" i="54"/>
  <c r="R54" i="54"/>
  <c r="AN3" i="14"/>
  <c r="AN2" i="14"/>
  <c r="R44" i="53"/>
  <c r="Q43" i="53"/>
  <c r="AO13" i="55"/>
  <c r="AP14" i="55"/>
  <c r="AR13" i="54"/>
  <c r="AS14" i="54"/>
  <c r="R24" i="49"/>
  <c r="Q23" i="49"/>
  <c r="AO53" i="15"/>
  <c r="AP54" i="15"/>
  <c r="Q23" i="48"/>
  <c r="R24" i="48"/>
  <c r="AQ14" i="15"/>
  <c r="AP13" i="15"/>
  <c r="R3" i="15"/>
  <c r="S4" i="15"/>
  <c r="AP23" i="52"/>
  <c r="AQ24" i="52"/>
  <c r="R54" i="49"/>
  <c r="Q53" i="49"/>
  <c r="R4" i="48"/>
  <c r="Q3" i="48"/>
  <c r="AO43" i="50"/>
  <c r="AP44" i="50"/>
  <c r="AQ34" i="51"/>
  <c r="AP33" i="51"/>
  <c r="AP4" i="52"/>
  <c r="AO3" i="52"/>
  <c r="AP4" i="49"/>
  <c r="AO3" i="49"/>
  <c r="AO43" i="56"/>
  <c r="AP44" i="56"/>
  <c r="S53" i="15"/>
  <c r="T54" i="15"/>
  <c r="Q33" i="15"/>
  <c r="R34" i="15"/>
  <c r="V13" i="50"/>
  <c r="W14" i="50"/>
  <c r="AP43" i="48"/>
  <c r="AQ44" i="48"/>
  <c r="R44" i="49"/>
  <c r="Q43" i="49"/>
  <c r="R53" i="52"/>
  <c r="S54" i="52"/>
  <c r="AP34" i="54"/>
  <c r="AO33" i="54"/>
  <c r="AR23" i="48"/>
  <c r="AS24" i="48"/>
  <c r="AS44" i="55"/>
  <c r="AR43" i="55"/>
  <c r="AP54" i="50"/>
  <c r="AO53" i="50"/>
  <c r="Q23" i="52"/>
  <c r="R24" i="52"/>
  <c r="AP4" i="54"/>
  <c r="AO3" i="54"/>
  <c r="R4" i="52"/>
  <c r="Q3" i="52"/>
  <c r="S34" i="49"/>
  <c r="R33" i="49"/>
  <c r="S4" i="51"/>
  <c r="R3" i="51"/>
  <c r="AQ14" i="56"/>
  <c r="AP13" i="56"/>
  <c r="AQ13" i="50"/>
  <c r="AR14" i="50"/>
  <c r="S23" i="51"/>
  <c r="T24" i="51"/>
  <c r="AO53" i="51"/>
  <c r="AP54" i="51"/>
  <c r="S43" i="51"/>
  <c r="T44" i="51"/>
  <c r="AQ53" i="56"/>
  <c r="AR54" i="56"/>
  <c r="S13" i="55"/>
  <c r="T14" i="55"/>
  <c r="R34" i="56"/>
  <c r="Q33" i="56"/>
  <c r="R34" i="50"/>
  <c r="Q33" i="50"/>
  <c r="R33" i="52"/>
  <c r="S34" i="52"/>
  <c r="Q43" i="54"/>
  <c r="R44" i="54"/>
  <c r="U44" i="56"/>
  <c r="T43" i="56"/>
  <c r="AI54" i="14"/>
  <c r="R43" i="48"/>
  <c r="S44" i="48"/>
  <c r="AQ54" i="54"/>
  <c r="AP53" i="54"/>
  <c r="R44" i="52"/>
  <c r="Q43" i="52"/>
  <c r="S53" i="48"/>
  <c r="T54" i="48"/>
  <c r="AQ33" i="53"/>
  <c r="AR34" i="53"/>
  <c r="Q33" i="54"/>
  <c r="R34" i="54"/>
  <c r="Q13" i="49"/>
  <c r="R14" i="49"/>
  <c r="AP54" i="49"/>
  <c r="AO53" i="49"/>
  <c r="AQ33" i="55"/>
  <c r="AR34" i="55"/>
  <c r="S34" i="55"/>
  <c r="R33" i="55"/>
  <c r="S54" i="51"/>
  <c r="R53" i="51"/>
  <c r="Q53" i="56"/>
  <c r="R54" i="56"/>
  <c r="AP13" i="53"/>
  <c r="AQ14" i="53"/>
  <c r="AO3" i="56"/>
  <c r="AP4" i="56"/>
  <c r="AO33" i="50"/>
  <c r="AP34" i="50"/>
  <c r="R3" i="49"/>
  <c r="S4" i="49"/>
  <c r="T34" i="51"/>
  <c r="S33" i="51"/>
  <c r="Q53" i="55"/>
  <c r="R54" i="55"/>
  <c r="AR4" i="55"/>
  <c r="AQ3" i="55"/>
  <c r="R14" i="52"/>
  <c r="Q13" i="52"/>
  <c r="Q13" i="15"/>
  <c r="R14" i="15"/>
  <c r="Q23" i="54"/>
  <c r="R24" i="54"/>
  <c r="S24" i="15"/>
  <c r="R23" i="15"/>
  <c r="AP24" i="56"/>
  <c r="AO23" i="56"/>
  <c r="R3" i="56"/>
  <c r="S4" i="56"/>
  <c r="R44" i="15"/>
  <c r="Q43" i="15"/>
  <c r="S23" i="56"/>
  <c r="T24" i="56"/>
  <c r="AP14" i="52"/>
  <c r="AO13" i="52"/>
  <c r="R53" i="53"/>
  <c r="S54" i="53"/>
  <c r="R14" i="56"/>
  <c r="Q13" i="56"/>
  <c r="AP54" i="52"/>
  <c r="AO53" i="52"/>
  <c r="AP4" i="50"/>
  <c r="AO3" i="50"/>
  <c r="AQ4" i="15"/>
  <c r="AP3" i="15"/>
  <c r="AP4" i="48"/>
  <c r="AO3" i="48"/>
  <c r="AP4" i="51"/>
  <c r="AO3" i="51"/>
  <c r="AO43" i="15"/>
  <c r="AP44" i="15"/>
  <c r="AP34" i="15"/>
  <c r="AO33" i="15"/>
  <c r="Q3" i="53"/>
  <c r="R4" i="53"/>
  <c r="Q13" i="51"/>
  <c r="R14" i="51"/>
  <c r="AQ23" i="50"/>
  <c r="AR24" i="50"/>
  <c r="AP13" i="51"/>
  <c r="AQ14" i="51"/>
  <c r="AP24" i="51"/>
  <c r="AO23" i="51"/>
  <c r="R24" i="53"/>
  <c r="Q23" i="53"/>
  <c r="AQ44" i="52"/>
  <c r="AP43" i="52"/>
  <c r="AP34" i="49"/>
  <c r="AO33" i="49"/>
  <c r="AQ14" i="49"/>
  <c r="AP13" i="49"/>
  <c r="S3" i="50"/>
  <c r="T4" i="50"/>
  <c r="R44" i="50"/>
  <c r="Q43" i="50"/>
  <c r="R24" i="55"/>
  <c r="Q23" i="55"/>
  <c r="AN14" i="14"/>
  <c r="AM13" i="14"/>
  <c r="R34" i="48"/>
  <c r="Q33" i="48"/>
  <c r="AP34" i="48"/>
  <c r="AO33" i="48"/>
  <c r="AP54" i="48"/>
  <c r="AO53" i="48"/>
  <c r="AP23" i="53"/>
  <c r="AQ24" i="53"/>
  <c r="R14" i="48"/>
  <c r="Q13" i="48"/>
  <c r="R3" i="55"/>
  <c r="S4" i="55"/>
  <c r="R34" i="53"/>
  <c r="Q33" i="53"/>
  <c r="AP44" i="54"/>
  <c r="AO43" i="54"/>
  <c r="AR24" i="55"/>
  <c r="AQ23" i="55"/>
  <c r="AQ24" i="15"/>
  <c r="AP23" i="15"/>
  <c r="AP14" i="48"/>
  <c r="AO13" i="48"/>
  <c r="AP24" i="54"/>
  <c r="AO23" i="54"/>
  <c r="AP34" i="56"/>
  <c r="AO33" i="56"/>
  <c r="AP53" i="53"/>
  <c r="AQ54" i="53"/>
  <c r="AP24" i="49"/>
  <c r="AO23" i="49"/>
  <c r="R44" i="55"/>
  <c r="Q43" i="55"/>
  <c r="AP44" i="49"/>
  <c r="AO43" i="49"/>
  <c r="R14" i="53"/>
  <c r="Q13" i="53"/>
  <c r="R24" i="50"/>
  <c r="Q23" i="50"/>
  <c r="AP53" i="55"/>
  <c r="AQ54" i="55"/>
  <c r="Q30" i="14"/>
  <c r="P29" i="14"/>
  <c r="AN5" i="14"/>
  <c r="AO6" i="14"/>
  <c r="AJ26" i="14"/>
  <c r="N26" i="14"/>
  <c r="AJ18" i="14"/>
  <c r="N18" i="14"/>
  <c r="AQ30" i="14"/>
  <c r="AP29" i="14"/>
  <c r="AJ10" i="14"/>
  <c r="AJ44" i="14" s="1"/>
  <c r="N10" i="14"/>
  <c r="AJ32" i="14"/>
  <c r="AJ50" i="14" s="1"/>
  <c r="N32" i="14"/>
  <c r="AJ16" i="14"/>
  <c r="N16" i="14"/>
  <c r="AJ9" i="14"/>
  <c r="AJ43" i="14" s="1"/>
  <c r="N9" i="14"/>
  <c r="AJ24" i="14"/>
  <c r="N24" i="14"/>
  <c r="AJ33" i="14"/>
  <c r="AJ51" i="14" s="1"/>
  <c r="N33" i="14"/>
  <c r="AK34" i="14"/>
  <c r="AK52" i="14" s="1"/>
  <c r="O34" i="14"/>
  <c r="R13" i="14"/>
  <c r="S14" i="14"/>
  <c r="AJ8" i="14"/>
  <c r="AJ42" i="14" s="1"/>
  <c r="N8" i="14"/>
  <c r="AJ15" i="14"/>
  <c r="AJ19" i="14" s="1"/>
  <c r="N15" i="14"/>
  <c r="AJ25" i="14"/>
  <c r="N25" i="14"/>
  <c r="AJ7" i="14"/>
  <c r="N7" i="14"/>
  <c r="AJ17" i="14"/>
  <c r="N17" i="14"/>
  <c r="AJ23" i="14"/>
  <c r="AJ27" i="14" s="1"/>
  <c r="N23" i="14"/>
  <c r="AJ35" i="14"/>
  <c r="AJ53" i="14" s="1"/>
  <c r="AJ49" i="14"/>
  <c r="AI41" i="14"/>
  <c r="AI11" i="14"/>
  <c r="AI45" i="14" s="1"/>
  <c r="AO21" i="14"/>
  <c r="AP22" i="14"/>
  <c r="B18" i="10"/>
  <c r="R6" i="14"/>
  <c r="Q5" i="14"/>
  <c r="S22" i="14"/>
  <c r="R21" i="14"/>
  <c r="J16" i="10"/>
  <c r="E16" i="10"/>
  <c r="I16" i="10"/>
  <c r="F16" i="10"/>
  <c r="H16" i="10"/>
  <c r="D16" i="10"/>
  <c r="O31" i="14" l="1"/>
  <c r="P31" i="14" s="1"/>
  <c r="T4" i="54"/>
  <c r="S3" i="54"/>
  <c r="AQ33" i="52"/>
  <c r="AR34" i="52"/>
  <c r="S14" i="54"/>
  <c r="R13" i="54"/>
  <c r="AP43" i="53"/>
  <c r="AQ44" i="53"/>
  <c r="AQ44" i="51"/>
  <c r="AP43" i="51"/>
  <c r="R53" i="50"/>
  <c r="S54" i="50"/>
  <c r="S54" i="54"/>
  <c r="R53" i="54"/>
  <c r="S3" i="15"/>
  <c r="T4" i="15"/>
  <c r="AQ14" i="55"/>
  <c r="AP13" i="55"/>
  <c r="AQ4" i="52"/>
  <c r="AP3" i="52"/>
  <c r="R53" i="49"/>
  <c r="S54" i="49"/>
  <c r="R23" i="49"/>
  <c r="S24" i="49"/>
  <c r="S24" i="48"/>
  <c r="R23" i="48"/>
  <c r="AQ44" i="56"/>
  <c r="AP43" i="56"/>
  <c r="AQ23" i="52"/>
  <c r="AR24" i="52"/>
  <c r="AP53" i="15"/>
  <c r="AQ54" i="15"/>
  <c r="AS13" i="54"/>
  <c r="AT14" i="54"/>
  <c r="AQ44" i="50"/>
  <c r="AP43" i="50"/>
  <c r="AP3" i="49"/>
  <c r="AQ4" i="49"/>
  <c r="AR34" i="51"/>
  <c r="AQ33" i="51"/>
  <c r="R3" i="48"/>
  <c r="S4" i="48"/>
  <c r="AR14" i="15"/>
  <c r="AQ13" i="15"/>
  <c r="R43" i="53"/>
  <c r="S44" i="53"/>
  <c r="S44" i="54"/>
  <c r="R43" i="54"/>
  <c r="S33" i="52"/>
  <c r="T34" i="52"/>
  <c r="U14" i="55"/>
  <c r="T13" i="55"/>
  <c r="AR53" i="56"/>
  <c r="AS54" i="56"/>
  <c r="T43" i="51"/>
  <c r="U44" i="51"/>
  <c r="R23" i="52"/>
  <c r="S24" i="52"/>
  <c r="AQ43" i="48"/>
  <c r="AR44" i="48"/>
  <c r="X14" i="50"/>
  <c r="W13" i="50"/>
  <c r="S34" i="15"/>
  <c r="R33" i="15"/>
  <c r="S34" i="56"/>
  <c r="R33" i="56"/>
  <c r="AQ13" i="56"/>
  <c r="AR14" i="56"/>
  <c r="S3" i="51"/>
  <c r="T4" i="51"/>
  <c r="R3" i="52"/>
  <c r="S4" i="52"/>
  <c r="AS43" i="55"/>
  <c r="AT44" i="55"/>
  <c r="AQ34" i="54"/>
  <c r="AP33" i="54"/>
  <c r="AQ54" i="51"/>
  <c r="AP53" i="51"/>
  <c r="U24" i="51"/>
  <c r="T23" i="51"/>
  <c r="AR13" i="50"/>
  <c r="AS14" i="50"/>
  <c r="AS23" i="48"/>
  <c r="AT24" i="48"/>
  <c r="T54" i="52"/>
  <c r="S53" i="52"/>
  <c r="T53" i="15"/>
  <c r="U54" i="15"/>
  <c r="V44" i="56"/>
  <c r="U43" i="56"/>
  <c r="S34" i="50"/>
  <c r="R33" i="50"/>
  <c r="S33" i="49"/>
  <c r="T34" i="49"/>
  <c r="AQ4" i="54"/>
  <c r="AP3" i="54"/>
  <c r="AP53" i="50"/>
  <c r="AQ54" i="50"/>
  <c r="S44" i="49"/>
  <c r="R43" i="49"/>
  <c r="AR23" i="50"/>
  <c r="AS24" i="50"/>
  <c r="R13" i="51"/>
  <c r="S14" i="51"/>
  <c r="R3" i="53"/>
  <c r="S4" i="53"/>
  <c r="T54" i="53"/>
  <c r="S53" i="53"/>
  <c r="R23" i="54"/>
  <c r="S24" i="54"/>
  <c r="AP33" i="50"/>
  <c r="AQ34" i="50"/>
  <c r="AQ13" i="53"/>
  <c r="AR14" i="53"/>
  <c r="AS34" i="55"/>
  <c r="AR33" i="55"/>
  <c r="R33" i="54"/>
  <c r="S34" i="54"/>
  <c r="AR33" i="53"/>
  <c r="AS34" i="53"/>
  <c r="U54" i="48"/>
  <c r="T53" i="48"/>
  <c r="AP33" i="49"/>
  <c r="AQ34" i="49"/>
  <c r="S24" i="53"/>
  <c r="R23" i="53"/>
  <c r="AQ24" i="51"/>
  <c r="AP23" i="51"/>
  <c r="AP33" i="15"/>
  <c r="AQ34" i="15"/>
  <c r="AQ4" i="51"/>
  <c r="AP3" i="51"/>
  <c r="AR4" i="15"/>
  <c r="AQ3" i="15"/>
  <c r="AP53" i="52"/>
  <c r="AQ54" i="52"/>
  <c r="R43" i="15"/>
  <c r="S44" i="15"/>
  <c r="AQ24" i="56"/>
  <c r="AP23" i="56"/>
  <c r="S14" i="52"/>
  <c r="R13" i="52"/>
  <c r="AS4" i="55"/>
  <c r="AR3" i="55"/>
  <c r="T33" i="51"/>
  <c r="U34" i="51"/>
  <c r="S53" i="51"/>
  <c r="T54" i="51"/>
  <c r="AQ53" i="54"/>
  <c r="AR54" i="54"/>
  <c r="AQ13" i="51"/>
  <c r="AR14" i="51"/>
  <c r="AQ44" i="15"/>
  <c r="AP43" i="15"/>
  <c r="T23" i="56"/>
  <c r="U24" i="56"/>
  <c r="S3" i="56"/>
  <c r="T4" i="56"/>
  <c r="R13" i="15"/>
  <c r="S14" i="15"/>
  <c r="R53" i="55"/>
  <c r="S54" i="55"/>
  <c r="S3" i="49"/>
  <c r="T4" i="49"/>
  <c r="AQ4" i="56"/>
  <c r="AP3" i="56"/>
  <c r="R53" i="56"/>
  <c r="S54" i="56"/>
  <c r="R13" i="49"/>
  <c r="S14" i="49"/>
  <c r="T44" i="48"/>
  <c r="S43" i="48"/>
  <c r="AR44" i="52"/>
  <c r="AQ43" i="52"/>
  <c r="AQ4" i="48"/>
  <c r="AP3" i="48"/>
  <c r="AQ4" i="50"/>
  <c r="AP3" i="50"/>
  <c r="S14" i="56"/>
  <c r="R13" i="56"/>
  <c r="AP13" i="52"/>
  <c r="AQ14" i="52"/>
  <c r="S23" i="15"/>
  <c r="T24" i="15"/>
  <c r="T34" i="55"/>
  <c r="S33" i="55"/>
  <c r="AP53" i="49"/>
  <c r="AQ54" i="49"/>
  <c r="S44" i="52"/>
  <c r="R43" i="52"/>
  <c r="R23" i="50"/>
  <c r="S24" i="50"/>
  <c r="AP43" i="49"/>
  <c r="AQ44" i="49"/>
  <c r="AP23" i="49"/>
  <c r="AQ24" i="49"/>
  <c r="AP33" i="56"/>
  <c r="AQ34" i="56"/>
  <c r="AP13" i="48"/>
  <c r="AQ14" i="48"/>
  <c r="AS24" i="55"/>
  <c r="AR23" i="55"/>
  <c r="R33" i="53"/>
  <c r="S34" i="53"/>
  <c r="R13" i="48"/>
  <c r="S14" i="48"/>
  <c r="AP53" i="48"/>
  <c r="AQ54" i="48"/>
  <c r="R33" i="48"/>
  <c r="S34" i="48"/>
  <c r="R23" i="55"/>
  <c r="S24" i="55"/>
  <c r="AR54" i="55"/>
  <c r="AQ53" i="55"/>
  <c r="AR54" i="53"/>
  <c r="AQ53" i="53"/>
  <c r="T4" i="55"/>
  <c r="S3" i="55"/>
  <c r="AR24" i="53"/>
  <c r="AQ23" i="53"/>
  <c r="AJ54" i="14"/>
  <c r="R13" i="53"/>
  <c r="S14" i="53"/>
  <c r="R43" i="55"/>
  <c r="S44" i="55"/>
  <c r="AP23" i="54"/>
  <c r="AQ24" i="54"/>
  <c r="AQ23" i="15"/>
  <c r="AR24" i="15"/>
  <c r="AP43" i="54"/>
  <c r="AQ44" i="54"/>
  <c r="AP33" i="48"/>
  <c r="AQ34" i="48"/>
  <c r="AN13" i="14"/>
  <c r="AO14" i="14"/>
  <c r="R43" i="50"/>
  <c r="S44" i="50"/>
  <c r="AQ13" i="49"/>
  <c r="AR14" i="49"/>
  <c r="U4" i="50"/>
  <c r="T3" i="50"/>
  <c r="AJ41" i="14"/>
  <c r="AJ11" i="14"/>
  <c r="AJ45" i="14" s="1"/>
  <c r="AK15" i="14"/>
  <c r="AK19" i="14" s="1"/>
  <c r="O15" i="14"/>
  <c r="AK16" i="14"/>
  <c r="O16" i="14"/>
  <c r="AK32" i="14"/>
  <c r="AK50" i="14" s="1"/>
  <c r="O32" i="14"/>
  <c r="AK10" i="14"/>
  <c r="AK44" i="14" s="1"/>
  <c r="O10" i="14"/>
  <c r="AR30" i="14"/>
  <c r="AQ29" i="14"/>
  <c r="AK18" i="14"/>
  <c r="O18" i="14"/>
  <c r="AO2" i="14"/>
  <c r="AP6" i="14"/>
  <c r="AO3" i="14"/>
  <c r="AO5" i="14"/>
  <c r="AK17" i="14"/>
  <c r="O17" i="14"/>
  <c r="AI46" i="14"/>
  <c r="AK25" i="14"/>
  <c r="O25" i="14"/>
  <c r="AK49" i="14"/>
  <c r="AK35" i="14"/>
  <c r="AK53" i="14" s="1"/>
  <c r="AK33" i="14"/>
  <c r="AK51" i="14" s="1"/>
  <c r="O33" i="14"/>
  <c r="AK24" i="14"/>
  <c r="O24" i="14"/>
  <c r="AK9" i="14"/>
  <c r="AK43" i="14" s="1"/>
  <c r="O9" i="14"/>
  <c r="AK26" i="14"/>
  <c r="O26" i="14"/>
  <c r="AK23" i="14"/>
  <c r="AK27" i="14" s="1"/>
  <c r="O23" i="14"/>
  <c r="AK7" i="14"/>
  <c r="O7" i="14"/>
  <c r="AK8" i="14"/>
  <c r="AK42" i="14" s="1"/>
  <c r="O8" i="14"/>
  <c r="S13" i="14"/>
  <c r="T14" i="14"/>
  <c r="AL34" i="14"/>
  <c r="AL52" i="14" s="1"/>
  <c r="P34" i="14"/>
  <c r="Q29" i="14"/>
  <c r="R30" i="14"/>
  <c r="AQ22" i="14"/>
  <c r="AP21" i="14"/>
  <c r="B19" i="10"/>
  <c r="T22" i="14"/>
  <c r="S21" i="14"/>
  <c r="R5" i="14"/>
  <c r="S6" i="14"/>
  <c r="F17" i="10"/>
  <c r="E17" i="10"/>
  <c r="I17" i="10"/>
  <c r="H17" i="10"/>
  <c r="J17" i="10"/>
  <c r="D17" i="10"/>
  <c r="AL31" i="14" l="1"/>
  <c r="AL49" i="14" s="1"/>
  <c r="T3" i="54"/>
  <c r="U4" i="54"/>
  <c r="AR33" i="52"/>
  <c r="AS34" i="52"/>
  <c r="AR44" i="53"/>
  <c r="AQ43" i="53"/>
  <c r="T14" i="54"/>
  <c r="S13" i="54"/>
  <c r="T54" i="50"/>
  <c r="S53" i="50"/>
  <c r="AQ43" i="51"/>
  <c r="AR44" i="51"/>
  <c r="T54" i="54"/>
  <c r="S53" i="54"/>
  <c r="U4" i="15"/>
  <c r="T3" i="15"/>
  <c r="AR13" i="15"/>
  <c r="AS14" i="15"/>
  <c r="AR33" i="51"/>
  <c r="AS34" i="51"/>
  <c r="AR44" i="50"/>
  <c r="AQ43" i="50"/>
  <c r="AR44" i="56"/>
  <c r="AQ43" i="56"/>
  <c r="T24" i="49"/>
  <c r="S23" i="49"/>
  <c r="T44" i="53"/>
  <c r="S43" i="53"/>
  <c r="S3" i="48"/>
  <c r="T4" i="48"/>
  <c r="AR4" i="49"/>
  <c r="AQ3" i="49"/>
  <c r="AU14" i="54"/>
  <c r="AT13" i="54"/>
  <c r="AS24" i="52"/>
  <c r="AR23" i="52"/>
  <c r="AQ3" i="52"/>
  <c r="AR4" i="52"/>
  <c r="AR54" i="15"/>
  <c r="AQ53" i="15"/>
  <c r="S23" i="48"/>
  <c r="T24" i="48"/>
  <c r="T54" i="49"/>
  <c r="S53" i="49"/>
  <c r="AR14" i="55"/>
  <c r="AQ13" i="55"/>
  <c r="AQ53" i="50"/>
  <c r="AR54" i="50"/>
  <c r="U34" i="49"/>
  <c r="T33" i="49"/>
  <c r="U53" i="15"/>
  <c r="V54" i="15"/>
  <c r="AU24" i="48"/>
  <c r="AT23" i="48"/>
  <c r="AT14" i="50"/>
  <c r="AS13" i="50"/>
  <c r="S3" i="52"/>
  <c r="T4" i="52"/>
  <c r="AS14" i="56"/>
  <c r="AR13" i="56"/>
  <c r="T24" i="52"/>
  <c r="S23" i="52"/>
  <c r="AS53" i="56"/>
  <c r="AT54" i="56"/>
  <c r="T33" i="52"/>
  <c r="U34" i="52"/>
  <c r="AR54" i="51"/>
  <c r="AQ53" i="51"/>
  <c r="AQ33" i="54"/>
  <c r="AR34" i="54"/>
  <c r="T34" i="56"/>
  <c r="S33" i="56"/>
  <c r="Y14" i="50"/>
  <c r="X13" i="50"/>
  <c r="AU44" i="55"/>
  <c r="AT43" i="55"/>
  <c r="T3" i="51"/>
  <c r="U4" i="51"/>
  <c r="AS44" i="48"/>
  <c r="AR43" i="48"/>
  <c r="U43" i="51"/>
  <c r="V44" i="51"/>
  <c r="T44" i="49"/>
  <c r="S43" i="49"/>
  <c r="AR4" i="54"/>
  <c r="AQ3" i="54"/>
  <c r="S33" i="50"/>
  <c r="T34" i="50"/>
  <c r="V43" i="56"/>
  <c r="W44" i="56"/>
  <c r="U54" i="52"/>
  <c r="T53" i="52"/>
  <c r="U23" i="51"/>
  <c r="V24" i="51"/>
  <c r="T34" i="15"/>
  <c r="S33" i="15"/>
  <c r="U13" i="55"/>
  <c r="V14" i="55"/>
  <c r="S43" i="54"/>
  <c r="T44" i="54"/>
  <c r="AK54" i="14"/>
  <c r="AJ46" i="14"/>
  <c r="T23" i="15"/>
  <c r="U24" i="15"/>
  <c r="AR14" i="52"/>
  <c r="AQ13" i="52"/>
  <c r="S13" i="49"/>
  <c r="T14" i="49"/>
  <c r="S53" i="55"/>
  <c r="T54" i="55"/>
  <c r="U4" i="56"/>
  <c r="T3" i="56"/>
  <c r="AS14" i="51"/>
  <c r="AR13" i="51"/>
  <c r="V34" i="51"/>
  <c r="U33" i="51"/>
  <c r="T44" i="15"/>
  <c r="S43" i="15"/>
  <c r="AR54" i="52"/>
  <c r="AQ53" i="52"/>
  <c r="AR34" i="15"/>
  <c r="AQ33" i="15"/>
  <c r="AQ33" i="49"/>
  <c r="AR34" i="49"/>
  <c r="AS33" i="53"/>
  <c r="AT34" i="53"/>
  <c r="AQ33" i="50"/>
  <c r="AR34" i="50"/>
  <c r="S3" i="53"/>
  <c r="T4" i="53"/>
  <c r="U34" i="55"/>
  <c r="T33" i="55"/>
  <c r="AR4" i="48"/>
  <c r="AQ3" i="48"/>
  <c r="AS44" i="52"/>
  <c r="AR43" i="52"/>
  <c r="AR4" i="56"/>
  <c r="AQ3" i="56"/>
  <c r="AR44" i="15"/>
  <c r="AQ43" i="15"/>
  <c r="T14" i="52"/>
  <c r="S13" i="52"/>
  <c r="AS4" i="15"/>
  <c r="AR3" i="15"/>
  <c r="AR24" i="51"/>
  <c r="AQ23" i="51"/>
  <c r="AS33" i="55"/>
  <c r="AT34" i="55"/>
  <c r="AR54" i="49"/>
  <c r="AQ53" i="49"/>
  <c r="S53" i="56"/>
  <c r="T54" i="56"/>
  <c r="U4" i="49"/>
  <c r="T3" i="49"/>
  <c r="S13" i="15"/>
  <c r="T14" i="15"/>
  <c r="U23" i="56"/>
  <c r="V24" i="56"/>
  <c r="AS54" i="54"/>
  <c r="AR53" i="54"/>
  <c r="U54" i="51"/>
  <c r="T53" i="51"/>
  <c r="S33" i="54"/>
  <c r="T34" i="54"/>
  <c r="AS14" i="53"/>
  <c r="AR13" i="53"/>
  <c r="T24" i="54"/>
  <c r="S23" i="54"/>
  <c r="S13" i="51"/>
  <c r="T14" i="51"/>
  <c r="AT24" i="50"/>
  <c r="AS23" i="50"/>
  <c r="T44" i="52"/>
  <c r="S43" i="52"/>
  <c r="S13" i="56"/>
  <c r="T14" i="56"/>
  <c r="AR4" i="50"/>
  <c r="AQ3" i="50"/>
  <c r="U44" i="48"/>
  <c r="T43" i="48"/>
  <c r="AT4" i="55"/>
  <c r="AS3" i="55"/>
  <c r="AQ23" i="56"/>
  <c r="AR24" i="56"/>
  <c r="AR4" i="51"/>
  <c r="AQ3" i="51"/>
  <c r="T24" i="53"/>
  <c r="S23" i="53"/>
  <c r="U53" i="48"/>
  <c r="V54" i="48"/>
  <c r="U54" i="53"/>
  <c r="T53" i="53"/>
  <c r="S33" i="48"/>
  <c r="T34" i="48"/>
  <c r="S13" i="48"/>
  <c r="T14" i="48"/>
  <c r="AQ33" i="56"/>
  <c r="AR34" i="56"/>
  <c r="AR44" i="49"/>
  <c r="AQ43" i="49"/>
  <c r="S43" i="50"/>
  <c r="T44" i="50"/>
  <c r="AQ33" i="48"/>
  <c r="AR34" i="48"/>
  <c r="AR23" i="15"/>
  <c r="AS24" i="15"/>
  <c r="T44" i="55"/>
  <c r="S43" i="55"/>
  <c r="U4" i="55"/>
  <c r="T3" i="55"/>
  <c r="AR53" i="55"/>
  <c r="AS54" i="55"/>
  <c r="AT24" i="55"/>
  <c r="AS23" i="55"/>
  <c r="U3" i="50"/>
  <c r="V4" i="50"/>
  <c r="T24" i="55"/>
  <c r="S23" i="55"/>
  <c r="AQ53" i="48"/>
  <c r="AR54" i="48"/>
  <c r="S33" i="53"/>
  <c r="T34" i="53"/>
  <c r="AQ13" i="48"/>
  <c r="AR14" i="48"/>
  <c r="AQ23" i="49"/>
  <c r="AR24" i="49"/>
  <c r="T24" i="50"/>
  <c r="S23" i="50"/>
  <c r="AR13" i="49"/>
  <c r="AS14" i="49"/>
  <c r="AO13" i="14"/>
  <c r="AP14" i="14"/>
  <c r="AR44" i="54"/>
  <c r="AQ43" i="54"/>
  <c r="AR24" i="54"/>
  <c r="AQ23" i="54"/>
  <c r="T14" i="53"/>
  <c r="S13" i="53"/>
  <c r="AS24" i="53"/>
  <c r="AR23" i="53"/>
  <c r="AS54" i="53"/>
  <c r="AR53" i="53"/>
  <c r="R29" i="14"/>
  <c r="S30" i="14"/>
  <c r="AL7" i="14"/>
  <c r="P7" i="14"/>
  <c r="AL24" i="14"/>
  <c r="P24" i="14"/>
  <c r="AM31" i="14"/>
  <c r="Q31" i="14"/>
  <c r="AL17" i="14"/>
  <c r="P17" i="14"/>
  <c r="AP3" i="14"/>
  <c r="AM34" i="14"/>
  <c r="AM52" i="14" s="1"/>
  <c r="Q34" i="14"/>
  <c r="AK41" i="14"/>
  <c r="AK11" i="14"/>
  <c r="AK45" i="14" s="1"/>
  <c r="AL23" i="14"/>
  <c r="AL27" i="14" s="1"/>
  <c r="P23" i="14"/>
  <c r="AL26" i="14"/>
  <c r="P26" i="14"/>
  <c r="AP5" i="14"/>
  <c r="AQ6" i="14"/>
  <c r="AL18" i="14"/>
  <c r="P18" i="14"/>
  <c r="AL8" i="14"/>
  <c r="AL42" i="14" s="1"/>
  <c r="P8" i="14"/>
  <c r="AL9" i="14"/>
  <c r="AL43" i="14" s="1"/>
  <c r="P9" i="14"/>
  <c r="AL33" i="14"/>
  <c r="AL51" i="14" s="1"/>
  <c r="P33" i="14"/>
  <c r="AP2" i="14"/>
  <c r="AS30" i="14"/>
  <c r="AR29" i="14"/>
  <c r="AL32" i="14"/>
  <c r="AL50" i="14" s="1"/>
  <c r="P32" i="14"/>
  <c r="AL16" i="14"/>
  <c r="P16" i="14"/>
  <c r="U14" i="14"/>
  <c r="T13" i="14"/>
  <c r="AL25" i="14"/>
  <c r="P25" i="14"/>
  <c r="AL10" i="14"/>
  <c r="AL44" i="14" s="1"/>
  <c r="P10" i="14"/>
  <c r="AL15" i="14"/>
  <c r="AL19" i="14" s="1"/>
  <c r="P15" i="14"/>
  <c r="S5" i="14"/>
  <c r="T6" i="14"/>
  <c r="U22" i="14"/>
  <c r="T21" i="14"/>
  <c r="F18" i="10"/>
  <c r="E18" i="10"/>
  <c r="I18" i="10"/>
  <c r="H18" i="10"/>
  <c r="D18" i="10"/>
  <c r="J18" i="10"/>
  <c r="AR22" i="14"/>
  <c r="AQ21" i="14"/>
  <c r="B20" i="10"/>
  <c r="AL35" i="14" l="1"/>
  <c r="AL53" i="14" s="1"/>
  <c r="AL54" i="14" s="1"/>
  <c r="V4" i="54"/>
  <c r="U3" i="54"/>
  <c r="AT34" i="52"/>
  <c r="AS33" i="52"/>
  <c r="U14" i="54"/>
  <c r="T13" i="54"/>
  <c r="AS44" i="53"/>
  <c r="AR43" i="53"/>
  <c r="AR43" i="51"/>
  <c r="AS44" i="51"/>
  <c r="T53" i="50"/>
  <c r="U54" i="50"/>
  <c r="U54" i="54"/>
  <c r="T53" i="54"/>
  <c r="U24" i="48"/>
  <c r="T23" i="48"/>
  <c r="AR3" i="52"/>
  <c r="AS4" i="52"/>
  <c r="T3" i="48"/>
  <c r="U4" i="48"/>
  <c r="AT14" i="15"/>
  <c r="AS13" i="15"/>
  <c r="U54" i="49"/>
  <c r="T53" i="49"/>
  <c r="AU13" i="54"/>
  <c r="AV14" i="54"/>
  <c r="T23" i="49"/>
  <c r="U24" i="49"/>
  <c r="AS44" i="50"/>
  <c r="AR43" i="50"/>
  <c r="AS33" i="51"/>
  <c r="AT34" i="51"/>
  <c r="AR13" i="55"/>
  <c r="AS14" i="55"/>
  <c r="AR53" i="15"/>
  <c r="AS54" i="15"/>
  <c r="AT24" i="52"/>
  <c r="AS23" i="52"/>
  <c r="AS4" i="49"/>
  <c r="AR3" i="49"/>
  <c r="T43" i="53"/>
  <c r="U44" i="53"/>
  <c r="AS44" i="56"/>
  <c r="AR43" i="56"/>
  <c r="V4" i="15"/>
  <c r="U3" i="15"/>
  <c r="T43" i="54"/>
  <c r="U44" i="54"/>
  <c r="V23" i="51"/>
  <c r="W24" i="51"/>
  <c r="W43" i="56"/>
  <c r="X44" i="56"/>
  <c r="V4" i="51"/>
  <c r="U3" i="51"/>
  <c r="AT53" i="56"/>
  <c r="AU54" i="56"/>
  <c r="V53" i="15"/>
  <c r="W54" i="15"/>
  <c r="U34" i="15"/>
  <c r="T33" i="15"/>
  <c r="U44" i="49"/>
  <c r="T43" i="49"/>
  <c r="AT44" i="48"/>
  <c r="AS43" i="48"/>
  <c r="T33" i="56"/>
  <c r="U34" i="56"/>
  <c r="AS54" i="51"/>
  <c r="AR53" i="51"/>
  <c r="T23" i="52"/>
  <c r="U24" i="52"/>
  <c r="AS13" i="56"/>
  <c r="AT14" i="56"/>
  <c r="AT13" i="50"/>
  <c r="AU14" i="50"/>
  <c r="AU23" i="48"/>
  <c r="AV24" i="48"/>
  <c r="V34" i="49"/>
  <c r="U33" i="49"/>
  <c r="W14" i="55"/>
  <c r="V13" i="55"/>
  <c r="U34" i="50"/>
  <c r="T33" i="50"/>
  <c r="W44" i="51"/>
  <c r="V43" i="51"/>
  <c r="AR33" i="54"/>
  <c r="AS34" i="54"/>
  <c r="V34" i="52"/>
  <c r="U33" i="52"/>
  <c r="T3" i="52"/>
  <c r="U4" i="52"/>
  <c r="AS54" i="50"/>
  <c r="AR53" i="50"/>
  <c r="U53" i="52"/>
  <c r="V54" i="52"/>
  <c r="AS4" i="54"/>
  <c r="AR3" i="54"/>
  <c r="AV44" i="55"/>
  <c r="AU43" i="55"/>
  <c r="Z14" i="50"/>
  <c r="Y13" i="50"/>
  <c r="W54" i="48"/>
  <c r="V53" i="48"/>
  <c r="U14" i="56"/>
  <c r="T13" i="56"/>
  <c r="T13" i="51"/>
  <c r="U14" i="51"/>
  <c r="U14" i="15"/>
  <c r="T13" i="15"/>
  <c r="U54" i="56"/>
  <c r="T53" i="56"/>
  <c r="AU34" i="55"/>
  <c r="AT33" i="55"/>
  <c r="AS34" i="50"/>
  <c r="AR33" i="50"/>
  <c r="AS34" i="49"/>
  <c r="AR33" i="49"/>
  <c r="U14" i="49"/>
  <c r="T13" i="49"/>
  <c r="V24" i="15"/>
  <c r="U23" i="15"/>
  <c r="U24" i="53"/>
  <c r="T23" i="53"/>
  <c r="AU4" i="55"/>
  <c r="AT3" i="55"/>
  <c r="U43" i="48"/>
  <c r="V44" i="48"/>
  <c r="T43" i="52"/>
  <c r="U44" i="52"/>
  <c r="AS13" i="53"/>
  <c r="AT14" i="53"/>
  <c r="V54" i="51"/>
  <c r="U53" i="51"/>
  <c r="AT4" i="15"/>
  <c r="AS3" i="15"/>
  <c r="AR3" i="56"/>
  <c r="AS4" i="56"/>
  <c r="AT44" i="52"/>
  <c r="AS43" i="52"/>
  <c r="V34" i="55"/>
  <c r="U33" i="55"/>
  <c r="AS54" i="52"/>
  <c r="AR53" i="52"/>
  <c r="W34" i="51"/>
  <c r="V33" i="51"/>
  <c r="U3" i="56"/>
  <c r="V4" i="56"/>
  <c r="AS24" i="56"/>
  <c r="AR23" i="56"/>
  <c r="U34" i="54"/>
  <c r="T33" i="54"/>
  <c r="W24" i="56"/>
  <c r="V23" i="56"/>
  <c r="U4" i="53"/>
  <c r="T3" i="53"/>
  <c r="AU34" i="53"/>
  <c r="AT33" i="53"/>
  <c r="U54" i="55"/>
  <c r="T53" i="55"/>
  <c r="U53" i="53"/>
  <c r="V54" i="53"/>
  <c r="AS4" i="51"/>
  <c r="AR3" i="51"/>
  <c r="AS4" i="50"/>
  <c r="AR3" i="50"/>
  <c r="AT23" i="50"/>
  <c r="AU24" i="50"/>
  <c r="U24" i="54"/>
  <c r="T23" i="54"/>
  <c r="AT54" i="54"/>
  <c r="AS53" i="54"/>
  <c r="V4" i="49"/>
  <c r="U3" i="49"/>
  <c r="AR53" i="49"/>
  <c r="AS54" i="49"/>
  <c r="AS24" i="51"/>
  <c r="AR23" i="51"/>
  <c r="T13" i="52"/>
  <c r="U14" i="52"/>
  <c r="AS44" i="15"/>
  <c r="AR43" i="15"/>
  <c r="AS4" i="48"/>
  <c r="AR3" i="48"/>
  <c r="AS34" i="15"/>
  <c r="AR33" i="15"/>
  <c r="U44" i="15"/>
  <c r="T43" i="15"/>
  <c r="AT14" i="51"/>
  <c r="AS13" i="51"/>
  <c r="AS14" i="52"/>
  <c r="AR13" i="52"/>
  <c r="AQ14" i="14"/>
  <c r="AP13" i="14"/>
  <c r="AS14" i="48"/>
  <c r="AR13" i="48"/>
  <c r="AS54" i="48"/>
  <c r="AR53" i="48"/>
  <c r="V3" i="50"/>
  <c r="W4" i="50"/>
  <c r="AT54" i="55"/>
  <c r="AS53" i="55"/>
  <c r="AS34" i="48"/>
  <c r="AR33" i="48"/>
  <c r="U14" i="48"/>
  <c r="T13" i="48"/>
  <c r="AT24" i="53"/>
  <c r="AS23" i="53"/>
  <c r="AS24" i="54"/>
  <c r="AR23" i="54"/>
  <c r="U24" i="50"/>
  <c r="T23" i="50"/>
  <c r="U44" i="55"/>
  <c r="T43" i="55"/>
  <c r="AS44" i="49"/>
  <c r="AR43" i="49"/>
  <c r="AT14" i="49"/>
  <c r="AS13" i="49"/>
  <c r="AS24" i="49"/>
  <c r="AR23" i="49"/>
  <c r="U34" i="53"/>
  <c r="T33" i="53"/>
  <c r="AT24" i="15"/>
  <c r="AS23" i="15"/>
  <c r="U44" i="50"/>
  <c r="T43" i="50"/>
  <c r="AS34" i="56"/>
  <c r="AR33" i="56"/>
  <c r="U34" i="48"/>
  <c r="T33" i="48"/>
  <c r="AT54" i="53"/>
  <c r="AS53" i="53"/>
  <c r="U14" i="53"/>
  <c r="T13" i="53"/>
  <c r="AS44" i="54"/>
  <c r="AR43" i="54"/>
  <c r="U24" i="55"/>
  <c r="T23" i="55"/>
  <c r="AT23" i="55"/>
  <c r="AU24" i="55"/>
  <c r="V4" i="55"/>
  <c r="U3" i="55"/>
  <c r="AM16" i="14"/>
  <c r="Q16" i="14"/>
  <c r="AM32" i="14"/>
  <c r="AM50" i="14" s="1"/>
  <c r="Q32" i="14"/>
  <c r="AM35" i="14"/>
  <c r="AM53" i="14" s="1"/>
  <c r="AM49" i="14"/>
  <c r="AM15" i="14"/>
  <c r="AM19" i="14" s="1"/>
  <c r="Q15" i="14"/>
  <c r="AR6" i="14"/>
  <c r="AQ5" i="14"/>
  <c r="AM26" i="14"/>
  <c r="Q26" i="14"/>
  <c r="AM23" i="14"/>
  <c r="AM27" i="14" s="1"/>
  <c r="Q23" i="14"/>
  <c r="AL41" i="14"/>
  <c r="AL11" i="14"/>
  <c r="AL45" i="14" s="1"/>
  <c r="S29" i="14"/>
  <c r="T30" i="14"/>
  <c r="AM10" i="14"/>
  <c r="AM44" i="14" s="1"/>
  <c r="Q10" i="14"/>
  <c r="AM33" i="14"/>
  <c r="AM51" i="14" s="1"/>
  <c r="Q33" i="14"/>
  <c r="AM9" i="14"/>
  <c r="AM43" i="14" s="1"/>
  <c r="Q9" i="14"/>
  <c r="AM8" i="14"/>
  <c r="AM42" i="14" s="1"/>
  <c r="Q8" i="14"/>
  <c r="AM25" i="14"/>
  <c r="Q25" i="14"/>
  <c r="V14" i="14"/>
  <c r="U13" i="14"/>
  <c r="AQ2" i="14"/>
  <c r="AS29" i="14"/>
  <c r="AT30" i="14"/>
  <c r="AM18" i="14"/>
  <c r="Q18" i="14"/>
  <c r="AK46" i="14"/>
  <c r="AN34" i="14"/>
  <c r="AN52" i="14" s="1"/>
  <c r="R34" i="14"/>
  <c r="AQ3" i="14"/>
  <c r="AM17" i="14"/>
  <c r="Q17" i="14"/>
  <c r="AN31" i="14"/>
  <c r="R31" i="14"/>
  <c r="AM24" i="14"/>
  <c r="Q24" i="14"/>
  <c r="AM7" i="14"/>
  <c r="Q7" i="14"/>
  <c r="D19" i="10"/>
  <c r="I19" i="10"/>
  <c r="F19" i="10"/>
  <c r="H19" i="10"/>
  <c r="J19" i="10"/>
  <c r="E19" i="10"/>
  <c r="V22" i="14"/>
  <c r="U21" i="14"/>
  <c r="B21" i="10"/>
  <c r="AR21" i="14"/>
  <c r="AS22" i="14"/>
  <c r="T5" i="14"/>
  <c r="U6" i="14"/>
  <c r="W4" i="54" l="1"/>
  <c r="V3" i="54"/>
  <c r="AU34" i="52"/>
  <c r="AT33" i="52"/>
  <c r="AT44" i="53"/>
  <c r="AS43" i="53"/>
  <c r="U13" i="54"/>
  <c r="V14" i="54"/>
  <c r="U53" i="50"/>
  <c r="V54" i="50"/>
  <c r="AS43" i="51"/>
  <c r="AT44" i="51"/>
  <c r="AR2" i="14"/>
  <c r="U53" i="54"/>
  <c r="V54" i="54"/>
  <c r="U43" i="53"/>
  <c r="V44" i="53"/>
  <c r="AS13" i="55"/>
  <c r="AT14" i="55"/>
  <c r="V24" i="49"/>
  <c r="U23" i="49"/>
  <c r="AT4" i="52"/>
  <c r="AS3" i="52"/>
  <c r="V3" i="15"/>
  <c r="W4" i="15"/>
  <c r="AT23" i="52"/>
  <c r="AU24" i="52"/>
  <c r="U53" i="49"/>
  <c r="V54" i="49"/>
  <c r="AU14" i="15"/>
  <c r="AT13" i="15"/>
  <c r="AT54" i="15"/>
  <c r="AS53" i="15"/>
  <c r="AT33" i="51"/>
  <c r="AU34" i="51"/>
  <c r="AW14" i="54"/>
  <c r="AV13" i="54"/>
  <c r="U3" i="48"/>
  <c r="V4" i="48"/>
  <c r="AS43" i="56"/>
  <c r="AT44" i="56"/>
  <c r="AT4" i="49"/>
  <c r="AS3" i="49"/>
  <c r="AS43" i="50"/>
  <c r="AT44" i="50"/>
  <c r="V24" i="48"/>
  <c r="U23" i="48"/>
  <c r="W54" i="52"/>
  <c r="V53" i="52"/>
  <c r="V4" i="52"/>
  <c r="U3" i="52"/>
  <c r="AS33" i="54"/>
  <c r="AT34" i="54"/>
  <c r="AW24" i="48"/>
  <c r="AV23" i="48"/>
  <c r="AT13" i="56"/>
  <c r="AU14" i="56"/>
  <c r="AV54" i="56"/>
  <c r="AU53" i="56"/>
  <c r="X24" i="51"/>
  <c r="W23" i="51"/>
  <c r="AT54" i="50"/>
  <c r="AS53" i="50"/>
  <c r="X44" i="51"/>
  <c r="W43" i="51"/>
  <c r="W13" i="55"/>
  <c r="X14" i="55"/>
  <c r="AT54" i="51"/>
  <c r="AS53" i="51"/>
  <c r="V44" i="49"/>
  <c r="U43" i="49"/>
  <c r="V34" i="15"/>
  <c r="U33" i="15"/>
  <c r="AU13" i="50"/>
  <c r="AV14" i="50"/>
  <c r="V24" i="52"/>
  <c r="U23" i="52"/>
  <c r="U33" i="56"/>
  <c r="V34" i="56"/>
  <c r="X54" i="15"/>
  <c r="W53" i="15"/>
  <c r="X43" i="56"/>
  <c r="Y44" i="56"/>
  <c r="U43" i="54"/>
  <c r="V44" i="54"/>
  <c r="AA14" i="50"/>
  <c r="Z13" i="50"/>
  <c r="AV43" i="55"/>
  <c r="AW44" i="55"/>
  <c r="AT4" i="54"/>
  <c r="AS3" i="54"/>
  <c r="W34" i="52"/>
  <c r="V33" i="52"/>
  <c r="V34" i="50"/>
  <c r="U33" i="50"/>
  <c r="W34" i="49"/>
  <c r="V33" i="49"/>
  <c r="AT43" i="48"/>
  <c r="AU44" i="48"/>
  <c r="W4" i="51"/>
  <c r="V3" i="51"/>
  <c r="AM54" i="14"/>
  <c r="AT14" i="52"/>
  <c r="AS13" i="52"/>
  <c r="V44" i="15"/>
  <c r="U43" i="15"/>
  <c r="AT4" i="48"/>
  <c r="AS3" i="48"/>
  <c r="AT24" i="51"/>
  <c r="AS23" i="51"/>
  <c r="V3" i="49"/>
  <c r="W4" i="49"/>
  <c r="V24" i="54"/>
  <c r="U23" i="54"/>
  <c r="AT4" i="50"/>
  <c r="AS3" i="50"/>
  <c r="AU33" i="53"/>
  <c r="AV34" i="53"/>
  <c r="AS23" i="56"/>
  <c r="AT24" i="56"/>
  <c r="W33" i="51"/>
  <c r="X34" i="51"/>
  <c r="W34" i="55"/>
  <c r="V33" i="55"/>
  <c r="V24" i="53"/>
  <c r="U23" i="53"/>
  <c r="V14" i="52"/>
  <c r="U13" i="52"/>
  <c r="AT54" i="49"/>
  <c r="AS53" i="49"/>
  <c r="AU23" i="50"/>
  <c r="AV24" i="50"/>
  <c r="W4" i="56"/>
  <c r="V3" i="56"/>
  <c r="V44" i="52"/>
  <c r="U43" i="52"/>
  <c r="V43" i="48"/>
  <c r="W44" i="48"/>
  <c r="U13" i="49"/>
  <c r="V14" i="49"/>
  <c r="AS33" i="50"/>
  <c r="AT34" i="50"/>
  <c r="AV34" i="55"/>
  <c r="AU33" i="55"/>
  <c r="U53" i="56"/>
  <c r="V54" i="56"/>
  <c r="V14" i="56"/>
  <c r="U13" i="56"/>
  <c r="W53" i="48"/>
  <c r="X54" i="48"/>
  <c r="AT13" i="51"/>
  <c r="AU14" i="51"/>
  <c r="AT34" i="15"/>
  <c r="AS33" i="15"/>
  <c r="AT44" i="15"/>
  <c r="AS43" i="15"/>
  <c r="AU54" i="54"/>
  <c r="AT53" i="54"/>
  <c r="AT4" i="51"/>
  <c r="AS3" i="51"/>
  <c r="V54" i="55"/>
  <c r="U53" i="55"/>
  <c r="U3" i="53"/>
  <c r="V4" i="53"/>
  <c r="W23" i="56"/>
  <c r="X24" i="56"/>
  <c r="U33" i="54"/>
  <c r="V34" i="54"/>
  <c r="AT54" i="52"/>
  <c r="AS53" i="52"/>
  <c r="AT43" i="52"/>
  <c r="AU44" i="52"/>
  <c r="AU4" i="15"/>
  <c r="AT3" i="15"/>
  <c r="W54" i="51"/>
  <c r="V53" i="51"/>
  <c r="AV4" i="55"/>
  <c r="AU3" i="55"/>
  <c r="U13" i="51"/>
  <c r="V14" i="51"/>
  <c r="W54" i="53"/>
  <c r="V53" i="53"/>
  <c r="AS3" i="56"/>
  <c r="AT4" i="56"/>
  <c r="AT13" i="53"/>
  <c r="AU14" i="53"/>
  <c r="V23" i="15"/>
  <c r="W24" i="15"/>
  <c r="AT34" i="49"/>
  <c r="AS33" i="49"/>
  <c r="U13" i="15"/>
  <c r="V14" i="15"/>
  <c r="AL46" i="14"/>
  <c r="AV24" i="55"/>
  <c r="AU23" i="55"/>
  <c r="W3" i="50"/>
  <c r="X4" i="50"/>
  <c r="AS43" i="54"/>
  <c r="AT44" i="54"/>
  <c r="AT53" i="53"/>
  <c r="AU54" i="53"/>
  <c r="AT34" i="56"/>
  <c r="AS33" i="56"/>
  <c r="AT23" i="15"/>
  <c r="AU24" i="15"/>
  <c r="AS23" i="49"/>
  <c r="AT24" i="49"/>
  <c r="AS43" i="49"/>
  <c r="AT44" i="49"/>
  <c r="V24" i="50"/>
  <c r="U23" i="50"/>
  <c r="AT23" i="53"/>
  <c r="AU24" i="53"/>
  <c r="AT34" i="48"/>
  <c r="AS33" i="48"/>
  <c r="AT14" i="48"/>
  <c r="AS13" i="48"/>
  <c r="V3" i="55"/>
  <c r="W4" i="55"/>
  <c r="V24" i="55"/>
  <c r="U23" i="55"/>
  <c r="V14" i="53"/>
  <c r="U13" i="53"/>
  <c r="V34" i="48"/>
  <c r="U33" i="48"/>
  <c r="V44" i="50"/>
  <c r="U43" i="50"/>
  <c r="V34" i="53"/>
  <c r="U33" i="53"/>
  <c r="AU14" i="49"/>
  <c r="AT13" i="49"/>
  <c r="V44" i="55"/>
  <c r="U43" i="55"/>
  <c r="AS23" i="54"/>
  <c r="AT24" i="54"/>
  <c r="V14" i="48"/>
  <c r="U13" i="48"/>
  <c r="AT53" i="55"/>
  <c r="AU54" i="55"/>
  <c r="AT54" i="48"/>
  <c r="AS53" i="48"/>
  <c r="AR14" i="14"/>
  <c r="AQ13" i="14"/>
  <c r="AN17" i="14"/>
  <c r="R17" i="14"/>
  <c r="AN25" i="14"/>
  <c r="R25" i="14"/>
  <c r="AN7" i="14"/>
  <c r="R7" i="14"/>
  <c r="AN18" i="14"/>
  <c r="R18" i="14"/>
  <c r="V13" i="14"/>
  <c r="W14" i="14"/>
  <c r="AN9" i="14"/>
  <c r="AN43" i="14" s="1"/>
  <c r="R9" i="14"/>
  <c r="AN33" i="14"/>
  <c r="AN51" i="14" s="1"/>
  <c r="R33" i="14"/>
  <c r="AN23" i="14"/>
  <c r="AN27" i="14" s="1"/>
  <c r="R23" i="14"/>
  <c r="AN26" i="14"/>
  <c r="R26" i="14"/>
  <c r="AR3" i="14"/>
  <c r="AS6" i="14"/>
  <c r="AR5" i="14"/>
  <c r="AN15" i="14"/>
  <c r="AN19" i="14" s="1"/>
  <c r="R15" i="14"/>
  <c r="AN16" i="14"/>
  <c r="R16" i="14"/>
  <c r="AM11" i="14"/>
  <c r="AM45" i="14" s="1"/>
  <c r="AM41" i="14"/>
  <c r="AO31" i="14"/>
  <c r="S31" i="14"/>
  <c r="AN10" i="14"/>
  <c r="AN44" i="14" s="1"/>
  <c r="R10" i="14"/>
  <c r="T29" i="14"/>
  <c r="U30" i="14"/>
  <c r="AU30" i="14"/>
  <c r="AT29" i="14"/>
  <c r="AN24" i="14"/>
  <c r="R24" i="14"/>
  <c r="AN35" i="14"/>
  <c r="AN53" i="14" s="1"/>
  <c r="AN49" i="14"/>
  <c r="AO34" i="14"/>
  <c r="AO52" i="14" s="1"/>
  <c r="S34" i="14"/>
  <c r="AN8" i="14"/>
  <c r="AN42" i="14" s="1"/>
  <c r="R8" i="14"/>
  <c r="AN32" i="14"/>
  <c r="AN50" i="14" s="1"/>
  <c r="R32" i="14"/>
  <c r="B22" i="10"/>
  <c r="U5" i="14"/>
  <c r="V6" i="14"/>
  <c r="H20" i="10"/>
  <c r="J20" i="10"/>
  <c r="D20" i="10"/>
  <c r="F20" i="10"/>
  <c r="E20" i="10"/>
  <c r="I20" i="10"/>
  <c r="W22" i="14"/>
  <c r="V21" i="14"/>
  <c r="AS21" i="14"/>
  <c r="AT22" i="14"/>
  <c r="D46" i="55" l="1"/>
  <c r="C50" i="15"/>
  <c r="C50" i="48" s="1"/>
  <c r="D16" i="15"/>
  <c r="D16" i="48" s="1"/>
  <c r="D46" i="51"/>
  <c r="D29" i="15"/>
  <c r="D29" i="48" s="1"/>
  <c r="C25" i="49"/>
  <c r="C25" i="50" s="1"/>
  <c r="C6" i="51"/>
  <c r="C6" i="52" s="1"/>
  <c r="C20" i="55"/>
  <c r="C20" i="56" s="1"/>
  <c r="C8" i="55"/>
  <c r="C8" i="56" s="1"/>
  <c r="C5" i="15"/>
  <c r="C5" i="48" s="1"/>
  <c r="C35" i="15"/>
  <c r="C45" i="51"/>
  <c r="C45" i="52" s="1"/>
  <c r="C58" i="55"/>
  <c r="C58" i="56" s="1"/>
  <c r="D35" i="15"/>
  <c r="C16" i="55"/>
  <c r="C16" i="56" s="1"/>
  <c r="D39" i="15"/>
  <c r="D39" i="48" s="1"/>
  <c r="D10" i="49"/>
  <c r="D10" i="50" s="1"/>
  <c r="C46" i="53"/>
  <c r="C46" i="54" s="1"/>
  <c r="C45" i="15"/>
  <c r="C45" i="48" s="1"/>
  <c r="C39" i="15"/>
  <c r="C39" i="48" s="1"/>
  <c r="D10" i="15"/>
  <c r="D10" i="48" s="1"/>
  <c r="C29" i="53"/>
  <c r="C29" i="54" s="1"/>
  <c r="D48" i="53"/>
  <c r="D48" i="54" s="1"/>
  <c r="C25" i="15"/>
  <c r="C25" i="48" s="1"/>
  <c r="C48" i="15"/>
  <c r="C48" i="48" s="1"/>
  <c r="D56" i="55"/>
  <c r="D56" i="56" s="1"/>
  <c r="D18" i="49"/>
  <c r="D18" i="50" s="1"/>
  <c r="D46" i="49"/>
  <c r="D46" i="50" s="1"/>
  <c r="C49" i="51"/>
  <c r="C49" i="52" s="1"/>
  <c r="C46" i="55"/>
  <c r="C46" i="56" s="1"/>
  <c r="C36" i="51"/>
  <c r="C36" i="52" s="1"/>
  <c r="C28" i="55"/>
  <c r="C28" i="56" s="1"/>
  <c r="D7" i="51"/>
  <c r="D19" i="55"/>
  <c r="D5" i="15"/>
  <c r="D5" i="48" s="1"/>
  <c r="C45" i="53"/>
  <c r="C45" i="54" s="1"/>
  <c r="C26" i="15"/>
  <c r="C26" i="48" s="1"/>
  <c r="C20" i="49"/>
  <c r="C20" i="50" s="1"/>
  <c r="C55" i="55"/>
  <c r="C55" i="56" s="1"/>
  <c r="D25" i="55"/>
  <c r="D25" i="56" s="1"/>
  <c r="D25" i="51"/>
  <c r="D25" i="52" s="1"/>
  <c r="D18" i="55"/>
  <c r="D18" i="56" s="1"/>
  <c r="C6" i="53"/>
  <c r="D56" i="15"/>
  <c r="D56" i="48" s="1"/>
  <c r="C18" i="53"/>
  <c r="C18" i="54" s="1"/>
  <c r="C7" i="51"/>
  <c r="C35" i="55"/>
  <c r="C35" i="56" s="1"/>
  <c r="D49" i="53"/>
  <c r="D49" i="54" s="1"/>
  <c r="D6" i="53"/>
  <c r="D6" i="54" s="1"/>
  <c r="D26" i="51"/>
  <c r="D26" i="52" s="1"/>
  <c r="D15" i="49"/>
  <c r="D20" i="15"/>
  <c r="D20" i="48" s="1"/>
  <c r="C40" i="51"/>
  <c r="C40" i="52" s="1"/>
  <c r="D36" i="53"/>
  <c r="D36" i="54" s="1"/>
  <c r="C40" i="53"/>
  <c r="C40" i="54" s="1"/>
  <c r="C17" i="53"/>
  <c r="C17" i="54" s="1"/>
  <c r="D45" i="51"/>
  <c r="C50" i="55"/>
  <c r="C50" i="56" s="1"/>
  <c r="C55" i="49"/>
  <c r="C55" i="50" s="1"/>
  <c r="D55" i="51"/>
  <c r="D55" i="52" s="1"/>
  <c r="D16" i="53"/>
  <c r="D16" i="54" s="1"/>
  <c r="D19" i="49"/>
  <c r="D19" i="50" s="1"/>
  <c r="D55" i="55"/>
  <c r="D60" i="51"/>
  <c r="D60" i="52" s="1"/>
  <c r="D9" i="51"/>
  <c r="D9" i="52" s="1"/>
  <c r="D35" i="55"/>
  <c r="D35" i="56" s="1"/>
  <c r="C59" i="53"/>
  <c r="C59" i="54" s="1"/>
  <c r="C49" i="55"/>
  <c r="C49" i="56" s="1"/>
  <c r="C57" i="51"/>
  <c r="C57" i="52" s="1"/>
  <c r="D9" i="53"/>
  <c r="D9" i="54" s="1"/>
  <c r="C18" i="15"/>
  <c r="C18" i="48" s="1"/>
  <c r="C50" i="49"/>
  <c r="C50" i="50" s="1"/>
  <c r="C40" i="15"/>
  <c r="C40" i="48" s="1"/>
  <c r="C7" i="15"/>
  <c r="C7" i="48" s="1"/>
  <c r="D39" i="53"/>
  <c r="D39" i="54" s="1"/>
  <c r="D5" i="55"/>
  <c r="D5" i="56" s="1"/>
  <c r="D57" i="55"/>
  <c r="C26" i="51"/>
  <c r="C26" i="52" s="1"/>
  <c r="D50" i="55"/>
  <c r="D50" i="56" s="1"/>
  <c r="C9" i="53"/>
  <c r="C46" i="51"/>
  <c r="C46" i="52" s="1"/>
  <c r="D8" i="51"/>
  <c r="C58" i="53"/>
  <c r="C58" i="54" s="1"/>
  <c r="C47" i="55"/>
  <c r="C47" i="56" s="1"/>
  <c r="D47" i="51"/>
  <c r="D47" i="52" s="1"/>
  <c r="D36" i="49"/>
  <c r="D36" i="50" s="1"/>
  <c r="C49" i="53"/>
  <c r="C49" i="54" s="1"/>
  <c r="D17" i="51"/>
  <c r="D17" i="52" s="1"/>
  <c r="D38" i="15"/>
  <c r="D38" i="48" s="1"/>
  <c r="C29" i="49"/>
  <c r="C29" i="50" s="1"/>
  <c r="D57" i="15"/>
  <c r="D57" i="48" s="1"/>
  <c r="D30" i="49"/>
  <c r="D30" i="50" s="1"/>
  <c r="D35" i="49"/>
  <c r="C57" i="49"/>
  <c r="C57" i="50" s="1"/>
  <c r="C38" i="55"/>
  <c r="C38" i="56" s="1"/>
  <c r="C56" i="51"/>
  <c r="C56" i="52" s="1"/>
  <c r="D27" i="15"/>
  <c r="D27" i="48" s="1"/>
  <c r="D15" i="55"/>
  <c r="D15" i="56" s="1"/>
  <c r="D49" i="49"/>
  <c r="D49" i="50" s="1"/>
  <c r="D28" i="15"/>
  <c r="D28" i="48" s="1"/>
  <c r="C6" i="55"/>
  <c r="C6" i="56" s="1"/>
  <c r="D27" i="55"/>
  <c r="D27" i="56" s="1"/>
  <c r="D40" i="15"/>
  <c r="D40" i="48" s="1"/>
  <c r="D48" i="51"/>
  <c r="C25" i="55"/>
  <c r="D15" i="15"/>
  <c r="C60" i="15"/>
  <c r="C60" i="48" s="1"/>
  <c r="C37" i="15"/>
  <c r="C37" i="48" s="1"/>
  <c r="C19" i="15"/>
  <c r="C19" i="48" s="1"/>
  <c r="C17" i="15"/>
  <c r="C17" i="48" s="1"/>
  <c r="D60" i="49"/>
  <c r="D60" i="50" s="1"/>
  <c r="C27" i="49"/>
  <c r="C27" i="50" s="1"/>
  <c r="C48" i="49"/>
  <c r="C48" i="50" s="1"/>
  <c r="C46" i="49"/>
  <c r="C46" i="50" s="1"/>
  <c r="C36" i="55"/>
  <c r="C36" i="56" s="1"/>
  <c r="C5" i="55"/>
  <c r="C5" i="56" s="1"/>
  <c r="D40" i="53"/>
  <c r="D46" i="15"/>
  <c r="D46" i="48" s="1"/>
  <c r="C50" i="51"/>
  <c r="C50" i="52" s="1"/>
  <c r="D40" i="49"/>
  <c r="D40" i="50" s="1"/>
  <c r="C48" i="51"/>
  <c r="C48" i="52" s="1"/>
  <c r="D45" i="15"/>
  <c r="D45" i="48" s="1"/>
  <c r="D8" i="49"/>
  <c r="D8" i="50" s="1"/>
  <c r="C48" i="55"/>
  <c r="C48" i="56" s="1"/>
  <c r="C58" i="15"/>
  <c r="C58" i="48" s="1"/>
  <c r="D36" i="51"/>
  <c r="D36" i="52" s="1"/>
  <c r="C39" i="55"/>
  <c r="C39" i="56" s="1"/>
  <c r="D45" i="55"/>
  <c r="C20" i="15"/>
  <c r="C20" i="48" s="1"/>
  <c r="D5" i="49"/>
  <c r="D28" i="49"/>
  <c r="D28" i="50" s="1"/>
  <c r="C10" i="55"/>
  <c r="C10" i="56" s="1"/>
  <c r="D6" i="55"/>
  <c r="D6" i="56" s="1"/>
  <c r="C56" i="55"/>
  <c r="C56" i="56" s="1"/>
  <c r="C17" i="55"/>
  <c r="C17" i="56" s="1"/>
  <c r="C38" i="53"/>
  <c r="C38" i="54" s="1"/>
  <c r="D16" i="49"/>
  <c r="D16" i="50" s="1"/>
  <c r="D57" i="49"/>
  <c r="D57" i="50" s="1"/>
  <c r="E57" i="50" s="1"/>
  <c r="K57" i="50" s="1"/>
  <c r="J57" i="50" s="1"/>
  <c r="D9" i="55"/>
  <c r="D9" i="56" s="1"/>
  <c r="C46" i="15"/>
  <c r="C46" i="48" s="1"/>
  <c r="D5" i="53"/>
  <c r="D5" i="54" s="1"/>
  <c r="C39" i="53"/>
  <c r="C39" i="54" s="1"/>
  <c r="D6" i="49"/>
  <c r="D6" i="50" s="1"/>
  <c r="D47" i="15"/>
  <c r="D47" i="48" s="1"/>
  <c r="C37" i="55"/>
  <c r="C37" i="56" s="1"/>
  <c r="C18" i="49"/>
  <c r="C18" i="50" s="1"/>
  <c r="C16" i="49"/>
  <c r="C16" i="50" s="1"/>
  <c r="C20" i="53"/>
  <c r="C20" i="54" s="1"/>
  <c r="C59" i="15"/>
  <c r="C59" i="48" s="1"/>
  <c r="C27" i="51"/>
  <c r="C27" i="52" s="1"/>
  <c r="D56" i="49"/>
  <c r="D56" i="50" s="1"/>
  <c r="C8" i="53"/>
  <c r="C8" i="54" s="1"/>
  <c r="D37" i="15"/>
  <c r="C60" i="49"/>
  <c r="C60" i="50" s="1"/>
  <c r="D19" i="53"/>
  <c r="C38" i="15"/>
  <c r="C25" i="53"/>
  <c r="C25" i="54" s="1"/>
  <c r="C15" i="51"/>
  <c r="C15" i="52" s="1"/>
  <c r="D37" i="51"/>
  <c r="D37" i="52" s="1"/>
  <c r="C10" i="53"/>
  <c r="C38" i="49"/>
  <c r="C38" i="50" s="1"/>
  <c r="C10" i="49"/>
  <c r="C10" i="50" s="1"/>
  <c r="E10" i="50" s="1"/>
  <c r="K10" i="50" s="1"/>
  <c r="J10" i="50" s="1"/>
  <c r="C37" i="53"/>
  <c r="C37" i="54" s="1"/>
  <c r="D18" i="51"/>
  <c r="D18" i="52" s="1"/>
  <c r="D20" i="49"/>
  <c r="D55" i="49"/>
  <c r="D48" i="49"/>
  <c r="D15" i="53"/>
  <c r="D49" i="51"/>
  <c r="C56" i="53"/>
  <c r="C56" i="54" s="1"/>
  <c r="C37" i="51"/>
  <c r="C37" i="52" s="1"/>
  <c r="D10" i="55"/>
  <c r="C16" i="15"/>
  <c r="C16" i="48" s="1"/>
  <c r="C49" i="49"/>
  <c r="C49" i="50" s="1"/>
  <c r="D19" i="15"/>
  <c r="D19" i="48" s="1"/>
  <c r="C15" i="49"/>
  <c r="C15" i="50" s="1"/>
  <c r="D17" i="15"/>
  <c r="D17" i="48" s="1"/>
  <c r="D59" i="49"/>
  <c r="D59" i="50" s="1"/>
  <c r="D47" i="49"/>
  <c r="C16" i="51"/>
  <c r="D49" i="55"/>
  <c r="D49" i="56" s="1"/>
  <c r="D35" i="51"/>
  <c r="D35" i="52" s="1"/>
  <c r="D55" i="15"/>
  <c r="D55" i="48" s="1"/>
  <c r="D59" i="55"/>
  <c r="C29" i="55"/>
  <c r="C29" i="56" s="1"/>
  <c r="C6" i="15"/>
  <c r="C6" i="48" s="1"/>
  <c r="D26" i="15"/>
  <c r="D26" i="48" s="1"/>
  <c r="D20" i="51"/>
  <c r="D28" i="53"/>
  <c r="D28" i="54" s="1"/>
  <c r="D48" i="15"/>
  <c r="E48" i="15" s="1"/>
  <c r="K48" i="15" s="1"/>
  <c r="J48" i="15" s="1"/>
  <c r="C8" i="49"/>
  <c r="C8" i="50" s="1"/>
  <c r="C25" i="51"/>
  <c r="E25" i="51" s="1"/>
  <c r="F25" i="51" s="1"/>
  <c r="F25" i="52" s="1"/>
  <c r="D59" i="53"/>
  <c r="D59" i="54" s="1"/>
  <c r="D7" i="49"/>
  <c r="D7" i="50" s="1"/>
  <c r="C47" i="15"/>
  <c r="C47" i="48" s="1"/>
  <c r="C30" i="51"/>
  <c r="C30" i="52" s="1"/>
  <c r="C19" i="53"/>
  <c r="C19" i="54" s="1"/>
  <c r="D19" i="51"/>
  <c r="D19" i="52" s="1"/>
  <c r="C15" i="55"/>
  <c r="C15" i="56" s="1"/>
  <c r="D60" i="15"/>
  <c r="D60" i="48" s="1"/>
  <c r="D50" i="51"/>
  <c r="D50" i="52" s="1"/>
  <c r="C27" i="55"/>
  <c r="C27" i="56" s="1"/>
  <c r="E27" i="56" s="1"/>
  <c r="K27" i="56" s="1"/>
  <c r="J27" i="56" s="1"/>
  <c r="D48" i="55"/>
  <c r="D7" i="53"/>
  <c r="C19" i="55"/>
  <c r="C19" i="56" s="1"/>
  <c r="D36" i="55"/>
  <c r="D36" i="56" s="1"/>
  <c r="C17" i="51"/>
  <c r="C17" i="52" s="1"/>
  <c r="D40" i="51"/>
  <c r="C45" i="49"/>
  <c r="C47" i="49"/>
  <c r="C47" i="50" s="1"/>
  <c r="D30" i="55"/>
  <c r="C60" i="53"/>
  <c r="C60" i="54" s="1"/>
  <c r="C26" i="55"/>
  <c r="C26" i="56" s="1"/>
  <c r="D29" i="55"/>
  <c r="D29" i="56" s="1"/>
  <c r="C28" i="51"/>
  <c r="C28" i="52" s="1"/>
  <c r="C30" i="15"/>
  <c r="D17" i="55"/>
  <c r="D17" i="56" s="1"/>
  <c r="C39" i="49"/>
  <c r="C39" i="50" s="1"/>
  <c r="C17" i="49"/>
  <c r="C17" i="50" s="1"/>
  <c r="D8" i="15"/>
  <c r="D38" i="55"/>
  <c r="D38" i="56" s="1"/>
  <c r="D30" i="51"/>
  <c r="D30" i="52" s="1"/>
  <c r="D7" i="15"/>
  <c r="D7" i="48" s="1"/>
  <c r="D27" i="51"/>
  <c r="D16" i="55"/>
  <c r="D16" i="56" s="1"/>
  <c r="D38" i="53"/>
  <c r="D38" i="54" s="1"/>
  <c r="D10" i="53"/>
  <c r="D10" i="54" s="1"/>
  <c r="D58" i="51"/>
  <c r="D58" i="52" s="1"/>
  <c r="D20" i="53"/>
  <c r="D20" i="54" s="1"/>
  <c r="D58" i="53"/>
  <c r="C58" i="49"/>
  <c r="C58" i="50" s="1"/>
  <c r="C38" i="51"/>
  <c r="C38" i="52" s="1"/>
  <c r="D50" i="53"/>
  <c r="D39" i="51"/>
  <c r="D58" i="49"/>
  <c r="D27" i="49"/>
  <c r="D27" i="50" s="1"/>
  <c r="C7" i="55"/>
  <c r="C7" i="56" s="1"/>
  <c r="C50" i="53"/>
  <c r="C50" i="54" s="1"/>
  <c r="D59" i="51"/>
  <c r="D59" i="52" s="1"/>
  <c r="D9" i="49"/>
  <c r="D35" i="53"/>
  <c r="C40" i="55"/>
  <c r="C40" i="56" s="1"/>
  <c r="D25" i="49"/>
  <c r="D25" i="50" s="1"/>
  <c r="D39" i="49"/>
  <c r="D18" i="15"/>
  <c r="D18" i="48" s="1"/>
  <c r="D55" i="53"/>
  <c r="D55" i="54" s="1"/>
  <c r="C28" i="15"/>
  <c r="C28" i="48" s="1"/>
  <c r="C26" i="53"/>
  <c r="C36" i="15"/>
  <c r="C36" i="48" s="1"/>
  <c r="C60" i="51"/>
  <c r="C60" i="52" s="1"/>
  <c r="D47" i="53"/>
  <c r="D47" i="54" s="1"/>
  <c r="C59" i="51"/>
  <c r="C59" i="52" s="1"/>
  <c r="D60" i="53"/>
  <c r="D60" i="54" s="1"/>
  <c r="C57" i="53"/>
  <c r="C57" i="54" s="1"/>
  <c r="C48" i="53"/>
  <c r="C48" i="54" s="1"/>
  <c r="E48" i="54" s="1"/>
  <c r="D26" i="49"/>
  <c r="D17" i="53"/>
  <c r="C27" i="15"/>
  <c r="C27" i="48" s="1"/>
  <c r="D36" i="15"/>
  <c r="D36" i="48" s="1"/>
  <c r="C39" i="51"/>
  <c r="C39" i="52" s="1"/>
  <c r="D40" i="55"/>
  <c r="D40" i="56" s="1"/>
  <c r="C5" i="53"/>
  <c r="C28" i="49"/>
  <c r="C28" i="50" s="1"/>
  <c r="E28" i="50" s="1"/>
  <c r="K28" i="50" s="1"/>
  <c r="J28" i="50" s="1"/>
  <c r="D29" i="49"/>
  <c r="D29" i="50" s="1"/>
  <c r="D30" i="15"/>
  <c r="D30" i="48" s="1"/>
  <c r="D27" i="53"/>
  <c r="D27" i="54" s="1"/>
  <c r="C35" i="51"/>
  <c r="C35" i="52" s="1"/>
  <c r="C47" i="53"/>
  <c r="C47" i="54" s="1"/>
  <c r="D60" i="55"/>
  <c r="D60" i="56" s="1"/>
  <c r="D37" i="55"/>
  <c r="C30" i="53"/>
  <c r="C30" i="54" s="1"/>
  <c r="D28" i="55"/>
  <c r="C59" i="49"/>
  <c r="C59" i="50" s="1"/>
  <c r="C45" i="55"/>
  <c r="C45" i="56" s="1"/>
  <c r="D57" i="53"/>
  <c r="C29" i="15"/>
  <c r="C27" i="53"/>
  <c r="C27" i="54" s="1"/>
  <c r="C29" i="51"/>
  <c r="C29" i="52" s="1"/>
  <c r="D16" i="51"/>
  <c r="D16" i="52" s="1"/>
  <c r="D25" i="15"/>
  <c r="C58" i="51"/>
  <c r="C58" i="52" s="1"/>
  <c r="D49" i="15"/>
  <c r="D49" i="48" s="1"/>
  <c r="C30" i="55"/>
  <c r="C30" i="56" s="1"/>
  <c r="D50" i="49"/>
  <c r="D50" i="50" s="1"/>
  <c r="D18" i="53"/>
  <c r="E18" i="53" s="1"/>
  <c r="D25" i="53"/>
  <c r="D25" i="54" s="1"/>
  <c r="C36" i="53"/>
  <c r="C36" i="54" s="1"/>
  <c r="C9" i="49"/>
  <c r="C9" i="50" s="1"/>
  <c r="D45" i="49"/>
  <c r="E45" i="49" s="1"/>
  <c r="C35" i="49"/>
  <c r="C35" i="50" s="1"/>
  <c r="C35" i="53"/>
  <c r="C35" i="54" s="1"/>
  <c r="D6" i="15"/>
  <c r="D56" i="53"/>
  <c r="C9" i="55"/>
  <c r="C9" i="56" s="1"/>
  <c r="C7" i="53"/>
  <c r="C7" i="54" s="1"/>
  <c r="D38" i="51"/>
  <c r="C8" i="15"/>
  <c r="C8" i="48" s="1"/>
  <c r="C15" i="53"/>
  <c r="C15" i="54" s="1"/>
  <c r="D46" i="53"/>
  <c r="D26" i="53"/>
  <c r="D7" i="55"/>
  <c r="D38" i="49"/>
  <c r="C10" i="15"/>
  <c r="C10" i="48" s="1"/>
  <c r="D47" i="55"/>
  <c r="C47" i="51"/>
  <c r="C47" i="52" s="1"/>
  <c r="D29" i="51"/>
  <c r="D29" i="52" s="1"/>
  <c r="E29" i="52" s="1"/>
  <c r="K29" i="52" s="1"/>
  <c r="J29" i="52" s="1"/>
  <c r="C55" i="15"/>
  <c r="C55" i="48" s="1"/>
  <c r="C5" i="51"/>
  <c r="C9" i="51"/>
  <c r="C9" i="52" s="1"/>
  <c r="D29" i="53"/>
  <c r="D6" i="51"/>
  <c r="E6" i="51" s="1"/>
  <c r="F6" i="51" s="1"/>
  <c r="F6" i="52" s="1"/>
  <c r="D50" i="15"/>
  <c r="D50" i="48" s="1"/>
  <c r="C26" i="49"/>
  <c r="C26" i="50" s="1"/>
  <c r="C28" i="53"/>
  <c r="C28" i="54" s="1"/>
  <c r="D9" i="15"/>
  <c r="D26" i="55"/>
  <c r="D8" i="53"/>
  <c r="D20" i="55"/>
  <c r="D20" i="56" s="1"/>
  <c r="C15" i="15"/>
  <c r="C15" i="48" s="1"/>
  <c r="D37" i="49"/>
  <c r="C19" i="51"/>
  <c r="C19" i="52" s="1"/>
  <c r="C9" i="15"/>
  <c r="C9" i="48" s="1"/>
  <c r="D45" i="53"/>
  <c r="D45" i="54" s="1"/>
  <c r="D56" i="51"/>
  <c r="C55" i="51"/>
  <c r="C55" i="52" s="1"/>
  <c r="D59" i="15"/>
  <c r="D59" i="48" s="1"/>
  <c r="D15" i="51"/>
  <c r="D15" i="52" s="1"/>
  <c r="C7" i="49"/>
  <c r="C20" i="51"/>
  <c r="C20" i="52" s="1"/>
  <c r="C30" i="49"/>
  <c r="C30" i="50" s="1"/>
  <c r="C5" i="49"/>
  <c r="C5" i="50" s="1"/>
  <c r="C19" i="49"/>
  <c r="C19" i="50" s="1"/>
  <c r="D37" i="53"/>
  <c r="C57" i="55"/>
  <c r="C57" i="56" s="1"/>
  <c r="D58" i="15"/>
  <c r="D58" i="48" s="1"/>
  <c r="C60" i="55"/>
  <c r="C16" i="53"/>
  <c r="C57" i="15"/>
  <c r="C57" i="48" s="1"/>
  <c r="C8" i="51"/>
  <c r="C8" i="52" s="1"/>
  <c r="C6" i="49"/>
  <c r="D17" i="49"/>
  <c r="C10" i="51"/>
  <c r="C10" i="52" s="1"/>
  <c r="C56" i="49"/>
  <c r="C56" i="50" s="1"/>
  <c r="C55" i="53"/>
  <c r="D10" i="51"/>
  <c r="D10" i="52" s="1"/>
  <c r="C18" i="51"/>
  <c r="C18" i="52" s="1"/>
  <c r="C49" i="15"/>
  <c r="C49" i="48" s="1"/>
  <c r="D30" i="53"/>
  <c r="D30" i="54" s="1"/>
  <c r="C18" i="55"/>
  <c r="C18" i="56" s="1"/>
  <c r="C36" i="49"/>
  <c r="C36" i="50" s="1"/>
  <c r="D8" i="55"/>
  <c r="D8" i="56" s="1"/>
  <c r="E8" i="56" s="1"/>
  <c r="K8" i="56" s="1"/>
  <c r="J8" i="56" s="1"/>
  <c r="C59" i="55"/>
  <c r="C59" i="56" s="1"/>
  <c r="D28" i="51"/>
  <c r="D39" i="55"/>
  <c r="D39" i="56" s="1"/>
  <c r="D57" i="51"/>
  <c r="D57" i="52" s="1"/>
  <c r="D58" i="55"/>
  <c r="C40" i="49"/>
  <c r="C40" i="50" s="1"/>
  <c r="C56" i="15"/>
  <c r="C56" i="48" s="1"/>
  <c r="D5" i="51"/>
  <c r="C37" i="49"/>
  <c r="C25" i="56"/>
  <c r="D45" i="52"/>
  <c r="D7" i="52"/>
  <c r="X4" i="54"/>
  <c r="W3" i="54"/>
  <c r="AU33" i="52"/>
  <c r="AV34" i="52"/>
  <c r="V13" i="54"/>
  <c r="W14" i="54"/>
  <c r="AU44" i="53"/>
  <c r="AT43" i="53"/>
  <c r="AU44" i="51"/>
  <c r="AT43" i="51"/>
  <c r="W54" i="50"/>
  <c r="V53" i="50"/>
  <c r="V53" i="54"/>
  <c r="W54" i="54"/>
  <c r="AT43" i="50"/>
  <c r="AU44" i="50"/>
  <c r="AU44" i="56"/>
  <c r="AT43" i="56"/>
  <c r="W54" i="49"/>
  <c r="V53" i="49"/>
  <c r="AV24" i="52"/>
  <c r="AU23" i="52"/>
  <c r="AU14" i="55"/>
  <c r="AT13" i="55"/>
  <c r="W24" i="48"/>
  <c r="V23" i="48"/>
  <c r="AW13" i="54"/>
  <c r="AX14" i="54"/>
  <c r="AU54" i="15"/>
  <c r="AT53" i="15"/>
  <c r="AT3" i="52"/>
  <c r="AU4" i="52"/>
  <c r="V3" i="48"/>
  <c r="W4" i="48"/>
  <c r="AU33" i="51"/>
  <c r="AV34" i="51"/>
  <c r="W3" i="15"/>
  <c r="X4" i="15"/>
  <c r="W44" i="53"/>
  <c r="V43" i="53"/>
  <c r="AT3" i="49"/>
  <c r="AU4" i="49"/>
  <c r="AU13" i="15"/>
  <c r="AV14" i="15"/>
  <c r="V23" i="49"/>
  <c r="W24" i="49"/>
  <c r="AU43" i="48"/>
  <c r="AV44" i="48"/>
  <c r="Z44" i="56"/>
  <c r="Y43" i="56"/>
  <c r="V33" i="56"/>
  <c r="W34" i="56"/>
  <c r="AV13" i="50"/>
  <c r="AW14" i="50"/>
  <c r="Y14" i="55"/>
  <c r="X13" i="55"/>
  <c r="X4" i="51"/>
  <c r="W3" i="51"/>
  <c r="V33" i="50"/>
  <c r="W34" i="50"/>
  <c r="W33" i="52"/>
  <c r="X34" i="52"/>
  <c r="AU4" i="54"/>
  <c r="AT3" i="54"/>
  <c r="AB14" i="50"/>
  <c r="AA13" i="50"/>
  <c r="W44" i="49"/>
  <c r="V43" i="49"/>
  <c r="AU54" i="50"/>
  <c r="AT53" i="50"/>
  <c r="Y24" i="51"/>
  <c r="X23" i="51"/>
  <c r="AX24" i="48"/>
  <c r="AW23" i="48"/>
  <c r="X54" i="52"/>
  <c r="W53" i="52"/>
  <c r="AW43" i="55"/>
  <c r="AX44" i="55"/>
  <c r="W44" i="54"/>
  <c r="V43" i="54"/>
  <c r="AU13" i="56"/>
  <c r="AV14" i="56"/>
  <c r="AT33" i="54"/>
  <c r="AU34" i="54"/>
  <c r="X34" i="49"/>
  <c r="W33" i="49"/>
  <c r="X53" i="15"/>
  <c r="Y54" i="15"/>
  <c r="V23" i="52"/>
  <c r="W24" i="52"/>
  <c r="V33" i="15"/>
  <c r="W34" i="15"/>
  <c r="AT53" i="51"/>
  <c r="AU54" i="51"/>
  <c r="Y44" i="51"/>
  <c r="X43" i="51"/>
  <c r="AW54" i="56"/>
  <c r="AV53" i="56"/>
  <c r="V3" i="52"/>
  <c r="W4" i="52"/>
  <c r="AU13" i="51"/>
  <c r="AV14" i="51"/>
  <c r="AW34" i="55"/>
  <c r="AV33" i="55"/>
  <c r="V43" i="52"/>
  <c r="W44" i="52"/>
  <c r="V43" i="15"/>
  <c r="W44" i="15"/>
  <c r="X54" i="53"/>
  <c r="W53" i="53"/>
  <c r="X54" i="51"/>
  <c r="W53" i="51"/>
  <c r="AT53" i="52"/>
  <c r="AU54" i="52"/>
  <c r="AU4" i="51"/>
  <c r="AT3" i="51"/>
  <c r="AU44" i="15"/>
  <c r="AT43" i="15"/>
  <c r="V53" i="56"/>
  <c r="W54" i="56"/>
  <c r="AU34" i="50"/>
  <c r="AT33" i="50"/>
  <c r="W43" i="48"/>
  <c r="X44" i="48"/>
  <c r="X33" i="51"/>
  <c r="Y34" i="51"/>
  <c r="W3" i="49"/>
  <c r="X4" i="49"/>
  <c r="X24" i="15"/>
  <c r="W23" i="15"/>
  <c r="AT23" i="51"/>
  <c r="AU24" i="51"/>
  <c r="AT3" i="56"/>
  <c r="AU4" i="56"/>
  <c r="Y24" i="56"/>
  <c r="X23" i="56"/>
  <c r="V13" i="56"/>
  <c r="W14" i="56"/>
  <c r="X4" i="56"/>
  <c r="W3" i="56"/>
  <c r="AU54" i="49"/>
  <c r="AT53" i="49"/>
  <c r="X34" i="55"/>
  <c r="W33" i="55"/>
  <c r="AU4" i="50"/>
  <c r="AT3" i="50"/>
  <c r="AU4" i="48"/>
  <c r="AT3" i="48"/>
  <c r="AT13" i="52"/>
  <c r="AU14" i="52"/>
  <c r="W14" i="15"/>
  <c r="V13" i="15"/>
  <c r="AV14" i="53"/>
  <c r="AU13" i="53"/>
  <c r="W14" i="51"/>
  <c r="V13" i="51"/>
  <c r="AV44" i="52"/>
  <c r="AU43" i="52"/>
  <c r="W34" i="54"/>
  <c r="V33" i="54"/>
  <c r="V3" i="53"/>
  <c r="W4" i="53"/>
  <c r="W14" i="52"/>
  <c r="V13" i="52"/>
  <c r="W24" i="53"/>
  <c r="V23" i="53"/>
  <c r="V23" i="54"/>
  <c r="W24" i="54"/>
  <c r="AT33" i="49"/>
  <c r="AU34" i="49"/>
  <c r="AW4" i="55"/>
  <c r="AV3" i="55"/>
  <c r="AV4" i="15"/>
  <c r="AU3" i="15"/>
  <c r="V53" i="55"/>
  <c r="W54" i="55"/>
  <c r="AU53" i="54"/>
  <c r="AV54" i="54"/>
  <c r="AU34" i="15"/>
  <c r="AT33" i="15"/>
  <c r="X53" i="48"/>
  <c r="Y54" i="48"/>
  <c r="W14" i="49"/>
  <c r="V13" i="49"/>
  <c r="AW24" i="50"/>
  <c r="AV23" i="50"/>
  <c r="AT23" i="56"/>
  <c r="AU24" i="56"/>
  <c r="AV33" i="53"/>
  <c r="AW34" i="53"/>
  <c r="AN54" i="14"/>
  <c r="AT53" i="48"/>
  <c r="AU54" i="48"/>
  <c r="V13" i="48"/>
  <c r="W14" i="48"/>
  <c r="V43" i="55"/>
  <c r="W44" i="55"/>
  <c r="V33" i="53"/>
  <c r="W34" i="53"/>
  <c r="V33" i="48"/>
  <c r="W34" i="48"/>
  <c r="V23" i="55"/>
  <c r="W24" i="55"/>
  <c r="AT13" i="48"/>
  <c r="AU14" i="48"/>
  <c r="AV54" i="55"/>
  <c r="AU53" i="55"/>
  <c r="AT23" i="54"/>
  <c r="AU24" i="54"/>
  <c r="X4" i="55"/>
  <c r="W3" i="55"/>
  <c r="AT23" i="49"/>
  <c r="AU24" i="49"/>
  <c r="AT43" i="54"/>
  <c r="AU44" i="54"/>
  <c r="AR13" i="14"/>
  <c r="AS14" i="14"/>
  <c r="AU13" i="49"/>
  <c r="AV14" i="49"/>
  <c r="V43" i="50"/>
  <c r="W44" i="50"/>
  <c r="V13" i="53"/>
  <c r="W14" i="53"/>
  <c r="AT33" i="48"/>
  <c r="AU34" i="48"/>
  <c r="V23" i="50"/>
  <c r="W24" i="50"/>
  <c r="AT33" i="56"/>
  <c r="AU34" i="56"/>
  <c r="AW24" i="55"/>
  <c r="AV23" i="55"/>
  <c r="AV24" i="53"/>
  <c r="AU23" i="53"/>
  <c r="AT43" i="49"/>
  <c r="AU44" i="49"/>
  <c r="AU23" i="15"/>
  <c r="AV24" i="15"/>
  <c r="AV54" i="53"/>
  <c r="AU53" i="53"/>
  <c r="Y4" i="50"/>
  <c r="X3" i="50"/>
  <c r="AO8" i="14"/>
  <c r="AO42" i="14" s="1"/>
  <c r="S8" i="14"/>
  <c r="AP34" i="14"/>
  <c r="AP52" i="14" s="1"/>
  <c r="T34" i="14"/>
  <c r="U29" i="14"/>
  <c r="V30" i="14"/>
  <c r="AP31" i="14"/>
  <c r="T31" i="14"/>
  <c r="AO18" i="14"/>
  <c r="S18" i="14"/>
  <c r="AN41" i="14"/>
  <c r="AN11" i="14"/>
  <c r="AN45" i="14" s="1"/>
  <c r="AO17" i="14"/>
  <c r="S17" i="14"/>
  <c r="AO32" i="14"/>
  <c r="AO50" i="14" s="1"/>
  <c r="S32" i="14"/>
  <c r="AO24" i="14"/>
  <c r="S24" i="14"/>
  <c r="AO49" i="14"/>
  <c r="AO35" i="14"/>
  <c r="AO53" i="14" s="1"/>
  <c r="AM46" i="14"/>
  <c r="AO15" i="14"/>
  <c r="AO19" i="14" s="1"/>
  <c r="S15" i="14"/>
  <c r="AS3" i="14"/>
  <c r="AS2" i="14"/>
  <c r="AT6" i="14"/>
  <c r="AS5" i="14"/>
  <c r="AO23" i="14"/>
  <c r="AO27" i="14" s="1"/>
  <c r="S23" i="14"/>
  <c r="AO9" i="14"/>
  <c r="AO43" i="14" s="1"/>
  <c r="S9" i="14"/>
  <c r="AU29" i="14"/>
  <c r="AV30" i="14"/>
  <c r="AO16" i="14"/>
  <c r="S16" i="14"/>
  <c r="AO26" i="14"/>
  <c r="S26" i="14"/>
  <c r="AO25" i="14"/>
  <c r="S25" i="14"/>
  <c r="AO10" i="14"/>
  <c r="AO44" i="14" s="1"/>
  <c r="S10" i="14"/>
  <c r="AO33" i="14"/>
  <c r="AO51" i="14" s="1"/>
  <c r="S33" i="14"/>
  <c r="W13" i="14"/>
  <c r="X14" i="14"/>
  <c r="AO7" i="14"/>
  <c r="S7" i="14"/>
  <c r="F21" i="10"/>
  <c r="E21" i="10"/>
  <c r="H21" i="10"/>
  <c r="J21" i="10"/>
  <c r="D21" i="10"/>
  <c r="I21" i="10"/>
  <c r="AU22" i="14"/>
  <c r="AT21" i="14"/>
  <c r="V5" i="14"/>
  <c r="W6" i="14"/>
  <c r="W21" i="14"/>
  <c r="X22" i="14"/>
  <c r="B23" i="10"/>
  <c r="E6" i="55" l="1"/>
  <c r="H6" i="55" s="1"/>
  <c r="E58" i="55"/>
  <c r="F58" i="55" s="1"/>
  <c r="F58" i="56" s="1"/>
  <c r="E50" i="50"/>
  <c r="K50" i="50" s="1"/>
  <c r="J50" i="50" s="1"/>
  <c r="E16" i="53"/>
  <c r="H16" i="53" s="1"/>
  <c r="E49" i="51"/>
  <c r="K49" i="51" s="1"/>
  <c r="J49" i="51" s="1"/>
  <c r="E55" i="48"/>
  <c r="H55" i="48" s="1"/>
  <c r="D49" i="52"/>
  <c r="E49" i="52" s="1"/>
  <c r="K49" i="52" s="1"/>
  <c r="J49" i="52" s="1"/>
  <c r="E25" i="54"/>
  <c r="K25" i="54" s="1"/>
  <c r="J25" i="54" s="1"/>
  <c r="E5" i="53"/>
  <c r="F5" i="53" s="1"/>
  <c r="F5" i="54" s="1"/>
  <c r="D18" i="54"/>
  <c r="E18" i="54" s="1"/>
  <c r="K18" i="54" s="1"/>
  <c r="E29" i="56"/>
  <c r="K29" i="56" s="1"/>
  <c r="J29" i="56" s="1"/>
  <c r="E7" i="51"/>
  <c r="H7" i="51" s="1"/>
  <c r="E46" i="53"/>
  <c r="H46" i="53" s="1"/>
  <c r="E25" i="50"/>
  <c r="K25" i="50" s="1"/>
  <c r="J25" i="50" s="1"/>
  <c r="E5" i="48"/>
  <c r="K5" i="48" s="1"/>
  <c r="J5" i="48" s="1"/>
  <c r="E10" i="49"/>
  <c r="F10" i="49" s="1"/>
  <c r="F10" i="50" s="1"/>
  <c r="D48" i="48"/>
  <c r="D51" i="48" s="1"/>
  <c r="E27" i="55"/>
  <c r="K27" i="55" s="1"/>
  <c r="J27" i="55" s="1"/>
  <c r="E39" i="54"/>
  <c r="K39" i="54" s="1"/>
  <c r="J39" i="54" s="1"/>
  <c r="E16" i="48"/>
  <c r="K16" i="48" s="1"/>
  <c r="J16" i="48" s="1"/>
  <c r="E55" i="49"/>
  <c r="K55" i="49" s="1"/>
  <c r="J55" i="49" s="1"/>
  <c r="E50" i="55"/>
  <c r="F50" i="55" s="1"/>
  <c r="F50" i="56" s="1"/>
  <c r="E16" i="56"/>
  <c r="K16" i="56" s="1"/>
  <c r="J16" i="56" s="1"/>
  <c r="E56" i="56"/>
  <c r="K56" i="56" s="1"/>
  <c r="J56" i="56" s="1"/>
  <c r="E19" i="51"/>
  <c r="H19" i="51" s="1"/>
  <c r="E7" i="15"/>
  <c r="K7" i="15" s="1"/>
  <c r="J7" i="15" s="1"/>
  <c r="E17" i="15"/>
  <c r="F17" i="15" s="1"/>
  <c r="C7" i="52"/>
  <c r="E7" i="52" s="1"/>
  <c r="K7" i="52" s="1"/>
  <c r="J7" i="52" s="1"/>
  <c r="C5" i="54"/>
  <c r="E5" i="54" s="1"/>
  <c r="K5" i="54" s="1"/>
  <c r="E29" i="51"/>
  <c r="K29" i="51" s="1"/>
  <c r="J29" i="51" s="1"/>
  <c r="E19" i="50"/>
  <c r="K19" i="50" s="1"/>
  <c r="J19" i="50" s="1"/>
  <c r="E29" i="50"/>
  <c r="K29" i="50" s="1"/>
  <c r="J29" i="50" s="1"/>
  <c r="E56" i="55"/>
  <c r="F56" i="55" s="1"/>
  <c r="F56" i="56" s="1"/>
  <c r="E57" i="49"/>
  <c r="K57" i="49" s="1"/>
  <c r="J57" i="49" s="1"/>
  <c r="E45" i="15"/>
  <c r="H45" i="15" s="1"/>
  <c r="E26" i="51"/>
  <c r="F26" i="51" s="1"/>
  <c r="F26" i="52" s="1"/>
  <c r="E35" i="52"/>
  <c r="K35" i="52" s="1"/>
  <c r="J35" i="52" s="1"/>
  <c r="E7" i="48"/>
  <c r="K7" i="48" s="1"/>
  <c r="J7" i="48" s="1"/>
  <c r="E9" i="53"/>
  <c r="F9" i="53" s="1"/>
  <c r="F9" i="54" s="1"/>
  <c r="E47" i="49"/>
  <c r="H47" i="49" s="1"/>
  <c r="E39" i="53"/>
  <c r="K39" i="53" s="1"/>
  <c r="J39" i="53" s="1"/>
  <c r="E6" i="53"/>
  <c r="H6" i="53" s="1"/>
  <c r="C6" i="54"/>
  <c r="E6" i="54" s="1"/>
  <c r="K6" i="54" s="1"/>
  <c r="J6" i="54" s="1"/>
  <c r="E36" i="51"/>
  <c r="F36" i="51" s="1"/>
  <c r="F36" i="52" s="1"/>
  <c r="E35" i="55"/>
  <c r="K35" i="55" s="1"/>
  <c r="J35" i="55" s="1"/>
  <c r="E5" i="15"/>
  <c r="H5" i="15" s="1"/>
  <c r="E18" i="49"/>
  <c r="H18" i="49" s="1"/>
  <c r="E9" i="56"/>
  <c r="K9" i="56" s="1"/>
  <c r="J9" i="56" s="1"/>
  <c r="E36" i="52"/>
  <c r="K36" i="52" s="1"/>
  <c r="J36" i="52" s="1"/>
  <c r="E35" i="51"/>
  <c r="F35" i="51" s="1"/>
  <c r="F35" i="52" s="1"/>
  <c r="E45" i="51"/>
  <c r="H45" i="51" s="1"/>
  <c r="C9" i="54"/>
  <c r="E9" i="54" s="1"/>
  <c r="K9" i="54" s="1"/>
  <c r="J9" i="54" s="1"/>
  <c r="E28" i="15"/>
  <c r="K28" i="15" s="1"/>
  <c r="J28" i="15" s="1"/>
  <c r="E25" i="53"/>
  <c r="H25" i="53" s="1"/>
  <c r="E27" i="53"/>
  <c r="F27" i="53" s="1"/>
  <c r="F27" i="54" s="1"/>
  <c r="C41" i="56"/>
  <c r="H57" i="50"/>
  <c r="C51" i="55"/>
  <c r="E27" i="15"/>
  <c r="H27" i="15" s="1"/>
  <c r="E27" i="54"/>
  <c r="K27" i="54" s="1"/>
  <c r="J27" i="54" s="1"/>
  <c r="E18" i="52"/>
  <c r="K18" i="52" s="1"/>
  <c r="J18" i="52" s="1"/>
  <c r="E47" i="51"/>
  <c r="K47" i="51" s="1"/>
  <c r="J47" i="51" s="1"/>
  <c r="E59" i="53"/>
  <c r="F59" i="53" s="1"/>
  <c r="F59" i="54" s="1"/>
  <c r="E38" i="55"/>
  <c r="H38" i="55" s="1"/>
  <c r="E16" i="15"/>
  <c r="F16" i="15" s="1"/>
  <c r="F16" i="48" s="1"/>
  <c r="E40" i="55"/>
  <c r="K40" i="55" s="1"/>
  <c r="J40" i="55" s="1"/>
  <c r="E58" i="48"/>
  <c r="K58" i="48" s="1"/>
  <c r="J58" i="48" s="1"/>
  <c r="E26" i="48"/>
  <c r="K26" i="48" s="1"/>
  <c r="J26" i="48" s="1"/>
  <c r="E19" i="48"/>
  <c r="K19" i="48" s="1"/>
  <c r="J19" i="48" s="1"/>
  <c r="E40" i="48"/>
  <c r="K40" i="48" s="1"/>
  <c r="J40" i="48" s="1"/>
  <c r="E50" i="56"/>
  <c r="E18" i="15"/>
  <c r="H18" i="15" s="1"/>
  <c r="E59" i="54"/>
  <c r="K59" i="54" s="1"/>
  <c r="J59" i="54" s="1"/>
  <c r="D45" i="50"/>
  <c r="E49" i="55"/>
  <c r="H49" i="55" s="1"/>
  <c r="E59" i="48"/>
  <c r="E28" i="53"/>
  <c r="H28" i="53" s="1"/>
  <c r="E27" i="48"/>
  <c r="K27" i="48" s="1"/>
  <c r="J27" i="48" s="1"/>
  <c r="D46" i="54"/>
  <c r="E46" i="54" s="1"/>
  <c r="H46" i="54" s="1"/>
  <c r="E15" i="51"/>
  <c r="F15" i="51" s="1"/>
  <c r="F15" i="52" s="1"/>
  <c r="E56" i="49"/>
  <c r="K56" i="49" s="1"/>
  <c r="C21" i="15"/>
  <c r="H6" i="51"/>
  <c r="I6" i="51" s="1"/>
  <c r="E45" i="55"/>
  <c r="K45" i="55" s="1"/>
  <c r="E49" i="56"/>
  <c r="K49" i="56" s="1"/>
  <c r="J49" i="56" s="1"/>
  <c r="E49" i="54"/>
  <c r="H49" i="54" s="1"/>
  <c r="E45" i="54"/>
  <c r="H45" i="54" s="1"/>
  <c r="E39" i="15"/>
  <c r="H39" i="15" s="1"/>
  <c r="D51" i="51"/>
  <c r="D51" i="53"/>
  <c r="E19" i="49"/>
  <c r="F19" i="49" s="1"/>
  <c r="F19" i="50" s="1"/>
  <c r="E28" i="48"/>
  <c r="K28" i="48" s="1"/>
  <c r="J28" i="48" s="1"/>
  <c r="E46" i="49"/>
  <c r="H46" i="49" s="1"/>
  <c r="C21" i="49"/>
  <c r="E5" i="55"/>
  <c r="H5" i="55" s="1"/>
  <c r="E60" i="51"/>
  <c r="H60" i="51" s="1"/>
  <c r="E25" i="55"/>
  <c r="H25" i="55" s="1"/>
  <c r="E20" i="56"/>
  <c r="K20" i="56" s="1"/>
  <c r="J20" i="56" s="1"/>
  <c r="E56" i="48"/>
  <c r="H56" i="48" s="1"/>
  <c r="E36" i="49"/>
  <c r="F36" i="49" s="1"/>
  <c r="C51" i="15"/>
  <c r="E39" i="55"/>
  <c r="H39" i="55" s="1"/>
  <c r="H39" i="56" s="1"/>
  <c r="E20" i="15"/>
  <c r="K20" i="15" s="1"/>
  <c r="J20" i="15" s="1"/>
  <c r="E35" i="49"/>
  <c r="H35" i="49" s="1"/>
  <c r="E60" i="15"/>
  <c r="F60" i="15" s="1"/>
  <c r="F60" i="48" s="1"/>
  <c r="E40" i="56"/>
  <c r="K40" i="56" s="1"/>
  <c r="J40" i="56" s="1"/>
  <c r="E60" i="53"/>
  <c r="H60" i="53" s="1"/>
  <c r="E20" i="55"/>
  <c r="K20" i="55" s="1"/>
  <c r="J20" i="55" s="1"/>
  <c r="E36" i="48"/>
  <c r="K36" i="48" s="1"/>
  <c r="J36" i="48" s="1"/>
  <c r="D61" i="53"/>
  <c r="D51" i="49"/>
  <c r="E37" i="52"/>
  <c r="K37" i="52" s="1"/>
  <c r="J37" i="52" s="1"/>
  <c r="E17" i="56"/>
  <c r="K17" i="56" s="1"/>
  <c r="J17" i="56" s="1"/>
  <c r="E8" i="49"/>
  <c r="K8" i="49" s="1"/>
  <c r="J8" i="49" s="1"/>
  <c r="E36" i="55"/>
  <c r="K36" i="55" s="1"/>
  <c r="J36" i="55" s="1"/>
  <c r="E40" i="49"/>
  <c r="H40" i="49" s="1"/>
  <c r="E49" i="15"/>
  <c r="H49" i="15" s="1"/>
  <c r="E47" i="15"/>
  <c r="F47" i="15" s="1"/>
  <c r="F47" i="48" s="1"/>
  <c r="E16" i="50"/>
  <c r="K16" i="50" s="1"/>
  <c r="J16" i="50" s="1"/>
  <c r="E17" i="55"/>
  <c r="F17" i="55" s="1"/>
  <c r="F17" i="56" s="1"/>
  <c r="D21" i="15"/>
  <c r="C41" i="55"/>
  <c r="K6" i="51"/>
  <c r="J6" i="51" s="1"/>
  <c r="C61" i="49"/>
  <c r="E55" i="15"/>
  <c r="F55" i="15" s="1"/>
  <c r="F55" i="48" s="1"/>
  <c r="E10" i="48"/>
  <c r="K10" i="48" s="1"/>
  <c r="J10" i="48" s="1"/>
  <c r="E49" i="53"/>
  <c r="E28" i="51"/>
  <c r="K28" i="51" s="1"/>
  <c r="J28" i="51" s="1"/>
  <c r="E47" i="48"/>
  <c r="K47" i="48" s="1"/>
  <c r="J47" i="48" s="1"/>
  <c r="E19" i="52"/>
  <c r="K19" i="52" s="1"/>
  <c r="J19" i="52" s="1"/>
  <c r="D21" i="55"/>
  <c r="E16" i="55"/>
  <c r="F16" i="55" s="1"/>
  <c r="F16" i="56" s="1"/>
  <c r="E58" i="51"/>
  <c r="K58" i="51" s="1"/>
  <c r="J58" i="51" s="1"/>
  <c r="E59" i="49"/>
  <c r="F59" i="49" s="1"/>
  <c r="F59" i="50" s="1"/>
  <c r="E29" i="55"/>
  <c r="H29" i="55" s="1"/>
  <c r="E60" i="49"/>
  <c r="F60" i="49" s="1"/>
  <c r="F60" i="50" s="1"/>
  <c r="E17" i="51"/>
  <c r="H17" i="51" s="1"/>
  <c r="E59" i="15"/>
  <c r="H59" i="15" s="1"/>
  <c r="E9" i="55"/>
  <c r="K9" i="55" s="1"/>
  <c r="J9" i="55" s="1"/>
  <c r="C31" i="55"/>
  <c r="E9" i="51"/>
  <c r="K9" i="51" s="1"/>
  <c r="J9" i="51" s="1"/>
  <c r="E19" i="15"/>
  <c r="K19" i="15" s="1"/>
  <c r="J19" i="15" s="1"/>
  <c r="C31" i="49"/>
  <c r="E36" i="15"/>
  <c r="H36" i="15" s="1"/>
  <c r="E30" i="54"/>
  <c r="K30" i="54" s="1"/>
  <c r="J30" i="54" s="1"/>
  <c r="E6" i="15"/>
  <c r="K6" i="15" s="1"/>
  <c r="J6" i="15" s="1"/>
  <c r="E60" i="48"/>
  <c r="H60" i="48" s="1"/>
  <c r="E50" i="51"/>
  <c r="H50" i="51" s="1"/>
  <c r="E16" i="49"/>
  <c r="F16" i="49" s="1"/>
  <c r="F16" i="50" s="1"/>
  <c r="E26" i="15"/>
  <c r="K26" i="15" s="1"/>
  <c r="E45" i="53"/>
  <c r="H45" i="53" s="1"/>
  <c r="E49" i="49"/>
  <c r="H49" i="49" s="1"/>
  <c r="E8" i="55"/>
  <c r="K8" i="55" s="1"/>
  <c r="J8" i="55" s="1"/>
  <c r="E37" i="51"/>
  <c r="H37" i="51" s="1"/>
  <c r="C51" i="51"/>
  <c r="E40" i="15"/>
  <c r="F40" i="15" s="1"/>
  <c r="F40" i="48" s="1"/>
  <c r="E25" i="49"/>
  <c r="H25" i="49" s="1"/>
  <c r="C11" i="15"/>
  <c r="E10" i="15"/>
  <c r="F10" i="15" s="1"/>
  <c r="F10" i="48" s="1"/>
  <c r="E38" i="56"/>
  <c r="K38" i="56" s="1"/>
  <c r="J38" i="56" s="1"/>
  <c r="E36" i="53"/>
  <c r="K36" i="53" s="1"/>
  <c r="J36" i="53" s="1"/>
  <c r="D6" i="52"/>
  <c r="E6" i="52" s="1"/>
  <c r="K6" i="52" s="1"/>
  <c r="D47" i="50"/>
  <c r="E48" i="53"/>
  <c r="F48" i="53" s="1"/>
  <c r="F48" i="54" s="1"/>
  <c r="E58" i="15"/>
  <c r="F58" i="15" s="1"/>
  <c r="F58" i="48" s="1"/>
  <c r="E28" i="49"/>
  <c r="F28" i="49" s="1"/>
  <c r="F28" i="50" s="1"/>
  <c r="E15" i="55"/>
  <c r="K15" i="55" s="1"/>
  <c r="J15" i="55" s="1"/>
  <c r="E39" i="56"/>
  <c r="K39" i="56" s="1"/>
  <c r="J39" i="56" s="1"/>
  <c r="E60" i="50"/>
  <c r="K60" i="50" s="1"/>
  <c r="J60" i="50" s="1"/>
  <c r="C41" i="53"/>
  <c r="C21" i="56"/>
  <c r="C61" i="15"/>
  <c r="E10" i="52"/>
  <c r="K10" i="52" s="1"/>
  <c r="J10" i="52" s="1"/>
  <c r="E57" i="15"/>
  <c r="H57" i="15" s="1"/>
  <c r="D41" i="55"/>
  <c r="E56" i="15"/>
  <c r="E10" i="51"/>
  <c r="K10" i="51" s="1"/>
  <c r="J10" i="51" s="1"/>
  <c r="E36" i="56"/>
  <c r="K36" i="56" s="1"/>
  <c r="J36" i="56" s="1"/>
  <c r="F48" i="15"/>
  <c r="F48" i="48" s="1"/>
  <c r="D28" i="52"/>
  <c r="E28" i="52" s="1"/>
  <c r="K28" i="52" s="1"/>
  <c r="E57" i="51"/>
  <c r="K57" i="51" s="1"/>
  <c r="J57" i="51" s="1"/>
  <c r="E18" i="55"/>
  <c r="H18" i="55" s="1"/>
  <c r="C11" i="49"/>
  <c r="E59" i="52"/>
  <c r="K59" i="52" s="1"/>
  <c r="J59" i="52" s="1"/>
  <c r="E58" i="52"/>
  <c r="K58" i="52" s="1"/>
  <c r="J58" i="52" s="1"/>
  <c r="E8" i="15"/>
  <c r="H8" i="15" s="1"/>
  <c r="E7" i="53"/>
  <c r="K7" i="53" s="1"/>
  <c r="J7" i="53" s="1"/>
  <c r="C21" i="51"/>
  <c r="C21" i="50"/>
  <c r="C11" i="53"/>
  <c r="E38" i="54"/>
  <c r="K38" i="54" s="1"/>
  <c r="J38" i="54" s="1"/>
  <c r="C11" i="55"/>
  <c r="E30" i="50"/>
  <c r="K30" i="50" s="1"/>
  <c r="J30" i="50" s="1"/>
  <c r="E17" i="52"/>
  <c r="K17" i="52" s="1"/>
  <c r="J17" i="52" s="1"/>
  <c r="C37" i="50"/>
  <c r="C41" i="50" s="1"/>
  <c r="C41" i="49"/>
  <c r="C55" i="54"/>
  <c r="E55" i="54" s="1"/>
  <c r="H55" i="54" s="1"/>
  <c r="C61" i="53"/>
  <c r="E55" i="53"/>
  <c r="H55" i="53" s="1"/>
  <c r="C60" i="56"/>
  <c r="E60" i="56" s="1"/>
  <c r="K60" i="56" s="1"/>
  <c r="J60" i="56" s="1"/>
  <c r="E60" i="55"/>
  <c r="K60" i="55" s="1"/>
  <c r="J60" i="55" s="1"/>
  <c r="C7" i="50"/>
  <c r="E7" i="50" s="1"/>
  <c r="K7" i="50" s="1"/>
  <c r="J7" i="50" s="1"/>
  <c r="E7" i="49"/>
  <c r="D37" i="50"/>
  <c r="E37" i="49"/>
  <c r="F37" i="49" s="1"/>
  <c r="F37" i="50" s="1"/>
  <c r="D26" i="56"/>
  <c r="E26" i="56" s="1"/>
  <c r="K26" i="56" s="1"/>
  <c r="J26" i="56" s="1"/>
  <c r="E26" i="55"/>
  <c r="K26" i="55" s="1"/>
  <c r="J26" i="55" s="1"/>
  <c r="E50" i="48"/>
  <c r="K50" i="48" s="1"/>
  <c r="J50" i="48" s="1"/>
  <c r="D47" i="56"/>
  <c r="E47" i="55"/>
  <c r="D38" i="52"/>
  <c r="E38" i="52" s="1"/>
  <c r="K38" i="52" s="1"/>
  <c r="J38" i="52" s="1"/>
  <c r="E38" i="51"/>
  <c r="K38" i="51" s="1"/>
  <c r="J38" i="51" s="1"/>
  <c r="D41" i="51"/>
  <c r="D25" i="48"/>
  <c r="E25" i="48" s="1"/>
  <c r="K25" i="48" s="1"/>
  <c r="J25" i="48" s="1"/>
  <c r="E25" i="15"/>
  <c r="K25" i="15" s="1"/>
  <c r="J25" i="15" s="1"/>
  <c r="D31" i="15"/>
  <c r="C29" i="48"/>
  <c r="E29" i="48" s="1"/>
  <c r="K29" i="48" s="1"/>
  <c r="C31" i="15"/>
  <c r="D26" i="50"/>
  <c r="E26" i="50" s="1"/>
  <c r="K26" i="50" s="1"/>
  <c r="J26" i="50" s="1"/>
  <c r="E26" i="49"/>
  <c r="K26" i="49" s="1"/>
  <c r="J26" i="49" s="1"/>
  <c r="D31" i="49"/>
  <c r="C26" i="54"/>
  <c r="C31" i="54" s="1"/>
  <c r="C31" i="53"/>
  <c r="D9" i="50"/>
  <c r="E9" i="50" s="1"/>
  <c r="K9" i="50" s="1"/>
  <c r="J9" i="50" s="1"/>
  <c r="E9" i="49"/>
  <c r="H9" i="49" s="1"/>
  <c r="H9" i="50" s="1"/>
  <c r="D27" i="52"/>
  <c r="E27" i="52" s="1"/>
  <c r="K27" i="52" s="1"/>
  <c r="J27" i="52" s="1"/>
  <c r="E27" i="51"/>
  <c r="H27" i="51" s="1"/>
  <c r="C30" i="48"/>
  <c r="E30" i="48" s="1"/>
  <c r="K30" i="48" s="1"/>
  <c r="J30" i="48" s="1"/>
  <c r="E30" i="15"/>
  <c r="F30" i="15" s="1"/>
  <c r="F30" i="48" s="1"/>
  <c r="D40" i="52"/>
  <c r="E40" i="52" s="1"/>
  <c r="K40" i="52" s="1"/>
  <c r="J40" i="52" s="1"/>
  <c r="E40" i="51"/>
  <c r="F40" i="51" s="1"/>
  <c r="F40" i="52" s="1"/>
  <c r="C25" i="52"/>
  <c r="E25" i="52" s="1"/>
  <c r="K25" i="52" s="1"/>
  <c r="J25" i="52" s="1"/>
  <c r="C31" i="51"/>
  <c r="D59" i="56"/>
  <c r="E59" i="55"/>
  <c r="H59" i="55" s="1"/>
  <c r="D10" i="56"/>
  <c r="E10" i="56" s="1"/>
  <c r="K10" i="56" s="1"/>
  <c r="J10" i="56" s="1"/>
  <c r="E10" i="55"/>
  <c r="K10" i="55" s="1"/>
  <c r="J10" i="55" s="1"/>
  <c r="D11" i="55"/>
  <c r="E18" i="51"/>
  <c r="K18" i="51" s="1"/>
  <c r="J18" i="51" s="1"/>
  <c r="D21" i="51"/>
  <c r="C38" i="48"/>
  <c r="E38" i="48" s="1"/>
  <c r="K38" i="48" s="1"/>
  <c r="J38" i="48" s="1"/>
  <c r="E38" i="15"/>
  <c r="H38" i="15" s="1"/>
  <c r="D51" i="15"/>
  <c r="C51" i="53"/>
  <c r="C61" i="51"/>
  <c r="D11" i="49"/>
  <c r="E29" i="15"/>
  <c r="D61" i="15"/>
  <c r="E16" i="51"/>
  <c r="F16" i="51" s="1"/>
  <c r="F16" i="52" s="1"/>
  <c r="E29" i="49"/>
  <c r="E59" i="51"/>
  <c r="C41" i="51"/>
  <c r="C61" i="55"/>
  <c r="E30" i="51"/>
  <c r="H30" i="51" s="1"/>
  <c r="E27" i="49"/>
  <c r="K27" i="49" s="1"/>
  <c r="J27" i="49" s="1"/>
  <c r="C16" i="52"/>
  <c r="E16" i="52" s="1"/>
  <c r="K16" i="52" s="1"/>
  <c r="J16" i="52" s="1"/>
  <c r="E50" i="15"/>
  <c r="K50" i="15" s="1"/>
  <c r="J50" i="15" s="1"/>
  <c r="E50" i="49"/>
  <c r="F50" i="49" s="1"/>
  <c r="F50" i="50" s="1"/>
  <c r="C21" i="55"/>
  <c r="D58" i="56"/>
  <c r="E58" i="56" s="1"/>
  <c r="D61" i="55"/>
  <c r="C6" i="50"/>
  <c r="E6" i="50" s="1"/>
  <c r="K6" i="50" s="1"/>
  <c r="E6" i="49"/>
  <c r="K6" i="49" s="1"/>
  <c r="J6" i="49" s="1"/>
  <c r="D56" i="52"/>
  <c r="D61" i="52" s="1"/>
  <c r="E56" i="51"/>
  <c r="F56" i="51" s="1"/>
  <c r="F56" i="52" s="1"/>
  <c r="C5" i="52"/>
  <c r="C11" i="51"/>
  <c r="D26" i="54"/>
  <c r="D31" i="53"/>
  <c r="E26" i="53"/>
  <c r="K26" i="53" s="1"/>
  <c r="J26" i="53" s="1"/>
  <c r="D6" i="48"/>
  <c r="E6" i="48" s="1"/>
  <c r="K6" i="48" s="1"/>
  <c r="J6" i="48" s="1"/>
  <c r="D11" i="15"/>
  <c r="D31" i="55"/>
  <c r="D28" i="56"/>
  <c r="E28" i="56" s="1"/>
  <c r="K28" i="56" s="1"/>
  <c r="J28" i="56" s="1"/>
  <c r="E28" i="55"/>
  <c r="H28" i="55" s="1"/>
  <c r="D39" i="50"/>
  <c r="E39" i="50" s="1"/>
  <c r="K39" i="50" s="1"/>
  <c r="J39" i="50" s="1"/>
  <c r="E39" i="49"/>
  <c r="D7" i="54"/>
  <c r="E7" i="54" s="1"/>
  <c r="K7" i="54" s="1"/>
  <c r="J7" i="54" s="1"/>
  <c r="D11" i="53"/>
  <c r="D20" i="52"/>
  <c r="E20" i="52" s="1"/>
  <c r="K20" i="52" s="1"/>
  <c r="J20" i="52" s="1"/>
  <c r="E20" i="51"/>
  <c r="H20" i="51" s="1"/>
  <c r="D15" i="54"/>
  <c r="E15" i="54" s="1"/>
  <c r="K15" i="54" s="1"/>
  <c r="J15" i="54" s="1"/>
  <c r="E15" i="53"/>
  <c r="F15" i="53" s="1"/>
  <c r="F15" i="54" s="1"/>
  <c r="D21" i="53"/>
  <c r="C10" i="54"/>
  <c r="E10" i="54" s="1"/>
  <c r="K10" i="54" s="1"/>
  <c r="J10" i="54" s="1"/>
  <c r="E10" i="53"/>
  <c r="F10" i="53" s="1"/>
  <c r="F10" i="54" s="1"/>
  <c r="H25" i="51"/>
  <c r="E30" i="53"/>
  <c r="K30" i="53" s="1"/>
  <c r="J30" i="53" s="1"/>
  <c r="D31" i="51"/>
  <c r="D8" i="48"/>
  <c r="E8" i="48" s="1"/>
  <c r="K8" i="48" s="1"/>
  <c r="J8" i="48" s="1"/>
  <c r="E47" i="53"/>
  <c r="K47" i="53" s="1"/>
  <c r="J47" i="53" s="1"/>
  <c r="D61" i="51"/>
  <c r="D11" i="51"/>
  <c r="D17" i="50"/>
  <c r="E17" i="50" s="1"/>
  <c r="K17" i="50" s="1"/>
  <c r="J17" i="50" s="1"/>
  <c r="E17" i="49"/>
  <c r="H17" i="49" s="1"/>
  <c r="D21" i="49"/>
  <c r="C16" i="54"/>
  <c r="C21" i="53"/>
  <c r="D37" i="54"/>
  <c r="E37" i="54" s="1"/>
  <c r="K37" i="54" s="1"/>
  <c r="J37" i="54" s="1"/>
  <c r="D41" i="53"/>
  <c r="E37" i="53"/>
  <c r="F37" i="53" s="1"/>
  <c r="F37" i="54" s="1"/>
  <c r="D51" i="55"/>
  <c r="E40" i="50"/>
  <c r="K40" i="50" s="1"/>
  <c r="J40" i="50" s="1"/>
  <c r="D48" i="52"/>
  <c r="E48" i="52" s="1"/>
  <c r="E48" i="51"/>
  <c r="F48" i="51" s="1"/>
  <c r="F48" i="52" s="1"/>
  <c r="D46" i="52"/>
  <c r="E46" i="52" s="1"/>
  <c r="E46" i="51"/>
  <c r="D45" i="56"/>
  <c r="E45" i="56" s="1"/>
  <c r="E20" i="54"/>
  <c r="K20" i="54" s="1"/>
  <c r="J20" i="54" s="1"/>
  <c r="E55" i="51"/>
  <c r="K55" i="51" s="1"/>
  <c r="J55" i="51" s="1"/>
  <c r="E38" i="53"/>
  <c r="E30" i="49"/>
  <c r="D5" i="52"/>
  <c r="E5" i="51"/>
  <c r="D9" i="48"/>
  <c r="E9" i="48" s="1"/>
  <c r="K9" i="48" s="1"/>
  <c r="E9" i="15"/>
  <c r="H9" i="15" s="1"/>
  <c r="D57" i="54"/>
  <c r="E57" i="54" s="1"/>
  <c r="K57" i="54" s="1"/>
  <c r="J57" i="54" s="1"/>
  <c r="E57" i="53"/>
  <c r="E47" i="54"/>
  <c r="D58" i="50"/>
  <c r="E58" i="49"/>
  <c r="D30" i="56"/>
  <c r="E30" i="56" s="1"/>
  <c r="K30" i="56" s="1"/>
  <c r="J30" i="56" s="1"/>
  <c r="E30" i="55"/>
  <c r="D48" i="56"/>
  <c r="E48" i="55"/>
  <c r="D48" i="50"/>
  <c r="E48" i="50" s="1"/>
  <c r="H48" i="50" s="1"/>
  <c r="E48" i="49"/>
  <c r="D19" i="54"/>
  <c r="E19" i="54" s="1"/>
  <c r="K19" i="54" s="1"/>
  <c r="J19" i="54" s="1"/>
  <c r="E19" i="53"/>
  <c r="E49" i="50"/>
  <c r="D55" i="56"/>
  <c r="E55" i="55"/>
  <c r="D15" i="50"/>
  <c r="E15" i="50" s="1"/>
  <c r="K15" i="50" s="1"/>
  <c r="J15" i="50" s="1"/>
  <c r="E15" i="49"/>
  <c r="E35" i="56"/>
  <c r="K35" i="56" s="1"/>
  <c r="J35" i="56" s="1"/>
  <c r="C41" i="52"/>
  <c r="E18" i="50"/>
  <c r="K18" i="50" s="1"/>
  <c r="J18" i="50" s="1"/>
  <c r="C35" i="48"/>
  <c r="C41" i="15"/>
  <c r="E46" i="15"/>
  <c r="F46" i="15" s="1"/>
  <c r="C41" i="54"/>
  <c r="D29" i="54"/>
  <c r="E29" i="54" s="1"/>
  <c r="K29" i="54" s="1"/>
  <c r="J29" i="54" s="1"/>
  <c r="E29" i="53"/>
  <c r="D38" i="50"/>
  <c r="E38" i="50" s="1"/>
  <c r="K38" i="50" s="1"/>
  <c r="J38" i="50" s="1"/>
  <c r="E38" i="49"/>
  <c r="D37" i="56"/>
  <c r="E37" i="56" s="1"/>
  <c r="K37" i="56" s="1"/>
  <c r="J37" i="56" s="1"/>
  <c r="E37" i="55"/>
  <c r="K37" i="55" s="1"/>
  <c r="D39" i="52"/>
  <c r="E39" i="52" s="1"/>
  <c r="K39" i="52" s="1"/>
  <c r="J39" i="52" s="1"/>
  <c r="E39" i="51"/>
  <c r="H39" i="51" s="1"/>
  <c r="D58" i="54"/>
  <c r="E58" i="54" s="1"/>
  <c r="E58" i="53"/>
  <c r="E59" i="50"/>
  <c r="D55" i="50"/>
  <c r="D61" i="49"/>
  <c r="D5" i="50"/>
  <c r="E5" i="50" s="1"/>
  <c r="K5" i="50" s="1"/>
  <c r="J5" i="50" s="1"/>
  <c r="E5" i="49"/>
  <c r="E17" i="48"/>
  <c r="K17" i="48" s="1"/>
  <c r="J17" i="48" s="1"/>
  <c r="D15" i="48"/>
  <c r="E15" i="48" s="1"/>
  <c r="K15" i="48" s="1"/>
  <c r="J15" i="48" s="1"/>
  <c r="E15" i="15"/>
  <c r="E15" i="56"/>
  <c r="K15" i="56" s="1"/>
  <c r="D8" i="52"/>
  <c r="E8" i="52" s="1"/>
  <c r="K8" i="52" s="1"/>
  <c r="J8" i="52" s="1"/>
  <c r="E8" i="51"/>
  <c r="E26" i="52"/>
  <c r="K26" i="52" s="1"/>
  <c r="J26" i="52" s="1"/>
  <c r="E18" i="56"/>
  <c r="K18" i="56" s="1"/>
  <c r="J18" i="56" s="1"/>
  <c r="D19" i="56"/>
  <c r="E19" i="56" s="1"/>
  <c r="K19" i="56" s="1"/>
  <c r="J19" i="56" s="1"/>
  <c r="E19" i="55"/>
  <c r="D35" i="48"/>
  <c r="E35" i="15"/>
  <c r="D41" i="15"/>
  <c r="C11" i="48"/>
  <c r="C31" i="50"/>
  <c r="D8" i="54"/>
  <c r="E8" i="54" s="1"/>
  <c r="K8" i="54" s="1"/>
  <c r="J8" i="54" s="1"/>
  <c r="E8" i="53"/>
  <c r="D7" i="56"/>
  <c r="E7" i="56" s="1"/>
  <c r="K7" i="56" s="1"/>
  <c r="J7" i="56" s="1"/>
  <c r="E7" i="55"/>
  <c r="D56" i="54"/>
  <c r="E56" i="53"/>
  <c r="D17" i="54"/>
  <c r="E17" i="54" s="1"/>
  <c r="K17" i="54" s="1"/>
  <c r="J17" i="54" s="1"/>
  <c r="E17" i="53"/>
  <c r="D35" i="54"/>
  <c r="E35" i="54" s="1"/>
  <c r="K35" i="54" s="1"/>
  <c r="J35" i="54" s="1"/>
  <c r="E35" i="53"/>
  <c r="D50" i="54"/>
  <c r="E50" i="54" s="1"/>
  <c r="E50" i="53"/>
  <c r="E20" i="53"/>
  <c r="C45" i="50"/>
  <c r="C51" i="49"/>
  <c r="D20" i="50"/>
  <c r="E20" i="50" s="1"/>
  <c r="K20" i="50" s="1"/>
  <c r="J20" i="50" s="1"/>
  <c r="E20" i="49"/>
  <c r="D37" i="48"/>
  <c r="E37" i="48" s="1"/>
  <c r="K37" i="48" s="1"/>
  <c r="J37" i="48" s="1"/>
  <c r="E37" i="15"/>
  <c r="D40" i="54"/>
  <c r="E40" i="54" s="1"/>
  <c r="K40" i="54" s="1"/>
  <c r="J40" i="54" s="1"/>
  <c r="E40" i="53"/>
  <c r="D35" i="50"/>
  <c r="E35" i="50" s="1"/>
  <c r="K35" i="50" s="1"/>
  <c r="J35" i="50" s="1"/>
  <c r="D41" i="49"/>
  <c r="E47" i="52"/>
  <c r="D57" i="56"/>
  <c r="E57" i="56" s="1"/>
  <c r="E57" i="55"/>
  <c r="E57" i="52"/>
  <c r="E9" i="52"/>
  <c r="K9" i="52" s="1"/>
  <c r="J9" i="52" s="1"/>
  <c r="D46" i="56"/>
  <c r="E46" i="55"/>
  <c r="K58" i="55"/>
  <c r="J58" i="55" s="1"/>
  <c r="H58" i="55"/>
  <c r="I58" i="55" s="1"/>
  <c r="D61" i="48"/>
  <c r="E57" i="48"/>
  <c r="H57" i="48" s="1"/>
  <c r="E60" i="54"/>
  <c r="K60" i="54" s="1"/>
  <c r="J60" i="54" s="1"/>
  <c r="H48" i="54"/>
  <c r="K48" i="54"/>
  <c r="J48" i="54" s="1"/>
  <c r="E60" i="52"/>
  <c r="K60" i="52" s="1"/>
  <c r="J60" i="52" s="1"/>
  <c r="E20" i="48"/>
  <c r="K20" i="48" s="1"/>
  <c r="J20" i="48" s="1"/>
  <c r="C21" i="48"/>
  <c r="H50" i="50"/>
  <c r="E18" i="48"/>
  <c r="K18" i="48" s="1"/>
  <c r="J18" i="48" s="1"/>
  <c r="H45" i="49"/>
  <c r="F45" i="49"/>
  <c r="F45" i="50" s="1"/>
  <c r="K45" i="49"/>
  <c r="J45" i="49" s="1"/>
  <c r="F6" i="55"/>
  <c r="F6" i="56" s="1"/>
  <c r="E45" i="48"/>
  <c r="H45" i="48" s="1"/>
  <c r="E50" i="52"/>
  <c r="H50" i="52" s="1"/>
  <c r="E6" i="56"/>
  <c r="K6" i="56" s="1"/>
  <c r="J6" i="56" s="1"/>
  <c r="E39" i="48"/>
  <c r="K39" i="48" s="1"/>
  <c r="F18" i="53"/>
  <c r="F18" i="54" s="1"/>
  <c r="K18" i="53"/>
  <c r="H18" i="53"/>
  <c r="C31" i="56"/>
  <c r="E25" i="56"/>
  <c r="K25" i="56" s="1"/>
  <c r="H48" i="15"/>
  <c r="E46" i="50"/>
  <c r="K46" i="50" s="1"/>
  <c r="J46" i="50" s="1"/>
  <c r="E36" i="50"/>
  <c r="K36" i="50" s="1"/>
  <c r="E27" i="50"/>
  <c r="K27" i="50" s="1"/>
  <c r="E30" i="52"/>
  <c r="K30" i="52" s="1"/>
  <c r="J30" i="52" s="1"/>
  <c r="E8" i="50"/>
  <c r="K8" i="50" s="1"/>
  <c r="J8" i="50" s="1"/>
  <c r="E36" i="54"/>
  <c r="K36" i="54" s="1"/>
  <c r="E15" i="52"/>
  <c r="K15" i="52" s="1"/>
  <c r="E55" i="52"/>
  <c r="K55" i="52" s="1"/>
  <c r="K25" i="51"/>
  <c r="J25" i="51" s="1"/>
  <c r="E56" i="50"/>
  <c r="H56" i="50" s="1"/>
  <c r="E49" i="48"/>
  <c r="K49" i="48" s="1"/>
  <c r="J49" i="48" s="1"/>
  <c r="E45" i="52"/>
  <c r="E5" i="56"/>
  <c r="K5" i="56" s="1"/>
  <c r="C11" i="56"/>
  <c r="E46" i="48"/>
  <c r="H46" i="48" s="1"/>
  <c r="E28" i="54"/>
  <c r="K28" i="54" s="1"/>
  <c r="X3" i="54"/>
  <c r="Y4" i="54"/>
  <c r="AV33" i="52"/>
  <c r="AW34" i="52"/>
  <c r="AU43" i="53"/>
  <c r="AV44" i="53"/>
  <c r="W13" i="54"/>
  <c r="X14" i="54"/>
  <c r="X54" i="50"/>
  <c r="W53" i="50"/>
  <c r="AU43" i="51"/>
  <c r="AV44" i="51"/>
  <c r="X54" i="54"/>
  <c r="W53" i="54"/>
  <c r="X24" i="49"/>
  <c r="W23" i="49"/>
  <c r="AU3" i="49"/>
  <c r="AV4" i="49"/>
  <c r="X4" i="48"/>
  <c r="W3" i="48"/>
  <c r="W43" i="53"/>
  <c r="X44" i="53"/>
  <c r="AU53" i="15"/>
  <c r="AV54" i="15"/>
  <c r="W23" i="48"/>
  <c r="X24" i="48"/>
  <c r="AW24" i="52"/>
  <c r="AV23" i="52"/>
  <c r="AU43" i="56"/>
  <c r="AV44" i="56"/>
  <c r="AW14" i="15"/>
  <c r="AV13" i="15"/>
  <c r="Y4" i="15"/>
  <c r="X3" i="15"/>
  <c r="AW34" i="51"/>
  <c r="AV33" i="51"/>
  <c r="AV4" i="52"/>
  <c r="AU3" i="52"/>
  <c r="AX13" i="54"/>
  <c r="AY14" i="54"/>
  <c r="AV44" i="50"/>
  <c r="AU43" i="50"/>
  <c r="AU13" i="55"/>
  <c r="AV14" i="55"/>
  <c r="X54" i="49"/>
  <c r="W53" i="49"/>
  <c r="AX54" i="56"/>
  <c r="AW53" i="56"/>
  <c r="X33" i="49"/>
  <c r="Y34" i="49"/>
  <c r="Y54" i="52"/>
  <c r="X53" i="52"/>
  <c r="AX23" i="48"/>
  <c r="AY24" i="48"/>
  <c r="Z24" i="51"/>
  <c r="Y23" i="51"/>
  <c r="X44" i="49"/>
  <c r="W43" i="49"/>
  <c r="AB13" i="50"/>
  <c r="AC14" i="50"/>
  <c r="Y4" i="51"/>
  <c r="X3" i="51"/>
  <c r="AA44" i="56"/>
  <c r="Z43" i="56"/>
  <c r="AU53" i="51"/>
  <c r="AV54" i="51"/>
  <c r="X24" i="52"/>
  <c r="W23" i="52"/>
  <c r="X33" i="52"/>
  <c r="Y34" i="52"/>
  <c r="AX14" i="50"/>
  <c r="AW13" i="50"/>
  <c r="X4" i="52"/>
  <c r="W3" i="52"/>
  <c r="X34" i="15"/>
  <c r="W33" i="15"/>
  <c r="Z54" i="15"/>
  <c r="Y53" i="15"/>
  <c r="AW14" i="56"/>
  <c r="AV13" i="56"/>
  <c r="X34" i="50"/>
  <c r="W33" i="50"/>
  <c r="X34" i="56"/>
  <c r="W33" i="56"/>
  <c r="AW44" i="48"/>
  <c r="AV43" i="48"/>
  <c r="AU33" i="54"/>
  <c r="AV34" i="54"/>
  <c r="AY44" i="55"/>
  <c r="AX43" i="55"/>
  <c r="Y43" i="51"/>
  <c r="Z44" i="51"/>
  <c r="X44" i="54"/>
  <c r="W43" i="54"/>
  <c r="AV54" i="50"/>
  <c r="AU53" i="50"/>
  <c r="AV4" i="54"/>
  <c r="AU3" i="54"/>
  <c r="Z14" i="55"/>
  <c r="Y13" i="55"/>
  <c r="AO54" i="14"/>
  <c r="AW23" i="50"/>
  <c r="AX24" i="50"/>
  <c r="AU33" i="15"/>
  <c r="AV34" i="15"/>
  <c r="X4" i="53"/>
  <c r="W3" i="53"/>
  <c r="AU53" i="52"/>
  <c r="AV54" i="52"/>
  <c r="AX34" i="53"/>
  <c r="AW33" i="53"/>
  <c r="AU23" i="56"/>
  <c r="AV24" i="56"/>
  <c r="Z54" i="48"/>
  <c r="Y53" i="48"/>
  <c r="AV53" i="54"/>
  <c r="AW54" i="54"/>
  <c r="AU33" i="49"/>
  <c r="AV34" i="49"/>
  <c r="X24" i="53"/>
  <c r="W23" i="53"/>
  <c r="AV43" i="52"/>
  <c r="AW44" i="52"/>
  <c r="AW14" i="53"/>
  <c r="AV13" i="53"/>
  <c r="AV4" i="50"/>
  <c r="AU3" i="50"/>
  <c r="X33" i="55"/>
  <c r="Y34" i="55"/>
  <c r="X3" i="56"/>
  <c r="Y4" i="56"/>
  <c r="Y24" i="15"/>
  <c r="X23" i="15"/>
  <c r="AV34" i="50"/>
  <c r="AU33" i="50"/>
  <c r="AU43" i="15"/>
  <c r="AV44" i="15"/>
  <c r="AX34" i="55"/>
  <c r="AW33" i="55"/>
  <c r="AW4" i="15"/>
  <c r="AV3" i="15"/>
  <c r="AU13" i="52"/>
  <c r="AV14" i="52"/>
  <c r="W13" i="56"/>
  <c r="X14" i="56"/>
  <c r="AV4" i="56"/>
  <c r="AU3" i="56"/>
  <c r="W13" i="49"/>
  <c r="X14" i="49"/>
  <c r="AX4" i="55"/>
  <c r="AW3" i="55"/>
  <c r="X24" i="54"/>
  <c r="W23" i="54"/>
  <c r="AU23" i="51"/>
  <c r="AV24" i="51"/>
  <c r="Y4" i="49"/>
  <c r="X3" i="49"/>
  <c r="Y44" i="48"/>
  <c r="X43" i="48"/>
  <c r="W53" i="56"/>
  <c r="X54" i="56"/>
  <c r="W43" i="15"/>
  <c r="X44" i="15"/>
  <c r="W43" i="52"/>
  <c r="X44" i="52"/>
  <c r="AW14" i="51"/>
  <c r="AV13" i="51"/>
  <c r="Y33" i="51"/>
  <c r="Z34" i="51"/>
  <c r="X54" i="55"/>
  <c r="W53" i="55"/>
  <c r="W13" i="52"/>
  <c r="X14" i="52"/>
  <c r="W33" i="54"/>
  <c r="X34" i="54"/>
  <c r="W13" i="51"/>
  <c r="X14" i="51"/>
  <c r="X14" i="15"/>
  <c r="W13" i="15"/>
  <c r="AV4" i="48"/>
  <c r="AU3" i="48"/>
  <c r="AV54" i="49"/>
  <c r="AU53" i="49"/>
  <c r="Z24" i="56"/>
  <c r="Y23" i="56"/>
  <c r="AV4" i="51"/>
  <c r="AU3" i="51"/>
  <c r="X53" i="51"/>
  <c r="Y54" i="51"/>
  <c r="X53" i="53"/>
  <c r="Y54" i="53"/>
  <c r="AN46" i="14"/>
  <c r="AW54" i="53"/>
  <c r="AV53" i="53"/>
  <c r="AX24" i="55"/>
  <c r="AW23" i="55"/>
  <c r="X3" i="55"/>
  <c r="Y4" i="55"/>
  <c r="AW54" i="55"/>
  <c r="AV53" i="55"/>
  <c r="AV23" i="15"/>
  <c r="AW24" i="15"/>
  <c r="AU33" i="56"/>
  <c r="AV34" i="56"/>
  <c r="AU33" i="48"/>
  <c r="AV34" i="48"/>
  <c r="X44" i="50"/>
  <c r="W43" i="50"/>
  <c r="AT14" i="14"/>
  <c r="AS13" i="14"/>
  <c r="AV24" i="49"/>
  <c r="AU23" i="49"/>
  <c r="AV24" i="54"/>
  <c r="AU23" i="54"/>
  <c r="AU13" i="48"/>
  <c r="AV14" i="48"/>
  <c r="X34" i="48"/>
  <c r="W33" i="48"/>
  <c r="X44" i="55"/>
  <c r="W43" i="55"/>
  <c r="AU53" i="48"/>
  <c r="AV54" i="48"/>
  <c r="AT2" i="14"/>
  <c r="Y3" i="50"/>
  <c r="Z4" i="50"/>
  <c r="AW24" i="53"/>
  <c r="AV23" i="53"/>
  <c r="AV44" i="49"/>
  <c r="AU43" i="49"/>
  <c r="X24" i="50"/>
  <c r="W23" i="50"/>
  <c r="W13" i="53"/>
  <c r="X14" i="53"/>
  <c r="AV13" i="49"/>
  <c r="AW14" i="49"/>
  <c r="AU43" i="54"/>
  <c r="AV44" i="54"/>
  <c r="X24" i="55"/>
  <c r="W23" i="55"/>
  <c r="X34" i="53"/>
  <c r="W33" i="53"/>
  <c r="W13" i="48"/>
  <c r="X14" i="48"/>
  <c r="AP7" i="14"/>
  <c r="T7" i="14"/>
  <c r="Y14" i="14"/>
  <c r="X13" i="14"/>
  <c r="AO11" i="14"/>
  <c r="AO45" i="14" s="1"/>
  <c r="AO41" i="14"/>
  <c r="AP10" i="14"/>
  <c r="AP44" i="14" s="1"/>
  <c r="T10" i="14"/>
  <c r="AP26" i="14"/>
  <c r="T26" i="14"/>
  <c r="AP32" i="14"/>
  <c r="AP50" i="14" s="1"/>
  <c r="T32" i="14"/>
  <c r="AP24" i="14"/>
  <c r="T24" i="14"/>
  <c r="AP17" i="14"/>
  <c r="T17" i="14"/>
  <c r="AP18" i="14"/>
  <c r="T18" i="14"/>
  <c r="AP33" i="14"/>
  <c r="AP51" i="14" s="1"/>
  <c r="T33" i="14"/>
  <c r="AP25" i="14"/>
  <c r="T25" i="14"/>
  <c r="AV29" i="14"/>
  <c r="AW30" i="14"/>
  <c r="AP9" i="14"/>
  <c r="AP43" i="14" s="1"/>
  <c r="T9" i="14"/>
  <c r="AP23" i="14"/>
  <c r="AP27" i="14" s="1"/>
  <c r="T23" i="14"/>
  <c r="AQ31" i="14"/>
  <c r="U31" i="14"/>
  <c r="AQ34" i="14"/>
  <c r="AQ52" i="14" s="1"/>
  <c r="U34" i="14"/>
  <c r="AP8" i="14"/>
  <c r="AP42" i="14" s="1"/>
  <c r="T8" i="14"/>
  <c r="AP16" i="14"/>
  <c r="T16" i="14"/>
  <c r="AT3" i="14"/>
  <c r="AU6" i="14"/>
  <c r="AT5" i="14"/>
  <c r="AP15" i="14"/>
  <c r="AP19" i="14" s="1"/>
  <c r="T15" i="14"/>
  <c r="AP49" i="14"/>
  <c r="AP35" i="14"/>
  <c r="AP53" i="14" s="1"/>
  <c r="V29" i="14"/>
  <c r="W30" i="14"/>
  <c r="X21" i="14"/>
  <c r="Y22" i="14"/>
  <c r="W5" i="14"/>
  <c r="X6" i="14"/>
  <c r="AU21" i="14"/>
  <c r="AV22" i="14"/>
  <c r="B24" i="10"/>
  <c r="F22" i="10"/>
  <c r="E22" i="10"/>
  <c r="I22" i="10"/>
  <c r="H22" i="10"/>
  <c r="D22" i="10"/>
  <c r="J22" i="10"/>
  <c r="H40" i="50"/>
  <c r="H6" i="54"/>
  <c r="H16" i="54"/>
  <c r="H17" i="52"/>
  <c r="H5" i="48"/>
  <c r="H35" i="50"/>
  <c r="H27" i="52"/>
  <c r="H5" i="56"/>
  <c r="H25" i="52"/>
  <c r="H36" i="48"/>
  <c r="H27" i="48"/>
  <c r="H37" i="52"/>
  <c r="H17" i="50"/>
  <c r="H25" i="56"/>
  <c r="F16" i="53" l="1"/>
  <c r="F16" i="54" s="1"/>
  <c r="K16" i="53"/>
  <c r="F49" i="51"/>
  <c r="F49" i="52" s="1"/>
  <c r="K6" i="55"/>
  <c r="J6" i="55" s="1"/>
  <c r="H49" i="51"/>
  <c r="I49" i="51" s="1"/>
  <c r="L49" i="51" s="1"/>
  <c r="M49" i="51" s="1"/>
  <c r="N49" i="51" s="1"/>
  <c r="O49" i="51" s="1"/>
  <c r="P49" i="51" s="1"/>
  <c r="Q49" i="51" s="1"/>
  <c r="R49" i="51" s="1"/>
  <c r="S49" i="51" s="1"/>
  <c r="T49" i="51" s="1"/>
  <c r="K46" i="53"/>
  <c r="J46" i="53" s="1"/>
  <c r="I16" i="54"/>
  <c r="K55" i="48"/>
  <c r="J55" i="48" s="1"/>
  <c r="I55" i="48"/>
  <c r="H5" i="53"/>
  <c r="I5" i="53" s="1"/>
  <c r="K5" i="53"/>
  <c r="J5" i="53" s="1"/>
  <c r="K7" i="51"/>
  <c r="J7" i="51" s="1"/>
  <c r="F7" i="51"/>
  <c r="F7" i="52" s="1"/>
  <c r="F46" i="53"/>
  <c r="F46" i="54" s="1"/>
  <c r="I46" i="54" s="1"/>
  <c r="E48" i="48"/>
  <c r="K48" i="48" s="1"/>
  <c r="J48" i="48" s="1"/>
  <c r="H27" i="55"/>
  <c r="F27" i="55"/>
  <c r="F27" i="56" s="1"/>
  <c r="K10" i="49"/>
  <c r="J10" i="49" s="1"/>
  <c r="K37" i="51"/>
  <c r="J37" i="51" s="1"/>
  <c r="H10" i="49"/>
  <c r="F18" i="15"/>
  <c r="F18" i="48" s="1"/>
  <c r="H36" i="51"/>
  <c r="I36" i="51" s="1"/>
  <c r="F37" i="51"/>
  <c r="F37" i="52" s="1"/>
  <c r="I37" i="52" s="1"/>
  <c r="L37" i="52" s="1"/>
  <c r="M37" i="52" s="1"/>
  <c r="N37" i="52" s="1"/>
  <c r="O37" i="52" s="1"/>
  <c r="P37" i="52" s="1"/>
  <c r="Q37" i="52" s="1"/>
  <c r="R37" i="52" s="1"/>
  <c r="S37" i="52" s="1"/>
  <c r="T37" i="52" s="1"/>
  <c r="U37" i="52" s="1"/>
  <c r="V37" i="52" s="1"/>
  <c r="F26" i="15"/>
  <c r="F26" i="48" s="1"/>
  <c r="H26" i="15"/>
  <c r="K39" i="15"/>
  <c r="J39" i="15" s="1"/>
  <c r="K29" i="55"/>
  <c r="J29" i="55" s="1"/>
  <c r="H56" i="56"/>
  <c r="F55" i="49"/>
  <c r="F55" i="50" s="1"/>
  <c r="F28" i="15"/>
  <c r="F28" i="48" s="1"/>
  <c r="F19" i="51"/>
  <c r="F19" i="52" s="1"/>
  <c r="K56" i="55"/>
  <c r="J56" i="55" s="1"/>
  <c r="F6" i="53"/>
  <c r="I6" i="53" s="1"/>
  <c r="K5" i="15"/>
  <c r="J5" i="15" s="1"/>
  <c r="H7" i="15"/>
  <c r="F25" i="53"/>
  <c r="F25" i="54" s="1"/>
  <c r="F57" i="49"/>
  <c r="F57" i="50" s="1"/>
  <c r="I57" i="50" s="1"/>
  <c r="L57" i="50" s="1"/>
  <c r="M57" i="50" s="1"/>
  <c r="N57" i="50" s="1"/>
  <c r="O57" i="50" s="1"/>
  <c r="P57" i="50" s="1"/>
  <c r="Q57" i="50" s="1"/>
  <c r="R57" i="50" s="1"/>
  <c r="S57" i="50" s="1"/>
  <c r="T57" i="50" s="1"/>
  <c r="U57" i="50" s="1"/>
  <c r="V57" i="50" s="1"/>
  <c r="F7" i="15"/>
  <c r="F7" i="48" s="1"/>
  <c r="K46" i="49"/>
  <c r="J46" i="49" s="1"/>
  <c r="H50" i="55"/>
  <c r="I50" i="55" s="1"/>
  <c r="H47" i="51"/>
  <c r="K50" i="55"/>
  <c r="J50" i="55" s="1"/>
  <c r="H48" i="53"/>
  <c r="I48" i="53" s="1"/>
  <c r="F5" i="15"/>
  <c r="F5" i="48" s="1"/>
  <c r="I5" i="48" s="1"/>
  <c r="L5" i="48" s="1"/>
  <c r="K25" i="53"/>
  <c r="J25" i="53" s="1"/>
  <c r="H57" i="49"/>
  <c r="K6" i="53"/>
  <c r="J6" i="53" s="1"/>
  <c r="H59" i="52"/>
  <c r="H28" i="15"/>
  <c r="K16" i="15"/>
  <c r="J16" i="15" s="1"/>
  <c r="H39" i="53"/>
  <c r="H39" i="54" s="1"/>
  <c r="I56" i="56"/>
  <c r="L56" i="56" s="1"/>
  <c r="M56" i="56" s="1"/>
  <c r="N56" i="56" s="1"/>
  <c r="O56" i="56" s="1"/>
  <c r="P56" i="56" s="1"/>
  <c r="Q56" i="56" s="1"/>
  <c r="R56" i="56" s="1"/>
  <c r="S56" i="56" s="1"/>
  <c r="T56" i="56" s="1"/>
  <c r="K36" i="49"/>
  <c r="J36" i="49" s="1"/>
  <c r="K19" i="51"/>
  <c r="J19" i="51" s="1"/>
  <c r="H56" i="55"/>
  <c r="I56" i="55" s="1"/>
  <c r="F39" i="53"/>
  <c r="F39" i="54" s="1"/>
  <c r="F30" i="53"/>
  <c r="F30" i="54" s="1"/>
  <c r="F28" i="53"/>
  <c r="F28" i="54" s="1"/>
  <c r="H55" i="49"/>
  <c r="H55" i="51"/>
  <c r="H17" i="15"/>
  <c r="I17" i="15" s="1"/>
  <c r="K8" i="15"/>
  <c r="J8" i="15" s="1"/>
  <c r="K45" i="15"/>
  <c r="J45" i="15" s="1"/>
  <c r="F45" i="15"/>
  <c r="F45" i="48" s="1"/>
  <c r="I45" i="48" s="1"/>
  <c r="H9" i="53"/>
  <c r="I9" i="53" s="1"/>
  <c r="K17" i="15"/>
  <c r="J17" i="15" s="1"/>
  <c r="K47" i="15"/>
  <c r="J47" i="15" s="1"/>
  <c r="F45" i="51"/>
  <c r="I45" i="51" s="1"/>
  <c r="K9" i="53"/>
  <c r="J9" i="53" s="1"/>
  <c r="F29" i="51"/>
  <c r="F29" i="52" s="1"/>
  <c r="H29" i="51"/>
  <c r="H29" i="52" s="1"/>
  <c r="K40" i="49"/>
  <c r="J40" i="49" s="1"/>
  <c r="K36" i="51"/>
  <c r="J36" i="51" s="1"/>
  <c r="K56" i="48"/>
  <c r="J56" i="48" s="1"/>
  <c r="K15" i="51"/>
  <c r="J15" i="51" s="1"/>
  <c r="F9" i="55"/>
  <c r="F9" i="56" s="1"/>
  <c r="F29" i="55"/>
  <c r="F29" i="56" s="1"/>
  <c r="H26" i="51"/>
  <c r="I26" i="51" s="1"/>
  <c r="K26" i="51"/>
  <c r="J26" i="51" s="1"/>
  <c r="F28" i="51"/>
  <c r="F28" i="52" s="1"/>
  <c r="K18" i="15"/>
  <c r="J18" i="15" s="1"/>
  <c r="F40" i="49"/>
  <c r="I40" i="49" s="1"/>
  <c r="H15" i="51"/>
  <c r="I15" i="51" s="1"/>
  <c r="L15" i="51" s="1"/>
  <c r="M15" i="51" s="1"/>
  <c r="N15" i="51" s="1"/>
  <c r="O15" i="51" s="1"/>
  <c r="P15" i="51" s="1"/>
  <c r="H9" i="55"/>
  <c r="H9" i="56" s="1"/>
  <c r="I9" i="56" s="1"/>
  <c r="L9" i="56" s="1"/>
  <c r="M9" i="56" s="1"/>
  <c r="N9" i="56" s="1"/>
  <c r="O9" i="56" s="1"/>
  <c r="P9" i="56" s="1"/>
  <c r="Q9" i="56" s="1"/>
  <c r="R9" i="56" s="1"/>
  <c r="S9" i="56" s="1"/>
  <c r="T9" i="56" s="1"/>
  <c r="K38" i="55"/>
  <c r="J38" i="55" s="1"/>
  <c r="F38" i="55"/>
  <c r="F38" i="56" s="1"/>
  <c r="F47" i="49"/>
  <c r="F47" i="50" s="1"/>
  <c r="K19" i="49"/>
  <c r="J19" i="49" s="1"/>
  <c r="H19" i="49"/>
  <c r="I19" i="49" s="1"/>
  <c r="K47" i="49"/>
  <c r="J47" i="49" s="1"/>
  <c r="K60" i="48"/>
  <c r="J60" i="48" s="1"/>
  <c r="C11" i="52"/>
  <c r="F36" i="15"/>
  <c r="I36" i="15" s="1"/>
  <c r="K28" i="53"/>
  <c r="J28" i="53" s="1"/>
  <c r="F45" i="53"/>
  <c r="I45" i="53" s="1"/>
  <c r="H59" i="54"/>
  <c r="I59" i="54" s="1"/>
  <c r="L59" i="54" s="1"/>
  <c r="M59" i="54" s="1"/>
  <c r="N59" i="54" s="1"/>
  <c r="O59" i="54" s="1"/>
  <c r="P59" i="54" s="1"/>
  <c r="Q59" i="54" s="1"/>
  <c r="R59" i="54" s="1"/>
  <c r="S59" i="54" s="1"/>
  <c r="T59" i="54" s="1"/>
  <c r="H55" i="15"/>
  <c r="I55" i="15" s="1"/>
  <c r="H36" i="49"/>
  <c r="I36" i="49" s="1"/>
  <c r="H45" i="55"/>
  <c r="F39" i="15"/>
  <c r="F39" i="48" s="1"/>
  <c r="K60" i="51"/>
  <c r="J60" i="51" s="1"/>
  <c r="H56" i="49"/>
  <c r="F35" i="49"/>
  <c r="F35" i="50" s="1"/>
  <c r="I35" i="50" s="1"/>
  <c r="L35" i="50" s="1"/>
  <c r="M35" i="50" s="1"/>
  <c r="N35" i="50" s="1"/>
  <c r="O35" i="50" s="1"/>
  <c r="P35" i="50" s="1"/>
  <c r="Q35" i="50" s="1"/>
  <c r="K59" i="53"/>
  <c r="J59" i="53" s="1"/>
  <c r="H36" i="55"/>
  <c r="K45" i="51"/>
  <c r="J45" i="51" s="1"/>
  <c r="K28" i="55"/>
  <c r="J28" i="55" s="1"/>
  <c r="F6" i="49"/>
  <c r="F6" i="50" s="1"/>
  <c r="K30" i="15"/>
  <c r="J30" i="15" s="1"/>
  <c r="F28" i="55"/>
  <c r="F28" i="56" s="1"/>
  <c r="F49" i="15"/>
  <c r="F49" i="48" s="1"/>
  <c r="H30" i="15"/>
  <c r="I30" i="15" s="1"/>
  <c r="K55" i="15"/>
  <c r="J55" i="15" s="1"/>
  <c r="H16" i="15"/>
  <c r="I16" i="15" s="1"/>
  <c r="H15" i="55"/>
  <c r="H35" i="55"/>
  <c r="F35" i="55"/>
  <c r="F35" i="56" s="1"/>
  <c r="L6" i="51"/>
  <c r="M6" i="51" s="1"/>
  <c r="N6" i="51" s="1"/>
  <c r="O6" i="51" s="1"/>
  <c r="P6" i="51" s="1"/>
  <c r="Q6" i="51" s="1"/>
  <c r="R6" i="51" s="1"/>
  <c r="H36" i="53"/>
  <c r="F39" i="55"/>
  <c r="F39" i="56" s="1"/>
  <c r="I39" i="56" s="1"/>
  <c r="L39" i="56" s="1"/>
  <c r="M39" i="56" s="1"/>
  <c r="N39" i="56" s="1"/>
  <c r="O39" i="56" s="1"/>
  <c r="P39" i="56" s="1"/>
  <c r="Q39" i="56" s="1"/>
  <c r="R39" i="56" s="1"/>
  <c r="S39" i="56" s="1"/>
  <c r="T39" i="56" s="1"/>
  <c r="F8" i="55"/>
  <c r="F8" i="56" s="1"/>
  <c r="F7" i="53"/>
  <c r="F7" i="54" s="1"/>
  <c r="K16" i="49"/>
  <c r="J16" i="49" s="1"/>
  <c r="F18" i="51"/>
  <c r="F18" i="52" s="1"/>
  <c r="H27" i="53"/>
  <c r="I27" i="53" s="1"/>
  <c r="F36" i="55"/>
  <c r="F36" i="56" s="1"/>
  <c r="K59" i="15"/>
  <c r="J59" i="15" s="1"/>
  <c r="K59" i="55"/>
  <c r="J59" i="55" s="1"/>
  <c r="H37" i="53"/>
  <c r="I37" i="53" s="1"/>
  <c r="K18" i="49"/>
  <c r="J18" i="49" s="1"/>
  <c r="F27" i="15"/>
  <c r="F27" i="48" s="1"/>
  <c r="I27" i="48" s="1"/>
  <c r="L27" i="48" s="1"/>
  <c r="M27" i="48" s="1"/>
  <c r="N27" i="48" s="1"/>
  <c r="O27" i="48" s="1"/>
  <c r="P27" i="48" s="1"/>
  <c r="Q27" i="48" s="1"/>
  <c r="K27" i="53"/>
  <c r="J27" i="53" s="1"/>
  <c r="F25" i="49"/>
  <c r="F25" i="50" s="1"/>
  <c r="K49" i="54"/>
  <c r="J49" i="54" s="1"/>
  <c r="H59" i="53"/>
  <c r="I59" i="53" s="1"/>
  <c r="F59" i="15"/>
  <c r="F59" i="48" s="1"/>
  <c r="F18" i="49"/>
  <c r="F18" i="50" s="1"/>
  <c r="K27" i="15"/>
  <c r="J27" i="15" s="1"/>
  <c r="H16" i="49"/>
  <c r="I16" i="49" s="1"/>
  <c r="H8" i="55"/>
  <c r="K39" i="55"/>
  <c r="J39" i="55" s="1"/>
  <c r="F6" i="15"/>
  <c r="F6" i="48" s="1"/>
  <c r="D51" i="50"/>
  <c r="H47" i="15"/>
  <c r="I47" i="15" s="1"/>
  <c r="F46" i="49"/>
  <c r="F46" i="50" s="1"/>
  <c r="H40" i="55"/>
  <c r="H10" i="15"/>
  <c r="I10" i="15" s="1"/>
  <c r="E45" i="50"/>
  <c r="K45" i="50" s="1"/>
  <c r="J45" i="50" s="1"/>
  <c r="D11" i="52"/>
  <c r="H35" i="51"/>
  <c r="K35" i="51"/>
  <c r="F55" i="51"/>
  <c r="F55" i="52" s="1"/>
  <c r="F40" i="55"/>
  <c r="F40" i="56" s="1"/>
  <c r="F47" i="51"/>
  <c r="F47" i="52" s="1"/>
  <c r="K10" i="53"/>
  <c r="J10" i="53" s="1"/>
  <c r="H49" i="56"/>
  <c r="K37" i="53"/>
  <c r="J37" i="53" s="1"/>
  <c r="I60" i="48"/>
  <c r="I48" i="15"/>
  <c r="L48" i="15" s="1"/>
  <c r="M48" i="15" s="1"/>
  <c r="N48" i="15" s="1"/>
  <c r="O48" i="15" s="1"/>
  <c r="P48" i="15" s="1"/>
  <c r="Q48" i="15" s="1"/>
  <c r="R48" i="15" s="1"/>
  <c r="S48" i="15" s="1"/>
  <c r="T48" i="15" s="1"/>
  <c r="K16" i="55"/>
  <c r="J16" i="55" s="1"/>
  <c r="H7" i="53"/>
  <c r="K45" i="53"/>
  <c r="J45" i="53" s="1"/>
  <c r="K49" i="55"/>
  <c r="J49" i="55" s="1"/>
  <c r="K59" i="48"/>
  <c r="J59" i="48" s="1"/>
  <c r="H59" i="48"/>
  <c r="K50" i="56"/>
  <c r="J50" i="56" s="1"/>
  <c r="H50" i="56"/>
  <c r="I50" i="56" s="1"/>
  <c r="H30" i="53"/>
  <c r="H16" i="55"/>
  <c r="F15" i="55"/>
  <c r="F15" i="56" s="1"/>
  <c r="H58" i="48"/>
  <c r="I58" i="48" s="1"/>
  <c r="L58" i="48" s="1"/>
  <c r="M58" i="48" s="1"/>
  <c r="N58" i="48" s="1"/>
  <c r="O58" i="48" s="1"/>
  <c r="P58" i="48" s="1"/>
  <c r="Q58" i="48" s="1"/>
  <c r="R58" i="48" s="1"/>
  <c r="S58" i="48" s="1"/>
  <c r="T58" i="48" s="1"/>
  <c r="U58" i="48" s="1"/>
  <c r="V58" i="48" s="1"/>
  <c r="F57" i="15"/>
  <c r="F57" i="48" s="1"/>
  <c r="I57" i="48" s="1"/>
  <c r="F49" i="55"/>
  <c r="H10" i="53"/>
  <c r="I10" i="53" s="1"/>
  <c r="K25" i="49"/>
  <c r="J25" i="49" s="1"/>
  <c r="K59" i="49"/>
  <c r="J59" i="49" s="1"/>
  <c r="C31" i="52"/>
  <c r="K49" i="15"/>
  <c r="J49" i="15" s="1"/>
  <c r="F56" i="49"/>
  <c r="F45" i="55"/>
  <c r="K49" i="49"/>
  <c r="J49" i="49" s="1"/>
  <c r="K55" i="53"/>
  <c r="J55" i="53" s="1"/>
  <c r="K35" i="49"/>
  <c r="J35" i="49" s="1"/>
  <c r="H6" i="15"/>
  <c r="H20" i="55"/>
  <c r="K45" i="54"/>
  <c r="J45" i="54" s="1"/>
  <c r="F30" i="51"/>
  <c r="F30" i="52" s="1"/>
  <c r="K50" i="49"/>
  <c r="J50" i="49" s="1"/>
  <c r="F60" i="51"/>
  <c r="F60" i="52" s="1"/>
  <c r="F36" i="53"/>
  <c r="F36" i="54" s="1"/>
  <c r="K40" i="51"/>
  <c r="J40" i="51" s="1"/>
  <c r="H58" i="15"/>
  <c r="I58" i="15" s="1"/>
  <c r="H59" i="49"/>
  <c r="I59" i="49" s="1"/>
  <c r="F20" i="55"/>
  <c r="F20" i="56" s="1"/>
  <c r="H57" i="56"/>
  <c r="K30" i="51"/>
  <c r="J30" i="51" s="1"/>
  <c r="I50" i="50"/>
  <c r="L50" i="50" s="1"/>
  <c r="M50" i="50" s="1"/>
  <c r="N50" i="50" s="1"/>
  <c r="O50" i="50" s="1"/>
  <c r="P50" i="50" s="1"/>
  <c r="Q50" i="50" s="1"/>
  <c r="R50" i="50" s="1"/>
  <c r="S50" i="50" s="1"/>
  <c r="T50" i="50" s="1"/>
  <c r="U50" i="50" s="1"/>
  <c r="V50" i="50" s="1"/>
  <c r="K58" i="15"/>
  <c r="J58" i="15" s="1"/>
  <c r="H26" i="53"/>
  <c r="F26" i="53"/>
  <c r="F26" i="54" s="1"/>
  <c r="H50" i="49"/>
  <c r="I50" i="49" s="1"/>
  <c r="H19" i="15"/>
  <c r="H19" i="48" s="1"/>
  <c r="H60" i="15"/>
  <c r="I60" i="15" s="1"/>
  <c r="K60" i="15"/>
  <c r="H58" i="52"/>
  <c r="D41" i="52"/>
  <c r="K10" i="15"/>
  <c r="J10" i="15" s="1"/>
  <c r="K57" i="15"/>
  <c r="J57" i="15" s="1"/>
  <c r="K60" i="49"/>
  <c r="H60" i="49"/>
  <c r="I60" i="49" s="1"/>
  <c r="K50" i="54"/>
  <c r="J50" i="54" s="1"/>
  <c r="F19" i="15"/>
  <c r="F19" i="48" s="1"/>
  <c r="K36" i="15"/>
  <c r="J36" i="15" s="1"/>
  <c r="K25" i="55"/>
  <c r="J25" i="55" s="1"/>
  <c r="D41" i="56"/>
  <c r="K58" i="54"/>
  <c r="J58" i="54" s="1"/>
  <c r="K9" i="49"/>
  <c r="J9" i="49" s="1"/>
  <c r="H25" i="15"/>
  <c r="J21" i="50"/>
  <c r="K16" i="51"/>
  <c r="J16" i="51" s="1"/>
  <c r="D21" i="52"/>
  <c r="K55" i="54"/>
  <c r="H58" i="56"/>
  <c r="I58" i="56" s="1"/>
  <c r="F20" i="15"/>
  <c r="F20" i="48" s="1"/>
  <c r="F9" i="49"/>
  <c r="F9" i="50" s="1"/>
  <c r="I9" i="50" s="1"/>
  <c r="L9" i="50" s="1"/>
  <c r="M9" i="50" s="1"/>
  <c r="N9" i="50" s="1"/>
  <c r="O9" i="50" s="1"/>
  <c r="P9" i="50" s="1"/>
  <c r="Q9" i="50" s="1"/>
  <c r="R9" i="50" s="1"/>
  <c r="S9" i="50" s="1"/>
  <c r="T9" i="50" s="1"/>
  <c r="K5" i="55"/>
  <c r="F8" i="49"/>
  <c r="F8" i="50" s="1"/>
  <c r="H16" i="51"/>
  <c r="I16" i="51" s="1"/>
  <c r="K50" i="51"/>
  <c r="J50" i="51" s="1"/>
  <c r="F60" i="55"/>
  <c r="F60" i="56" s="1"/>
  <c r="H48" i="52"/>
  <c r="I48" i="52" s="1"/>
  <c r="C41" i="48"/>
  <c r="F8" i="15"/>
  <c r="F8" i="48" s="1"/>
  <c r="H8" i="49"/>
  <c r="H20" i="15"/>
  <c r="H60" i="55"/>
  <c r="K60" i="53"/>
  <c r="J60" i="53" s="1"/>
  <c r="H37" i="49"/>
  <c r="I37" i="49" s="1"/>
  <c r="F60" i="53"/>
  <c r="I60" i="53" s="1"/>
  <c r="F5" i="55"/>
  <c r="F25" i="55"/>
  <c r="E56" i="52"/>
  <c r="K56" i="52" s="1"/>
  <c r="J56" i="52" s="1"/>
  <c r="I16" i="53"/>
  <c r="L16" i="53" s="1"/>
  <c r="F10" i="51"/>
  <c r="F10" i="52" s="1"/>
  <c r="D41" i="48"/>
  <c r="F27" i="49"/>
  <c r="F27" i="50" s="1"/>
  <c r="K28" i="49"/>
  <c r="J28" i="49" s="1"/>
  <c r="J41" i="56"/>
  <c r="K48" i="53"/>
  <c r="J48" i="53" s="1"/>
  <c r="H57" i="51"/>
  <c r="D21" i="54"/>
  <c r="D11" i="56"/>
  <c r="K41" i="56"/>
  <c r="F50" i="51"/>
  <c r="F50" i="52" s="1"/>
  <c r="I50" i="52" s="1"/>
  <c r="D31" i="48"/>
  <c r="D31" i="52"/>
  <c r="K48" i="52"/>
  <c r="J48" i="52" s="1"/>
  <c r="F38" i="15"/>
  <c r="F38" i="48" s="1"/>
  <c r="H9" i="51"/>
  <c r="H9" i="52" s="1"/>
  <c r="E47" i="50"/>
  <c r="H47" i="50" s="1"/>
  <c r="F49" i="53"/>
  <c r="F49" i="54" s="1"/>
  <c r="I49" i="54" s="1"/>
  <c r="H49" i="53"/>
  <c r="K49" i="53"/>
  <c r="H60" i="50"/>
  <c r="I60" i="50" s="1"/>
  <c r="L60" i="50" s="1"/>
  <c r="M60" i="50" s="1"/>
  <c r="N60" i="50" s="1"/>
  <c r="O60" i="50" s="1"/>
  <c r="P60" i="50" s="1"/>
  <c r="Q60" i="50" s="1"/>
  <c r="R60" i="50" s="1"/>
  <c r="S60" i="50" s="1"/>
  <c r="T60" i="50" s="1"/>
  <c r="D51" i="52"/>
  <c r="F57" i="51"/>
  <c r="F57" i="52" s="1"/>
  <c r="H17" i="55"/>
  <c r="C11" i="54"/>
  <c r="F58" i="51"/>
  <c r="F17" i="51"/>
  <c r="I17" i="51" s="1"/>
  <c r="D21" i="48"/>
  <c r="H47" i="48"/>
  <c r="I47" i="48" s="1"/>
  <c r="L47" i="48" s="1"/>
  <c r="M47" i="48" s="1"/>
  <c r="N47" i="48" s="1"/>
  <c r="O47" i="48" s="1"/>
  <c r="P47" i="48" s="1"/>
  <c r="Q47" i="48" s="1"/>
  <c r="R47" i="48" s="1"/>
  <c r="S47" i="48" s="1"/>
  <c r="T47" i="48" s="1"/>
  <c r="U47" i="48" s="1"/>
  <c r="V47" i="48" s="1"/>
  <c r="F49" i="49"/>
  <c r="F49" i="50" s="1"/>
  <c r="K17" i="51"/>
  <c r="J17" i="51" s="1"/>
  <c r="D61" i="54"/>
  <c r="H40" i="15"/>
  <c r="H28" i="49"/>
  <c r="I28" i="49" s="1"/>
  <c r="H28" i="51"/>
  <c r="H58" i="51"/>
  <c r="K17" i="55"/>
  <c r="J17" i="55" s="1"/>
  <c r="F9" i="51"/>
  <c r="F9" i="52" s="1"/>
  <c r="H58" i="54"/>
  <c r="H50" i="54"/>
  <c r="H10" i="51"/>
  <c r="C11" i="50"/>
  <c r="K40" i="15"/>
  <c r="H50" i="48"/>
  <c r="H6" i="49"/>
  <c r="K21" i="50"/>
  <c r="H56" i="15"/>
  <c r="K56" i="15"/>
  <c r="F56" i="15"/>
  <c r="D11" i="50"/>
  <c r="K57" i="56"/>
  <c r="J57" i="56" s="1"/>
  <c r="D41" i="54"/>
  <c r="D31" i="56"/>
  <c r="K37" i="49"/>
  <c r="J37" i="49" s="1"/>
  <c r="D11" i="54"/>
  <c r="F20" i="51"/>
  <c r="F20" i="52" s="1"/>
  <c r="H38" i="51"/>
  <c r="D21" i="56"/>
  <c r="H40" i="51"/>
  <c r="I40" i="51" s="1"/>
  <c r="K20" i="51"/>
  <c r="J20" i="51" s="1"/>
  <c r="F9" i="15"/>
  <c r="F9" i="48" s="1"/>
  <c r="D51" i="56"/>
  <c r="F27" i="51"/>
  <c r="F27" i="52" s="1"/>
  <c r="I27" i="52" s="1"/>
  <c r="L27" i="52" s="1"/>
  <c r="M27" i="52" s="1"/>
  <c r="N27" i="52" s="1"/>
  <c r="O27" i="52" s="1"/>
  <c r="P27" i="52" s="1"/>
  <c r="Q27" i="52" s="1"/>
  <c r="R27" i="52" s="1"/>
  <c r="S27" i="52" s="1"/>
  <c r="T27" i="52" s="1"/>
  <c r="F26" i="49"/>
  <c r="F26" i="50" s="1"/>
  <c r="K9" i="15"/>
  <c r="J9" i="15" s="1"/>
  <c r="E5" i="52"/>
  <c r="K5" i="52" s="1"/>
  <c r="J5" i="52" s="1"/>
  <c r="I46" i="53"/>
  <c r="L46" i="53" s="1"/>
  <c r="M46" i="53" s="1"/>
  <c r="N46" i="53" s="1"/>
  <c r="O46" i="53" s="1"/>
  <c r="P46" i="53" s="1"/>
  <c r="Q46" i="53" s="1"/>
  <c r="R46" i="53" s="1"/>
  <c r="S46" i="53" s="1"/>
  <c r="T46" i="53" s="1"/>
  <c r="H26" i="49"/>
  <c r="K27" i="51"/>
  <c r="J27" i="51" s="1"/>
  <c r="H60" i="52"/>
  <c r="H27" i="49"/>
  <c r="J41" i="52"/>
  <c r="K18" i="55"/>
  <c r="J18" i="55" s="1"/>
  <c r="F18" i="55"/>
  <c r="I25" i="52"/>
  <c r="L25" i="52" s="1"/>
  <c r="M25" i="52" s="1"/>
  <c r="N25" i="52" s="1"/>
  <c r="O25" i="52" s="1"/>
  <c r="P25" i="52" s="1"/>
  <c r="Q25" i="52" s="1"/>
  <c r="R25" i="52" s="1"/>
  <c r="S25" i="52" s="1"/>
  <c r="H46" i="55"/>
  <c r="K46" i="55"/>
  <c r="H50" i="53"/>
  <c r="F50" i="53"/>
  <c r="F50" i="54" s="1"/>
  <c r="K50" i="53"/>
  <c r="F35" i="15"/>
  <c r="F35" i="48" s="1"/>
  <c r="H35" i="15"/>
  <c r="K35" i="15"/>
  <c r="J35" i="15" s="1"/>
  <c r="J15" i="56"/>
  <c r="J21" i="56" s="1"/>
  <c r="K21" i="56"/>
  <c r="J37" i="55"/>
  <c r="K15" i="49"/>
  <c r="J15" i="49" s="1"/>
  <c r="H15" i="49"/>
  <c r="F15" i="49"/>
  <c r="F15" i="50" s="1"/>
  <c r="E55" i="56"/>
  <c r="K55" i="56" s="1"/>
  <c r="J55" i="56" s="1"/>
  <c r="H39" i="49"/>
  <c r="F39" i="49"/>
  <c r="F39" i="50" s="1"/>
  <c r="H18" i="51"/>
  <c r="F55" i="53"/>
  <c r="F55" i="54" s="1"/>
  <c r="F46" i="55"/>
  <c r="K47" i="52"/>
  <c r="J47" i="52" s="1"/>
  <c r="H47" i="52"/>
  <c r="F5" i="49"/>
  <c r="F5" i="50" s="1"/>
  <c r="K5" i="49"/>
  <c r="H5" i="49"/>
  <c r="H48" i="49"/>
  <c r="K48" i="49"/>
  <c r="J48" i="49" s="1"/>
  <c r="F48" i="49"/>
  <c r="F48" i="50" s="1"/>
  <c r="I48" i="50" s="1"/>
  <c r="H47" i="54"/>
  <c r="K47" i="54"/>
  <c r="J47" i="54" s="1"/>
  <c r="F46" i="51"/>
  <c r="F46" i="52" s="1"/>
  <c r="H46" i="51"/>
  <c r="K46" i="51"/>
  <c r="J46" i="51" s="1"/>
  <c r="D31" i="54"/>
  <c r="E26" i="54"/>
  <c r="K26" i="54" s="1"/>
  <c r="J26" i="54" s="1"/>
  <c r="E59" i="56"/>
  <c r="H59" i="56" s="1"/>
  <c r="I25" i="51"/>
  <c r="L25" i="51" s="1"/>
  <c r="M25" i="51" s="1"/>
  <c r="N25" i="51" s="1"/>
  <c r="O25" i="51" s="1"/>
  <c r="P25" i="51" s="1"/>
  <c r="Q25" i="51" s="1"/>
  <c r="R25" i="51" s="1"/>
  <c r="S25" i="51" s="1"/>
  <c r="T25" i="51" s="1"/>
  <c r="D61" i="50"/>
  <c r="K11" i="48"/>
  <c r="K50" i="52"/>
  <c r="J50" i="52" s="1"/>
  <c r="C21" i="52"/>
  <c r="D51" i="54"/>
  <c r="J21" i="48"/>
  <c r="H49" i="52"/>
  <c r="I49" i="52" s="1"/>
  <c r="L49" i="52" s="1"/>
  <c r="M49" i="52" s="1"/>
  <c r="N49" i="52" s="1"/>
  <c r="O49" i="52" s="1"/>
  <c r="P49" i="52" s="1"/>
  <c r="Q49" i="52" s="1"/>
  <c r="R49" i="52" s="1"/>
  <c r="S49" i="52" s="1"/>
  <c r="T49" i="52" s="1"/>
  <c r="U49" i="52" s="1"/>
  <c r="V49" i="52" s="1"/>
  <c r="K58" i="56"/>
  <c r="J58" i="56" s="1"/>
  <c r="D21" i="50"/>
  <c r="H26" i="55"/>
  <c r="F17" i="49"/>
  <c r="F17" i="50" s="1"/>
  <c r="I17" i="50" s="1"/>
  <c r="L17" i="50" s="1"/>
  <c r="M17" i="50" s="1"/>
  <c r="N17" i="50" s="1"/>
  <c r="E46" i="56"/>
  <c r="H46" i="56" s="1"/>
  <c r="K57" i="55"/>
  <c r="J57" i="55" s="1"/>
  <c r="H57" i="55"/>
  <c r="F57" i="55"/>
  <c r="F57" i="56" s="1"/>
  <c r="F40" i="53"/>
  <c r="F40" i="54" s="1"/>
  <c r="K40" i="53"/>
  <c r="H40" i="53"/>
  <c r="K20" i="49"/>
  <c r="J20" i="49" s="1"/>
  <c r="H20" i="49"/>
  <c r="F20" i="49"/>
  <c r="F20" i="50" s="1"/>
  <c r="H35" i="53"/>
  <c r="F35" i="53"/>
  <c r="F35" i="54" s="1"/>
  <c r="K35" i="53"/>
  <c r="K56" i="53"/>
  <c r="J56" i="53" s="1"/>
  <c r="H56" i="53"/>
  <c r="F56" i="53"/>
  <c r="F56" i="54" s="1"/>
  <c r="F19" i="55"/>
  <c r="H19" i="55"/>
  <c r="K19" i="55"/>
  <c r="J19" i="55" s="1"/>
  <c r="F8" i="51"/>
  <c r="F8" i="52" s="1"/>
  <c r="H8" i="51"/>
  <c r="K8" i="51"/>
  <c r="F15" i="15"/>
  <c r="F15" i="48" s="1"/>
  <c r="H15" i="15"/>
  <c r="K15" i="15"/>
  <c r="J15" i="15" s="1"/>
  <c r="K58" i="53"/>
  <c r="J58" i="53" s="1"/>
  <c r="F58" i="53"/>
  <c r="F58" i="54" s="1"/>
  <c r="H58" i="53"/>
  <c r="K29" i="53"/>
  <c r="J29" i="53" s="1"/>
  <c r="F29" i="53"/>
  <c r="F29" i="54" s="1"/>
  <c r="H29" i="53"/>
  <c r="E55" i="50"/>
  <c r="H55" i="50" s="1"/>
  <c r="K19" i="53"/>
  <c r="J19" i="53" s="1"/>
  <c r="F19" i="53"/>
  <c r="F19" i="54" s="1"/>
  <c r="H19" i="53"/>
  <c r="K48" i="50"/>
  <c r="F57" i="53"/>
  <c r="F57" i="54" s="1"/>
  <c r="K57" i="53"/>
  <c r="H57" i="53"/>
  <c r="H9" i="48"/>
  <c r="K30" i="49"/>
  <c r="J30" i="49" s="1"/>
  <c r="F30" i="49"/>
  <c r="F30" i="50" s="1"/>
  <c r="H30" i="49"/>
  <c r="H46" i="52"/>
  <c r="K46" i="52"/>
  <c r="J46" i="52" s="1"/>
  <c r="E16" i="54"/>
  <c r="K16" i="54" s="1"/>
  <c r="J16" i="54" s="1"/>
  <c r="C21" i="54"/>
  <c r="F50" i="15"/>
  <c r="F50" i="48" s="1"/>
  <c r="D31" i="50"/>
  <c r="F29" i="49"/>
  <c r="F29" i="50" s="1"/>
  <c r="H29" i="49"/>
  <c r="K29" i="15"/>
  <c r="J29" i="15" s="1"/>
  <c r="F29" i="15"/>
  <c r="F29" i="48" s="1"/>
  <c r="H29" i="15"/>
  <c r="K29" i="49"/>
  <c r="H10" i="55"/>
  <c r="F10" i="55"/>
  <c r="F10" i="56" s="1"/>
  <c r="K37" i="15"/>
  <c r="J37" i="15" s="1"/>
  <c r="F37" i="15"/>
  <c r="F37" i="48" s="1"/>
  <c r="H37" i="15"/>
  <c r="K17" i="53"/>
  <c r="J17" i="53" s="1"/>
  <c r="F17" i="53"/>
  <c r="F17" i="54" s="1"/>
  <c r="H17" i="53"/>
  <c r="H7" i="55"/>
  <c r="K7" i="55"/>
  <c r="J7" i="55" s="1"/>
  <c r="H39" i="52"/>
  <c r="F38" i="49"/>
  <c r="F38" i="50" s="1"/>
  <c r="K38" i="49"/>
  <c r="E48" i="56"/>
  <c r="K48" i="56" s="1"/>
  <c r="J48" i="56" s="1"/>
  <c r="E58" i="50"/>
  <c r="H58" i="50" s="1"/>
  <c r="F5" i="51"/>
  <c r="F5" i="52" s="1"/>
  <c r="H5" i="51"/>
  <c r="K5" i="51"/>
  <c r="J5" i="51" s="1"/>
  <c r="H47" i="55"/>
  <c r="K47" i="55"/>
  <c r="J47" i="55" s="1"/>
  <c r="K7" i="49"/>
  <c r="J7" i="49" s="1"/>
  <c r="H7" i="49"/>
  <c r="F7" i="49"/>
  <c r="F7" i="50" s="1"/>
  <c r="D61" i="56"/>
  <c r="D11" i="48"/>
  <c r="D41" i="50"/>
  <c r="F59" i="55"/>
  <c r="F59" i="56" s="1"/>
  <c r="F26" i="55"/>
  <c r="F26" i="56" s="1"/>
  <c r="H56" i="51"/>
  <c r="I56" i="51" s="1"/>
  <c r="K57" i="52"/>
  <c r="J57" i="52" s="1"/>
  <c r="H57" i="52"/>
  <c r="F7" i="55"/>
  <c r="F7" i="56" s="1"/>
  <c r="E35" i="48"/>
  <c r="K35" i="48" s="1"/>
  <c r="J35" i="48" s="1"/>
  <c r="K59" i="50"/>
  <c r="J59" i="50" s="1"/>
  <c r="H59" i="50"/>
  <c r="I59" i="50" s="1"/>
  <c r="K39" i="51"/>
  <c r="J39" i="51" s="1"/>
  <c r="F39" i="51"/>
  <c r="F39" i="52" s="1"/>
  <c r="H37" i="55"/>
  <c r="F37" i="55"/>
  <c r="K46" i="15"/>
  <c r="J46" i="15" s="1"/>
  <c r="H46" i="15"/>
  <c r="I46" i="15" s="1"/>
  <c r="K49" i="50"/>
  <c r="J49" i="50" s="1"/>
  <c r="H49" i="50"/>
  <c r="F30" i="55"/>
  <c r="F30" i="56" s="1"/>
  <c r="K30" i="55"/>
  <c r="H30" i="55"/>
  <c r="K48" i="51"/>
  <c r="J48" i="51" s="1"/>
  <c r="H48" i="51"/>
  <c r="I48" i="51" s="1"/>
  <c r="H47" i="53"/>
  <c r="F47" i="53"/>
  <c r="F47" i="54" s="1"/>
  <c r="H50" i="15"/>
  <c r="H59" i="51"/>
  <c r="F59" i="51"/>
  <c r="F59" i="52" s="1"/>
  <c r="K59" i="51"/>
  <c r="K41" i="52"/>
  <c r="H46" i="50"/>
  <c r="K38" i="15"/>
  <c r="J38" i="15" s="1"/>
  <c r="K17" i="49"/>
  <c r="J17" i="49" s="1"/>
  <c r="K56" i="51"/>
  <c r="F20" i="53"/>
  <c r="F20" i="54" s="1"/>
  <c r="K20" i="53"/>
  <c r="J20" i="53" s="1"/>
  <c r="H20" i="53"/>
  <c r="E56" i="54"/>
  <c r="K56" i="54" s="1"/>
  <c r="J56" i="54" s="1"/>
  <c r="F8" i="53"/>
  <c r="F8" i="54" s="1"/>
  <c r="H8" i="53"/>
  <c r="K8" i="53"/>
  <c r="H38" i="49"/>
  <c r="F55" i="55"/>
  <c r="F55" i="56" s="1"/>
  <c r="K55" i="55"/>
  <c r="H55" i="55"/>
  <c r="F48" i="55"/>
  <c r="F48" i="56" s="1"/>
  <c r="H48" i="55"/>
  <c r="K48" i="55"/>
  <c r="F58" i="49"/>
  <c r="F58" i="50" s="1"/>
  <c r="K58" i="49"/>
  <c r="H58" i="49"/>
  <c r="H57" i="54"/>
  <c r="J9" i="48"/>
  <c r="J11" i="48" s="1"/>
  <c r="F38" i="53"/>
  <c r="F38" i="54" s="1"/>
  <c r="K38" i="53"/>
  <c r="H38" i="53"/>
  <c r="E47" i="56"/>
  <c r="H47" i="56" s="1"/>
  <c r="F25" i="15"/>
  <c r="F25" i="48" s="1"/>
  <c r="K39" i="49"/>
  <c r="J39" i="49" s="1"/>
  <c r="F47" i="55"/>
  <c r="H15" i="53"/>
  <c r="C31" i="48"/>
  <c r="F38" i="51"/>
  <c r="E37" i="50"/>
  <c r="K37" i="50" s="1"/>
  <c r="J37" i="50" s="1"/>
  <c r="K15" i="53"/>
  <c r="J15" i="53" s="1"/>
  <c r="H49" i="48"/>
  <c r="L58" i="55"/>
  <c r="M58" i="55" s="1"/>
  <c r="N58" i="55" s="1"/>
  <c r="O58" i="55" s="1"/>
  <c r="K21" i="48"/>
  <c r="K45" i="48"/>
  <c r="J45" i="48" s="1"/>
  <c r="K56" i="50"/>
  <c r="H55" i="52"/>
  <c r="K46" i="54"/>
  <c r="F17" i="48"/>
  <c r="J6" i="50"/>
  <c r="J11" i="50" s="1"/>
  <c r="K11" i="50"/>
  <c r="J5" i="54"/>
  <c r="J11" i="54" s="1"/>
  <c r="K11" i="54"/>
  <c r="J6" i="52"/>
  <c r="J27" i="50"/>
  <c r="J31" i="50" s="1"/>
  <c r="K31" i="50"/>
  <c r="J18" i="54"/>
  <c r="J36" i="50"/>
  <c r="J56" i="49"/>
  <c r="J25" i="56"/>
  <c r="J31" i="56" s="1"/>
  <c r="K31" i="56"/>
  <c r="J18" i="53"/>
  <c r="F36" i="50"/>
  <c r="H39" i="48"/>
  <c r="J29" i="48"/>
  <c r="J31" i="48" s="1"/>
  <c r="K31" i="48"/>
  <c r="J28" i="52"/>
  <c r="J31" i="52" s="1"/>
  <c r="K31" i="52"/>
  <c r="H19" i="52"/>
  <c r="I45" i="49"/>
  <c r="L45" i="49" s="1"/>
  <c r="J28" i="54"/>
  <c r="J36" i="54"/>
  <c r="J41" i="54" s="1"/>
  <c r="K41" i="54"/>
  <c r="H29" i="56"/>
  <c r="I48" i="54"/>
  <c r="L48" i="54" s="1"/>
  <c r="M48" i="54" s="1"/>
  <c r="N48" i="54" s="1"/>
  <c r="O48" i="54" s="1"/>
  <c r="P48" i="54" s="1"/>
  <c r="Q48" i="54" s="1"/>
  <c r="R48" i="54" s="1"/>
  <c r="S48" i="54" s="1"/>
  <c r="T48" i="54" s="1"/>
  <c r="U48" i="54" s="1"/>
  <c r="V48" i="54" s="1"/>
  <c r="K46" i="48"/>
  <c r="J46" i="48" s="1"/>
  <c r="K45" i="52"/>
  <c r="H45" i="52"/>
  <c r="J16" i="53"/>
  <c r="J15" i="52"/>
  <c r="J21" i="52" s="1"/>
  <c r="K21" i="52"/>
  <c r="K45" i="56"/>
  <c r="H45" i="56"/>
  <c r="J39" i="48"/>
  <c r="J45" i="55"/>
  <c r="K57" i="48"/>
  <c r="J57" i="48" s="1"/>
  <c r="H60" i="56"/>
  <c r="J5" i="56"/>
  <c r="J11" i="56" s="1"/>
  <c r="K11" i="56"/>
  <c r="F46" i="48"/>
  <c r="J55" i="52"/>
  <c r="I18" i="53"/>
  <c r="L18" i="53" s="1"/>
  <c r="M18" i="53" s="1"/>
  <c r="N18" i="53" s="1"/>
  <c r="O18" i="53" s="1"/>
  <c r="P18" i="53" s="1"/>
  <c r="Q18" i="53" s="1"/>
  <c r="R18" i="53" s="1"/>
  <c r="S18" i="53" s="1"/>
  <c r="T18" i="53" s="1"/>
  <c r="I6" i="55"/>
  <c r="J26" i="15"/>
  <c r="H60" i="54"/>
  <c r="Z4" i="54"/>
  <c r="Y3" i="54"/>
  <c r="AW33" i="52"/>
  <c r="AX34" i="52"/>
  <c r="Y14" i="54"/>
  <c r="X13" i="54"/>
  <c r="AW44" i="53"/>
  <c r="AV43" i="53"/>
  <c r="AW44" i="51"/>
  <c r="AV43" i="51"/>
  <c r="X53" i="50"/>
  <c r="Y54" i="50"/>
  <c r="X53" i="54"/>
  <c r="Y54" i="54"/>
  <c r="AY13" i="54"/>
  <c r="AZ14" i="54"/>
  <c r="AV53" i="15"/>
  <c r="AW54" i="15"/>
  <c r="AW4" i="49"/>
  <c r="AV3" i="49"/>
  <c r="Y54" i="49"/>
  <c r="X53" i="49"/>
  <c r="AX34" i="51"/>
  <c r="AW33" i="51"/>
  <c r="AX14" i="15"/>
  <c r="AW13" i="15"/>
  <c r="AW23" i="52"/>
  <c r="AX24" i="52"/>
  <c r="Y4" i="48"/>
  <c r="X3" i="48"/>
  <c r="AW14" i="55"/>
  <c r="AV13" i="55"/>
  <c r="AV43" i="56"/>
  <c r="AW44" i="56"/>
  <c r="Y24" i="48"/>
  <c r="X23" i="48"/>
  <c r="Y44" i="53"/>
  <c r="X43" i="53"/>
  <c r="AW44" i="50"/>
  <c r="AV43" i="50"/>
  <c r="AW4" i="52"/>
  <c r="AV3" i="52"/>
  <c r="Z4" i="15"/>
  <c r="Y3" i="15"/>
  <c r="X23" i="49"/>
  <c r="Y24" i="49"/>
  <c r="Z13" i="55"/>
  <c r="AA14" i="55"/>
  <c r="AW54" i="50"/>
  <c r="AV53" i="50"/>
  <c r="Y44" i="54"/>
  <c r="X43" i="54"/>
  <c r="AX44" i="48"/>
  <c r="AW43" i="48"/>
  <c r="Y34" i="50"/>
  <c r="X33" i="50"/>
  <c r="AX14" i="56"/>
  <c r="AW13" i="56"/>
  <c r="X33" i="15"/>
  <c r="Y34" i="15"/>
  <c r="AY14" i="50"/>
  <c r="AX13" i="50"/>
  <c r="Y24" i="52"/>
  <c r="X23" i="52"/>
  <c r="AB44" i="56"/>
  <c r="AA43" i="56"/>
  <c r="AA24" i="51"/>
  <c r="Z23" i="51"/>
  <c r="Z54" i="52"/>
  <c r="Y53" i="52"/>
  <c r="AX53" i="56"/>
  <c r="AY54" i="56"/>
  <c r="AW34" i="54"/>
  <c r="AV33" i="54"/>
  <c r="Y33" i="52"/>
  <c r="Z34" i="52"/>
  <c r="AV53" i="51"/>
  <c r="AW54" i="51"/>
  <c r="AZ24" i="48"/>
  <c r="AY23" i="48"/>
  <c r="Y33" i="49"/>
  <c r="Z34" i="49"/>
  <c r="AA44" i="51"/>
  <c r="Z43" i="51"/>
  <c r="AD14" i="50"/>
  <c r="AD13" i="50" s="1"/>
  <c r="AC13" i="50"/>
  <c r="AW4" i="54"/>
  <c r="AV3" i="54"/>
  <c r="AY43" i="55"/>
  <c r="AZ44" i="55"/>
  <c r="Y34" i="56"/>
  <c r="X33" i="56"/>
  <c r="Z53" i="15"/>
  <c r="AA54" i="15"/>
  <c r="Y4" i="52"/>
  <c r="X3" i="52"/>
  <c r="Y3" i="51"/>
  <c r="Z4" i="51"/>
  <c r="Y44" i="49"/>
  <c r="X43" i="49"/>
  <c r="X13" i="51"/>
  <c r="Y14" i="51"/>
  <c r="X13" i="52"/>
  <c r="Y14" i="52"/>
  <c r="Y54" i="56"/>
  <c r="X53" i="56"/>
  <c r="AW14" i="52"/>
  <c r="AV13" i="52"/>
  <c r="AW44" i="15"/>
  <c r="AV43" i="15"/>
  <c r="Y33" i="55"/>
  <c r="Z34" i="55"/>
  <c r="AX54" i="54"/>
  <c r="AW53" i="54"/>
  <c r="AW24" i="56"/>
  <c r="AV23" i="56"/>
  <c r="Z23" i="56"/>
  <c r="AA24" i="56"/>
  <c r="AV53" i="49"/>
  <c r="AW54" i="49"/>
  <c r="AW4" i="48"/>
  <c r="AV3" i="48"/>
  <c r="AX14" i="51"/>
  <c r="AW13" i="51"/>
  <c r="Y3" i="49"/>
  <c r="Z4" i="49"/>
  <c r="X23" i="54"/>
  <c r="Y24" i="54"/>
  <c r="AW4" i="56"/>
  <c r="AV3" i="56"/>
  <c r="AX4" i="15"/>
  <c r="AW3" i="15"/>
  <c r="AX14" i="53"/>
  <c r="AW13" i="53"/>
  <c r="X23" i="53"/>
  <c r="Y24" i="53"/>
  <c r="Y53" i="51"/>
  <c r="Z54" i="51"/>
  <c r="AW54" i="52"/>
  <c r="AV53" i="52"/>
  <c r="Z54" i="53"/>
  <c r="Y53" i="53"/>
  <c r="X33" i="54"/>
  <c r="Y34" i="54"/>
  <c r="Y44" i="52"/>
  <c r="X43" i="52"/>
  <c r="Y44" i="15"/>
  <c r="X43" i="15"/>
  <c r="AW24" i="51"/>
  <c r="AV23" i="51"/>
  <c r="Y14" i="56"/>
  <c r="X13" i="56"/>
  <c r="Z4" i="56"/>
  <c r="Y3" i="56"/>
  <c r="AX44" i="52"/>
  <c r="AW43" i="52"/>
  <c r="AW34" i="49"/>
  <c r="AV33" i="49"/>
  <c r="AW34" i="15"/>
  <c r="AV33" i="15"/>
  <c r="AX23" i="50"/>
  <c r="AY24" i="50"/>
  <c r="Z33" i="51"/>
  <c r="AA34" i="51"/>
  <c r="X13" i="49"/>
  <c r="Y14" i="49"/>
  <c r="AW4" i="51"/>
  <c r="AV3" i="51"/>
  <c r="Y14" i="15"/>
  <c r="X13" i="15"/>
  <c r="Y54" i="55"/>
  <c r="X53" i="55"/>
  <c r="Z44" i="48"/>
  <c r="Y43" i="48"/>
  <c r="AY4" i="55"/>
  <c r="AX3" i="55"/>
  <c r="AX33" i="55"/>
  <c r="AY34" i="55"/>
  <c r="AV33" i="50"/>
  <c r="AW34" i="50"/>
  <c r="Y23" i="15"/>
  <c r="Z24" i="15"/>
  <c r="AW4" i="50"/>
  <c r="AV3" i="50"/>
  <c r="Z53" i="48"/>
  <c r="AA54" i="48"/>
  <c r="AY34" i="53"/>
  <c r="AX33" i="53"/>
  <c r="Y4" i="53"/>
  <c r="X3" i="53"/>
  <c r="Y14" i="48"/>
  <c r="X13" i="48"/>
  <c r="AX14" i="49"/>
  <c r="AW13" i="49"/>
  <c r="X43" i="55"/>
  <c r="Y44" i="55"/>
  <c r="AW24" i="49"/>
  <c r="AV23" i="49"/>
  <c r="Y44" i="50"/>
  <c r="X43" i="50"/>
  <c r="AX54" i="55"/>
  <c r="AW53" i="55"/>
  <c r="AX23" i="55"/>
  <c r="AY24" i="55"/>
  <c r="Y24" i="55"/>
  <c r="X23" i="55"/>
  <c r="X23" i="50"/>
  <c r="Y24" i="50"/>
  <c r="AX24" i="53"/>
  <c r="AW23" i="53"/>
  <c r="AW54" i="48"/>
  <c r="AV53" i="48"/>
  <c r="AW34" i="48"/>
  <c r="AV33" i="48"/>
  <c r="AX24" i="15"/>
  <c r="AW23" i="15"/>
  <c r="Z4" i="55"/>
  <c r="Y3" i="55"/>
  <c r="AV43" i="54"/>
  <c r="AW44" i="54"/>
  <c r="Y14" i="53"/>
  <c r="X13" i="53"/>
  <c r="Z3" i="50"/>
  <c r="AA4" i="50"/>
  <c r="Y34" i="48"/>
  <c r="X33" i="48"/>
  <c r="AW24" i="54"/>
  <c r="AV23" i="54"/>
  <c r="AT13" i="14"/>
  <c r="AU14" i="14"/>
  <c r="AX54" i="53"/>
  <c r="AW53" i="53"/>
  <c r="AU3" i="14"/>
  <c r="Y34" i="53"/>
  <c r="X33" i="53"/>
  <c r="AW44" i="49"/>
  <c r="AV43" i="49"/>
  <c r="AW14" i="48"/>
  <c r="AV13" i="48"/>
  <c r="AW34" i="56"/>
  <c r="AV33" i="56"/>
  <c r="W29" i="14"/>
  <c r="X30" i="14"/>
  <c r="AP54" i="14"/>
  <c r="AU2" i="14"/>
  <c r="AU5" i="14"/>
  <c r="AV6" i="14"/>
  <c r="AQ8" i="14"/>
  <c r="AQ42" i="14" s="1"/>
  <c r="U8" i="14"/>
  <c r="AR34" i="14"/>
  <c r="AR52" i="14" s="1"/>
  <c r="V34" i="14"/>
  <c r="AX30" i="14"/>
  <c r="AW29" i="14"/>
  <c r="AQ25" i="14"/>
  <c r="U25" i="14"/>
  <c r="AQ33" i="14"/>
  <c r="AQ51" i="14" s="1"/>
  <c r="U33" i="14"/>
  <c r="AQ15" i="14"/>
  <c r="AQ19" i="14" s="1"/>
  <c r="U15" i="14"/>
  <c r="AQ9" i="14"/>
  <c r="AQ43" i="14" s="1"/>
  <c r="U9" i="14"/>
  <c r="AQ32" i="14"/>
  <c r="AQ50" i="14" s="1"/>
  <c r="U32" i="14"/>
  <c r="AQ7" i="14"/>
  <c r="U7" i="14"/>
  <c r="AQ16" i="14"/>
  <c r="U16" i="14"/>
  <c r="AR31" i="14"/>
  <c r="V31" i="14"/>
  <c r="AQ10" i="14"/>
  <c r="AQ44" i="14" s="1"/>
  <c r="U10" i="14"/>
  <c r="AO46" i="14"/>
  <c r="Z14" i="14"/>
  <c r="Y13" i="14"/>
  <c r="AP11" i="14"/>
  <c r="AP45" i="14" s="1"/>
  <c r="AP41" i="14"/>
  <c r="AQ49" i="14"/>
  <c r="AQ35" i="14"/>
  <c r="AQ53" i="14" s="1"/>
  <c r="AQ23" i="14"/>
  <c r="AQ27" i="14" s="1"/>
  <c r="U23" i="14"/>
  <c r="AQ18" i="14"/>
  <c r="U18" i="14"/>
  <c r="AQ17" i="14"/>
  <c r="U17" i="14"/>
  <c r="AQ24" i="14"/>
  <c r="U24" i="14"/>
  <c r="AQ26" i="14"/>
  <c r="U26" i="14"/>
  <c r="D23" i="10"/>
  <c r="F23" i="10"/>
  <c r="E23" i="10"/>
  <c r="H23" i="10"/>
  <c r="J23" i="10"/>
  <c r="I23" i="10"/>
  <c r="X5" i="14"/>
  <c r="Y6" i="14"/>
  <c r="Z22" i="14"/>
  <c r="Y21" i="14"/>
  <c r="AV21" i="14"/>
  <c r="AW22" i="14"/>
  <c r="B25" i="10"/>
  <c r="H10" i="54"/>
  <c r="H30" i="54"/>
  <c r="H10" i="50"/>
  <c r="H6" i="52"/>
  <c r="H16" i="56"/>
  <c r="H6" i="50"/>
  <c r="H37" i="50"/>
  <c r="H15" i="56"/>
  <c r="H20" i="52"/>
  <c r="H7" i="52"/>
  <c r="H20" i="56"/>
  <c r="H36" i="52"/>
  <c r="H7" i="48"/>
  <c r="H25" i="50"/>
  <c r="H35" i="52"/>
  <c r="H5" i="54"/>
  <c r="H37" i="54"/>
  <c r="H30" i="52"/>
  <c r="H26" i="54"/>
  <c r="H26" i="56"/>
  <c r="H26" i="48"/>
  <c r="H20" i="48"/>
  <c r="H6" i="56"/>
  <c r="H10" i="52"/>
  <c r="H25" i="54"/>
  <c r="H35" i="56"/>
  <c r="H36" i="56"/>
  <c r="H17" i="56"/>
  <c r="H6" i="48"/>
  <c r="H26" i="52"/>
  <c r="H7" i="54"/>
  <c r="H36" i="50"/>
  <c r="H27" i="56"/>
  <c r="H27" i="50"/>
  <c r="H36" i="54"/>
  <c r="H26" i="50"/>
  <c r="H40" i="56"/>
  <c r="H25" i="48"/>
  <c r="L6" i="55" l="1"/>
  <c r="M6" i="55" s="1"/>
  <c r="L55" i="48"/>
  <c r="M55" i="48" s="1"/>
  <c r="N55" i="48" s="1"/>
  <c r="L5" i="53"/>
  <c r="I6" i="52"/>
  <c r="L6" i="52" s="1"/>
  <c r="M6" i="52" s="1"/>
  <c r="N6" i="52" s="1"/>
  <c r="O6" i="52" s="1"/>
  <c r="P6" i="52" s="1"/>
  <c r="Q6" i="52" s="1"/>
  <c r="I7" i="51"/>
  <c r="L7" i="51" s="1"/>
  <c r="M7" i="51" s="1"/>
  <c r="N7" i="51" s="1"/>
  <c r="O7" i="51" s="1"/>
  <c r="P7" i="51" s="1"/>
  <c r="Q7" i="51" s="1"/>
  <c r="H48" i="48"/>
  <c r="I48" i="48" s="1"/>
  <c r="L48" i="48" s="1"/>
  <c r="M48" i="48" s="1"/>
  <c r="N48" i="48" s="1"/>
  <c r="O48" i="48" s="1"/>
  <c r="P48" i="48" s="1"/>
  <c r="Q48" i="48" s="1"/>
  <c r="R48" i="48" s="1"/>
  <c r="S48" i="48" s="1"/>
  <c r="T48" i="48" s="1"/>
  <c r="U48" i="48" s="1"/>
  <c r="V48" i="48" s="1"/>
  <c r="W48" i="48" s="1"/>
  <c r="I47" i="49"/>
  <c r="L47" i="49" s="1"/>
  <c r="M47" i="49" s="1"/>
  <c r="N47" i="49" s="1"/>
  <c r="O47" i="49" s="1"/>
  <c r="P47" i="49" s="1"/>
  <c r="Q47" i="49" s="1"/>
  <c r="R47" i="49" s="1"/>
  <c r="S47" i="49" s="1"/>
  <c r="T47" i="49" s="1"/>
  <c r="U47" i="49" s="1"/>
  <c r="I27" i="55"/>
  <c r="L27" i="55" s="1"/>
  <c r="M27" i="55" s="1"/>
  <c r="I28" i="53"/>
  <c r="L28" i="53" s="1"/>
  <c r="M28" i="53" s="1"/>
  <c r="N28" i="53" s="1"/>
  <c r="O28" i="53" s="1"/>
  <c r="P28" i="53" s="1"/>
  <c r="Q28" i="53" s="1"/>
  <c r="R28" i="53" s="1"/>
  <c r="S28" i="53" s="1"/>
  <c r="T28" i="53" s="1"/>
  <c r="U28" i="53" s="1"/>
  <c r="V28" i="53" s="1"/>
  <c r="F40" i="50"/>
  <c r="I40" i="50" s="1"/>
  <c r="L40" i="50" s="1"/>
  <c r="M40" i="50" s="1"/>
  <c r="N40" i="50" s="1"/>
  <c r="O40" i="50" s="1"/>
  <c r="P40" i="50" s="1"/>
  <c r="Q40" i="50" s="1"/>
  <c r="R40" i="50" s="1"/>
  <c r="S40" i="50" s="1"/>
  <c r="T40" i="50" s="1"/>
  <c r="U40" i="50" s="1"/>
  <c r="I19" i="52"/>
  <c r="L19" i="52" s="1"/>
  <c r="M19" i="52" s="1"/>
  <c r="N19" i="52" s="1"/>
  <c r="O19" i="52" s="1"/>
  <c r="P19" i="52" s="1"/>
  <c r="Q19" i="52" s="1"/>
  <c r="R19" i="52" s="1"/>
  <c r="S19" i="52" s="1"/>
  <c r="T19" i="52" s="1"/>
  <c r="U19" i="52" s="1"/>
  <c r="I37" i="51"/>
  <c r="L37" i="51" s="1"/>
  <c r="M37" i="51" s="1"/>
  <c r="N37" i="51" s="1"/>
  <c r="O37" i="51" s="1"/>
  <c r="P37" i="51" s="1"/>
  <c r="Q37" i="51" s="1"/>
  <c r="R37" i="51" s="1"/>
  <c r="S37" i="51" s="1"/>
  <c r="T37" i="51" s="1"/>
  <c r="U37" i="51" s="1"/>
  <c r="V37" i="51" s="1"/>
  <c r="W37" i="51" s="1"/>
  <c r="I18" i="15"/>
  <c r="L18" i="15" s="1"/>
  <c r="M18" i="15" s="1"/>
  <c r="N18" i="15" s="1"/>
  <c r="O18" i="15" s="1"/>
  <c r="P18" i="15" s="1"/>
  <c r="Q18" i="15" s="1"/>
  <c r="R18" i="15" s="1"/>
  <c r="S18" i="15" s="1"/>
  <c r="T18" i="15" s="1"/>
  <c r="U18" i="15" s="1"/>
  <c r="H19" i="50"/>
  <c r="I19" i="50" s="1"/>
  <c r="L19" i="50" s="1"/>
  <c r="M19" i="50" s="1"/>
  <c r="N19" i="50" s="1"/>
  <c r="O19" i="50" s="1"/>
  <c r="P19" i="50" s="1"/>
  <c r="Q19" i="50" s="1"/>
  <c r="R19" i="50" s="1"/>
  <c r="S19" i="50" s="1"/>
  <c r="T19" i="50" s="1"/>
  <c r="U19" i="50" s="1"/>
  <c r="V19" i="50" s="1"/>
  <c r="W19" i="50" s="1"/>
  <c r="I55" i="49"/>
  <c r="L55" i="49" s="1"/>
  <c r="M55" i="49" s="1"/>
  <c r="N55" i="49" s="1"/>
  <c r="O55" i="49" s="1"/>
  <c r="P55" i="49" s="1"/>
  <c r="Q55" i="49" s="1"/>
  <c r="R55" i="49" s="1"/>
  <c r="S55" i="49" s="1"/>
  <c r="T55" i="49" s="1"/>
  <c r="U55" i="49" s="1"/>
  <c r="I7" i="15"/>
  <c r="L7" i="15" s="1"/>
  <c r="M7" i="15" s="1"/>
  <c r="N7" i="15" s="1"/>
  <c r="O7" i="15" s="1"/>
  <c r="P7" i="15" s="1"/>
  <c r="Q7" i="15" s="1"/>
  <c r="R7" i="15" s="1"/>
  <c r="S7" i="15" s="1"/>
  <c r="T7" i="15" s="1"/>
  <c r="U7" i="15" s="1"/>
  <c r="I10" i="50"/>
  <c r="L10" i="50" s="1"/>
  <c r="M10" i="50" s="1"/>
  <c r="N10" i="50" s="1"/>
  <c r="O10" i="50" s="1"/>
  <c r="P10" i="50" s="1"/>
  <c r="Q10" i="50" s="1"/>
  <c r="R10" i="50" s="1"/>
  <c r="S10" i="50" s="1"/>
  <c r="T10" i="50" s="1"/>
  <c r="U10" i="50" s="1"/>
  <c r="V10" i="50" s="1"/>
  <c r="W10" i="50" s="1"/>
  <c r="I19" i="51"/>
  <c r="L19" i="51" s="1"/>
  <c r="M19" i="51" s="1"/>
  <c r="N19" i="51" s="1"/>
  <c r="O19" i="51" s="1"/>
  <c r="P19" i="51" s="1"/>
  <c r="Q19" i="51" s="1"/>
  <c r="R19" i="51" s="1"/>
  <c r="S19" i="51" s="1"/>
  <c r="T19" i="51" s="1"/>
  <c r="U19" i="51" s="1"/>
  <c r="V19" i="51" s="1"/>
  <c r="W19" i="51" s="1"/>
  <c r="I10" i="49"/>
  <c r="L10" i="49" s="1"/>
  <c r="M10" i="49" s="1"/>
  <c r="N10" i="49" s="1"/>
  <c r="O10" i="49" s="1"/>
  <c r="P10" i="49" s="1"/>
  <c r="Q10" i="49" s="1"/>
  <c r="R10" i="49" s="1"/>
  <c r="S10" i="49" s="1"/>
  <c r="T10" i="49" s="1"/>
  <c r="U10" i="49" s="1"/>
  <c r="V10" i="49" s="1"/>
  <c r="W10" i="49" s="1"/>
  <c r="X10" i="49" s="1"/>
  <c r="I26" i="15"/>
  <c r="L26" i="15" s="1"/>
  <c r="M26" i="15" s="1"/>
  <c r="N26" i="15" s="1"/>
  <c r="O26" i="15" s="1"/>
  <c r="P26" i="15" s="1"/>
  <c r="Q26" i="15" s="1"/>
  <c r="R26" i="15" s="1"/>
  <c r="S26" i="15" s="1"/>
  <c r="T26" i="15" s="1"/>
  <c r="U26" i="15" s="1"/>
  <c r="V26" i="15" s="1"/>
  <c r="I26" i="48"/>
  <c r="L26" i="48" s="1"/>
  <c r="M26" i="48" s="1"/>
  <c r="N26" i="48" s="1"/>
  <c r="O26" i="48" s="1"/>
  <c r="P26" i="48" s="1"/>
  <c r="Q26" i="48" s="1"/>
  <c r="R26" i="48" s="1"/>
  <c r="S26" i="48" s="1"/>
  <c r="T26" i="48" s="1"/>
  <c r="U26" i="48" s="1"/>
  <c r="V26" i="48" s="1"/>
  <c r="L6" i="53"/>
  <c r="M6" i="53" s="1"/>
  <c r="N6" i="53" s="1"/>
  <c r="O6" i="53" s="1"/>
  <c r="P6" i="53" s="1"/>
  <c r="Q6" i="53" s="1"/>
  <c r="R6" i="53" s="1"/>
  <c r="S6" i="53" s="1"/>
  <c r="I28" i="15"/>
  <c r="L28" i="15" s="1"/>
  <c r="M28" i="15" s="1"/>
  <c r="N28" i="15" s="1"/>
  <c r="O28" i="15" s="1"/>
  <c r="P28" i="15" s="1"/>
  <c r="Q28" i="15" s="1"/>
  <c r="R28" i="15" s="1"/>
  <c r="S28" i="15" s="1"/>
  <c r="T28" i="15" s="1"/>
  <c r="U28" i="15" s="1"/>
  <c r="V28" i="15" s="1"/>
  <c r="F6" i="54"/>
  <c r="I6" i="54" s="1"/>
  <c r="L6" i="54" s="1"/>
  <c r="M6" i="54" s="1"/>
  <c r="N6" i="54" s="1"/>
  <c r="O6" i="54" s="1"/>
  <c r="P6" i="54" s="1"/>
  <c r="Q6" i="54" s="1"/>
  <c r="R6" i="54" s="1"/>
  <c r="I45" i="55"/>
  <c r="L45" i="55" s="1"/>
  <c r="M45" i="55" s="1"/>
  <c r="N45" i="55" s="1"/>
  <c r="O45" i="55" s="1"/>
  <c r="P45" i="55" s="1"/>
  <c r="Q45" i="55" s="1"/>
  <c r="R45" i="55" s="1"/>
  <c r="S45" i="55" s="1"/>
  <c r="L56" i="55"/>
  <c r="M56" i="55" s="1"/>
  <c r="N56" i="55" s="1"/>
  <c r="O56" i="55" s="1"/>
  <c r="P56" i="55" s="1"/>
  <c r="Q56" i="55" s="1"/>
  <c r="R56" i="55" s="1"/>
  <c r="S56" i="55" s="1"/>
  <c r="T56" i="55" s="1"/>
  <c r="U56" i="55" s="1"/>
  <c r="V56" i="55" s="1"/>
  <c r="W56" i="55" s="1"/>
  <c r="I9" i="55"/>
  <c r="L9" i="55" s="1"/>
  <c r="M9" i="55" s="1"/>
  <c r="N9" i="55" s="1"/>
  <c r="O9" i="55" s="1"/>
  <c r="P9" i="55" s="1"/>
  <c r="Q9" i="55" s="1"/>
  <c r="R9" i="55" s="1"/>
  <c r="S9" i="55" s="1"/>
  <c r="I39" i="55"/>
  <c r="L39" i="55" s="1"/>
  <c r="M39" i="55" s="1"/>
  <c r="N39" i="55" s="1"/>
  <c r="O39" i="55" s="1"/>
  <c r="P39" i="55" s="1"/>
  <c r="Q39" i="55" s="1"/>
  <c r="R39" i="55" s="1"/>
  <c r="S39" i="55" s="1"/>
  <c r="T39" i="55" s="1"/>
  <c r="U39" i="55" s="1"/>
  <c r="V39" i="55" s="1"/>
  <c r="W39" i="55" s="1"/>
  <c r="I25" i="53"/>
  <c r="L25" i="53" s="1"/>
  <c r="M25" i="53" s="1"/>
  <c r="N25" i="53" s="1"/>
  <c r="O25" i="53" s="1"/>
  <c r="P25" i="53" s="1"/>
  <c r="Q25" i="53" s="1"/>
  <c r="R25" i="53" s="1"/>
  <c r="S25" i="53" s="1"/>
  <c r="T25" i="53" s="1"/>
  <c r="U25" i="53" s="1"/>
  <c r="L10" i="53"/>
  <c r="M10" i="53" s="1"/>
  <c r="N10" i="53" s="1"/>
  <c r="O10" i="53" s="1"/>
  <c r="P10" i="53" s="1"/>
  <c r="Q10" i="53" s="1"/>
  <c r="R10" i="53" s="1"/>
  <c r="S10" i="53" s="1"/>
  <c r="T10" i="53" s="1"/>
  <c r="U10" i="53" s="1"/>
  <c r="I59" i="52"/>
  <c r="L59" i="52" s="1"/>
  <c r="M59" i="52" s="1"/>
  <c r="N59" i="52" s="1"/>
  <c r="O59" i="52" s="1"/>
  <c r="P59" i="52" s="1"/>
  <c r="Q59" i="52" s="1"/>
  <c r="R59" i="52" s="1"/>
  <c r="S59" i="52" s="1"/>
  <c r="T59" i="52" s="1"/>
  <c r="U59" i="52" s="1"/>
  <c r="V59" i="52" s="1"/>
  <c r="W59" i="52" s="1"/>
  <c r="F45" i="52"/>
  <c r="I45" i="52" s="1"/>
  <c r="L45" i="52" s="1"/>
  <c r="I5" i="15"/>
  <c r="L5" i="15" s="1"/>
  <c r="M5" i="15" s="1"/>
  <c r="L50" i="55"/>
  <c r="M50" i="55" s="1"/>
  <c r="N50" i="55" s="1"/>
  <c r="O50" i="55" s="1"/>
  <c r="P50" i="55" s="1"/>
  <c r="Q50" i="55" s="1"/>
  <c r="R50" i="55" s="1"/>
  <c r="S50" i="55" s="1"/>
  <c r="T50" i="55" s="1"/>
  <c r="U50" i="55" s="1"/>
  <c r="V50" i="55" s="1"/>
  <c r="W50" i="55" s="1"/>
  <c r="L17" i="15"/>
  <c r="M17" i="15" s="1"/>
  <c r="N17" i="15" s="1"/>
  <c r="O17" i="15" s="1"/>
  <c r="P17" i="15" s="1"/>
  <c r="Q17" i="15" s="1"/>
  <c r="R17" i="15" s="1"/>
  <c r="S17" i="15" s="1"/>
  <c r="L16" i="15"/>
  <c r="M16" i="15" s="1"/>
  <c r="N16" i="15" s="1"/>
  <c r="O16" i="15" s="1"/>
  <c r="P16" i="15" s="1"/>
  <c r="I47" i="51"/>
  <c r="L47" i="51" s="1"/>
  <c r="M47" i="51" s="1"/>
  <c r="N47" i="51" s="1"/>
  <c r="O47" i="51" s="1"/>
  <c r="P47" i="51" s="1"/>
  <c r="Q47" i="51" s="1"/>
  <c r="R47" i="51" s="1"/>
  <c r="S47" i="51" s="1"/>
  <c r="T47" i="51" s="1"/>
  <c r="U47" i="51" s="1"/>
  <c r="V47" i="51" s="1"/>
  <c r="W47" i="51" s="1"/>
  <c r="X47" i="51" s="1"/>
  <c r="I29" i="56"/>
  <c r="L29" i="56" s="1"/>
  <c r="M29" i="56" s="1"/>
  <c r="N29" i="56" s="1"/>
  <c r="O29" i="56" s="1"/>
  <c r="P29" i="56" s="1"/>
  <c r="Q29" i="56" s="1"/>
  <c r="R29" i="56" s="1"/>
  <c r="S29" i="56" s="1"/>
  <c r="T29" i="56" s="1"/>
  <c r="U29" i="56" s="1"/>
  <c r="V29" i="56" s="1"/>
  <c r="W29" i="56" s="1"/>
  <c r="L19" i="49"/>
  <c r="M19" i="49" s="1"/>
  <c r="N19" i="49" s="1"/>
  <c r="O19" i="49" s="1"/>
  <c r="P19" i="49" s="1"/>
  <c r="Q19" i="49" s="1"/>
  <c r="R19" i="49" s="1"/>
  <c r="S19" i="49" s="1"/>
  <c r="L9" i="53"/>
  <c r="M9" i="53" s="1"/>
  <c r="N9" i="53" s="1"/>
  <c r="O9" i="53" s="1"/>
  <c r="P9" i="53" s="1"/>
  <c r="Q9" i="53" s="1"/>
  <c r="R9" i="53" s="1"/>
  <c r="S9" i="53" s="1"/>
  <c r="T9" i="53" s="1"/>
  <c r="U9" i="53" s="1"/>
  <c r="I57" i="49"/>
  <c r="L57" i="49" s="1"/>
  <c r="M57" i="49" s="1"/>
  <c r="N57" i="49" s="1"/>
  <c r="O57" i="49" s="1"/>
  <c r="P57" i="49" s="1"/>
  <c r="Q57" i="49" s="1"/>
  <c r="R57" i="49" s="1"/>
  <c r="S57" i="49" s="1"/>
  <c r="T57" i="49" s="1"/>
  <c r="U57" i="49" s="1"/>
  <c r="V57" i="49" s="1"/>
  <c r="I30" i="53"/>
  <c r="L30" i="53" s="1"/>
  <c r="M30" i="53" s="1"/>
  <c r="N30" i="53" s="1"/>
  <c r="O30" i="53" s="1"/>
  <c r="P30" i="53" s="1"/>
  <c r="Q30" i="53" s="1"/>
  <c r="R30" i="53" s="1"/>
  <c r="S30" i="53" s="1"/>
  <c r="T30" i="53" s="1"/>
  <c r="U30" i="53" s="1"/>
  <c r="V30" i="53" s="1"/>
  <c r="I49" i="15"/>
  <c r="L49" i="15" s="1"/>
  <c r="M49" i="15" s="1"/>
  <c r="N49" i="15" s="1"/>
  <c r="O49" i="15" s="1"/>
  <c r="P49" i="15" s="1"/>
  <c r="Q49" i="15" s="1"/>
  <c r="R49" i="15" s="1"/>
  <c r="S49" i="15" s="1"/>
  <c r="T49" i="15" s="1"/>
  <c r="U49" i="15" s="1"/>
  <c r="V49" i="15" s="1"/>
  <c r="W49" i="15" s="1"/>
  <c r="X49" i="15" s="1"/>
  <c r="I49" i="48"/>
  <c r="L49" i="48" s="1"/>
  <c r="M49" i="48" s="1"/>
  <c r="N49" i="48" s="1"/>
  <c r="O49" i="48" s="1"/>
  <c r="P49" i="48" s="1"/>
  <c r="Q49" i="48" s="1"/>
  <c r="R49" i="48" s="1"/>
  <c r="S49" i="48" s="1"/>
  <c r="T49" i="48" s="1"/>
  <c r="U49" i="48" s="1"/>
  <c r="V49" i="48" s="1"/>
  <c r="W49" i="48" s="1"/>
  <c r="I6" i="49"/>
  <c r="L6" i="49" s="1"/>
  <c r="M6" i="49" s="1"/>
  <c r="H9" i="54"/>
  <c r="I9" i="54" s="1"/>
  <c r="L9" i="54" s="1"/>
  <c r="M9" i="54" s="1"/>
  <c r="N9" i="54" s="1"/>
  <c r="O9" i="54" s="1"/>
  <c r="P9" i="54" s="1"/>
  <c r="Q9" i="54" s="1"/>
  <c r="R9" i="54" s="1"/>
  <c r="S9" i="54" s="1"/>
  <c r="T9" i="54" s="1"/>
  <c r="U9" i="54" s="1"/>
  <c r="L36" i="49"/>
  <c r="M36" i="49" s="1"/>
  <c r="I39" i="15"/>
  <c r="L39" i="15" s="1"/>
  <c r="M39" i="15" s="1"/>
  <c r="N39" i="15" s="1"/>
  <c r="O39" i="15" s="1"/>
  <c r="P39" i="15" s="1"/>
  <c r="Q39" i="15" s="1"/>
  <c r="R39" i="15" s="1"/>
  <c r="S39" i="15" s="1"/>
  <c r="T39" i="15" s="1"/>
  <c r="U39" i="15" s="1"/>
  <c r="L36" i="51"/>
  <c r="M36" i="51" s="1"/>
  <c r="N36" i="51" s="1"/>
  <c r="O36" i="51" s="1"/>
  <c r="P36" i="51" s="1"/>
  <c r="Q36" i="51" s="1"/>
  <c r="R36" i="51" s="1"/>
  <c r="I29" i="55"/>
  <c r="L29" i="55" s="1"/>
  <c r="M29" i="55" s="1"/>
  <c r="N29" i="55" s="1"/>
  <c r="O29" i="55" s="1"/>
  <c r="P29" i="55" s="1"/>
  <c r="Q29" i="55" s="1"/>
  <c r="R29" i="55" s="1"/>
  <c r="S29" i="55" s="1"/>
  <c r="T29" i="55" s="1"/>
  <c r="U29" i="55" s="1"/>
  <c r="V29" i="55" s="1"/>
  <c r="I39" i="54"/>
  <c r="L39" i="54" s="1"/>
  <c r="M39" i="54" s="1"/>
  <c r="N39" i="54" s="1"/>
  <c r="O39" i="54" s="1"/>
  <c r="P39" i="54" s="1"/>
  <c r="Q39" i="54" s="1"/>
  <c r="R39" i="54" s="1"/>
  <c r="I39" i="53"/>
  <c r="L39" i="53" s="1"/>
  <c r="M39" i="53" s="1"/>
  <c r="N39" i="53" s="1"/>
  <c r="O39" i="53" s="1"/>
  <c r="P39" i="53" s="1"/>
  <c r="Q39" i="53" s="1"/>
  <c r="R39" i="53" s="1"/>
  <c r="S39" i="53" s="1"/>
  <c r="L40" i="49"/>
  <c r="M40" i="49" s="1"/>
  <c r="N40" i="49" s="1"/>
  <c r="O40" i="49" s="1"/>
  <c r="P40" i="49" s="1"/>
  <c r="Q40" i="49" s="1"/>
  <c r="R40" i="49" s="1"/>
  <c r="S40" i="49" s="1"/>
  <c r="T40" i="49" s="1"/>
  <c r="U40" i="49" s="1"/>
  <c r="H21" i="15"/>
  <c r="H21" i="48" s="1"/>
  <c r="I47" i="50"/>
  <c r="F45" i="54"/>
  <c r="I45" i="54" s="1"/>
  <c r="L45" i="54" s="1"/>
  <c r="I35" i="49"/>
  <c r="L35" i="49" s="1"/>
  <c r="M35" i="49" s="1"/>
  <c r="N35" i="49" s="1"/>
  <c r="O35" i="49" s="1"/>
  <c r="P35" i="49" s="1"/>
  <c r="I28" i="51"/>
  <c r="L28" i="51" s="1"/>
  <c r="M28" i="51" s="1"/>
  <c r="N28" i="51" s="1"/>
  <c r="O28" i="51" s="1"/>
  <c r="P28" i="51" s="1"/>
  <c r="Q28" i="51" s="1"/>
  <c r="R28" i="51" s="1"/>
  <c r="S28" i="51" s="1"/>
  <c r="T28" i="51" s="1"/>
  <c r="U28" i="51" s="1"/>
  <c r="V28" i="51" s="1"/>
  <c r="W28" i="51" s="1"/>
  <c r="X28" i="51" s="1"/>
  <c r="I45" i="15"/>
  <c r="L45" i="15" s="1"/>
  <c r="M45" i="15" s="1"/>
  <c r="N45" i="15" s="1"/>
  <c r="O45" i="15" s="1"/>
  <c r="P45" i="15" s="1"/>
  <c r="I29" i="52"/>
  <c r="L29" i="52" s="1"/>
  <c r="M29" i="52" s="1"/>
  <c r="N29" i="52" s="1"/>
  <c r="O29" i="52" s="1"/>
  <c r="P29" i="52" s="1"/>
  <c r="Q29" i="52" s="1"/>
  <c r="R29" i="52" s="1"/>
  <c r="S29" i="52" s="1"/>
  <c r="T29" i="52" s="1"/>
  <c r="U29" i="52" s="1"/>
  <c r="L45" i="53"/>
  <c r="M45" i="53" s="1"/>
  <c r="N45" i="53" s="1"/>
  <c r="O45" i="53" s="1"/>
  <c r="P45" i="53" s="1"/>
  <c r="Q45" i="53" s="1"/>
  <c r="I38" i="55"/>
  <c r="L38" i="55" s="1"/>
  <c r="M38" i="55" s="1"/>
  <c r="N38" i="55" s="1"/>
  <c r="O38" i="55" s="1"/>
  <c r="P38" i="55" s="1"/>
  <c r="Q38" i="55" s="1"/>
  <c r="R38" i="55" s="1"/>
  <c r="S38" i="55" s="1"/>
  <c r="T38" i="55" s="1"/>
  <c r="U38" i="55" s="1"/>
  <c r="V38" i="55" s="1"/>
  <c r="W38" i="55" s="1"/>
  <c r="X38" i="55" s="1"/>
  <c r="L48" i="53"/>
  <c r="M48" i="53" s="1"/>
  <c r="N48" i="53" s="1"/>
  <c r="O48" i="53" s="1"/>
  <c r="P48" i="53" s="1"/>
  <c r="Q48" i="53" s="1"/>
  <c r="R48" i="53" s="1"/>
  <c r="S48" i="53" s="1"/>
  <c r="T48" i="53" s="1"/>
  <c r="U48" i="53" s="1"/>
  <c r="H11" i="53"/>
  <c r="H11" i="54" s="1"/>
  <c r="L30" i="15"/>
  <c r="M30" i="15" s="1"/>
  <c r="N30" i="15" s="1"/>
  <c r="O30" i="15" s="1"/>
  <c r="P30" i="15" s="1"/>
  <c r="Q30" i="15" s="1"/>
  <c r="R30" i="15" s="1"/>
  <c r="S30" i="15" s="1"/>
  <c r="T30" i="15" s="1"/>
  <c r="U30" i="15" s="1"/>
  <c r="V30" i="15" s="1"/>
  <c r="I29" i="51"/>
  <c r="L29" i="51" s="1"/>
  <c r="M29" i="51" s="1"/>
  <c r="N29" i="51" s="1"/>
  <c r="O29" i="51" s="1"/>
  <c r="P29" i="51" s="1"/>
  <c r="Q29" i="51" s="1"/>
  <c r="R29" i="51" s="1"/>
  <c r="S29" i="51" s="1"/>
  <c r="T29" i="51" s="1"/>
  <c r="U29" i="51" s="1"/>
  <c r="V29" i="51" s="1"/>
  <c r="W29" i="51" s="1"/>
  <c r="X29" i="51" s="1"/>
  <c r="L47" i="15"/>
  <c r="M47" i="15" s="1"/>
  <c r="N47" i="15" s="1"/>
  <c r="O47" i="15" s="1"/>
  <c r="P47" i="15" s="1"/>
  <c r="Q47" i="15" s="1"/>
  <c r="R47" i="15" s="1"/>
  <c r="S47" i="15" s="1"/>
  <c r="T47" i="15" s="1"/>
  <c r="U47" i="15" s="1"/>
  <c r="V47" i="15" s="1"/>
  <c r="W47" i="15" s="1"/>
  <c r="F36" i="48"/>
  <c r="I36" i="48" s="1"/>
  <c r="L36" i="48" s="1"/>
  <c r="M36" i="48" s="1"/>
  <c r="N36" i="48" s="1"/>
  <c r="O36" i="48" s="1"/>
  <c r="P36" i="48" s="1"/>
  <c r="Q36" i="48" s="1"/>
  <c r="R36" i="48" s="1"/>
  <c r="S36" i="48" s="1"/>
  <c r="T36" i="48" s="1"/>
  <c r="U36" i="48" s="1"/>
  <c r="L60" i="48"/>
  <c r="M60" i="48" s="1"/>
  <c r="N60" i="48" s="1"/>
  <c r="O60" i="48" s="1"/>
  <c r="P60" i="48" s="1"/>
  <c r="Q60" i="48" s="1"/>
  <c r="R60" i="48" s="1"/>
  <c r="S60" i="48" s="1"/>
  <c r="T60" i="48" s="1"/>
  <c r="U60" i="48" s="1"/>
  <c r="V60" i="48" s="1"/>
  <c r="W60" i="48" s="1"/>
  <c r="I26" i="52"/>
  <c r="L26" i="52" s="1"/>
  <c r="M26" i="52" s="1"/>
  <c r="N26" i="52" s="1"/>
  <c r="O26" i="52" s="1"/>
  <c r="P26" i="52" s="1"/>
  <c r="Q26" i="52" s="1"/>
  <c r="R26" i="52" s="1"/>
  <c r="L45" i="51"/>
  <c r="M45" i="51" s="1"/>
  <c r="N45" i="51" s="1"/>
  <c r="O45" i="51" s="1"/>
  <c r="P45" i="51" s="1"/>
  <c r="Q45" i="51" s="1"/>
  <c r="R45" i="51" s="1"/>
  <c r="S45" i="51" s="1"/>
  <c r="I60" i="52"/>
  <c r="L60" i="52" s="1"/>
  <c r="M60" i="52" s="1"/>
  <c r="N60" i="52" s="1"/>
  <c r="O60" i="52" s="1"/>
  <c r="P60" i="52" s="1"/>
  <c r="Q60" i="52" s="1"/>
  <c r="R60" i="52" s="1"/>
  <c r="S60" i="52" s="1"/>
  <c r="T60" i="52" s="1"/>
  <c r="U60" i="52" s="1"/>
  <c r="V60" i="52" s="1"/>
  <c r="I60" i="51"/>
  <c r="L60" i="51" s="1"/>
  <c r="M60" i="51" s="1"/>
  <c r="N60" i="51" s="1"/>
  <c r="O60" i="51" s="1"/>
  <c r="P60" i="51" s="1"/>
  <c r="L55" i="15"/>
  <c r="M55" i="15" s="1"/>
  <c r="N55" i="15" s="1"/>
  <c r="O55" i="15" s="1"/>
  <c r="P55" i="15" s="1"/>
  <c r="Q55" i="15" s="1"/>
  <c r="R55" i="15" s="1"/>
  <c r="S55" i="15" s="1"/>
  <c r="L26" i="51"/>
  <c r="M26" i="51" s="1"/>
  <c r="N26" i="51" s="1"/>
  <c r="O26" i="51" s="1"/>
  <c r="P26" i="51" s="1"/>
  <c r="Q26" i="51" s="1"/>
  <c r="R26" i="51" s="1"/>
  <c r="S26" i="51" s="1"/>
  <c r="I56" i="49"/>
  <c r="L56" i="49" s="1"/>
  <c r="M56" i="49" s="1"/>
  <c r="N56" i="49" s="1"/>
  <c r="O56" i="49" s="1"/>
  <c r="H51" i="49"/>
  <c r="I47" i="52"/>
  <c r="L47" i="52" s="1"/>
  <c r="M47" i="52" s="1"/>
  <c r="N47" i="52" s="1"/>
  <c r="O47" i="52" s="1"/>
  <c r="P47" i="52" s="1"/>
  <c r="Q47" i="52" s="1"/>
  <c r="R47" i="52" s="1"/>
  <c r="S47" i="52" s="1"/>
  <c r="T47" i="52" s="1"/>
  <c r="U47" i="52" s="1"/>
  <c r="V47" i="52" s="1"/>
  <c r="W47" i="52" s="1"/>
  <c r="I27" i="15"/>
  <c r="L27" i="15" s="1"/>
  <c r="M27" i="15" s="1"/>
  <c r="N27" i="15" s="1"/>
  <c r="O27" i="15" s="1"/>
  <c r="P27" i="15" s="1"/>
  <c r="Q27" i="15" s="1"/>
  <c r="R27" i="15" s="1"/>
  <c r="S27" i="15" s="1"/>
  <c r="T27" i="15" s="1"/>
  <c r="U27" i="15" s="1"/>
  <c r="V27" i="15" s="1"/>
  <c r="W27" i="15" s="1"/>
  <c r="I55" i="51"/>
  <c r="L55" i="51" s="1"/>
  <c r="M55" i="51" s="1"/>
  <c r="N55" i="51" s="1"/>
  <c r="O55" i="51" s="1"/>
  <c r="P55" i="51" s="1"/>
  <c r="Q55" i="51" s="1"/>
  <c r="R55" i="51" s="1"/>
  <c r="S55" i="51" s="1"/>
  <c r="T55" i="51" s="1"/>
  <c r="U55" i="51" s="1"/>
  <c r="H31" i="15"/>
  <c r="H31" i="48" s="1"/>
  <c r="L16" i="51"/>
  <c r="M16" i="51" s="1"/>
  <c r="N16" i="51" s="1"/>
  <c r="O16" i="51" s="1"/>
  <c r="P16" i="51" s="1"/>
  <c r="Q16" i="51" s="1"/>
  <c r="R16" i="51" s="1"/>
  <c r="S16" i="51" s="1"/>
  <c r="T16" i="51" s="1"/>
  <c r="U16" i="51" s="1"/>
  <c r="V16" i="51" s="1"/>
  <c r="W16" i="51" s="1"/>
  <c r="L59" i="53"/>
  <c r="M59" i="53" s="1"/>
  <c r="N59" i="53" s="1"/>
  <c r="O59" i="53" s="1"/>
  <c r="P59" i="53" s="1"/>
  <c r="Q59" i="53" s="1"/>
  <c r="R59" i="53" s="1"/>
  <c r="S59" i="53" s="1"/>
  <c r="T59" i="53" s="1"/>
  <c r="U59" i="53" s="1"/>
  <c r="V59" i="53" s="1"/>
  <c r="W59" i="53" s="1"/>
  <c r="X59" i="53" s="1"/>
  <c r="I28" i="55"/>
  <c r="L28" i="55" s="1"/>
  <c r="M28" i="55" s="1"/>
  <c r="N28" i="55" s="1"/>
  <c r="O28" i="55" s="1"/>
  <c r="P28" i="55" s="1"/>
  <c r="Q28" i="55" s="1"/>
  <c r="R28" i="55" s="1"/>
  <c r="S28" i="55" s="1"/>
  <c r="T28" i="55" s="1"/>
  <c r="U28" i="55" s="1"/>
  <c r="V28" i="55" s="1"/>
  <c r="I15" i="55"/>
  <c r="L15" i="55" s="1"/>
  <c r="M15" i="55" s="1"/>
  <c r="N15" i="55" s="1"/>
  <c r="O15" i="55" s="1"/>
  <c r="P15" i="55" s="1"/>
  <c r="Q15" i="55" s="1"/>
  <c r="R15" i="55" s="1"/>
  <c r="S15" i="55" s="1"/>
  <c r="T15" i="55" s="1"/>
  <c r="U15" i="55" s="1"/>
  <c r="I36" i="53"/>
  <c r="L36" i="53" s="1"/>
  <c r="M36" i="53" s="1"/>
  <c r="I36" i="55"/>
  <c r="L36" i="55" s="1"/>
  <c r="M36" i="55" s="1"/>
  <c r="N36" i="55" s="1"/>
  <c r="K31" i="55"/>
  <c r="K41" i="55"/>
  <c r="F60" i="54"/>
  <c r="F61" i="54" s="1"/>
  <c r="H56" i="52"/>
  <c r="I56" i="52" s="1"/>
  <c r="L56" i="52" s="1"/>
  <c r="M56" i="52" s="1"/>
  <c r="N56" i="52" s="1"/>
  <c r="O56" i="52" s="1"/>
  <c r="P56" i="52" s="1"/>
  <c r="Q56" i="52" s="1"/>
  <c r="R56" i="52" s="1"/>
  <c r="J51" i="15"/>
  <c r="I35" i="56"/>
  <c r="L35" i="56" s="1"/>
  <c r="M35" i="56" s="1"/>
  <c r="N35" i="56" s="1"/>
  <c r="O35" i="56" s="1"/>
  <c r="P35" i="56" s="1"/>
  <c r="Q35" i="56" s="1"/>
  <c r="R35" i="56" s="1"/>
  <c r="S35" i="56" s="1"/>
  <c r="T35" i="56" s="1"/>
  <c r="I15" i="56"/>
  <c r="L15" i="56" s="1"/>
  <c r="M15" i="56" s="1"/>
  <c r="N15" i="56" s="1"/>
  <c r="O15" i="56" s="1"/>
  <c r="P15" i="56" s="1"/>
  <c r="Q15" i="56" s="1"/>
  <c r="R15" i="56" s="1"/>
  <c r="S15" i="56" s="1"/>
  <c r="T15" i="56" s="1"/>
  <c r="I35" i="55"/>
  <c r="L35" i="55" s="1"/>
  <c r="M35" i="55" s="1"/>
  <c r="N35" i="55" s="1"/>
  <c r="O35" i="55" s="1"/>
  <c r="P35" i="55" s="1"/>
  <c r="Q35" i="55" s="1"/>
  <c r="I7" i="53"/>
  <c r="L7" i="53" s="1"/>
  <c r="M7" i="53" s="1"/>
  <c r="N7" i="53" s="1"/>
  <c r="O7" i="53" s="1"/>
  <c r="P7" i="53" s="1"/>
  <c r="Q7" i="53" s="1"/>
  <c r="R7" i="53" s="1"/>
  <c r="S7" i="53" s="1"/>
  <c r="T7" i="53" s="1"/>
  <c r="U7" i="53" s="1"/>
  <c r="H11" i="15"/>
  <c r="H11" i="48" s="1"/>
  <c r="I18" i="49"/>
  <c r="L18" i="49" s="1"/>
  <c r="M18" i="49" s="1"/>
  <c r="N18" i="49" s="1"/>
  <c r="O18" i="49" s="1"/>
  <c r="P18" i="49" s="1"/>
  <c r="Q18" i="49" s="1"/>
  <c r="R18" i="49" s="1"/>
  <c r="S18" i="49" s="1"/>
  <c r="T18" i="49" s="1"/>
  <c r="U18" i="49" s="1"/>
  <c r="V18" i="49" s="1"/>
  <c r="W18" i="49" s="1"/>
  <c r="X18" i="49" s="1"/>
  <c r="K61" i="15"/>
  <c r="I10" i="51"/>
  <c r="L10" i="51" s="1"/>
  <c r="M10" i="51" s="1"/>
  <c r="N10" i="51" s="1"/>
  <c r="O10" i="51" s="1"/>
  <c r="P10" i="51" s="1"/>
  <c r="Q10" i="51" s="1"/>
  <c r="R10" i="51" s="1"/>
  <c r="S10" i="51" s="1"/>
  <c r="T10" i="51" s="1"/>
  <c r="U10" i="51" s="1"/>
  <c r="V10" i="51" s="1"/>
  <c r="W10" i="51" s="1"/>
  <c r="I58" i="51"/>
  <c r="L58" i="51" s="1"/>
  <c r="M58" i="51" s="1"/>
  <c r="N58" i="51" s="1"/>
  <c r="O58" i="51" s="1"/>
  <c r="P58" i="51" s="1"/>
  <c r="Q58" i="51" s="1"/>
  <c r="R58" i="51" s="1"/>
  <c r="S58" i="51" s="1"/>
  <c r="T58" i="51" s="1"/>
  <c r="U58" i="51" s="1"/>
  <c r="V58" i="51" s="1"/>
  <c r="W58" i="51" s="1"/>
  <c r="L49" i="54"/>
  <c r="M49" i="54" s="1"/>
  <c r="N49" i="54" s="1"/>
  <c r="O49" i="54" s="1"/>
  <c r="P49" i="54" s="1"/>
  <c r="Q49" i="54" s="1"/>
  <c r="R49" i="54" s="1"/>
  <c r="S49" i="54" s="1"/>
  <c r="T49" i="54" s="1"/>
  <c r="U49" i="54" s="1"/>
  <c r="V49" i="54" s="1"/>
  <c r="W49" i="54" s="1"/>
  <c r="L16" i="49"/>
  <c r="M16" i="49" s="1"/>
  <c r="I27" i="51"/>
  <c r="L27" i="51" s="1"/>
  <c r="M27" i="51" s="1"/>
  <c r="N27" i="51" s="1"/>
  <c r="O27" i="51" s="1"/>
  <c r="P27" i="51" s="1"/>
  <c r="Q27" i="51" s="1"/>
  <c r="R27" i="51" s="1"/>
  <c r="S27" i="51" s="1"/>
  <c r="T27" i="51" s="1"/>
  <c r="U27" i="51" s="1"/>
  <c r="V27" i="51" s="1"/>
  <c r="W27" i="51" s="1"/>
  <c r="X27" i="51" s="1"/>
  <c r="I20" i="15"/>
  <c r="L20" i="15" s="1"/>
  <c r="M20" i="15" s="1"/>
  <c r="N20" i="15" s="1"/>
  <c r="O20" i="15" s="1"/>
  <c r="P20" i="15" s="1"/>
  <c r="Q20" i="15" s="1"/>
  <c r="R20" i="15" s="1"/>
  <c r="S20" i="15" s="1"/>
  <c r="T20" i="15" s="1"/>
  <c r="U20" i="15" s="1"/>
  <c r="K41" i="50"/>
  <c r="K11" i="55"/>
  <c r="F31" i="52"/>
  <c r="F56" i="50"/>
  <c r="I56" i="50" s="1"/>
  <c r="L56" i="50" s="1"/>
  <c r="L27" i="53"/>
  <c r="M27" i="53" s="1"/>
  <c r="N27" i="53" s="1"/>
  <c r="O27" i="53" s="1"/>
  <c r="P27" i="53" s="1"/>
  <c r="Q27" i="53" s="1"/>
  <c r="R27" i="53" s="1"/>
  <c r="S27" i="53" s="1"/>
  <c r="T27" i="53" s="1"/>
  <c r="U27" i="53" s="1"/>
  <c r="V27" i="53" s="1"/>
  <c r="H61" i="48"/>
  <c r="I18" i="51"/>
  <c r="L18" i="51" s="1"/>
  <c r="M18" i="51" s="1"/>
  <c r="N18" i="51" s="1"/>
  <c r="O18" i="51" s="1"/>
  <c r="P18" i="51" s="1"/>
  <c r="Q18" i="51" s="1"/>
  <c r="R18" i="51" s="1"/>
  <c r="S18" i="51" s="1"/>
  <c r="T18" i="51" s="1"/>
  <c r="U18" i="51" s="1"/>
  <c r="V18" i="51" s="1"/>
  <c r="W18" i="51" s="1"/>
  <c r="X18" i="51" s="1"/>
  <c r="K31" i="53"/>
  <c r="J41" i="48"/>
  <c r="I57" i="56"/>
  <c r="L57" i="56" s="1"/>
  <c r="M57" i="56" s="1"/>
  <c r="N57" i="56" s="1"/>
  <c r="O57" i="56" s="1"/>
  <c r="P57" i="56" s="1"/>
  <c r="I8" i="55"/>
  <c r="L8" i="55" s="1"/>
  <c r="M8" i="55" s="1"/>
  <c r="N8" i="55" s="1"/>
  <c r="O8" i="55" s="1"/>
  <c r="P8" i="55" s="1"/>
  <c r="Q8" i="55" s="1"/>
  <c r="R8" i="55" s="1"/>
  <c r="S8" i="55" s="1"/>
  <c r="T8" i="55" s="1"/>
  <c r="U8" i="55" s="1"/>
  <c r="H21" i="51"/>
  <c r="H21" i="52" s="1"/>
  <c r="I46" i="49"/>
  <c r="L46" i="49" s="1"/>
  <c r="M46" i="49" s="1"/>
  <c r="N46" i="49" s="1"/>
  <c r="O46" i="49" s="1"/>
  <c r="P46" i="49" s="1"/>
  <c r="Q46" i="49" s="1"/>
  <c r="R46" i="49" s="1"/>
  <c r="S46" i="49" s="1"/>
  <c r="L50" i="49"/>
  <c r="M50" i="49" s="1"/>
  <c r="N50" i="49" s="1"/>
  <c r="O50" i="49" s="1"/>
  <c r="P50" i="49" s="1"/>
  <c r="Q50" i="49" s="1"/>
  <c r="R50" i="49" s="1"/>
  <c r="S50" i="49" s="1"/>
  <c r="T50" i="49" s="1"/>
  <c r="U50" i="49" s="1"/>
  <c r="I9" i="51"/>
  <c r="L9" i="51" s="1"/>
  <c r="M9" i="51" s="1"/>
  <c r="N9" i="51" s="1"/>
  <c r="O9" i="51" s="1"/>
  <c r="P9" i="51" s="1"/>
  <c r="Q9" i="51" s="1"/>
  <c r="R9" i="51" s="1"/>
  <c r="S9" i="51" s="1"/>
  <c r="T9" i="51" s="1"/>
  <c r="U9" i="51" s="1"/>
  <c r="V9" i="51" s="1"/>
  <c r="W9" i="51" s="1"/>
  <c r="H11" i="55"/>
  <c r="H11" i="56" s="1"/>
  <c r="I59" i="15"/>
  <c r="L59" i="15" s="1"/>
  <c r="M59" i="15" s="1"/>
  <c r="N59" i="15" s="1"/>
  <c r="O59" i="15" s="1"/>
  <c r="P59" i="15" s="1"/>
  <c r="Q59" i="15" s="1"/>
  <c r="R59" i="15" s="1"/>
  <c r="S59" i="15" s="1"/>
  <c r="T59" i="15" s="1"/>
  <c r="U59" i="15" s="1"/>
  <c r="V59" i="15" s="1"/>
  <c r="W59" i="15" s="1"/>
  <c r="X59" i="15" s="1"/>
  <c r="K41" i="48"/>
  <c r="F61" i="51"/>
  <c r="I25" i="49"/>
  <c r="L25" i="49" s="1"/>
  <c r="M25" i="49" s="1"/>
  <c r="I59" i="48"/>
  <c r="L59" i="48" s="1"/>
  <c r="M59" i="48" s="1"/>
  <c r="N59" i="48" s="1"/>
  <c r="O59" i="48" s="1"/>
  <c r="P59" i="48" s="1"/>
  <c r="Q59" i="48" s="1"/>
  <c r="R59" i="48" s="1"/>
  <c r="S59" i="48" s="1"/>
  <c r="T59" i="48" s="1"/>
  <c r="U59" i="48" s="1"/>
  <c r="V59" i="48" s="1"/>
  <c r="W59" i="48" s="1"/>
  <c r="I26" i="53"/>
  <c r="L26" i="53" s="1"/>
  <c r="M26" i="53" s="1"/>
  <c r="N26" i="53" s="1"/>
  <c r="O26" i="53" s="1"/>
  <c r="P26" i="53" s="1"/>
  <c r="Q26" i="53" s="1"/>
  <c r="R26" i="53" s="1"/>
  <c r="S26" i="53" s="1"/>
  <c r="H41" i="15"/>
  <c r="H41" i="48" s="1"/>
  <c r="F11" i="53"/>
  <c r="H51" i="53"/>
  <c r="H51" i="54"/>
  <c r="J41" i="50"/>
  <c r="I9" i="52"/>
  <c r="L9" i="52" s="1"/>
  <c r="M9" i="52" s="1"/>
  <c r="N9" i="52" s="1"/>
  <c r="O9" i="52" s="1"/>
  <c r="P9" i="52" s="1"/>
  <c r="Q9" i="52" s="1"/>
  <c r="R9" i="52" s="1"/>
  <c r="S9" i="52" s="1"/>
  <c r="T9" i="52" s="1"/>
  <c r="U9" i="52" s="1"/>
  <c r="K61" i="54"/>
  <c r="I35" i="52"/>
  <c r="L35" i="52" s="1"/>
  <c r="M35" i="52" s="1"/>
  <c r="N35" i="52" s="1"/>
  <c r="O35" i="52" s="1"/>
  <c r="P35" i="52" s="1"/>
  <c r="Q35" i="52" s="1"/>
  <c r="R35" i="52" s="1"/>
  <c r="S35" i="52" s="1"/>
  <c r="T35" i="52" s="1"/>
  <c r="I40" i="56"/>
  <c r="L40" i="56" s="1"/>
  <c r="M40" i="56" s="1"/>
  <c r="N40" i="56" s="1"/>
  <c r="O40" i="56" s="1"/>
  <c r="P40" i="56" s="1"/>
  <c r="Q40" i="56" s="1"/>
  <c r="R40" i="56" s="1"/>
  <c r="S40" i="56" s="1"/>
  <c r="T40" i="56" s="1"/>
  <c r="U40" i="56" s="1"/>
  <c r="V40" i="56" s="1"/>
  <c r="L37" i="53"/>
  <c r="M37" i="53" s="1"/>
  <c r="N37" i="53" s="1"/>
  <c r="O37" i="53" s="1"/>
  <c r="P37" i="53" s="1"/>
  <c r="Q37" i="53" s="1"/>
  <c r="R37" i="53" s="1"/>
  <c r="S37" i="53" s="1"/>
  <c r="T37" i="53" s="1"/>
  <c r="U37" i="53" s="1"/>
  <c r="I40" i="55"/>
  <c r="L40" i="55" s="1"/>
  <c r="M40" i="55" s="1"/>
  <c r="N40" i="55" s="1"/>
  <c r="O40" i="55" s="1"/>
  <c r="P40" i="55" s="1"/>
  <c r="Q40" i="55" s="1"/>
  <c r="R40" i="55" s="1"/>
  <c r="S40" i="55" s="1"/>
  <c r="T40" i="55" s="1"/>
  <c r="U40" i="55" s="1"/>
  <c r="V40" i="55" s="1"/>
  <c r="W40" i="55" s="1"/>
  <c r="H31" i="53"/>
  <c r="H31" i="54" s="1"/>
  <c r="I30" i="51"/>
  <c r="L30" i="51" s="1"/>
  <c r="M30" i="51" s="1"/>
  <c r="N30" i="51" s="1"/>
  <c r="O30" i="51" s="1"/>
  <c r="P30" i="51" s="1"/>
  <c r="Q30" i="51" s="1"/>
  <c r="R30" i="51" s="1"/>
  <c r="S30" i="51" s="1"/>
  <c r="T30" i="51" s="1"/>
  <c r="U30" i="51" s="1"/>
  <c r="V30" i="51" s="1"/>
  <c r="W30" i="51" s="1"/>
  <c r="X30" i="51" s="1"/>
  <c r="L59" i="49"/>
  <c r="M59" i="49" s="1"/>
  <c r="N59" i="49" s="1"/>
  <c r="O59" i="49" s="1"/>
  <c r="P59" i="49" s="1"/>
  <c r="Q59" i="49" s="1"/>
  <c r="R59" i="49" s="1"/>
  <c r="S59" i="49" s="1"/>
  <c r="T59" i="49" s="1"/>
  <c r="U59" i="49" s="1"/>
  <c r="V59" i="49" s="1"/>
  <c r="J55" i="54"/>
  <c r="J61" i="54" s="1"/>
  <c r="F58" i="52"/>
  <c r="F61" i="52" s="1"/>
  <c r="I8" i="15"/>
  <c r="L8" i="15" s="1"/>
  <c r="M8" i="15" s="1"/>
  <c r="N8" i="15" s="1"/>
  <c r="O8" i="15" s="1"/>
  <c r="P8" i="15" s="1"/>
  <c r="Q8" i="15" s="1"/>
  <c r="R8" i="15" s="1"/>
  <c r="S8" i="15" s="1"/>
  <c r="T8" i="15" s="1"/>
  <c r="U8" i="15" s="1"/>
  <c r="H61" i="49"/>
  <c r="L10" i="15"/>
  <c r="M10" i="15" s="1"/>
  <c r="N10" i="15" s="1"/>
  <c r="O10" i="15" s="1"/>
  <c r="P10" i="15" s="1"/>
  <c r="Q10" i="15" s="1"/>
  <c r="R10" i="15" s="1"/>
  <c r="S10" i="15" s="1"/>
  <c r="T10" i="15" s="1"/>
  <c r="U10" i="15" s="1"/>
  <c r="F17" i="52"/>
  <c r="I17" i="52" s="1"/>
  <c r="L17" i="52" s="1"/>
  <c r="M17" i="52" s="1"/>
  <c r="N17" i="52" s="1"/>
  <c r="O17" i="52" s="1"/>
  <c r="P17" i="52" s="1"/>
  <c r="Q17" i="52" s="1"/>
  <c r="R17" i="52" s="1"/>
  <c r="J35" i="51"/>
  <c r="J41" i="51" s="1"/>
  <c r="I55" i="53"/>
  <c r="L55" i="53" s="1"/>
  <c r="M55" i="53" s="1"/>
  <c r="F45" i="56"/>
  <c r="I45" i="56" s="1"/>
  <c r="L45" i="56" s="1"/>
  <c r="H45" i="50"/>
  <c r="H51" i="50" s="1"/>
  <c r="F31" i="53"/>
  <c r="I57" i="15"/>
  <c r="L57" i="15" s="1"/>
  <c r="M57" i="15" s="1"/>
  <c r="N57" i="15" s="1"/>
  <c r="O57" i="15" s="1"/>
  <c r="P57" i="15" s="1"/>
  <c r="Q57" i="15" s="1"/>
  <c r="R57" i="15" s="1"/>
  <c r="S57" i="15" s="1"/>
  <c r="T57" i="15" s="1"/>
  <c r="U57" i="15" s="1"/>
  <c r="V57" i="15" s="1"/>
  <c r="W57" i="15" s="1"/>
  <c r="F11" i="51"/>
  <c r="I6" i="15"/>
  <c r="L6" i="15" s="1"/>
  <c r="M6" i="15" s="1"/>
  <c r="N6" i="15" s="1"/>
  <c r="O6" i="15" s="1"/>
  <c r="P6" i="15" s="1"/>
  <c r="Q6" i="15" s="1"/>
  <c r="R6" i="15" s="1"/>
  <c r="S6" i="15" s="1"/>
  <c r="F31" i="51"/>
  <c r="L60" i="53"/>
  <c r="M60" i="53" s="1"/>
  <c r="N60" i="53" s="1"/>
  <c r="O60" i="53" s="1"/>
  <c r="P60" i="53" s="1"/>
  <c r="Q60" i="53" s="1"/>
  <c r="R60" i="53" s="1"/>
  <c r="S60" i="53" s="1"/>
  <c r="T60" i="53" s="1"/>
  <c r="U60" i="53" s="1"/>
  <c r="V60" i="53" s="1"/>
  <c r="I46" i="50"/>
  <c r="L46" i="50" s="1"/>
  <c r="M46" i="50" s="1"/>
  <c r="N46" i="50" s="1"/>
  <c r="O46" i="50" s="1"/>
  <c r="P46" i="50" s="1"/>
  <c r="F41" i="55"/>
  <c r="J11" i="15"/>
  <c r="L40" i="51"/>
  <c r="M40" i="51" s="1"/>
  <c r="N40" i="51" s="1"/>
  <c r="O40" i="51" s="1"/>
  <c r="P40" i="51" s="1"/>
  <c r="Q40" i="51" s="1"/>
  <c r="R40" i="51" s="1"/>
  <c r="S40" i="51" s="1"/>
  <c r="T40" i="51" s="1"/>
  <c r="U40" i="51" s="1"/>
  <c r="F61" i="15"/>
  <c r="I35" i="51"/>
  <c r="L35" i="51" s="1"/>
  <c r="M35" i="51" s="1"/>
  <c r="N35" i="51" s="1"/>
  <c r="O35" i="51" s="1"/>
  <c r="P35" i="51" s="1"/>
  <c r="Q35" i="51" s="1"/>
  <c r="R35" i="51" s="1"/>
  <c r="S35" i="51" s="1"/>
  <c r="T35" i="51" s="1"/>
  <c r="U35" i="51" s="1"/>
  <c r="I19" i="48"/>
  <c r="L19" i="48" s="1"/>
  <c r="M19" i="48" s="1"/>
  <c r="N19" i="48" s="1"/>
  <c r="O19" i="48" s="1"/>
  <c r="P19" i="48" s="1"/>
  <c r="Q19" i="48" s="1"/>
  <c r="R19" i="48" s="1"/>
  <c r="S19" i="48" s="1"/>
  <c r="T19" i="48" s="1"/>
  <c r="U19" i="48" s="1"/>
  <c r="I20" i="55"/>
  <c r="L20" i="55" s="1"/>
  <c r="M20" i="55" s="1"/>
  <c r="N20" i="55" s="1"/>
  <c r="O20" i="55" s="1"/>
  <c r="P20" i="55" s="1"/>
  <c r="Q20" i="55" s="1"/>
  <c r="R20" i="55" s="1"/>
  <c r="S20" i="55" s="1"/>
  <c r="T20" i="55" s="1"/>
  <c r="U20" i="55" s="1"/>
  <c r="L58" i="15"/>
  <c r="M58" i="15" s="1"/>
  <c r="N58" i="15" s="1"/>
  <c r="O58" i="15" s="1"/>
  <c r="P58" i="15" s="1"/>
  <c r="Q58" i="15" s="1"/>
  <c r="R58" i="15" s="1"/>
  <c r="S58" i="15" s="1"/>
  <c r="T58" i="15" s="1"/>
  <c r="U58" i="15" s="1"/>
  <c r="V58" i="15" s="1"/>
  <c r="W58" i="15" s="1"/>
  <c r="K51" i="53"/>
  <c r="I16" i="56"/>
  <c r="L16" i="56" s="1"/>
  <c r="M16" i="56" s="1"/>
  <c r="N16" i="56" s="1"/>
  <c r="O16" i="56" s="1"/>
  <c r="I7" i="54"/>
  <c r="L7" i="54" s="1"/>
  <c r="M7" i="54" s="1"/>
  <c r="N7" i="54" s="1"/>
  <c r="O7" i="54" s="1"/>
  <c r="P7" i="54" s="1"/>
  <c r="Q7" i="54" s="1"/>
  <c r="R7" i="54" s="1"/>
  <c r="S7" i="54" s="1"/>
  <c r="T7" i="54" s="1"/>
  <c r="U7" i="54" s="1"/>
  <c r="V7" i="54" s="1"/>
  <c r="L50" i="56"/>
  <c r="M50" i="56" s="1"/>
  <c r="N50" i="56" s="1"/>
  <c r="O50" i="56" s="1"/>
  <c r="P50" i="56" s="1"/>
  <c r="Q50" i="56" s="1"/>
  <c r="R50" i="56" s="1"/>
  <c r="S50" i="56" s="1"/>
  <c r="T50" i="56" s="1"/>
  <c r="U50" i="56" s="1"/>
  <c r="V50" i="56" s="1"/>
  <c r="F51" i="15"/>
  <c r="J31" i="51"/>
  <c r="H61" i="15"/>
  <c r="F31" i="54"/>
  <c r="F49" i="56"/>
  <c r="I49" i="56" s="1"/>
  <c r="L49" i="56" s="1"/>
  <c r="M49" i="56" s="1"/>
  <c r="N49" i="56" s="1"/>
  <c r="O49" i="56" s="1"/>
  <c r="P49" i="56" s="1"/>
  <c r="Q49" i="56" s="1"/>
  <c r="R49" i="56" s="1"/>
  <c r="S49" i="56" s="1"/>
  <c r="T49" i="56" s="1"/>
  <c r="U49" i="56" s="1"/>
  <c r="I49" i="55"/>
  <c r="L49" i="55" s="1"/>
  <c r="M49" i="55" s="1"/>
  <c r="N49" i="55" s="1"/>
  <c r="O49" i="55" s="1"/>
  <c r="P49" i="55" s="1"/>
  <c r="Q49" i="55" s="1"/>
  <c r="R49" i="55" s="1"/>
  <c r="S49" i="55" s="1"/>
  <c r="T49" i="55" s="1"/>
  <c r="U49" i="55" s="1"/>
  <c r="V49" i="55" s="1"/>
  <c r="W49" i="55" s="1"/>
  <c r="X49" i="55" s="1"/>
  <c r="I16" i="55"/>
  <c r="L16" i="55" s="1"/>
  <c r="M16" i="55" s="1"/>
  <c r="N16" i="55" s="1"/>
  <c r="O16" i="55" s="1"/>
  <c r="P16" i="55" s="1"/>
  <c r="I20" i="56"/>
  <c r="L20" i="56" s="1"/>
  <c r="M20" i="56" s="1"/>
  <c r="N20" i="56" s="1"/>
  <c r="O20" i="56" s="1"/>
  <c r="P20" i="56" s="1"/>
  <c r="Q20" i="56" s="1"/>
  <c r="R20" i="56" s="1"/>
  <c r="S20" i="56" s="1"/>
  <c r="T20" i="56" s="1"/>
  <c r="U20" i="56" s="1"/>
  <c r="V20" i="56" s="1"/>
  <c r="W20" i="56" s="1"/>
  <c r="I6" i="48"/>
  <c r="L6" i="48" s="1"/>
  <c r="M6" i="48" s="1"/>
  <c r="N6" i="48" s="1"/>
  <c r="O6" i="48" s="1"/>
  <c r="P6" i="48" s="1"/>
  <c r="Q6" i="48" s="1"/>
  <c r="R6" i="48" s="1"/>
  <c r="I26" i="54"/>
  <c r="L26" i="54" s="1"/>
  <c r="M26" i="54" s="1"/>
  <c r="N26" i="54" s="1"/>
  <c r="O26" i="54" s="1"/>
  <c r="P26" i="54" s="1"/>
  <c r="Q26" i="54" s="1"/>
  <c r="R26" i="54" s="1"/>
  <c r="L37" i="49"/>
  <c r="M37" i="49" s="1"/>
  <c r="N37" i="49" s="1"/>
  <c r="O37" i="49" s="1"/>
  <c r="P37" i="49" s="1"/>
  <c r="Q37" i="49" s="1"/>
  <c r="R37" i="49" s="1"/>
  <c r="S37" i="49" s="1"/>
  <c r="T37" i="49" s="1"/>
  <c r="U37" i="49" s="1"/>
  <c r="F51" i="50"/>
  <c r="I19" i="15"/>
  <c r="L19" i="15" s="1"/>
  <c r="M19" i="15" s="1"/>
  <c r="N19" i="15" s="1"/>
  <c r="O19" i="15" s="1"/>
  <c r="P19" i="15" s="1"/>
  <c r="Q19" i="15" s="1"/>
  <c r="R19" i="15" s="1"/>
  <c r="S19" i="15" s="1"/>
  <c r="T19" i="15" s="1"/>
  <c r="U19" i="15" s="1"/>
  <c r="I9" i="49"/>
  <c r="L9" i="49" s="1"/>
  <c r="M9" i="49" s="1"/>
  <c r="N9" i="49" s="1"/>
  <c r="O9" i="49" s="1"/>
  <c r="P9" i="49" s="1"/>
  <c r="Q9" i="49" s="1"/>
  <c r="R9" i="49" s="1"/>
  <c r="S9" i="49" s="1"/>
  <c r="T9" i="49" s="1"/>
  <c r="U9" i="49" s="1"/>
  <c r="V9" i="49" s="1"/>
  <c r="W9" i="49" s="1"/>
  <c r="F51" i="48"/>
  <c r="J51" i="48"/>
  <c r="K31" i="15"/>
  <c r="J61" i="52"/>
  <c r="I50" i="51"/>
  <c r="L50" i="51" s="1"/>
  <c r="M50" i="51" s="1"/>
  <c r="N50" i="51" s="1"/>
  <c r="O50" i="51" s="1"/>
  <c r="P50" i="51" s="1"/>
  <c r="Q50" i="51" s="1"/>
  <c r="R50" i="51" s="1"/>
  <c r="S50" i="51" s="1"/>
  <c r="T50" i="51" s="1"/>
  <c r="U50" i="51" s="1"/>
  <c r="V50" i="51" s="1"/>
  <c r="W50" i="51" s="1"/>
  <c r="K21" i="55"/>
  <c r="I58" i="54"/>
  <c r="L58" i="54" s="1"/>
  <c r="M58" i="54" s="1"/>
  <c r="N58" i="54" s="1"/>
  <c r="O58" i="54" s="1"/>
  <c r="P58" i="54" s="1"/>
  <c r="Q58" i="54" s="1"/>
  <c r="R58" i="54" s="1"/>
  <c r="S58" i="54" s="1"/>
  <c r="T58" i="54" s="1"/>
  <c r="U58" i="54" s="1"/>
  <c r="V58" i="54" s="1"/>
  <c r="W58" i="54" s="1"/>
  <c r="L36" i="15"/>
  <c r="M36" i="15" s="1"/>
  <c r="N36" i="15" s="1"/>
  <c r="O36" i="15" s="1"/>
  <c r="P36" i="15" s="1"/>
  <c r="Q36" i="15" s="1"/>
  <c r="R36" i="15" s="1"/>
  <c r="S36" i="15" s="1"/>
  <c r="T36" i="15" s="1"/>
  <c r="U36" i="15" s="1"/>
  <c r="J31" i="15"/>
  <c r="I49" i="49"/>
  <c r="L49" i="49" s="1"/>
  <c r="M49" i="49" s="1"/>
  <c r="N49" i="49" s="1"/>
  <c r="O49" i="49" s="1"/>
  <c r="P49" i="49" s="1"/>
  <c r="Q49" i="49" s="1"/>
  <c r="R49" i="49" s="1"/>
  <c r="S49" i="49" s="1"/>
  <c r="T49" i="49" s="1"/>
  <c r="U49" i="49" s="1"/>
  <c r="V49" i="49" s="1"/>
  <c r="W49" i="49" s="1"/>
  <c r="X49" i="49" s="1"/>
  <c r="I49" i="50"/>
  <c r="L49" i="50" s="1"/>
  <c r="M49" i="50" s="1"/>
  <c r="N49" i="50" s="1"/>
  <c r="O49" i="50" s="1"/>
  <c r="P49" i="50" s="1"/>
  <c r="Q49" i="50" s="1"/>
  <c r="R49" i="50" s="1"/>
  <c r="S49" i="50" s="1"/>
  <c r="T49" i="50" s="1"/>
  <c r="U49" i="50" s="1"/>
  <c r="V49" i="50" s="1"/>
  <c r="W49" i="50" s="1"/>
  <c r="I57" i="52"/>
  <c r="L57" i="52" s="1"/>
  <c r="M57" i="52" s="1"/>
  <c r="N57" i="52" s="1"/>
  <c r="O57" i="52" s="1"/>
  <c r="P57" i="52" s="1"/>
  <c r="Q57" i="52" s="1"/>
  <c r="R57" i="52" s="1"/>
  <c r="S57" i="52" s="1"/>
  <c r="T57" i="52" s="1"/>
  <c r="U57" i="52" s="1"/>
  <c r="V57" i="52" s="1"/>
  <c r="W57" i="52" s="1"/>
  <c r="K61" i="52"/>
  <c r="J60" i="15"/>
  <c r="L60" i="15"/>
  <c r="M60" i="15" s="1"/>
  <c r="N60" i="15" s="1"/>
  <c r="O60" i="15" s="1"/>
  <c r="P60" i="15" s="1"/>
  <c r="Q60" i="15" s="1"/>
  <c r="R60" i="15" s="1"/>
  <c r="S60" i="15" s="1"/>
  <c r="T60" i="15" s="1"/>
  <c r="U60" i="15" s="1"/>
  <c r="V60" i="15" s="1"/>
  <c r="W60" i="15" s="1"/>
  <c r="I60" i="55"/>
  <c r="L60" i="55" s="1"/>
  <c r="M60" i="55" s="1"/>
  <c r="N60" i="55" s="1"/>
  <c r="O60" i="55" s="1"/>
  <c r="P60" i="55" s="1"/>
  <c r="Q60" i="55" s="1"/>
  <c r="R60" i="55" s="1"/>
  <c r="S60" i="55" s="1"/>
  <c r="F11" i="48"/>
  <c r="J60" i="49"/>
  <c r="L60" i="49"/>
  <c r="M60" i="49" s="1"/>
  <c r="N60" i="49" s="1"/>
  <c r="O60" i="49" s="1"/>
  <c r="P60" i="49" s="1"/>
  <c r="Q60" i="49" s="1"/>
  <c r="R60" i="49" s="1"/>
  <c r="S60" i="49" s="1"/>
  <c r="T60" i="49" s="1"/>
  <c r="U60" i="49" s="1"/>
  <c r="V60" i="49" s="1"/>
  <c r="I26" i="55"/>
  <c r="L26" i="55" s="1"/>
  <c r="M26" i="55" s="1"/>
  <c r="N26" i="55" s="1"/>
  <c r="O26" i="55" s="1"/>
  <c r="P26" i="55" s="1"/>
  <c r="Q26" i="55" s="1"/>
  <c r="R26" i="55" s="1"/>
  <c r="S26" i="55" s="1"/>
  <c r="T26" i="55" s="1"/>
  <c r="U26" i="55" s="1"/>
  <c r="V26" i="55" s="1"/>
  <c r="W26" i="55" s="1"/>
  <c r="K61" i="55"/>
  <c r="J21" i="55"/>
  <c r="F61" i="56"/>
  <c r="I20" i="48"/>
  <c r="L20" i="48" s="1"/>
  <c r="M20" i="48" s="1"/>
  <c r="N20" i="48" s="1"/>
  <c r="O20" i="48" s="1"/>
  <c r="P20" i="48" s="1"/>
  <c r="Q20" i="48" s="1"/>
  <c r="R20" i="48" s="1"/>
  <c r="S20" i="48" s="1"/>
  <c r="T20" i="48" s="1"/>
  <c r="U20" i="48" s="1"/>
  <c r="I5" i="55"/>
  <c r="L5" i="55" s="1"/>
  <c r="M5" i="55" s="1"/>
  <c r="N5" i="55" s="1"/>
  <c r="O5" i="55" s="1"/>
  <c r="P5" i="55" s="1"/>
  <c r="Q5" i="55" s="1"/>
  <c r="R5" i="55" s="1"/>
  <c r="S5" i="55" s="1"/>
  <c r="T5" i="55" s="1"/>
  <c r="U5" i="55" s="1"/>
  <c r="F5" i="56"/>
  <c r="I5" i="56" s="1"/>
  <c r="L5" i="56" s="1"/>
  <c r="M5" i="56" s="1"/>
  <c r="N5" i="56" s="1"/>
  <c r="O5" i="56" s="1"/>
  <c r="P5" i="56" s="1"/>
  <c r="Q5" i="56" s="1"/>
  <c r="R5" i="56" s="1"/>
  <c r="S5" i="56" s="1"/>
  <c r="T5" i="56" s="1"/>
  <c r="U5" i="56" s="1"/>
  <c r="F51" i="53"/>
  <c r="F31" i="49"/>
  <c r="L16" i="54"/>
  <c r="M16" i="54" s="1"/>
  <c r="N16" i="54" s="1"/>
  <c r="O16" i="54" s="1"/>
  <c r="P16" i="54" s="1"/>
  <c r="Q16" i="54" s="1"/>
  <c r="R16" i="54" s="1"/>
  <c r="S16" i="54" s="1"/>
  <c r="T16" i="54" s="1"/>
  <c r="U16" i="54" s="1"/>
  <c r="V16" i="54" s="1"/>
  <c r="L28" i="49"/>
  <c r="M28" i="49" s="1"/>
  <c r="N28" i="49" s="1"/>
  <c r="O28" i="49" s="1"/>
  <c r="P28" i="49" s="1"/>
  <c r="Q28" i="49" s="1"/>
  <c r="R28" i="49" s="1"/>
  <c r="S28" i="49" s="1"/>
  <c r="J5" i="55"/>
  <c r="J11" i="55" s="1"/>
  <c r="I55" i="52"/>
  <c r="L55" i="52" s="1"/>
  <c r="M55" i="52" s="1"/>
  <c r="N55" i="52" s="1"/>
  <c r="O55" i="52" s="1"/>
  <c r="P55" i="52" s="1"/>
  <c r="Q55" i="52" s="1"/>
  <c r="R55" i="52" s="1"/>
  <c r="S55" i="52" s="1"/>
  <c r="T55" i="52" s="1"/>
  <c r="K21" i="54"/>
  <c r="I9" i="48"/>
  <c r="L9" i="48" s="1"/>
  <c r="M9" i="48" s="1"/>
  <c r="N9" i="48" s="1"/>
  <c r="O9" i="48" s="1"/>
  <c r="P9" i="48" s="1"/>
  <c r="Q9" i="48" s="1"/>
  <c r="R9" i="48" s="1"/>
  <c r="S9" i="48" s="1"/>
  <c r="T9" i="48" s="1"/>
  <c r="U9" i="48" s="1"/>
  <c r="I8" i="49"/>
  <c r="L8" i="49" s="1"/>
  <c r="M8" i="49" s="1"/>
  <c r="N8" i="49" s="1"/>
  <c r="O8" i="49" s="1"/>
  <c r="P8" i="49" s="1"/>
  <c r="Q8" i="49" s="1"/>
  <c r="R8" i="49" s="1"/>
  <c r="S8" i="49" s="1"/>
  <c r="T8" i="49" s="1"/>
  <c r="U8" i="49" s="1"/>
  <c r="V8" i="49" s="1"/>
  <c r="W8" i="49" s="1"/>
  <c r="J21" i="49"/>
  <c r="J21" i="54"/>
  <c r="J11" i="52"/>
  <c r="K21" i="51"/>
  <c r="I25" i="55"/>
  <c r="L25" i="55" s="1"/>
  <c r="M25" i="55" s="1"/>
  <c r="N25" i="55" s="1"/>
  <c r="O25" i="55" s="1"/>
  <c r="P25" i="55" s="1"/>
  <c r="Q25" i="55" s="1"/>
  <c r="R25" i="55" s="1"/>
  <c r="S25" i="55" s="1"/>
  <c r="F25" i="56"/>
  <c r="I25" i="56" s="1"/>
  <c r="L25" i="56" s="1"/>
  <c r="M25" i="56" s="1"/>
  <c r="N25" i="56" s="1"/>
  <c r="O25" i="56" s="1"/>
  <c r="P25" i="56" s="1"/>
  <c r="Q25" i="56" s="1"/>
  <c r="R25" i="56" s="1"/>
  <c r="L17" i="51"/>
  <c r="M17" i="51" s="1"/>
  <c r="N17" i="51" s="1"/>
  <c r="O17" i="51" s="1"/>
  <c r="P17" i="51" s="1"/>
  <c r="Q17" i="51" s="1"/>
  <c r="R17" i="51" s="1"/>
  <c r="S17" i="51" s="1"/>
  <c r="K47" i="50"/>
  <c r="J47" i="50" s="1"/>
  <c r="I57" i="51"/>
  <c r="L57" i="51" s="1"/>
  <c r="M57" i="51" s="1"/>
  <c r="N57" i="51" s="1"/>
  <c r="O57" i="51" s="1"/>
  <c r="P57" i="51" s="1"/>
  <c r="Q57" i="51" s="1"/>
  <c r="R57" i="51" s="1"/>
  <c r="S57" i="51" s="1"/>
  <c r="T57" i="51" s="1"/>
  <c r="U57" i="51" s="1"/>
  <c r="V57" i="51" s="1"/>
  <c r="W57" i="51" s="1"/>
  <c r="X57" i="51" s="1"/>
  <c r="F51" i="55"/>
  <c r="I49" i="53"/>
  <c r="L49" i="53" s="1"/>
  <c r="M49" i="53" s="1"/>
  <c r="N49" i="53" s="1"/>
  <c r="O49" i="53" s="1"/>
  <c r="P49" i="53" s="1"/>
  <c r="Q49" i="53" s="1"/>
  <c r="R49" i="53" s="1"/>
  <c r="S49" i="53" s="1"/>
  <c r="T49" i="53" s="1"/>
  <c r="U49" i="53" s="1"/>
  <c r="K31" i="51"/>
  <c r="F31" i="55"/>
  <c r="I50" i="54"/>
  <c r="L50" i="54" s="1"/>
  <c r="M50" i="54" s="1"/>
  <c r="N50" i="54" s="1"/>
  <c r="O50" i="54" s="1"/>
  <c r="P50" i="54" s="1"/>
  <c r="Q50" i="54" s="1"/>
  <c r="R50" i="54" s="1"/>
  <c r="S50" i="54" s="1"/>
  <c r="T50" i="54" s="1"/>
  <c r="U50" i="54" s="1"/>
  <c r="J40" i="15"/>
  <c r="J41" i="15" s="1"/>
  <c r="J49" i="53"/>
  <c r="F21" i="15"/>
  <c r="I17" i="55"/>
  <c r="L17" i="55" s="1"/>
  <c r="M17" i="55" s="1"/>
  <c r="N17" i="55" s="1"/>
  <c r="O17" i="55" s="1"/>
  <c r="P17" i="55" s="1"/>
  <c r="Q17" i="55" s="1"/>
  <c r="R17" i="55" s="1"/>
  <c r="S17" i="55" s="1"/>
  <c r="H31" i="51"/>
  <c r="H31" i="52" s="1"/>
  <c r="H28" i="52" s="1"/>
  <c r="I28" i="52" s="1"/>
  <c r="L28" i="52" s="1"/>
  <c r="L48" i="52"/>
  <c r="M48" i="52" s="1"/>
  <c r="N48" i="52" s="1"/>
  <c r="O48" i="52" s="1"/>
  <c r="P48" i="52" s="1"/>
  <c r="Q48" i="52" s="1"/>
  <c r="R48" i="52" s="1"/>
  <c r="S48" i="52" s="1"/>
  <c r="T48" i="52" s="1"/>
  <c r="U48" i="52" s="1"/>
  <c r="V48" i="52" s="1"/>
  <c r="W48" i="52" s="1"/>
  <c r="I50" i="48"/>
  <c r="L50" i="48" s="1"/>
  <c r="M50" i="48" s="1"/>
  <c r="N50" i="48" s="1"/>
  <c r="O50" i="48" s="1"/>
  <c r="P50" i="48" s="1"/>
  <c r="Q50" i="48" s="1"/>
  <c r="R50" i="48" s="1"/>
  <c r="S50" i="48" s="1"/>
  <c r="T50" i="48" s="1"/>
  <c r="U50" i="48" s="1"/>
  <c r="I40" i="15"/>
  <c r="L40" i="15" s="1"/>
  <c r="M40" i="15" s="1"/>
  <c r="N40" i="15" s="1"/>
  <c r="O40" i="15" s="1"/>
  <c r="P40" i="15" s="1"/>
  <c r="Q40" i="15" s="1"/>
  <c r="R40" i="15" s="1"/>
  <c r="S40" i="15" s="1"/>
  <c r="T40" i="15" s="1"/>
  <c r="U40" i="15" s="1"/>
  <c r="K11" i="15"/>
  <c r="H61" i="53"/>
  <c r="I38" i="15"/>
  <c r="L38" i="15" s="1"/>
  <c r="M38" i="15" s="1"/>
  <c r="N38" i="15" s="1"/>
  <c r="O38" i="15" s="1"/>
  <c r="P38" i="15" s="1"/>
  <c r="Q38" i="15" s="1"/>
  <c r="R38" i="15" s="1"/>
  <c r="S38" i="15" s="1"/>
  <c r="T38" i="15" s="1"/>
  <c r="U38" i="15" s="1"/>
  <c r="F31" i="50"/>
  <c r="H31" i="49"/>
  <c r="H31" i="50" s="1"/>
  <c r="K51" i="51"/>
  <c r="F31" i="15"/>
  <c r="I20" i="51"/>
  <c r="L20" i="51" s="1"/>
  <c r="M20" i="51" s="1"/>
  <c r="N20" i="51" s="1"/>
  <c r="O20" i="51" s="1"/>
  <c r="P20" i="51" s="1"/>
  <c r="Q20" i="51" s="1"/>
  <c r="R20" i="51" s="1"/>
  <c r="S20" i="51" s="1"/>
  <c r="T20" i="51" s="1"/>
  <c r="U20" i="51" s="1"/>
  <c r="V20" i="51" s="1"/>
  <c r="W20" i="51" s="1"/>
  <c r="F61" i="49"/>
  <c r="F21" i="51"/>
  <c r="F11" i="49"/>
  <c r="F11" i="52"/>
  <c r="I56" i="15"/>
  <c r="L56" i="15" s="1"/>
  <c r="M56" i="15" s="1"/>
  <c r="N56" i="15" s="1"/>
  <c r="F56" i="48"/>
  <c r="L50" i="52"/>
  <c r="M50" i="52" s="1"/>
  <c r="N50" i="52" s="1"/>
  <c r="O50" i="52" s="1"/>
  <c r="P50" i="52" s="1"/>
  <c r="Q50" i="52" s="1"/>
  <c r="R50" i="52" s="1"/>
  <c r="S50" i="52" s="1"/>
  <c r="T50" i="52" s="1"/>
  <c r="U50" i="52" s="1"/>
  <c r="V50" i="52" s="1"/>
  <c r="F61" i="53"/>
  <c r="K21" i="49"/>
  <c r="K11" i="52"/>
  <c r="I59" i="55"/>
  <c r="L59" i="55" s="1"/>
  <c r="M59" i="55" s="1"/>
  <c r="N59" i="55" s="1"/>
  <c r="F11" i="15"/>
  <c r="I46" i="52"/>
  <c r="L46" i="52" s="1"/>
  <c r="M46" i="52" s="1"/>
  <c r="N46" i="52" s="1"/>
  <c r="O46" i="52" s="1"/>
  <c r="P46" i="52" s="1"/>
  <c r="Q46" i="52" s="1"/>
  <c r="R46" i="52" s="1"/>
  <c r="S46" i="52" s="1"/>
  <c r="T46" i="52" s="1"/>
  <c r="U46" i="52" s="1"/>
  <c r="V46" i="52" s="1"/>
  <c r="W46" i="52" s="1"/>
  <c r="I9" i="15"/>
  <c r="L9" i="15" s="1"/>
  <c r="M9" i="15" s="1"/>
  <c r="N9" i="15" s="1"/>
  <c r="O9" i="15" s="1"/>
  <c r="P9" i="15" s="1"/>
  <c r="Q9" i="15" s="1"/>
  <c r="R9" i="15" s="1"/>
  <c r="S9" i="15" s="1"/>
  <c r="T9" i="15" s="1"/>
  <c r="U9" i="15" s="1"/>
  <c r="J56" i="15"/>
  <c r="H11" i="49"/>
  <c r="H11" i="50" s="1"/>
  <c r="H41" i="51"/>
  <c r="H41" i="52" s="1"/>
  <c r="I46" i="51"/>
  <c r="L46" i="51" s="1"/>
  <c r="H56" i="54"/>
  <c r="I56" i="54" s="1"/>
  <c r="L56" i="54" s="1"/>
  <c r="M56" i="54" s="1"/>
  <c r="N56" i="54" s="1"/>
  <c r="O56" i="54" s="1"/>
  <c r="P56" i="54" s="1"/>
  <c r="Q56" i="54" s="1"/>
  <c r="R56" i="54" s="1"/>
  <c r="S56" i="54" s="1"/>
  <c r="T56" i="54" s="1"/>
  <c r="U56" i="54" s="1"/>
  <c r="I39" i="52"/>
  <c r="L39" i="52" s="1"/>
  <c r="M39" i="52" s="1"/>
  <c r="N39" i="52" s="1"/>
  <c r="O39" i="52" s="1"/>
  <c r="P39" i="52" s="1"/>
  <c r="Q39" i="52" s="1"/>
  <c r="R39" i="52" s="1"/>
  <c r="S39" i="52" s="1"/>
  <c r="T39" i="52" s="1"/>
  <c r="U39" i="52" s="1"/>
  <c r="I50" i="15"/>
  <c r="L50" i="15" s="1"/>
  <c r="M50" i="15" s="1"/>
  <c r="N50" i="15" s="1"/>
  <c r="O50" i="15" s="1"/>
  <c r="P50" i="15" s="1"/>
  <c r="Q50" i="15" s="1"/>
  <c r="R50" i="15" s="1"/>
  <c r="S50" i="15" s="1"/>
  <c r="T50" i="15" s="1"/>
  <c r="U50" i="15" s="1"/>
  <c r="V50" i="15" s="1"/>
  <c r="W50" i="15" s="1"/>
  <c r="I58" i="53"/>
  <c r="L58" i="53" s="1"/>
  <c r="M58" i="53" s="1"/>
  <c r="N58" i="53" s="1"/>
  <c r="O58" i="53" s="1"/>
  <c r="P58" i="53" s="1"/>
  <c r="Q58" i="53" s="1"/>
  <c r="R58" i="53" s="1"/>
  <c r="S58" i="53" s="1"/>
  <c r="T58" i="53" s="1"/>
  <c r="U58" i="53" s="1"/>
  <c r="V58" i="53" s="1"/>
  <c r="K41" i="15"/>
  <c r="I38" i="49"/>
  <c r="L38" i="49" s="1"/>
  <c r="M38" i="49" s="1"/>
  <c r="N38" i="49" s="1"/>
  <c r="O38" i="49" s="1"/>
  <c r="P38" i="49" s="1"/>
  <c r="Q38" i="49" s="1"/>
  <c r="R38" i="49" s="1"/>
  <c r="S38" i="49" s="1"/>
  <c r="T38" i="49" s="1"/>
  <c r="U38" i="49" s="1"/>
  <c r="I27" i="50"/>
  <c r="L27" i="50" s="1"/>
  <c r="M27" i="50" s="1"/>
  <c r="N27" i="50" s="1"/>
  <c r="O27" i="50" s="1"/>
  <c r="P27" i="50" s="1"/>
  <c r="Q27" i="50" s="1"/>
  <c r="R27" i="50" s="1"/>
  <c r="S27" i="50" s="1"/>
  <c r="T27" i="50" s="1"/>
  <c r="U27" i="50" s="1"/>
  <c r="V27" i="50" s="1"/>
  <c r="L48" i="51"/>
  <c r="M48" i="51" s="1"/>
  <c r="N48" i="51" s="1"/>
  <c r="O48" i="51" s="1"/>
  <c r="P48" i="51" s="1"/>
  <c r="Q48" i="51" s="1"/>
  <c r="R48" i="51" s="1"/>
  <c r="S48" i="51" s="1"/>
  <c r="T48" i="51" s="1"/>
  <c r="U48" i="51" s="1"/>
  <c r="V48" i="51" s="1"/>
  <c r="W48" i="51" s="1"/>
  <c r="X48" i="51" s="1"/>
  <c r="K58" i="50"/>
  <c r="J58" i="50" s="1"/>
  <c r="F21" i="54"/>
  <c r="F21" i="50"/>
  <c r="L58" i="56"/>
  <c r="M58" i="56" s="1"/>
  <c r="N58" i="56" s="1"/>
  <c r="O58" i="56" s="1"/>
  <c r="P58" i="56" s="1"/>
  <c r="Q58" i="56" s="1"/>
  <c r="R58" i="56" s="1"/>
  <c r="S58" i="56" s="1"/>
  <c r="T58" i="56" s="1"/>
  <c r="U58" i="56" s="1"/>
  <c r="V58" i="56" s="1"/>
  <c r="W58" i="56" s="1"/>
  <c r="F18" i="56"/>
  <c r="I18" i="55"/>
  <c r="L18" i="55" s="1"/>
  <c r="M18" i="55" s="1"/>
  <c r="N18" i="55" s="1"/>
  <c r="O18" i="55" s="1"/>
  <c r="P18" i="55" s="1"/>
  <c r="Q18" i="55" s="1"/>
  <c r="R18" i="55" s="1"/>
  <c r="S18" i="55" s="1"/>
  <c r="T18" i="55" s="1"/>
  <c r="U18" i="55" s="1"/>
  <c r="I26" i="49"/>
  <c r="L26" i="49" s="1"/>
  <c r="M26" i="49" s="1"/>
  <c r="N26" i="49" s="1"/>
  <c r="O26" i="49" s="1"/>
  <c r="P26" i="49" s="1"/>
  <c r="Q26" i="49" s="1"/>
  <c r="R26" i="49" s="1"/>
  <c r="S26" i="49" s="1"/>
  <c r="T26" i="49" s="1"/>
  <c r="U26" i="49" s="1"/>
  <c r="V26" i="49" s="1"/>
  <c r="W26" i="49" s="1"/>
  <c r="F61" i="55"/>
  <c r="I38" i="53"/>
  <c r="L38" i="53" s="1"/>
  <c r="M38" i="53" s="1"/>
  <c r="N38" i="53" s="1"/>
  <c r="O38" i="53" s="1"/>
  <c r="P38" i="53" s="1"/>
  <c r="Q38" i="53" s="1"/>
  <c r="R38" i="53" s="1"/>
  <c r="S38" i="53" s="1"/>
  <c r="T38" i="53" s="1"/>
  <c r="U38" i="53" s="1"/>
  <c r="L59" i="50"/>
  <c r="M59" i="50" s="1"/>
  <c r="N59" i="50" s="1"/>
  <c r="O59" i="50" s="1"/>
  <c r="P59" i="50" s="1"/>
  <c r="Q59" i="50" s="1"/>
  <c r="R59" i="50" s="1"/>
  <c r="S59" i="50" s="1"/>
  <c r="T59" i="50" s="1"/>
  <c r="U59" i="50" s="1"/>
  <c r="V59" i="50" s="1"/>
  <c r="W59" i="50" s="1"/>
  <c r="I8" i="51"/>
  <c r="L8" i="51" s="1"/>
  <c r="M8" i="51" s="1"/>
  <c r="N8" i="51" s="1"/>
  <c r="O8" i="51" s="1"/>
  <c r="P8" i="51" s="1"/>
  <c r="Q8" i="51" s="1"/>
  <c r="R8" i="51" s="1"/>
  <c r="S8" i="51" s="1"/>
  <c r="T8" i="51" s="1"/>
  <c r="U8" i="51" s="1"/>
  <c r="V8" i="51" s="1"/>
  <c r="W8" i="51" s="1"/>
  <c r="X8" i="51" s="1"/>
  <c r="K46" i="56"/>
  <c r="J46" i="56" s="1"/>
  <c r="H51" i="55"/>
  <c r="I25" i="15"/>
  <c r="L25" i="15" s="1"/>
  <c r="M25" i="15" s="1"/>
  <c r="N25" i="15" s="1"/>
  <c r="O25" i="15" s="1"/>
  <c r="P25" i="15" s="1"/>
  <c r="Q25" i="15" s="1"/>
  <c r="R25" i="15" s="1"/>
  <c r="S25" i="15" s="1"/>
  <c r="T25" i="15" s="1"/>
  <c r="U25" i="15" s="1"/>
  <c r="I59" i="51"/>
  <c r="L59" i="51" s="1"/>
  <c r="I47" i="53"/>
  <c r="L47" i="53" s="1"/>
  <c r="M47" i="53" s="1"/>
  <c r="N47" i="53" s="1"/>
  <c r="O47" i="53" s="1"/>
  <c r="P47" i="53" s="1"/>
  <c r="Q47" i="53" s="1"/>
  <c r="R47" i="53" s="1"/>
  <c r="S47" i="53" s="1"/>
  <c r="T47" i="53" s="1"/>
  <c r="U47" i="53" s="1"/>
  <c r="I59" i="56"/>
  <c r="I27" i="49"/>
  <c r="L27" i="49" s="1"/>
  <c r="M27" i="49" s="1"/>
  <c r="N27" i="49" s="1"/>
  <c r="O27" i="49" s="1"/>
  <c r="P27" i="49" s="1"/>
  <c r="Q27" i="49" s="1"/>
  <c r="R27" i="49" s="1"/>
  <c r="S27" i="49" s="1"/>
  <c r="T27" i="49" s="1"/>
  <c r="U27" i="49" s="1"/>
  <c r="V27" i="49" s="1"/>
  <c r="W27" i="49" s="1"/>
  <c r="X27" i="49" s="1"/>
  <c r="I10" i="52"/>
  <c r="L10" i="52" s="1"/>
  <c r="M10" i="52" s="1"/>
  <c r="N10" i="52" s="1"/>
  <c r="O10" i="52" s="1"/>
  <c r="P10" i="52" s="1"/>
  <c r="Q10" i="52" s="1"/>
  <c r="R10" i="52" s="1"/>
  <c r="S10" i="52" s="1"/>
  <c r="T10" i="52" s="1"/>
  <c r="U10" i="52" s="1"/>
  <c r="I26" i="50"/>
  <c r="L26" i="50" s="1"/>
  <c r="M26" i="50" s="1"/>
  <c r="N26" i="50" s="1"/>
  <c r="O26" i="50" s="1"/>
  <c r="I26" i="56"/>
  <c r="L26" i="56" s="1"/>
  <c r="M26" i="56" s="1"/>
  <c r="N26" i="56" s="1"/>
  <c r="O26" i="56" s="1"/>
  <c r="P26" i="56" s="1"/>
  <c r="Q26" i="56" s="1"/>
  <c r="R26" i="56" s="1"/>
  <c r="S26" i="56" s="1"/>
  <c r="T26" i="56" s="1"/>
  <c r="U26" i="56" s="1"/>
  <c r="V26" i="56" s="1"/>
  <c r="I20" i="52"/>
  <c r="L20" i="52" s="1"/>
  <c r="M20" i="52" s="1"/>
  <c r="N20" i="52" s="1"/>
  <c r="O20" i="52" s="1"/>
  <c r="P20" i="52" s="1"/>
  <c r="Q20" i="52" s="1"/>
  <c r="R20" i="52" s="1"/>
  <c r="S20" i="52" s="1"/>
  <c r="T20" i="52" s="1"/>
  <c r="U20" i="52" s="1"/>
  <c r="I25" i="48"/>
  <c r="L25" i="48" s="1"/>
  <c r="M25" i="48" s="1"/>
  <c r="N25" i="48" s="1"/>
  <c r="O25" i="48" s="1"/>
  <c r="P25" i="48" s="1"/>
  <c r="Q25" i="48" s="1"/>
  <c r="R25" i="48" s="1"/>
  <c r="S25" i="48" s="1"/>
  <c r="T25" i="48" s="1"/>
  <c r="I37" i="50"/>
  <c r="L37" i="50" s="1"/>
  <c r="M37" i="50" s="1"/>
  <c r="N37" i="50" s="1"/>
  <c r="O37" i="50" s="1"/>
  <c r="P37" i="50" s="1"/>
  <c r="Q37" i="50" s="1"/>
  <c r="R37" i="50" s="1"/>
  <c r="S37" i="50" s="1"/>
  <c r="T37" i="50" s="1"/>
  <c r="U37" i="50" s="1"/>
  <c r="I55" i="50"/>
  <c r="H61" i="50"/>
  <c r="J38" i="49"/>
  <c r="J41" i="49" s="1"/>
  <c r="J8" i="51"/>
  <c r="J11" i="51" s="1"/>
  <c r="J46" i="55"/>
  <c r="F38" i="52"/>
  <c r="F41" i="52" s="1"/>
  <c r="F41" i="51"/>
  <c r="J58" i="49"/>
  <c r="K61" i="49"/>
  <c r="J5" i="49"/>
  <c r="J11" i="49" s="1"/>
  <c r="I46" i="55"/>
  <c r="L46" i="55" s="1"/>
  <c r="F46" i="56"/>
  <c r="I46" i="56" s="1"/>
  <c r="F51" i="49"/>
  <c r="F41" i="15"/>
  <c r="K21" i="53"/>
  <c r="K11" i="51"/>
  <c r="I55" i="55"/>
  <c r="L55" i="55" s="1"/>
  <c r="H61" i="55"/>
  <c r="J8" i="53"/>
  <c r="J11" i="53" s="1"/>
  <c r="J56" i="51"/>
  <c r="L56" i="51"/>
  <c r="M56" i="51" s="1"/>
  <c r="N56" i="51" s="1"/>
  <c r="O56" i="51" s="1"/>
  <c r="P56" i="51" s="1"/>
  <c r="Q56" i="51" s="1"/>
  <c r="R56" i="51" s="1"/>
  <c r="S56" i="51" s="1"/>
  <c r="T56" i="51" s="1"/>
  <c r="U56" i="51" s="1"/>
  <c r="V56" i="51" s="1"/>
  <c r="W56" i="51" s="1"/>
  <c r="X56" i="51" s="1"/>
  <c r="K41" i="51"/>
  <c r="J59" i="51"/>
  <c r="I37" i="15"/>
  <c r="L37" i="15" s="1"/>
  <c r="M37" i="15" s="1"/>
  <c r="N37" i="15" s="1"/>
  <c r="O37" i="15" s="1"/>
  <c r="P37" i="15" s="1"/>
  <c r="Q37" i="15" s="1"/>
  <c r="R37" i="15" s="1"/>
  <c r="S37" i="15" s="1"/>
  <c r="F19" i="56"/>
  <c r="F21" i="55"/>
  <c r="I20" i="49"/>
  <c r="L20" i="49" s="1"/>
  <c r="M20" i="49" s="1"/>
  <c r="N20" i="49" s="1"/>
  <c r="O20" i="49" s="1"/>
  <c r="P20" i="49" s="1"/>
  <c r="Q20" i="49" s="1"/>
  <c r="R20" i="49" s="1"/>
  <c r="S20" i="49" s="1"/>
  <c r="T20" i="49" s="1"/>
  <c r="U20" i="49" s="1"/>
  <c r="V20" i="49" s="1"/>
  <c r="W20" i="49" s="1"/>
  <c r="X20" i="49" s="1"/>
  <c r="H41" i="49"/>
  <c r="H41" i="50" s="1"/>
  <c r="K41" i="49"/>
  <c r="H21" i="49"/>
  <c r="H21" i="50" s="1"/>
  <c r="L46" i="15"/>
  <c r="M46" i="15" s="1"/>
  <c r="N46" i="15" s="1"/>
  <c r="O46" i="15" s="1"/>
  <c r="P46" i="15" s="1"/>
  <c r="Q46" i="15" s="1"/>
  <c r="R46" i="15" s="1"/>
  <c r="S46" i="15" s="1"/>
  <c r="T46" i="15" s="1"/>
  <c r="U46" i="15" s="1"/>
  <c r="V46" i="15" s="1"/>
  <c r="W46" i="15" s="1"/>
  <c r="X46" i="15" s="1"/>
  <c r="K51" i="15"/>
  <c r="H61" i="51"/>
  <c r="K51" i="55"/>
  <c r="J21" i="53"/>
  <c r="K21" i="15"/>
  <c r="J51" i="49"/>
  <c r="K31" i="54"/>
  <c r="H51" i="51"/>
  <c r="F41" i="53"/>
  <c r="F51" i="51"/>
  <c r="H11" i="51"/>
  <c r="H11" i="52" s="1"/>
  <c r="F21" i="53"/>
  <c r="L45" i="48"/>
  <c r="M45" i="48" s="1"/>
  <c r="N45" i="48" s="1"/>
  <c r="O45" i="48" s="1"/>
  <c r="P45" i="48" s="1"/>
  <c r="Q45" i="48" s="1"/>
  <c r="R45" i="48" s="1"/>
  <c r="S45" i="48" s="1"/>
  <c r="T45" i="48" s="1"/>
  <c r="I15" i="53"/>
  <c r="L15" i="53" s="1"/>
  <c r="M15" i="53" s="1"/>
  <c r="N15" i="53" s="1"/>
  <c r="O15" i="53" s="1"/>
  <c r="P15" i="53" s="1"/>
  <c r="Q15" i="53" s="1"/>
  <c r="R15" i="53" s="1"/>
  <c r="S15" i="53" s="1"/>
  <c r="T15" i="53" s="1"/>
  <c r="U15" i="53" s="1"/>
  <c r="H21" i="53"/>
  <c r="H21" i="54" s="1"/>
  <c r="J38" i="53"/>
  <c r="I57" i="54"/>
  <c r="L57" i="54" s="1"/>
  <c r="M57" i="54" s="1"/>
  <c r="N57" i="54" s="1"/>
  <c r="O57" i="54" s="1"/>
  <c r="P57" i="54" s="1"/>
  <c r="Q57" i="54" s="1"/>
  <c r="R57" i="54" s="1"/>
  <c r="J48" i="55"/>
  <c r="J55" i="55"/>
  <c r="J61" i="55" s="1"/>
  <c r="I8" i="53"/>
  <c r="L8" i="53" s="1"/>
  <c r="I20" i="53"/>
  <c r="L20" i="53" s="1"/>
  <c r="M20" i="53" s="1"/>
  <c r="N20" i="53" s="1"/>
  <c r="O20" i="53" s="1"/>
  <c r="P20" i="53" s="1"/>
  <c r="Q20" i="53" s="1"/>
  <c r="R20" i="53" s="1"/>
  <c r="S20" i="53" s="1"/>
  <c r="T20" i="53" s="1"/>
  <c r="U20" i="53" s="1"/>
  <c r="V20" i="53" s="1"/>
  <c r="W20" i="53" s="1"/>
  <c r="I30" i="55"/>
  <c r="L30" i="55" s="1"/>
  <c r="H41" i="55"/>
  <c r="H41" i="56" s="1"/>
  <c r="I5" i="51"/>
  <c r="L5" i="51" s="1"/>
  <c r="H48" i="56"/>
  <c r="I48" i="56" s="1"/>
  <c r="L48" i="56" s="1"/>
  <c r="M48" i="56" s="1"/>
  <c r="N48" i="56" s="1"/>
  <c r="O48" i="56" s="1"/>
  <c r="P48" i="56" s="1"/>
  <c r="I39" i="51"/>
  <c r="L39" i="51" s="1"/>
  <c r="M39" i="51" s="1"/>
  <c r="N39" i="51" s="1"/>
  <c r="O39" i="51" s="1"/>
  <c r="P39" i="51" s="1"/>
  <c r="Q39" i="51" s="1"/>
  <c r="R39" i="51" s="1"/>
  <c r="S39" i="51" s="1"/>
  <c r="T39" i="51" s="1"/>
  <c r="U39" i="51" s="1"/>
  <c r="I17" i="53"/>
  <c r="L17" i="53" s="1"/>
  <c r="M17" i="53" s="1"/>
  <c r="N17" i="53" s="1"/>
  <c r="O17" i="53" s="1"/>
  <c r="P17" i="53" s="1"/>
  <c r="Q17" i="53" s="1"/>
  <c r="R17" i="53" s="1"/>
  <c r="S17" i="53" s="1"/>
  <c r="J29" i="49"/>
  <c r="J31" i="49" s="1"/>
  <c r="I29" i="49"/>
  <c r="L29" i="49" s="1"/>
  <c r="M29" i="49" s="1"/>
  <c r="N29" i="49" s="1"/>
  <c r="O29" i="49" s="1"/>
  <c r="P29" i="49" s="1"/>
  <c r="Q29" i="49" s="1"/>
  <c r="R29" i="49" s="1"/>
  <c r="S29" i="49" s="1"/>
  <c r="T29" i="49" s="1"/>
  <c r="U29" i="49" s="1"/>
  <c r="V29" i="49" s="1"/>
  <c r="W29" i="49" s="1"/>
  <c r="X29" i="49" s="1"/>
  <c r="H29" i="50"/>
  <c r="I29" i="50" s="1"/>
  <c r="L29" i="50" s="1"/>
  <c r="M29" i="50" s="1"/>
  <c r="N29" i="50" s="1"/>
  <c r="O29" i="50" s="1"/>
  <c r="P29" i="50" s="1"/>
  <c r="Q29" i="50" s="1"/>
  <c r="R29" i="50" s="1"/>
  <c r="S29" i="50" s="1"/>
  <c r="T29" i="50" s="1"/>
  <c r="U29" i="50" s="1"/>
  <c r="V29" i="50" s="1"/>
  <c r="W29" i="50" s="1"/>
  <c r="I30" i="49"/>
  <c r="L30" i="49" s="1"/>
  <c r="M30" i="49" s="1"/>
  <c r="N30" i="49" s="1"/>
  <c r="O30" i="49" s="1"/>
  <c r="P30" i="49" s="1"/>
  <c r="Q30" i="49" s="1"/>
  <c r="R30" i="49" s="1"/>
  <c r="S30" i="49" s="1"/>
  <c r="T30" i="49" s="1"/>
  <c r="U30" i="49" s="1"/>
  <c r="V30" i="49" s="1"/>
  <c r="W30" i="49" s="1"/>
  <c r="X30" i="49" s="1"/>
  <c r="J48" i="50"/>
  <c r="L48" i="50"/>
  <c r="M48" i="50" s="1"/>
  <c r="N48" i="50" s="1"/>
  <c r="O48" i="50" s="1"/>
  <c r="P48" i="50" s="1"/>
  <c r="Q48" i="50" s="1"/>
  <c r="R48" i="50" s="1"/>
  <c r="S48" i="50" s="1"/>
  <c r="T48" i="50" s="1"/>
  <c r="U48" i="50" s="1"/>
  <c r="V48" i="50" s="1"/>
  <c r="W48" i="50" s="1"/>
  <c r="I15" i="15"/>
  <c r="L15" i="15" s="1"/>
  <c r="M15" i="15" s="1"/>
  <c r="N15" i="15" s="1"/>
  <c r="O15" i="15" s="1"/>
  <c r="P15" i="15" s="1"/>
  <c r="Q15" i="15" s="1"/>
  <c r="R15" i="15" s="1"/>
  <c r="S15" i="15" s="1"/>
  <c r="T15" i="15" s="1"/>
  <c r="U15" i="15" s="1"/>
  <c r="I17" i="49"/>
  <c r="L17" i="49" s="1"/>
  <c r="M17" i="49" s="1"/>
  <c r="N17" i="49" s="1"/>
  <c r="O17" i="49" s="1"/>
  <c r="P17" i="49" s="1"/>
  <c r="Q17" i="49" s="1"/>
  <c r="R17" i="49" s="1"/>
  <c r="S17" i="49" s="1"/>
  <c r="T17" i="49" s="1"/>
  <c r="U17" i="49" s="1"/>
  <c r="V17" i="49" s="1"/>
  <c r="W17" i="49" s="1"/>
  <c r="X17" i="49" s="1"/>
  <c r="K47" i="56"/>
  <c r="J47" i="56" s="1"/>
  <c r="I48" i="49"/>
  <c r="L48" i="49" s="1"/>
  <c r="M48" i="49" s="1"/>
  <c r="N48" i="49" s="1"/>
  <c r="O48" i="49" s="1"/>
  <c r="P48" i="49" s="1"/>
  <c r="Q48" i="49" s="1"/>
  <c r="R48" i="49" s="1"/>
  <c r="S48" i="49" s="1"/>
  <c r="T48" i="49" s="1"/>
  <c r="U48" i="49" s="1"/>
  <c r="I15" i="49"/>
  <c r="L15" i="49" s="1"/>
  <c r="M15" i="49" s="1"/>
  <c r="N15" i="49" s="1"/>
  <c r="O15" i="49" s="1"/>
  <c r="P15" i="49" s="1"/>
  <c r="Q15" i="49" s="1"/>
  <c r="R15" i="49" s="1"/>
  <c r="S15" i="49" s="1"/>
  <c r="T15" i="49" s="1"/>
  <c r="U15" i="49" s="1"/>
  <c r="K55" i="50"/>
  <c r="J55" i="50" s="1"/>
  <c r="I38" i="51"/>
  <c r="L38" i="51" s="1"/>
  <c r="M38" i="51" s="1"/>
  <c r="N38" i="51" s="1"/>
  <c r="O38" i="51" s="1"/>
  <c r="P38" i="51" s="1"/>
  <c r="Q38" i="51" s="1"/>
  <c r="R38" i="51" s="1"/>
  <c r="S38" i="51" s="1"/>
  <c r="T38" i="51" s="1"/>
  <c r="U38" i="51" s="1"/>
  <c r="V38" i="51" s="1"/>
  <c r="W38" i="51" s="1"/>
  <c r="X38" i="51" s="1"/>
  <c r="J57" i="53"/>
  <c r="J61" i="53" s="1"/>
  <c r="H19" i="56"/>
  <c r="I19" i="55"/>
  <c r="L19" i="55" s="1"/>
  <c r="M19" i="55" s="1"/>
  <c r="N19" i="55" s="1"/>
  <c r="O19" i="55" s="1"/>
  <c r="P19" i="55" s="1"/>
  <c r="Q19" i="55" s="1"/>
  <c r="R19" i="55" s="1"/>
  <c r="S19" i="55" s="1"/>
  <c r="T19" i="55" s="1"/>
  <c r="U19" i="55" s="1"/>
  <c r="J40" i="53"/>
  <c r="F11" i="55"/>
  <c r="I47" i="55"/>
  <c r="L47" i="55" s="1"/>
  <c r="M47" i="55" s="1"/>
  <c r="N47" i="55" s="1"/>
  <c r="O47" i="55" s="1"/>
  <c r="P47" i="55" s="1"/>
  <c r="Q47" i="55" s="1"/>
  <c r="R47" i="55" s="1"/>
  <c r="S47" i="55" s="1"/>
  <c r="T47" i="55" s="1"/>
  <c r="U47" i="55" s="1"/>
  <c r="V47" i="55" s="1"/>
  <c r="F47" i="56"/>
  <c r="I47" i="56" s="1"/>
  <c r="I37" i="55"/>
  <c r="L37" i="55" s="1"/>
  <c r="M37" i="55" s="1"/>
  <c r="N37" i="55" s="1"/>
  <c r="O37" i="55" s="1"/>
  <c r="P37" i="55" s="1"/>
  <c r="Q37" i="55" s="1"/>
  <c r="R37" i="55" s="1"/>
  <c r="S37" i="55" s="1"/>
  <c r="F37" i="56"/>
  <c r="I58" i="50"/>
  <c r="I7" i="55"/>
  <c r="L7" i="55" s="1"/>
  <c r="M7" i="55" s="1"/>
  <c r="N7" i="55" s="1"/>
  <c r="O7" i="55" s="1"/>
  <c r="P7" i="55" s="1"/>
  <c r="Q7" i="55" s="1"/>
  <c r="R7" i="55" s="1"/>
  <c r="S7" i="55" s="1"/>
  <c r="T7" i="55" s="1"/>
  <c r="U7" i="55" s="1"/>
  <c r="I10" i="55"/>
  <c r="L10" i="55" s="1"/>
  <c r="M10" i="55" s="1"/>
  <c r="N10" i="55" s="1"/>
  <c r="O10" i="55" s="1"/>
  <c r="P10" i="55" s="1"/>
  <c r="Q10" i="55" s="1"/>
  <c r="R10" i="55" s="1"/>
  <c r="S10" i="55" s="1"/>
  <c r="T10" i="55" s="1"/>
  <c r="U10" i="55" s="1"/>
  <c r="J35" i="53"/>
  <c r="K41" i="53"/>
  <c r="K31" i="49"/>
  <c r="H39" i="50"/>
  <c r="I39" i="50" s="1"/>
  <c r="L39" i="50" s="1"/>
  <c r="M39" i="50" s="1"/>
  <c r="N39" i="50" s="1"/>
  <c r="O39" i="50" s="1"/>
  <c r="P39" i="50" s="1"/>
  <c r="Q39" i="50" s="1"/>
  <c r="R39" i="50" s="1"/>
  <c r="S39" i="50" s="1"/>
  <c r="T39" i="50" s="1"/>
  <c r="U39" i="50" s="1"/>
  <c r="I39" i="49"/>
  <c r="L39" i="49" s="1"/>
  <c r="M39" i="49" s="1"/>
  <c r="N39" i="49" s="1"/>
  <c r="O39" i="49" s="1"/>
  <c r="P39" i="49" s="1"/>
  <c r="Q39" i="49" s="1"/>
  <c r="R39" i="49" s="1"/>
  <c r="S39" i="49" s="1"/>
  <c r="T39" i="49" s="1"/>
  <c r="U39" i="49" s="1"/>
  <c r="J50" i="53"/>
  <c r="H21" i="55"/>
  <c r="H21" i="56" s="1"/>
  <c r="J31" i="53"/>
  <c r="K11" i="53"/>
  <c r="J41" i="55"/>
  <c r="K51" i="49"/>
  <c r="K61" i="51"/>
  <c r="H51" i="15"/>
  <c r="H31" i="55"/>
  <c r="H31" i="56" s="1"/>
  <c r="H41" i="53"/>
  <c r="H41" i="54" s="1"/>
  <c r="J51" i="51"/>
  <c r="J31" i="54"/>
  <c r="K61" i="53"/>
  <c r="F41" i="49"/>
  <c r="F41" i="54"/>
  <c r="K11" i="49"/>
  <c r="F21" i="49"/>
  <c r="F31" i="48"/>
  <c r="I58" i="49"/>
  <c r="L58" i="49" s="1"/>
  <c r="M58" i="49" s="1"/>
  <c r="N58" i="49" s="1"/>
  <c r="I48" i="55"/>
  <c r="L48" i="55" s="1"/>
  <c r="M48" i="55" s="1"/>
  <c r="N48" i="55" s="1"/>
  <c r="O48" i="55" s="1"/>
  <c r="P48" i="55" s="1"/>
  <c r="Q48" i="55" s="1"/>
  <c r="R48" i="55" s="1"/>
  <c r="S48" i="55" s="1"/>
  <c r="T48" i="55" s="1"/>
  <c r="U48" i="55" s="1"/>
  <c r="V48" i="55" s="1"/>
  <c r="J30" i="55"/>
  <c r="J31" i="55" s="1"/>
  <c r="I7" i="49"/>
  <c r="L7" i="49" s="1"/>
  <c r="M7" i="49" s="1"/>
  <c r="N7" i="49" s="1"/>
  <c r="O7" i="49" s="1"/>
  <c r="P7" i="49" s="1"/>
  <c r="Q7" i="49" s="1"/>
  <c r="R7" i="49" s="1"/>
  <c r="S7" i="49" s="1"/>
  <c r="T7" i="49" s="1"/>
  <c r="U7" i="49" s="1"/>
  <c r="V7" i="49" s="1"/>
  <c r="W7" i="49" s="1"/>
  <c r="X7" i="49" s="1"/>
  <c r="H29" i="48"/>
  <c r="I29" i="48" s="1"/>
  <c r="L29" i="48" s="1"/>
  <c r="M29" i="48" s="1"/>
  <c r="N29" i="48" s="1"/>
  <c r="O29" i="48" s="1"/>
  <c r="P29" i="48" s="1"/>
  <c r="Q29" i="48" s="1"/>
  <c r="R29" i="48" s="1"/>
  <c r="S29" i="48" s="1"/>
  <c r="T29" i="48" s="1"/>
  <c r="U29" i="48" s="1"/>
  <c r="I29" i="15"/>
  <c r="L29" i="15" s="1"/>
  <c r="M29" i="15" s="1"/>
  <c r="N29" i="15" s="1"/>
  <c r="O29" i="15" s="1"/>
  <c r="P29" i="15" s="1"/>
  <c r="Q29" i="15" s="1"/>
  <c r="R29" i="15" s="1"/>
  <c r="S29" i="15" s="1"/>
  <c r="T29" i="15" s="1"/>
  <c r="U29" i="15" s="1"/>
  <c r="V29" i="15" s="1"/>
  <c r="I57" i="53"/>
  <c r="L57" i="53" s="1"/>
  <c r="H19" i="54"/>
  <c r="I19" i="54" s="1"/>
  <c r="L19" i="54" s="1"/>
  <c r="M19" i="54" s="1"/>
  <c r="N19" i="54" s="1"/>
  <c r="O19" i="54" s="1"/>
  <c r="P19" i="54" s="1"/>
  <c r="Q19" i="54" s="1"/>
  <c r="R19" i="54" s="1"/>
  <c r="S19" i="54" s="1"/>
  <c r="T19" i="54" s="1"/>
  <c r="U19" i="54" s="1"/>
  <c r="V19" i="54" s="1"/>
  <c r="I19" i="53"/>
  <c r="L19" i="53" s="1"/>
  <c r="M19" i="53" s="1"/>
  <c r="N19" i="53" s="1"/>
  <c r="O19" i="53" s="1"/>
  <c r="P19" i="53" s="1"/>
  <c r="Q19" i="53" s="1"/>
  <c r="R19" i="53" s="1"/>
  <c r="S19" i="53" s="1"/>
  <c r="T19" i="53" s="1"/>
  <c r="U19" i="53" s="1"/>
  <c r="V19" i="53" s="1"/>
  <c r="W19" i="53" s="1"/>
  <c r="H29" i="54"/>
  <c r="I29" i="54" s="1"/>
  <c r="L29" i="54" s="1"/>
  <c r="M29" i="54" s="1"/>
  <c r="N29" i="54" s="1"/>
  <c r="O29" i="54" s="1"/>
  <c r="P29" i="54" s="1"/>
  <c r="Q29" i="54" s="1"/>
  <c r="R29" i="54" s="1"/>
  <c r="S29" i="54" s="1"/>
  <c r="T29" i="54" s="1"/>
  <c r="U29" i="54" s="1"/>
  <c r="I29" i="53"/>
  <c r="L29" i="53" s="1"/>
  <c r="M29" i="53" s="1"/>
  <c r="N29" i="53" s="1"/>
  <c r="O29" i="53" s="1"/>
  <c r="P29" i="53" s="1"/>
  <c r="Q29" i="53" s="1"/>
  <c r="R29" i="53" s="1"/>
  <c r="S29" i="53" s="1"/>
  <c r="T29" i="53" s="1"/>
  <c r="U29" i="53" s="1"/>
  <c r="V29" i="53" s="1"/>
  <c r="W29" i="53" s="1"/>
  <c r="I56" i="53"/>
  <c r="L56" i="53" s="1"/>
  <c r="M56" i="53" s="1"/>
  <c r="N56" i="53" s="1"/>
  <c r="O56" i="53" s="1"/>
  <c r="P56" i="53" s="1"/>
  <c r="I35" i="53"/>
  <c r="L35" i="53" s="1"/>
  <c r="M35" i="53" s="1"/>
  <c r="N35" i="53" s="1"/>
  <c r="O35" i="53" s="1"/>
  <c r="P35" i="53" s="1"/>
  <c r="Q35" i="53" s="1"/>
  <c r="R35" i="53" s="1"/>
  <c r="S35" i="53" s="1"/>
  <c r="T35" i="53" s="1"/>
  <c r="U35" i="53" s="1"/>
  <c r="I40" i="53"/>
  <c r="L40" i="53" s="1"/>
  <c r="I57" i="55"/>
  <c r="L57" i="55" s="1"/>
  <c r="M57" i="55" s="1"/>
  <c r="N57" i="55" s="1"/>
  <c r="O57" i="55" s="1"/>
  <c r="P57" i="55" s="1"/>
  <c r="Q57" i="55" s="1"/>
  <c r="R57" i="55" s="1"/>
  <c r="S57" i="55" s="1"/>
  <c r="T57" i="55" s="1"/>
  <c r="U57" i="55" s="1"/>
  <c r="V57" i="55" s="1"/>
  <c r="W57" i="55" s="1"/>
  <c r="X57" i="55" s="1"/>
  <c r="K59" i="56"/>
  <c r="J59" i="56" s="1"/>
  <c r="J61" i="56" s="1"/>
  <c r="I47" i="54"/>
  <c r="L47" i="54" s="1"/>
  <c r="M47" i="54" s="1"/>
  <c r="N47" i="54" s="1"/>
  <c r="O47" i="54" s="1"/>
  <c r="P47" i="54" s="1"/>
  <c r="Q47" i="54" s="1"/>
  <c r="R47" i="54" s="1"/>
  <c r="S47" i="54" s="1"/>
  <c r="T47" i="54" s="1"/>
  <c r="U47" i="54" s="1"/>
  <c r="V47" i="54" s="1"/>
  <c r="W47" i="54" s="1"/>
  <c r="I5" i="49"/>
  <c r="L5" i="49" s="1"/>
  <c r="H55" i="56"/>
  <c r="I55" i="56" s="1"/>
  <c r="L55" i="56" s="1"/>
  <c r="M55" i="56" s="1"/>
  <c r="N55" i="56" s="1"/>
  <c r="O55" i="56" s="1"/>
  <c r="P55" i="56" s="1"/>
  <c r="Q55" i="56" s="1"/>
  <c r="R55" i="56" s="1"/>
  <c r="S55" i="56" s="1"/>
  <c r="T55" i="56" s="1"/>
  <c r="I35" i="15"/>
  <c r="L35" i="15" s="1"/>
  <c r="I50" i="53"/>
  <c r="L50" i="53" s="1"/>
  <c r="K51" i="48"/>
  <c r="J46" i="54"/>
  <c r="J51" i="54" s="1"/>
  <c r="K51" i="54"/>
  <c r="J21" i="15"/>
  <c r="J21" i="51"/>
  <c r="L46" i="54"/>
  <c r="M46" i="54" s="1"/>
  <c r="N46" i="54" s="1"/>
  <c r="O46" i="54" s="1"/>
  <c r="K61" i="48"/>
  <c r="L57" i="48"/>
  <c r="M57" i="48" s="1"/>
  <c r="I55" i="54"/>
  <c r="L55" i="54" s="1"/>
  <c r="M55" i="54" s="1"/>
  <c r="I36" i="54"/>
  <c r="L36" i="54" s="1"/>
  <c r="M36" i="54" s="1"/>
  <c r="N36" i="54" s="1"/>
  <c r="O36" i="54" s="1"/>
  <c r="P36" i="54" s="1"/>
  <c r="Q36" i="54" s="1"/>
  <c r="R36" i="54" s="1"/>
  <c r="S36" i="54" s="1"/>
  <c r="T36" i="54" s="1"/>
  <c r="U36" i="54" s="1"/>
  <c r="V36" i="54" s="1"/>
  <c r="J56" i="50"/>
  <c r="I6" i="56"/>
  <c r="L6" i="56" s="1"/>
  <c r="I36" i="52"/>
  <c r="L36" i="52" s="1"/>
  <c r="I37" i="54"/>
  <c r="L37" i="54" s="1"/>
  <c r="I17" i="56"/>
  <c r="L17" i="56" s="1"/>
  <c r="I25" i="54"/>
  <c r="L25" i="54" s="1"/>
  <c r="M25" i="54" s="1"/>
  <c r="N25" i="54" s="1"/>
  <c r="O25" i="54" s="1"/>
  <c r="P25" i="54" s="1"/>
  <c r="Q25" i="54" s="1"/>
  <c r="R25" i="54" s="1"/>
  <c r="S25" i="54" s="1"/>
  <c r="T25" i="54" s="1"/>
  <c r="I30" i="52"/>
  <c r="L30" i="52" s="1"/>
  <c r="M30" i="52" s="1"/>
  <c r="N30" i="52" s="1"/>
  <c r="O30" i="52" s="1"/>
  <c r="P30" i="52" s="1"/>
  <c r="Q30" i="52" s="1"/>
  <c r="R30" i="52" s="1"/>
  <c r="S30" i="52" s="1"/>
  <c r="T30" i="52" s="1"/>
  <c r="U30" i="52" s="1"/>
  <c r="I7" i="52"/>
  <c r="L7" i="52" s="1"/>
  <c r="I5" i="54"/>
  <c r="L5" i="54" s="1"/>
  <c r="I36" i="50"/>
  <c r="L36" i="50" s="1"/>
  <c r="I27" i="56"/>
  <c r="L27" i="56" s="1"/>
  <c r="I7" i="48"/>
  <c r="L7" i="48" s="1"/>
  <c r="M7" i="48" s="1"/>
  <c r="N7" i="48" s="1"/>
  <c r="O7" i="48" s="1"/>
  <c r="P7" i="48" s="1"/>
  <c r="Q7" i="48" s="1"/>
  <c r="R7" i="48" s="1"/>
  <c r="S7" i="48" s="1"/>
  <c r="T7" i="48" s="1"/>
  <c r="U7" i="48" s="1"/>
  <c r="I36" i="56"/>
  <c r="L36" i="56" s="1"/>
  <c r="I25" i="50"/>
  <c r="L25" i="50" s="1"/>
  <c r="I30" i="54"/>
  <c r="L30" i="54" s="1"/>
  <c r="M30" i="54" s="1"/>
  <c r="N30" i="54" s="1"/>
  <c r="O30" i="54" s="1"/>
  <c r="P30" i="54" s="1"/>
  <c r="Q30" i="54" s="1"/>
  <c r="R30" i="54" s="1"/>
  <c r="S30" i="54" s="1"/>
  <c r="T30" i="54" s="1"/>
  <c r="U30" i="54" s="1"/>
  <c r="I10" i="54"/>
  <c r="L10" i="54" s="1"/>
  <c r="M10" i="54" s="1"/>
  <c r="N10" i="54" s="1"/>
  <c r="O10" i="54" s="1"/>
  <c r="P10" i="54" s="1"/>
  <c r="Q10" i="54" s="1"/>
  <c r="R10" i="54" s="1"/>
  <c r="S10" i="54" s="1"/>
  <c r="T10" i="54" s="1"/>
  <c r="U10" i="54" s="1"/>
  <c r="M16" i="53"/>
  <c r="F21" i="48"/>
  <c r="M5" i="53"/>
  <c r="I60" i="56"/>
  <c r="L60" i="56" s="1"/>
  <c r="I39" i="48"/>
  <c r="L39" i="48" s="1"/>
  <c r="J45" i="56"/>
  <c r="H51" i="52"/>
  <c r="I6" i="50"/>
  <c r="L6" i="50" s="1"/>
  <c r="F11" i="50"/>
  <c r="I46" i="48"/>
  <c r="L46" i="48" s="1"/>
  <c r="M5" i="48"/>
  <c r="J45" i="52"/>
  <c r="J51" i="52" s="1"/>
  <c r="K51" i="52"/>
  <c r="N6" i="55"/>
  <c r="J61" i="48"/>
  <c r="M45" i="49"/>
  <c r="O55" i="48"/>
  <c r="P58" i="55"/>
  <c r="O17" i="50"/>
  <c r="Q15" i="51"/>
  <c r="S6" i="51"/>
  <c r="R35" i="50"/>
  <c r="R27" i="48"/>
  <c r="R6" i="52"/>
  <c r="AV3" i="14"/>
  <c r="Z3" i="54"/>
  <c r="AA4" i="54"/>
  <c r="AY34" i="52"/>
  <c r="AX33" i="52"/>
  <c r="AX44" i="53"/>
  <c r="AW43" i="53"/>
  <c r="Z14" i="54"/>
  <c r="Y13" i="54"/>
  <c r="Y53" i="50"/>
  <c r="Z54" i="50"/>
  <c r="AW43" i="51"/>
  <c r="AX44" i="51"/>
  <c r="Z54" i="54"/>
  <c r="Y53" i="54"/>
  <c r="AY24" i="52"/>
  <c r="AX23" i="52"/>
  <c r="AW53" i="15"/>
  <c r="AX54" i="15"/>
  <c r="AX4" i="52"/>
  <c r="AW3" i="52"/>
  <c r="Z24" i="48"/>
  <c r="Y23" i="48"/>
  <c r="AX14" i="55"/>
  <c r="AW13" i="55"/>
  <c r="AY34" i="51"/>
  <c r="AX33" i="51"/>
  <c r="Y53" i="49"/>
  <c r="Z54" i="49"/>
  <c r="AW43" i="56"/>
  <c r="AX44" i="56"/>
  <c r="AZ13" i="54"/>
  <c r="BA14" i="54"/>
  <c r="Y23" i="49"/>
  <c r="Z24" i="49"/>
  <c r="AA4" i="15"/>
  <c r="Z3" i="15"/>
  <c r="AW43" i="50"/>
  <c r="AX44" i="50"/>
  <c r="Y43" i="53"/>
  <c r="Z44" i="53"/>
  <c r="Y3" i="48"/>
  <c r="Z4" i="48"/>
  <c r="AX13" i="15"/>
  <c r="AY14" i="15"/>
  <c r="AX4" i="49"/>
  <c r="AW3" i="49"/>
  <c r="Z33" i="52"/>
  <c r="AA34" i="52"/>
  <c r="AZ54" i="56"/>
  <c r="AY53" i="56"/>
  <c r="Z34" i="15"/>
  <c r="Y33" i="15"/>
  <c r="Y43" i="49"/>
  <c r="Z44" i="49"/>
  <c r="Z4" i="52"/>
  <c r="Y3" i="52"/>
  <c r="Z34" i="56"/>
  <c r="Y33" i="56"/>
  <c r="AX4" i="54"/>
  <c r="AW3" i="54"/>
  <c r="AB44" i="51"/>
  <c r="AA43" i="51"/>
  <c r="AZ23" i="48"/>
  <c r="BA24" i="48"/>
  <c r="AW33" i="54"/>
  <c r="AX34" i="54"/>
  <c r="AA23" i="51"/>
  <c r="AB24" i="51"/>
  <c r="Z24" i="52"/>
  <c r="Y23" i="52"/>
  <c r="Z34" i="50"/>
  <c r="Y33" i="50"/>
  <c r="AW53" i="50"/>
  <c r="AX54" i="50"/>
  <c r="Z3" i="51"/>
  <c r="AA4" i="51"/>
  <c r="AA53" i="15"/>
  <c r="AB54" i="15"/>
  <c r="BA44" i="55"/>
  <c r="AZ43" i="55"/>
  <c r="Z33" i="49"/>
  <c r="AA34" i="49"/>
  <c r="AX54" i="51"/>
  <c r="AW53" i="51"/>
  <c r="AA13" i="55"/>
  <c r="AB14" i="55"/>
  <c r="Z53" i="52"/>
  <c r="AA54" i="52"/>
  <c r="AB43" i="56"/>
  <c r="AC44" i="56"/>
  <c r="AZ14" i="50"/>
  <c r="AY13" i="50"/>
  <c r="AY14" i="56"/>
  <c r="AX13" i="56"/>
  <c r="AX43" i="48"/>
  <c r="AY44" i="48"/>
  <c r="Z44" i="54"/>
  <c r="Y43" i="54"/>
  <c r="U56" i="56"/>
  <c r="AQ54" i="14"/>
  <c r="U60" i="50"/>
  <c r="V60" i="50" s="1"/>
  <c r="W60" i="50" s="1"/>
  <c r="U59" i="54"/>
  <c r="AX34" i="50"/>
  <c r="AW33" i="50"/>
  <c r="AY33" i="55"/>
  <c r="AZ34" i="55"/>
  <c r="AB34" i="51"/>
  <c r="AA33" i="51"/>
  <c r="AZ24" i="50"/>
  <c r="AY23" i="50"/>
  <c r="Z14" i="51"/>
  <c r="Y13" i="51"/>
  <c r="AY33" i="53"/>
  <c r="AZ34" i="53"/>
  <c r="AX4" i="50"/>
  <c r="AW3" i="50"/>
  <c r="AA44" i="48"/>
  <c r="Z43" i="48"/>
  <c r="Z54" i="55"/>
  <c r="Y53" i="55"/>
  <c r="AX4" i="51"/>
  <c r="AW3" i="51"/>
  <c r="AY44" i="52"/>
  <c r="AX43" i="52"/>
  <c r="Y13" i="56"/>
  <c r="Z14" i="56"/>
  <c r="AX24" i="51"/>
  <c r="AW23" i="51"/>
  <c r="Y43" i="15"/>
  <c r="Z44" i="15"/>
  <c r="AW53" i="52"/>
  <c r="AX54" i="52"/>
  <c r="AX13" i="53"/>
  <c r="AY14" i="53"/>
  <c r="AX4" i="56"/>
  <c r="AW3" i="56"/>
  <c r="AX13" i="51"/>
  <c r="AY14" i="51"/>
  <c r="AX4" i="48"/>
  <c r="AW3" i="48"/>
  <c r="AX24" i="56"/>
  <c r="AW23" i="56"/>
  <c r="AX44" i="15"/>
  <c r="AW43" i="15"/>
  <c r="Z54" i="56"/>
  <c r="Y53" i="56"/>
  <c r="AB54" i="48"/>
  <c r="AA53" i="48"/>
  <c r="AA24" i="15"/>
  <c r="Z23" i="15"/>
  <c r="Z14" i="49"/>
  <c r="Y13" i="49"/>
  <c r="Z34" i="54"/>
  <c r="Y33" i="54"/>
  <c r="Z53" i="51"/>
  <c r="AA54" i="51"/>
  <c r="Y23" i="53"/>
  <c r="Z24" i="53"/>
  <c r="Z24" i="54"/>
  <c r="Y23" i="54"/>
  <c r="AX54" i="49"/>
  <c r="AW53" i="49"/>
  <c r="Z33" i="55"/>
  <c r="AA34" i="55"/>
  <c r="Y13" i="52"/>
  <c r="Z14" i="52"/>
  <c r="AA4" i="49"/>
  <c r="Z3" i="49"/>
  <c r="AA23" i="56"/>
  <c r="AB24" i="56"/>
  <c r="Z4" i="53"/>
  <c r="Y3" i="53"/>
  <c r="AZ4" i="55"/>
  <c r="AY3" i="55"/>
  <c r="Z14" i="15"/>
  <c r="Y13" i="15"/>
  <c r="AX34" i="15"/>
  <c r="AW33" i="15"/>
  <c r="AW33" i="49"/>
  <c r="AX34" i="49"/>
  <c r="Z3" i="56"/>
  <c r="AA4" i="56"/>
  <c r="Y43" i="52"/>
  <c r="Z44" i="52"/>
  <c r="Z53" i="53"/>
  <c r="AA54" i="53"/>
  <c r="AY4" i="15"/>
  <c r="AX3" i="15"/>
  <c r="AY54" i="54"/>
  <c r="AX53" i="54"/>
  <c r="AW13" i="52"/>
  <c r="AX14" i="52"/>
  <c r="AX14" i="48"/>
  <c r="AW13" i="48"/>
  <c r="AU13" i="14"/>
  <c r="AV14" i="14"/>
  <c r="Z34" i="48"/>
  <c r="Y33" i="48"/>
  <c r="Z14" i="53"/>
  <c r="Y13" i="53"/>
  <c r="Z3" i="55"/>
  <c r="AA4" i="55"/>
  <c r="AX34" i="48"/>
  <c r="AW33" i="48"/>
  <c r="AX23" i="53"/>
  <c r="AY24" i="53"/>
  <c r="Z24" i="55"/>
  <c r="Y23" i="55"/>
  <c r="AX53" i="55"/>
  <c r="AY54" i="55"/>
  <c r="AW23" i="49"/>
  <c r="AX24" i="49"/>
  <c r="AY14" i="49"/>
  <c r="AX13" i="49"/>
  <c r="Z34" i="53"/>
  <c r="Y33" i="53"/>
  <c r="AX34" i="56"/>
  <c r="AW33" i="56"/>
  <c r="AW43" i="49"/>
  <c r="AX44" i="49"/>
  <c r="AA3" i="50"/>
  <c r="AB4" i="50"/>
  <c r="AW43" i="54"/>
  <c r="AX44" i="54"/>
  <c r="Z24" i="50"/>
  <c r="Y23" i="50"/>
  <c r="AZ24" i="55"/>
  <c r="AY23" i="55"/>
  <c r="Z44" i="55"/>
  <c r="Y43" i="55"/>
  <c r="AX53" i="53"/>
  <c r="AY54" i="53"/>
  <c r="AW23" i="54"/>
  <c r="AX24" i="54"/>
  <c r="AY24" i="15"/>
  <c r="AX23" i="15"/>
  <c r="AX54" i="48"/>
  <c r="AW53" i="48"/>
  <c r="Z44" i="50"/>
  <c r="Y43" i="50"/>
  <c r="Z14" i="48"/>
  <c r="Y13" i="48"/>
  <c r="U49" i="51"/>
  <c r="V49" i="51" s="1"/>
  <c r="W49" i="51" s="1"/>
  <c r="X49" i="51" s="1"/>
  <c r="AR26" i="14"/>
  <c r="V26" i="14"/>
  <c r="AA14" i="14"/>
  <c r="Z13" i="14"/>
  <c r="AR10" i="14"/>
  <c r="AR44" i="14" s="1"/>
  <c r="V10" i="14"/>
  <c r="T25" i="52"/>
  <c r="AR35" i="14"/>
  <c r="AR53" i="14" s="1"/>
  <c r="AR49" i="14"/>
  <c r="AR9" i="14"/>
  <c r="AR43" i="14" s="1"/>
  <c r="V9" i="14"/>
  <c r="U27" i="52"/>
  <c r="U48" i="15"/>
  <c r="V48" i="15" s="1"/>
  <c r="W48" i="15" s="1"/>
  <c r="X48" i="15" s="1"/>
  <c r="U25" i="51"/>
  <c r="AV2" i="14"/>
  <c r="Y30" i="14"/>
  <c r="X29" i="14"/>
  <c r="AR24" i="14"/>
  <c r="V24" i="14"/>
  <c r="AR18" i="14"/>
  <c r="V18" i="14"/>
  <c r="AR16" i="14"/>
  <c r="V16" i="14"/>
  <c r="AR7" i="14"/>
  <c r="V7" i="14"/>
  <c r="AR32" i="14"/>
  <c r="AR50" i="14" s="1"/>
  <c r="V32" i="14"/>
  <c r="AR33" i="14"/>
  <c r="AR51" i="14" s="1"/>
  <c r="V33" i="14"/>
  <c r="AR25" i="14"/>
  <c r="V25" i="14"/>
  <c r="AX29" i="14"/>
  <c r="AY30" i="14"/>
  <c r="AR23" i="14"/>
  <c r="AR27" i="14" s="1"/>
  <c r="V23" i="14"/>
  <c r="U9" i="50"/>
  <c r="V9" i="50" s="1"/>
  <c r="W9" i="50" s="1"/>
  <c r="U46" i="53"/>
  <c r="AP46" i="14"/>
  <c r="U9" i="56"/>
  <c r="V9" i="56" s="1"/>
  <c r="W9" i="56" s="1"/>
  <c r="AQ41" i="14"/>
  <c r="AQ11" i="14"/>
  <c r="AQ45" i="14" s="1"/>
  <c r="AS34" i="14"/>
  <c r="AS52" i="14" s="1"/>
  <c r="W34" i="14"/>
  <c r="AR8" i="14"/>
  <c r="AR42" i="14" s="1"/>
  <c r="V8" i="14"/>
  <c r="AV5" i="14"/>
  <c r="AW6" i="14"/>
  <c r="AR17" i="14"/>
  <c r="V17" i="14"/>
  <c r="U39" i="56"/>
  <c r="V39" i="56" s="1"/>
  <c r="W39" i="56" s="1"/>
  <c r="U18" i="53"/>
  <c r="V18" i="53" s="1"/>
  <c r="AS31" i="14"/>
  <c r="W31" i="14"/>
  <c r="AR15" i="14"/>
  <c r="AR19" i="14" s="1"/>
  <c r="V15" i="14"/>
  <c r="B26" i="10"/>
  <c r="H24" i="10"/>
  <c r="J24" i="10"/>
  <c r="D24" i="10"/>
  <c r="F24" i="10"/>
  <c r="E24" i="10"/>
  <c r="I24" i="10"/>
  <c r="AX22" i="14"/>
  <c r="AW21" i="14"/>
  <c r="Z21" i="14"/>
  <c r="AA22" i="14"/>
  <c r="Z6" i="14"/>
  <c r="Y5" i="14"/>
  <c r="W47" i="48"/>
  <c r="W48" i="54"/>
  <c r="W50" i="50"/>
  <c r="W57" i="50"/>
  <c r="W49" i="52"/>
  <c r="W37" i="52"/>
  <c r="W58" i="48"/>
  <c r="H15" i="48"/>
  <c r="H15" i="52"/>
  <c r="H37" i="56"/>
  <c r="H17" i="54"/>
  <c r="H10" i="48"/>
  <c r="H16" i="48"/>
  <c r="H35" i="54"/>
  <c r="H30" i="48"/>
  <c r="H40" i="48"/>
  <c r="H5" i="52"/>
  <c r="H20" i="50"/>
  <c r="H17" i="48"/>
  <c r="H10" i="56"/>
  <c r="H15" i="54"/>
  <c r="H30" i="56"/>
  <c r="H40" i="54"/>
  <c r="H35" i="48"/>
  <c r="H15" i="50"/>
  <c r="H16" i="50"/>
  <c r="H20" i="54"/>
  <c r="H7" i="56"/>
  <c r="H30" i="50"/>
  <c r="H37" i="48"/>
  <c r="H27" i="54"/>
  <c r="H7" i="50"/>
  <c r="H16" i="52"/>
  <c r="H40" i="52"/>
  <c r="H5" i="50"/>
  <c r="I17" i="48" l="1"/>
  <c r="L17" i="48" s="1"/>
  <c r="I16" i="48"/>
  <c r="L16" i="48" s="1"/>
  <c r="M16" i="48" s="1"/>
  <c r="N16" i="48" s="1"/>
  <c r="O16" i="48" s="1"/>
  <c r="I16" i="50"/>
  <c r="L16" i="50" s="1"/>
  <c r="M16" i="50" s="1"/>
  <c r="I10" i="48"/>
  <c r="L10" i="48" s="1"/>
  <c r="M10" i="48" s="1"/>
  <c r="N10" i="48" s="1"/>
  <c r="O10" i="48" s="1"/>
  <c r="P10" i="48" s="1"/>
  <c r="Q10" i="48" s="1"/>
  <c r="R10" i="48" s="1"/>
  <c r="S10" i="48" s="1"/>
  <c r="T10" i="48" s="1"/>
  <c r="U10" i="48" s="1"/>
  <c r="V10" i="48" s="1"/>
  <c r="W10" i="48" s="1"/>
  <c r="X10" i="48" s="1"/>
  <c r="H8" i="48"/>
  <c r="I8" i="48" s="1"/>
  <c r="L8" i="48" s="1"/>
  <c r="M8" i="48" s="1"/>
  <c r="N8" i="48" s="1"/>
  <c r="O8" i="48" s="1"/>
  <c r="P8" i="48" s="1"/>
  <c r="Q8" i="48" s="1"/>
  <c r="R8" i="48" s="1"/>
  <c r="S8" i="48" s="1"/>
  <c r="T8" i="48" s="1"/>
  <c r="U8" i="48" s="1"/>
  <c r="I27" i="54"/>
  <c r="L27" i="54" s="1"/>
  <c r="M27" i="54" s="1"/>
  <c r="N27" i="54" s="1"/>
  <c r="O27" i="54" s="1"/>
  <c r="P27" i="54" s="1"/>
  <c r="Q27" i="54" s="1"/>
  <c r="R27" i="54" s="1"/>
  <c r="S27" i="54" s="1"/>
  <c r="T27" i="54" s="1"/>
  <c r="U27" i="54" s="1"/>
  <c r="V27" i="54" s="1"/>
  <c r="W27" i="54" s="1"/>
  <c r="X27" i="54" s="1"/>
  <c r="H51" i="48"/>
  <c r="F41" i="50"/>
  <c r="I40" i="52"/>
  <c r="L40" i="52" s="1"/>
  <c r="M40" i="52" s="1"/>
  <c r="N40" i="52" s="1"/>
  <c r="O40" i="52" s="1"/>
  <c r="P40" i="52" s="1"/>
  <c r="Q40" i="52" s="1"/>
  <c r="R40" i="52" s="1"/>
  <c r="S40" i="52" s="1"/>
  <c r="T40" i="52" s="1"/>
  <c r="U40" i="52" s="1"/>
  <c r="V40" i="52" s="1"/>
  <c r="W40" i="52" s="1"/>
  <c r="I15" i="52"/>
  <c r="L15" i="52" s="1"/>
  <c r="M15" i="52" s="1"/>
  <c r="H38" i="52"/>
  <c r="I38" i="52" s="1"/>
  <c r="L38" i="52" s="1"/>
  <c r="M38" i="52" s="1"/>
  <c r="N38" i="52" s="1"/>
  <c r="O38" i="52" s="1"/>
  <c r="P38" i="52" s="1"/>
  <c r="Q38" i="52" s="1"/>
  <c r="R38" i="52" s="1"/>
  <c r="S38" i="52" s="1"/>
  <c r="I16" i="52"/>
  <c r="L16" i="52" s="1"/>
  <c r="M16" i="52" s="1"/>
  <c r="N16" i="52" s="1"/>
  <c r="O16" i="52" s="1"/>
  <c r="P16" i="52" s="1"/>
  <c r="Q16" i="52" s="1"/>
  <c r="R16" i="52" s="1"/>
  <c r="S16" i="52" s="1"/>
  <c r="T16" i="52" s="1"/>
  <c r="U16" i="52" s="1"/>
  <c r="V16" i="52" s="1"/>
  <c r="W16" i="52" s="1"/>
  <c r="I30" i="48"/>
  <c r="L30" i="48" s="1"/>
  <c r="M30" i="48" s="1"/>
  <c r="N30" i="48" s="1"/>
  <c r="O30" i="48" s="1"/>
  <c r="P30" i="48" s="1"/>
  <c r="Q30" i="48" s="1"/>
  <c r="R30" i="48" s="1"/>
  <c r="S30" i="48" s="1"/>
  <c r="T30" i="48" s="1"/>
  <c r="U30" i="48" s="1"/>
  <c r="V30" i="48" s="1"/>
  <c r="W30" i="48" s="1"/>
  <c r="X30" i="48" s="1"/>
  <c r="H61" i="52"/>
  <c r="H18" i="52"/>
  <c r="I18" i="52" s="1"/>
  <c r="L18" i="52" s="1"/>
  <c r="M18" i="52" s="1"/>
  <c r="N18" i="52" s="1"/>
  <c r="O18" i="52" s="1"/>
  <c r="P18" i="52" s="1"/>
  <c r="Q18" i="52" s="1"/>
  <c r="R18" i="52" s="1"/>
  <c r="S18" i="52" s="1"/>
  <c r="T18" i="52" s="1"/>
  <c r="U18" i="52" s="1"/>
  <c r="F31" i="56"/>
  <c r="F21" i="52"/>
  <c r="F11" i="54"/>
  <c r="F51" i="52"/>
  <c r="F41" i="48"/>
  <c r="H8" i="54"/>
  <c r="I8" i="54" s="1"/>
  <c r="L8" i="54" s="1"/>
  <c r="M8" i="54" s="1"/>
  <c r="N8" i="54" s="1"/>
  <c r="O8" i="54" s="1"/>
  <c r="P8" i="54" s="1"/>
  <c r="Q8" i="54" s="1"/>
  <c r="R8" i="54" s="1"/>
  <c r="S8" i="54" s="1"/>
  <c r="T8" i="54" s="1"/>
  <c r="U8" i="54" s="1"/>
  <c r="F51" i="54"/>
  <c r="I60" i="54"/>
  <c r="L60" i="54" s="1"/>
  <c r="M60" i="54" s="1"/>
  <c r="N60" i="54" s="1"/>
  <c r="O60" i="54" s="1"/>
  <c r="P60" i="54" s="1"/>
  <c r="Q60" i="54" s="1"/>
  <c r="R60" i="54" s="1"/>
  <c r="S60" i="54" s="1"/>
  <c r="T60" i="54" s="1"/>
  <c r="U60" i="54" s="1"/>
  <c r="V60" i="54" s="1"/>
  <c r="F61" i="50"/>
  <c r="J51" i="53"/>
  <c r="M41" i="55"/>
  <c r="M31" i="51"/>
  <c r="L21" i="15"/>
  <c r="I58" i="52"/>
  <c r="L58" i="52" s="1"/>
  <c r="M58" i="52" s="1"/>
  <c r="M61" i="52" s="1"/>
  <c r="R31" i="51"/>
  <c r="Q31" i="51"/>
  <c r="L51" i="49"/>
  <c r="N31" i="51"/>
  <c r="P31" i="51"/>
  <c r="L31" i="51"/>
  <c r="O31" i="51"/>
  <c r="R31" i="53"/>
  <c r="J51" i="56"/>
  <c r="I45" i="50"/>
  <c r="L45" i="50" s="1"/>
  <c r="M45" i="50" s="1"/>
  <c r="H61" i="54"/>
  <c r="O41" i="51"/>
  <c r="J51" i="50"/>
  <c r="Q16" i="55"/>
  <c r="R16" i="55" s="1"/>
  <c r="P21" i="55"/>
  <c r="J51" i="55"/>
  <c r="F11" i="56"/>
  <c r="Q41" i="51"/>
  <c r="J61" i="49"/>
  <c r="J61" i="15"/>
  <c r="Q31" i="15"/>
  <c r="L11" i="15"/>
  <c r="O21" i="55"/>
  <c r="M21" i="15"/>
  <c r="O21" i="15"/>
  <c r="M21" i="51"/>
  <c r="N21" i="51"/>
  <c r="L21" i="55"/>
  <c r="L21" i="51"/>
  <c r="M21" i="55"/>
  <c r="O56" i="15"/>
  <c r="N61" i="15"/>
  <c r="P31" i="53"/>
  <c r="N21" i="15"/>
  <c r="L47" i="56"/>
  <c r="M47" i="56" s="1"/>
  <c r="N47" i="56" s="1"/>
  <c r="O47" i="56" s="1"/>
  <c r="P47" i="56" s="1"/>
  <c r="Q47" i="56" s="1"/>
  <c r="R47" i="56" s="1"/>
  <c r="S47" i="56" s="1"/>
  <c r="T47" i="56" s="1"/>
  <c r="U47" i="56" s="1"/>
  <c r="V47" i="56" s="1"/>
  <c r="W47" i="56" s="1"/>
  <c r="Q31" i="53"/>
  <c r="M30" i="55"/>
  <c r="N30" i="55" s="1"/>
  <c r="O30" i="55" s="1"/>
  <c r="P30" i="55" s="1"/>
  <c r="Q30" i="55" s="1"/>
  <c r="R30" i="55" s="1"/>
  <c r="S30" i="55" s="1"/>
  <c r="T30" i="55" s="1"/>
  <c r="U30" i="55" s="1"/>
  <c r="V30" i="55" s="1"/>
  <c r="W30" i="55" s="1"/>
  <c r="X30" i="55" s="1"/>
  <c r="Y30" i="55" s="1"/>
  <c r="L31" i="55"/>
  <c r="M31" i="15"/>
  <c r="I19" i="56"/>
  <c r="L19" i="56" s="1"/>
  <c r="M19" i="56" s="1"/>
  <c r="N19" i="56" s="1"/>
  <c r="O19" i="56" s="1"/>
  <c r="P19" i="56" s="1"/>
  <c r="Q19" i="56" s="1"/>
  <c r="R19" i="56" s="1"/>
  <c r="S19" i="56" s="1"/>
  <c r="T19" i="56" s="1"/>
  <c r="U19" i="56" s="1"/>
  <c r="V19" i="56" s="1"/>
  <c r="W19" i="56" s="1"/>
  <c r="X19" i="56" s="1"/>
  <c r="L47" i="50"/>
  <c r="M47" i="50" s="1"/>
  <c r="N47" i="50" s="1"/>
  <c r="O47" i="50" s="1"/>
  <c r="P47" i="50" s="1"/>
  <c r="Q47" i="50" s="1"/>
  <c r="R47" i="50" s="1"/>
  <c r="S47" i="50" s="1"/>
  <c r="T47" i="50" s="1"/>
  <c r="U47" i="50" s="1"/>
  <c r="V47" i="50" s="1"/>
  <c r="W47" i="50" s="1"/>
  <c r="X47" i="50" s="1"/>
  <c r="H28" i="54"/>
  <c r="I28" i="54" s="1"/>
  <c r="L28" i="54" s="1"/>
  <c r="M28" i="54" s="1"/>
  <c r="N28" i="54" s="1"/>
  <c r="L31" i="15"/>
  <c r="K51" i="50"/>
  <c r="I40" i="48"/>
  <c r="L40" i="48" s="1"/>
  <c r="M40" i="48" s="1"/>
  <c r="N40" i="48" s="1"/>
  <c r="O40" i="48" s="1"/>
  <c r="P40" i="48" s="1"/>
  <c r="Q40" i="48" s="1"/>
  <c r="R40" i="48" s="1"/>
  <c r="S40" i="48" s="1"/>
  <c r="T40" i="48" s="1"/>
  <c r="U40" i="48" s="1"/>
  <c r="V40" i="48" s="1"/>
  <c r="W40" i="48" s="1"/>
  <c r="X40" i="48" s="1"/>
  <c r="P21" i="51"/>
  <c r="L41" i="51"/>
  <c r="R31" i="15"/>
  <c r="H61" i="56"/>
  <c r="H18" i="56"/>
  <c r="I18" i="56" s="1"/>
  <c r="L18" i="56" s="1"/>
  <c r="M18" i="56" s="1"/>
  <c r="N18" i="56" s="1"/>
  <c r="O18" i="56" s="1"/>
  <c r="P18" i="56" s="1"/>
  <c r="Q18" i="56" s="1"/>
  <c r="R18" i="56" s="1"/>
  <c r="S18" i="56" s="1"/>
  <c r="T18" i="56" s="1"/>
  <c r="U18" i="56" s="1"/>
  <c r="V18" i="56" s="1"/>
  <c r="W18" i="56" s="1"/>
  <c r="N41" i="51"/>
  <c r="L31" i="53"/>
  <c r="N31" i="53"/>
  <c r="F21" i="56"/>
  <c r="L11" i="55"/>
  <c r="O31" i="15"/>
  <c r="N31" i="15"/>
  <c r="O31" i="53"/>
  <c r="K51" i="56"/>
  <c r="P41" i="51"/>
  <c r="L31" i="49"/>
  <c r="K61" i="50"/>
  <c r="M41" i="51"/>
  <c r="M61" i="15"/>
  <c r="P31" i="15"/>
  <c r="M31" i="53"/>
  <c r="N21" i="55"/>
  <c r="L61" i="15"/>
  <c r="H38" i="50"/>
  <c r="I38" i="50" s="1"/>
  <c r="L38" i="50" s="1"/>
  <c r="M38" i="50" s="1"/>
  <c r="N38" i="50" s="1"/>
  <c r="O38" i="50" s="1"/>
  <c r="P38" i="50" s="1"/>
  <c r="Q38" i="50" s="1"/>
  <c r="R38" i="50" s="1"/>
  <c r="S38" i="50" s="1"/>
  <c r="T38" i="50" s="1"/>
  <c r="U38" i="50" s="1"/>
  <c r="M59" i="51"/>
  <c r="L61" i="51"/>
  <c r="M46" i="51"/>
  <c r="L51" i="51"/>
  <c r="J61" i="50"/>
  <c r="F61" i="48"/>
  <c r="I56" i="48"/>
  <c r="L56" i="48" s="1"/>
  <c r="M56" i="48" s="1"/>
  <c r="N56" i="48" s="1"/>
  <c r="O56" i="48" s="1"/>
  <c r="P56" i="48" s="1"/>
  <c r="Q56" i="48" s="1"/>
  <c r="R56" i="48" s="1"/>
  <c r="S56" i="48" s="1"/>
  <c r="T56" i="48" s="1"/>
  <c r="U56" i="48" s="1"/>
  <c r="V56" i="48" s="1"/>
  <c r="W56" i="48" s="1"/>
  <c r="X56" i="48" s="1"/>
  <c r="L21" i="53"/>
  <c r="L21" i="49"/>
  <c r="L58" i="50"/>
  <c r="M58" i="50" s="1"/>
  <c r="N58" i="50" s="1"/>
  <c r="O58" i="50" s="1"/>
  <c r="P58" i="50" s="1"/>
  <c r="Q58" i="50" s="1"/>
  <c r="R58" i="50" s="1"/>
  <c r="S58" i="50" s="1"/>
  <c r="T58" i="50" s="1"/>
  <c r="U58" i="50" s="1"/>
  <c r="V58" i="50" s="1"/>
  <c r="W58" i="50" s="1"/>
  <c r="X58" i="50" s="1"/>
  <c r="L46" i="56"/>
  <c r="M46" i="56" s="1"/>
  <c r="N46" i="56" s="1"/>
  <c r="O46" i="56" s="1"/>
  <c r="P46" i="56" s="1"/>
  <c r="Q46" i="56" s="1"/>
  <c r="R46" i="56" s="1"/>
  <c r="S46" i="56" s="1"/>
  <c r="T46" i="56" s="1"/>
  <c r="U46" i="56" s="1"/>
  <c r="V46" i="56" s="1"/>
  <c r="W46" i="56" s="1"/>
  <c r="J41" i="53"/>
  <c r="O58" i="49"/>
  <c r="P58" i="49" s="1"/>
  <c r="Q58" i="49" s="1"/>
  <c r="R58" i="49" s="1"/>
  <c r="S58" i="49" s="1"/>
  <c r="T58" i="49" s="1"/>
  <c r="U58" i="49" s="1"/>
  <c r="V58" i="49" s="1"/>
  <c r="W58" i="49" s="1"/>
  <c r="X58" i="49" s="1"/>
  <c r="N61" i="49"/>
  <c r="M8" i="53"/>
  <c r="N8" i="53" s="1"/>
  <c r="O8" i="53" s="1"/>
  <c r="P8" i="53" s="1"/>
  <c r="Q8" i="53" s="1"/>
  <c r="R8" i="53" s="1"/>
  <c r="S8" i="53" s="1"/>
  <c r="T8" i="53" s="1"/>
  <c r="U8" i="53" s="1"/>
  <c r="V8" i="53" s="1"/>
  <c r="W8" i="53" s="1"/>
  <c r="X8" i="53" s="1"/>
  <c r="L11" i="53"/>
  <c r="M57" i="53"/>
  <c r="N57" i="53" s="1"/>
  <c r="O57" i="53" s="1"/>
  <c r="P57" i="53" s="1"/>
  <c r="Q57" i="53" s="1"/>
  <c r="R57" i="53" s="1"/>
  <c r="S57" i="53" s="1"/>
  <c r="T57" i="53" s="1"/>
  <c r="L61" i="53"/>
  <c r="M40" i="53"/>
  <c r="N40" i="53" s="1"/>
  <c r="O40" i="53" s="1"/>
  <c r="P40" i="53" s="1"/>
  <c r="Q40" i="53" s="1"/>
  <c r="R40" i="53" s="1"/>
  <c r="S40" i="53" s="1"/>
  <c r="T40" i="53" s="1"/>
  <c r="U40" i="53" s="1"/>
  <c r="V40" i="53" s="1"/>
  <c r="W40" i="53" s="1"/>
  <c r="X40" i="53" s="1"/>
  <c r="Y40" i="53" s="1"/>
  <c r="L41" i="53"/>
  <c r="I30" i="50"/>
  <c r="L30" i="50" s="1"/>
  <c r="M30" i="50" s="1"/>
  <c r="N30" i="50" s="1"/>
  <c r="O30" i="50" s="1"/>
  <c r="P30" i="50" s="1"/>
  <c r="Q30" i="50" s="1"/>
  <c r="R30" i="50" s="1"/>
  <c r="S30" i="50" s="1"/>
  <c r="T30" i="50" s="1"/>
  <c r="U30" i="50" s="1"/>
  <c r="V30" i="50" s="1"/>
  <c r="W30" i="50" s="1"/>
  <c r="X30" i="50" s="1"/>
  <c r="H28" i="50"/>
  <c r="I28" i="50" s="1"/>
  <c r="L28" i="50" s="1"/>
  <c r="M28" i="50" s="1"/>
  <c r="N28" i="50" s="1"/>
  <c r="O28" i="50" s="1"/>
  <c r="P28" i="50" s="1"/>
  <c r="Q28" i="50" s="1"/>
  <c r="R28" i="50" s="1"/>
  <c r="S28" i="50" s="1"/>
  <c r="I20" i="50"/>
  <c r="L20" i="50" s="1"/>
  <c r="M20" i="50" s="1"/>
  <c r="N20" i="50" s="1"/>
  <c r="O20" i="50" s="1"/>
  <c r="P20" i="50" s="1"/>
  <c r="Q20" i="50" s="1"/>
  <c r="R20" i="50" s="1"/>
  <c r="S20" i="50" s="1"/>
  <c r="T20" i="50" s="1"/>
  <c r="U20" i="50" s="1"/>
  <c r="V20" i="50" s="1"/>
  <c r="W20" i="50" s="1"/>
  <c r="X20" i="50" s="1"/>
  <c r="I37" i="48"/>
  <c r="L37" i="48" s="1"/>
  <c r="M37" i="48" s="1"/>
  <c r="N37" i="48" s="1"/>
  <c r="O37" i="48" s="1"/>
  <c r="P37" i="48" s="1"/>
  <c r="Q37" i="48" s="1"/>
  <c r="R37" i="48" s="1"/>
  <c r="S37" i="48" s="1"/>
  <c r="I40" i="54"/>
  <c r="L40" i="54" s="1"/>
  <c r="M40" i="54" s="1"/>
  <c r="N40" i="54" s="1"/>
  <c r="O40" i="54" s="1"/>
  <c r="P40" i="54" s="1"/>
  <c r="Q40" i="54" s="1"/>
  <c r="R40" i="54" s="1"/>
  <c r="S40" i="54" s="1"/>
  <c r="T40" i="54" s="1"/>
  <c r="U40" i="54" s="1"/>
  <c r="V40" i="54" s="1"/>
  <c r="W40" i="54" s="1"/>
  <c r="X40" i="54" s="1"/>
  <c r="I7" i="56"/>
  <c r="L7" i="56" s="1"/>
  <c r="M7" i="56" s="1"/>
  <c r="N7" i="56" s="1"/>
  <c r="O7" i="56" s="1"/>
  <c r="P7" i="56" s="1"/>
  <c r="Q7" i="56" s="1"/>
  <c r="R7" i="56" s="1"/>
  <c r="S7" i="56" s="1"/>
  <c r="T7" i="56" s="1"/>
  <c r="U7" i="56" s="1"/>
  <c r="V7" i="56" s="1"/>
  <c r="W7" i="56" s="1"/>
  <c r="X7" i="56" s="1"/>
  <c r="H8" i="56"/>
  <c r="I8" i="56" s="1"/>
  <c r="L8" i="56" s="1"/>
  <c r="M8" i="56" s="1"/>
  <c r="N8" i="56" s="1"/>
  <c r="O8" i="56" s="1"/>
  <c r="P8" i="56" s="1"/>
  <c r="Q8" i="56" s="1"/>
  <c r="R8" i="56" s="1"/>
  <c r="S8" i="56" s="1"/>
  <c r="T8" i="56" s="1"/>
  <c r="U8" i="56" s="1"/>
  <c r="V8" i="56" s="1"/>
  <c r="W8" i="56" s="1"/>
  <c r="X8" i="56" s="1"/>
  <c r="I30" i="56"/>
  <c r="L30" i="56" s="1"/>
  <c r="M30" i="56" s="1"/>
  <c r="N30" i="56" s="1"/>
  <c r="O30" i="56" s="1"/>
  <c r="P30" i="56" s="1"/>
  <c r="Q30" i="56" s="1"/>
  <c r="R30" i="56" s="1"/>
  <c r="S30" i="56" s="1"/>
  <c r="T30" i="56" s="1"/>
  <c r="U30" i="56" s="1"/>
  <c r="V30" i="56" s="1"/>
  <c r="W30" i="56" s="1"/>
  <c r="X30" i="56" s="1"/>
  <c r="I5" i="50"/>
  <c r="L5" i="50" s="1"/>
  <c r="M5" i="50" s="1"/>
  <c r="N5" i="50" s="1"/>
  <c r="O5" i="50" s="1"/>
  <c r="P5" i="50" s="1"/>
  <c r="Q5" i="50" s="1"/>
  <c r="R5" i="50" s="1"/>
  <c r="S5" i="50" s="1"/>
  <c r="T5" i="50" s="1"/>
  <c r="U5" i="50" s="1"/>
  <c r="H8" i="50"/>
  <c r="I8" i="50" s="1"/>
  <c r="L8" i="50" s="1"/>
  <c r="M8" i="50" s="1"/>
  <c r="N8" i="50" s="1"/>
  <c r="O8" i="50" s="1"/>
  <c r="P8" i="50" s="1"/>
  <c r="Q8" i="50" s="1"/>
  <c r="R8" i="50" s="1"/>
  <c r="S8" i="50" s="1"/>
  <c r="T8" i="50" s="1"/>
  <c r="U8" i="50" s="1"/>
  <c r="V8" i="50" s="1"/>
  <c r="W8" i="50" s="1"/>
  <c r="I15" i="50"/>
  <c r="L15" i="50" s="1"/>
  <c r="M15" i="50" s="1"/>
  <c r="N15" i="50" s="1"/>
  <c r="O15" i="50" s="1"/>
  <c r="P15" i="50" s="1"/>
  <c r="Q15" i="50" s="1"/>
  <c r="R15" i="50" s="1"/>
  <c r="S15" i="50" s="1"/>
  <c r="T15" i="50" s="1"/>
  <c r="U15" i="50" s="1"/>
  <c r="H18" i="50"/>
  <c r="I18" i="50" s="1"/>
  <c r="L18" i="50" s="1"/>
  <c r="M18" i="50" s="1"/>
  <c r="N18" i="50" s="1"/>
  <c r="O18" i="50" s="1"/>
  <c r="P18" i="50" s="1"/>
  <c r="Q18" i="50" s="1"/>
  <c r="R18" i="50" s="1"/>
  <c r="S18" i="50" s="1"/>
  <c r="H38" i="56"/>
  <c r="I38" i="56" s="1"/>
  <c r="L38" i="56" s="1"/>
  <c r="M38" i="56" s="1"/>
  <c r="N38" i="56" s="1"/>
  <c r="O38" i="56" s="1"/>
  <c r="P38" i="56" s="1"/>
  <c r="Q38" i="56" s="1"/>
  <c r="R38" i="56" s="1"/>
  <c r="S38" i="56" s="1"/>
  <c r="T38" i="56" s="1"/>
  <c r="U38" i="56" s="1"/>
  <c r="V38" i="56" s="1"/>
  <c r="W38" i="56" s="1"/>
  <c r="I20" i="54"/>
  <c r="L20" i="54" s="1"/>
  <c r="M20" i="54" s="1"/>
  <c r="N20" i="54" s="1"/>
  <c r="O20" i="54" s="1"/>
  <c r="P20" i="54" s="1"/>
  <c r="Q20" i="54" s="1"/>
  <c r="R20" i="54" s="1"/>
  <c r="S20" i="54" s="1"/>
  <c r="T20" i="54" s="1"/>
  <c r="U20" i="54" s="1"/>
  <c r="V20" i="54" s="1"/>
  <c r="W20" i="54" s="1"/>
  <c r="X20" i="54" s="1"/>
  <c r="I35" i="48"/>
  <c r="L35" i="48" s="1"/>
  <c r="M35" i="48" s="1"/>
  <c r="N35" i="48" s="1"/>
  <c r="O35" i="48" s="1"/>
  <c r="P35" i="48" s="1"/>
  <c r="Q35" i="48" s="1"/>
  <c r="R35" i="48" s="1"/>
  <c r="S35" i="48" s="1"/>
  <c r="T35" i="48" s="1"/>
  <c r="U35" i="48" s="1"/>
  <c r="H38" i="48"/>
  <c r="I38" i="48" s="1"/>
  <c r="L38" i="48" s="1"/>
  <c r="M38" i="48" s="1"/>
  <c r="N38" i="48" s="1"/>
  <c r="O38" i="48" s="1"/>
  <c r="P38" i="48" s="1"/>
  <c r="Q38" i="48" s="1"/>
  <c r="R38" i="48" s="1"/>
  <c r="S38" i="48" s="1"/>
  <c r="T38" i="48" s="1"/>
  <c r="U38" i="48" s="1"/>
  <c r="I7" i="50"/>
  <c r="L7" i="50" s="1"/>
  <c r="M7" i="50" s="1"/>
  <c r="N7" i="50" s="1"/>
  <c r="O7" i="50" s="1"/>
  <c r="P7" i="50" s="1"/>
  <c r="Q7" i="50" s="1"/>
  <c r="R7" i="50" s="1"/>
  <c r="S7" i="50" s="1"/>
  <c r="T7" i="50" s="1"/>
  <c r="U7" i="50" s="1"/>
  <c r="V7" i="50" s="1"/>
  <c r="W7" i="50" s="1"/>
  <c r="X7" i="50" s="1"/>
  <c r="I17" i="54"/>
  <c r="L17" i="54" s="1"/>
  <c r="M17" i="54" s="1"/>
  <c r="N17" i="54" s="1"/>
  <c r="O17" i="54" s="1"/>
  <c r="P17" i="54" s="1"/>
  <c r="Q17" i="54" s="1"/>
  <c r="R17" i="54" s="1"/>
  <c r="S17" i="54" s="1"/>
  <c r="I5" i="52"/>
  <c r="L5" i="52" s="1"/>
  <c r="M5" i="52" s="1"/>
  <c r="N5" i="52" s="1"/>
  <c r="O5" i="52" s="1"/>
  <c r="P5" i="52" s="1"/>
  <c r="Q5" i="52" s="1"/>
  <c r="R5" i="52" s="1"/>
  <c r="S5" i="52" s="1"/>
  <c r="T5" i="52" s="1"/>
  <c r="U5" i="52" s="1"/>
  <c r="H8" i="52"/>
  <c r="I8" i="52" s="1"/>
  <c r="L8" i="52" s="1"/>
  <c r="M8" i="52" s="1"/>
  <c r="N8" i="52" s="1"/>
  <c r="O8" i="52" s="1"/>
  <c r="P8" i="52" s="1"/>
  <c r="Q8" i="52" s="1"/>
  <c r="R8" i="52" s="1"/>
  <c r="S8" i="52" s="1"/>
  <c r="T8" i="52" s="1"/>
  <c r="U8" i="52" s="1"/>
  <c r="I15" i="54"/>
  <c r="L15" i="54" s="1"/>
  <c r="H38" i="54"/>
  <c r="I38" i="54" s="1"/>
  <c r="L38" i="54" s="1"/>
  <c r="M38" i="54" s="1"/>
  <c r="N38" i="54" s="1"/>
  <c r="O38" i="54" s="1"/>
  <c r="P38" i="54" s="1"/>
  <c r="Q38" i="54" s="1"/>
  <c r="R38" i="54" s="1"/>
  <c r="S38" i="54" s="1"/>
  <c r="T38" i="54" s="1"/>
  <c r="U38" i="54" s="1"/>
  <c r="I35" i="54"/>
  <c r="L35" i="54" s="1"/>
  <c r="M35" i="54" s="1"/>
  <c r="N35" i="54" s="1"/>
  <c r="O35" i="54" s="1"/>
  <c r="P35" i="54" s="1"/>
  <c r="Q35" i="54" s="1"/>
  <c r="R35" i="54" s="1"/>
  <c r="S35" i="54" s="1"/>
  <c r="T35" i="54" s="1"/>
  <c r="U35" i="54" s="1"/>
  <c r="I10" i="56"/>
  <c r="L10" i="56" s="1"/>
  <c r="M10" i="56" s="1"/>
  <c r="N10" i="56" s="1"/>
  <c r="O10" i="56" s="1"/>
  <c r="P10" i="56" s="1"/>
  <c r="Q10" i="56" s="1"/>
  <c r="R10" i="56" s="1"/>
  <c r="S10" i="56" s="1"/>
  <c r="T10" i="56" s="1"/>
  <c r="U10" i="56" s="1"/>
  <c r="V10" i="56" s="1"/>
  <c r="W10" i="56" s="1"/>
  <c r="X10" i="56" s="1"/>
  <c r="I15" i="48"/>
  <c r="L15" i="48" s="1"/>
  <c r="M15" i="48" s="1"/>
  <c r="N15" i="48" s="1"/>
  <c r="O15" i="48" s="1"/>
  <c r="P15" i="48" s="1"/>
  <c r="Q15" i="48" s="1"/>
  <c r="R15" i="48" s="1"/>
  <c r="S15" i="48" s="1"/>
  <c r="T15" i="48" s="1"/>
  <c r="U15" i="48" s="1"/>
  <c r="H18" i="48"/>
  <c r="I18" i="48" s="1"/>
  <c r="L18" i="48" s="1"/>
  <c r="M18" i="48" s="1"/>
  <c r="N18" i="48" s="1"/>
  <c r="O18" i="48" s="1"/>
  <c r="P18" i="48" s="1"/>
  <c r="Q18" i="48" s="1"/>
  <c r="R18" i="48" s="1"/>
  <c r="S18" i="48" s="1"/>
  <c r="T18" i="48" s="1"/>
  <c r="U18" i="48" s="1"/>
  <c r="H28" i="56"/>
  <c r="I28" i="56" s="1"/>
  <c r="L28" i="56" s="1"/>
  <c r="M28" i="56" s="1"/>
  <c r="N28" i="56" s="1"/>
  <c r="O28" i="56" s="1"/>
  <c r="P28" i="56" s="1"/>
  <c r="Q28" i="56" s="1"/>
  <c r="R28" i="56" s="1"/>
  <c r="S28" i="56" s="1"/>
  <c r="T28" i="56" s="1"/>
  <c r="U28" i="56" s="1"/>
  <c r="V28" i="56" s="1"/>
  <c r="W28" i="56" s="1"/>
  <c r="M50" i="53"/>
  <c r="L51" i="53"/>
  <c r="M5" i="49"/>
  <c r="N5" i="49" s="1"/>
  <c r="O5" i="49" s="1"/>
  <c r="P5" i="49" s="1"/>
  <c r="Q5" i="49" s="1"/>
  <c r="R5" i="49" s="1"/>
  <c r="S5" i="49" s="1"/>
  <c r="T5" i="49" s="1"/>
  <c r="U5" i="49" s="1"/>
  <c r="V5" i="49" s="1"/>
  <c r="L11" i="49"/>
  <c r="M46" i="55"/>
  <c r="L51" i="55"/>
  <c r="H28" i="48"/>
  <c r="I28" i="48" s="1"/>
  <c r="L28" i="48" s="1"/>
  <c r="L51" i="15"/>
  <c r="N51" i="15"/>
  <c r="S31" i="15"/>
  <c r="M35" i="15"/>
  <c r="L41" i="15"/>
  <c r="M5" i="51"/>
  <c r="L11" i="51"/>
  <c r="H18" i="54"/>
  <c r="I18" i="54" s="1"/>
  <c r="L18" i="54" s="1"/>
  <c r="M18" i="54" s="1"/>
  <c r="N18" i="54" s="1"/>
  <c r="O18" i="54" s="1"/>
  <c r="P18" i="54" s="1"/>
  <c r="Q18" i="54" s="1"/>
  <c r="R18" i="54" s="1"/>
  <c r="S18" i="54" s="1"/>
  <c r="T18" i="54" s="1"/>
  <c r="U18" i="54" s="1"/>
  <c r="V18" i="54" s="1"/>
  <c r="W18" i="54" s="1"/>
  <c r="F51" i="56"/>
  <c r="L55" i="50"/>
  <c r="M55" i="50" s="1"/>
  <c r="N55" i="50" s="1"/>
  <c r="O55" i="50" s="1"/>
  <c r="P55" i="50" s="1"/>
  <c r="Q55" i="50" s="1"/>
  <c r="R55" i="50" s="1"/>
  <c r="S55" i="50" s="1"/>
  <c r="T55" i="50" s="1"/>
  <c r="U55" i="50" s="1"/>
  <c r="M11" i="55"/>
  <c r="L61" i="49"/>
  <c r="H51" i="56"/>
  <c r="L41" i="49"/>
  <c r="M51" i="15"/>
  <c r="T31" i="15"/>
  <c r="M55" i="55"/>
  <c r="L61" i="55"/>
  <c r="J61" i="51"/>
  <c r="O51" i="15"/>
  <c r="L41" i="55"/>
  <c r="M61" i="49"/>
  <c r="K61" i="56"/>
  <c r="I37" i="56"/>
  <c r="L37" i="56" s="1"/>
  <c r="M37" i="56" s="1"/>
  <c r="N37" i="56" s="1"/>
  <c r="O37" i="56" s="1"/>
  <c r="P37" i="56" s="1"/>
  <c r="Q37" i="56" s="1"/>
  <c r="R37" i="56" s="1"/>
  <c r="S37" i="56" s="1"/>
  <c r="F41" i="56"/>
  <c r="L59" i="56"/>
  <c r="M59" i="56" s="1"/>
  <c r="N59" i="56" s="1"/>
  <c r="O59" i="56" s="1"/>
  <c r="P59" i="56" s="1"/>
  <c r="Q59" i="56" s="1"/>
  <c r="R59" i="56" s="1"/>
  <c r="S59" i="56" s="1"/>
  <c r="T59" i="56" s="1"/>
  <c r="U59" i="56" s="1"/>
  <c r="V59" i="56" s="1"/>
  <c r="W59" i="56" s="1"/>
  <c r="N57" i="48"/>
  <c r="O59" i="55"/>
  <c r="P56" i="49"/>
  <c r="M6" i="50"/>
  <c r="N5" i="53"/>
  <c r="N16" i="49"/>
  <c r="M21" i="49"/>
  <c r="N5" i="48"/>
  <c r="N16" i="53"/>
  <c r="M21" i="53"/>
  <c r="N36" i="49"/>
  <c r="M41" i="49"/>
  <c r="M36" i="56"/>
  <c r="M36" i="50"/>
  <c r="M28" i="52"/>
  <c r="L31" i="52"/>
  <c r="M37" i="54"/>
  <c r="O6" i="55"/>
  <c r="N11" i="55"/>
  <c r="N6" i="49"/>
  <c r="R45" i="53"/>
  <c r="N5" i="15"/>
  <c r="M11" i="15"/>
  <c r="M46" i="48"/>
  <c r="L51" i="48"/>
  <c r="N55" i="54"/>
  <c r="M45" i="54"/>
  <c r="L51" i="54"/>
  <c r="N36" i="53"/>
  <c r="R7" i="51"/>
  <c r="O21" i="51"/>
  <c r="M25" i="50"/>
  <c r="M5" i="54"/>
  <c r="M45" i="52"/>
  <c r="L51" i="52"/>
  <c r="M39" i="48"/>
  <c r="M17" i="48"/>
  <c r="M45" i="56"/>
  <c r="N55" i="53"/>
  <c r="N25" i="49"/>
  <c r="M31" i="49"/>
  <c r="M36" i="52"/>
  <c r="N45" i="49"/>
  <c r="M51" i="49"/>
  <c r="S36" i="51"/>
  <c r="R41" i="51"/>
  <c r="O36" i="55"/>
  <c r="N41" i="55"/>
  <c r="N27" i="55"/>
  <c r="M60" i="56"/>
  <c r="M56" i="50"/>
  <c r="M27" i="56"/>
  <c r="M7" i="52"/>
  <c r="M17" i="56"/>
  <c r="M6" i="56"/>
  <c r="Q57" i="56"/>
  <c r="P46" i="54"/>
  <c r="P55" i="48"/>
  <c r="P16" i="56"/>
  <c r="Q58" i="55"/>
  <c r="Q35" i="49"/>
  <c r="Q45" i="15"/>
  <c r="P51" i="15"/>
  <c r="P17" i="50"/>
  <c r="Q60" i="51"/>
  <c r="P16" i="48"/>
  <c r="Q16" i="15"/>
  <c r="P21" i="15"/>
  <c r="Q56" i="53"/>
  <c r="P26" i="50"/>
  <c r="R15" i="51"/>
  <c r="Q21" i="51"/>
  <c r="R35" i="55"/>
  <c r="Q48" i="56"/>
  <c r="Q46" i="50"/>
  <c r="T9" i="55"/>
  <c r="S39" i="54"/>
  <c r="T39" i="53"/>
  <c r="T46" i="49"/>
  <c r="T37" i="15"/>
  <c r="T6" i="51"/>
  <c r="S56" i="52"/>
  <c r="S6" i="52"/>
  <c r="T26" i="51"/>
  <c r="S31" i="51"/>
  <c r="T60" i="55"/>
  <c r="S57" i="54"/>
  <c r="T45" i="55"/>
  <c r="S6" i="48"/>
  <c r="S26" i="52"/>
  <c r="S35" i="50"/>
  <c r="T25" i="55"/>
  <c r="T17" i="15"/>
  <c r="T26" i="53"/>
  <c r="S31" i="53"/>
  <c r="T45" i="51"/>
  <c r="S25" i="56"/>
  <c r="T17" i="55"/>
  <c r="S6" i="54"/>
  <c r="S27" i="48"/>
  <c r="S26" i="54"/>
  <c r="S17" i="52"/>
  <c r="T28" i="49"/>
  <c r="T17" i="53"/>
  <c r="T6" i="53"/>
  <c r="T17" i="51"/>
  <c r="T37" i="55"/>
  <c r="T19" i="49"/>
  <c r="T55" i="15"/>
  <c r="T6" i="15"/>
  <c r="AA3" i="54"/>
  <c r="AB4" i="54"/>
  <c r="AZ34" i="52"/>
  <c r="AY33" i="52"/>
  <c r="AA14" i="54"/>
  <c r="Z13" i="54"/>
  <c r="AX43" i="53"/>
  <c r="AY44" i="53"/>
  <c r="Z53" i="50"/>
  <c r="AA54" i="50"/>
  <c r="AY44" i="51"/>
  <c r="AX43" i="51"/>
  <c r="Z53" i="54"/>
  <c r="AA54" i="54"/>
  <c r="AY13" i="15"/>
  <c r="AZ14" i="15"/>
  <c r="AY54" i="15"/>
  <c r="AX53" i="15"/>
  <c r="AY4" i="49"/>
  <c r="AX3" i="49"/>
  <c r="AB4" i="15"/>
  <c r="AA3" i="15"/>
  <c r="AX13" i="55"/>
  <c r="AY14" i="55"/>
  <c r="AA44" i="53"/>
  <c r="Z43" i="53"/>
  <c r="BA13" i="54"/>
  <c r="BB14" i="54"/>
  <c r="BB13" i="54" s="1"/>
  <c r="Z53" i="49"/>
  <c r="AA54" i="49"/>
  <c r="Z3" i="48"/>
  <c r="AA4" i="48"/>
  <c r="AX43" i="50"/>
  <c r="AY44" i="50"/>
  <c r="AA24" i="49"/>
  <c r="Z23" i="49"/>
  <c r="AY44" i="56"/>
  <c r="AX43" i="56"/>
  <c r="AY33" i="51"/>
  <c r="AZ34" i="51"/>
  <c r="Z23" i="48"/>
  <c r="AA24" i="48"/>
  <c r="AX3" i="52"/>
  <c r="AY4" i="52"/>
  <c r="AY23" i="52"/>
  <c r="AZ24" i="52"/>
  <c r="AA44" i="54"/>
  <c r="Z43" i="54"/>
  <c r="AY4" i="54"/>
  <c r="AX3" i="54"/>
  <c r="AA33" i="52"/>
  <c r="AB34" i="52"/>
  <c r="AY43" i="48"/>
  <c r="AZ44" i="48"/>
  <c r="AA53" i="52"/>
  <c r="AB54" i="52"/>
  <c r="AC14" i="55"/>
  <c r="AB13" i="55"/>
  <c r="AB53" i="15"/>
  <c r="AC54" i="15"/>
  <c r="AY54" i="50"/>
  <c r="AX53" i="50"/>
  <c r="AB23" i="51"/>
  <c r="AC24" i="51"/>
  <c r="BB24" i="48"/>
  <c r="BB23" i="48" s="1"/>
  <c r="BA23" i="48"/>
  <c r="AA44" i="49"/>
  <c r="Z43" i="49"/>
  <c r="AA34" i="15"/>
  <c r="Z33" i="15"/>
  <c r="AY13" i="56"/>
  <c r="AZ14" i="56"/>
  <c r="BA43" i="55"/>
  <c r="BB44" i="55"/>
  <c r="BB43" i="55" s="1"/>
  <c r="Z23" i="52"/>
  <c r="AA24" i="52"/>
  <c r="BA14" i="50"/>
  <c r="AZ13" i="50"/>
  <c r="AX53" i="51"/>
  <c r="AY54" i="51"/>
  <c r="AA34" i="50"/>
  <c r="Z33" i="50"/>
  <c r="AB43" i="51"/>
  <c r="AC44" i="51"/>
  <c r="AA34" i="56"/>
  <c r="Z33" i="56"/>
  <c r="AA4" i="52"/>
  <c r="Z3" i="52"/>
  <c r="AC43" i="56"/>
  <c r="AD44" i="56"/>
  <c r="AD43" i="56" s="1"/>
  <c r="AB34" i="49"/>
  <c r="AA33" i="49"/>
  <c r="AB4" i="51"/>
  <c r="AA3" i="51"/>
  <c r="AY34" i="54"/>
  <c r="AX33" i="54"/>
  <c r="BA54" i="56"/>
  <c r="AZ53" i="56"/>
  <c r="W28" i="55"/>
  <c r="X28" i="55" s="1"/>
  <c r="W26" i="15"/>
  <c r="X26" i="15" s="1"/>
  <c r="W59" i="49"/>
  <c r="X59" i="49" s="1"/>
  <c r="W19" i="54"/>
  <c r="X19" i="54" s="1"/>
  <c r="V50" i="48"/>
  <c r="W50" i="48" s="1"/>
  <c r="X50" i="48" s="1"/>
  <c r="V56" i="56"/>
  <c r="W56" i="56" s="1"/>
  <c r="X56" i="56" s="1"/>
  <c r="V59" i="54"/>
  <c r="W48" i="55"/>
  <c r="X48" i="55" s="1"/>
  <c r="AZ54" i="54"/>
  <c r="AY53" i="54"/>
  <c r="AZ4" i="15"/>
  <c r="AY3" i="15"/>
  <c r="Z13" i="15"/>
  <c r="AA14" i="15"/>
  <c r="AX53" i="49"/>
  <c r="AY54" i="49"/>
  <c r="Z33" i="54"/>
  <c r="AA34" i="54"/>
  <c r="AA23" i="15"/>
  <c r="AB24" i="15"/>
  <c r="AY13" i="51"/>
  <c r="AZ14" i="51"/>
  <c r="AX53" i="52"/>
  <c r="AY54" i="52"/>
  <c r="BA34" i="53"/>
  <c r="AZ33" i="53"/>
  <c r="AZ33" i="55"/>
  <c r="BA34" i="55"/>
  <c r="AY14" i="52"/>
  <c r="AX13" i="52"/>
  <c r="AB54" i="53"/>
  <c r="AA53" i="53"/>
  <c r="AA3" i="56"/>
  <c r="AB4" i="56"/>
  <c r="AB34" i="55"/>
  <c r="AA33" i="55"/>
  <c r="AB54" i="51"/>
  <c r="AA53" i="51"/>
  <c r="AA54" i="56"/>
  <c r="Z53" i="56"/>
  <c r="AY24" i="56"/>
  <c r="AX23" i="56"/>
  <c r="AY24" i="51"/>
  <c r="AX23" i="51"/>
  <c r="AY43" i="52"/>
  <c r="AZ44" i="52"/>
  <c r="AY4" i="51"/>
  <c r="AX3" i="51"/>
  <c r="AB44" i="48"/>
  <c r="AA43" i="48"/>
  <c r="AZ23" i="50"/>
  <c r="BA24" i="50"/>
  <c r="AX33" i="15"/>
  <c r="AY34" i="15"/>
  <c r="BA4" i="55"/>
  <c r="AZ3" i="55"/>
  <c r="AA4" i="53"/>
  <c r="Z3" i="53"/>
  <c r="AA3" i="49"/>
  <c r="AB4" i="49"/>
  <c r="AA24" i="54"/>
  <c r="Z23" i="54"/>
  <c r="Z13" i="49"/>
  <c r="AA14" i="49"/>
  <c r="AC54" i="48"/>
  <c r="AB53" i="48"/>
  <c r="AZ14" i="53"/>
  <c r="AY13" i="53"/>
  <c r="Z43" i="15"/>
  <c r="AA44" i="15"/>
  <c r="AA14" i="56"/>
  <c r="Z13" i="56"/>
  <c r="AA44" i="52"/>
  <c r="Z43" i="52"/>
  <c r="AY34" i="49"/>
  <c r="AX33" i="49"/>
  <c r="AC24" i="56"/>
  <c r="AB23" i="56"/>
  <c r="Z13" i="52"/>
  <c r="AA14" i="52"/>
  <c r="Z23" i="53"/>
  <c r="AA24" i="53"/>
  <c r="AY44" i="15"/>
  <c r="AX43" i="15"/>
  <c r="AY4" i="48"/>
  <c r="AX3" i="48"/>
  <c r="AY4" i="56"/>
  <c r="AX3" i="56"/>
  <c r="AA54" i="55"/>
  <c r="Z53" i="55"/>
  <c r="AY4" i="50"/>
  <c r="AX3" i="50"/>
  <c r="Z13" i="51"/>
  <c r="AA14" i="51"/>
  <c r="AB33" i="51"/>
  <c r="AC34" i="51"/>
  <c r="AY34" i="50"/>
  <c r="AX33" i="50"/>
  <c r="AY24" i="54"/>
  <c r="AX23" i="54"/>
  <c r="AC4" i="50"/>
  <c r="AB3" i="50"/>
  <c r="AZ54" i="55"/>
  <c r="AY53" i="55"/>
  <c r="AZ24" i="53"/>
  <c r="AY23" i="53"/>
  <c r="AB4" i="55"/>
  <c r="AA3" i="55"/>
  <c r="AW14" i="14"/>
  <c r="AV13" i="14"/>
  <c r="Z13" i="48"/>
  <c r="AA14" i="48"/>
  <c r="AX53" i="48"/>
  <c r="AY54" i="48"/>
  <c r="Z43" i="55"/>
  <c r="AA44" i="55"/>
  <c r="Z23" i="50"/>
  <c r="AA24" i="50"/>
  <c r="AX33" i="56"/>
  <c r="AY34" i="56"/>
  <c r="AY13" i="49"/>
  <c r="AZ14" i="49"/>
  <c r="Z33" i="48"/>
  <c r="AA34" i="48"/>
  <c r="AY53" i="53"/>
  <c r="AZ54" i="53"/>
  <c r="AY44" i="54"/>
  <c r="AX43" i="54"/>
  <c r="AY44" i="49"/>
  <c r="AX43" i="49"/>
  <c r="AY24" i="49"/>
  <c r="AX23" i="49"/>
  <c r="Z43" i="50"/>
  <c r="AA44" i="50"/>
  <c r="AY23" i="15"/>
  <c r="AZ24" i="15"/>
  <c r="AZ23" i="55"/>
  <c r="BA24" i="55"/>
  <c r="Z33" i="53"/>
  <c r="AA34" i="53"/>
  <c r="Z23" i="55"/>
  <c r="AA24" i="55"/>
  <c r="AX33" i="48"/>
  <c r="AY34" i="48"/>
  <c r="Z13" i="53"/>
  <c r="AA14" i="53"/>
  <c r="AX13" i="48"/>
  <c r="AY14" i="48"/>
  <c r="V49" i="56"/>
  <c r="W49" i="56" s="1"/>
  <c r="X49" i="56" s="1"/>
  <c r="V50" i="54"/>
  <c r="W50" i="54" s="1"/>
  <c r="X50" i="54" s="1"/>
  <c r="V56" i="54"/>
  <c r="W30" i="53"/>
  <c r="X30" i="53" s="1"/>
  <c r="W29" i="55"/>
  <c r="X29" i="55" s="1"/>
  <c r="W27" i="50"/>
  <c r="X27" i="50" s="1"/>
  <c r="W58" i="53"/>
  <c r="X58" i="53" s="1"/>
  <c r="Y58" i="53" s="1"/>
  <c r="W47" i="55"/>
  <c r="X47" i="55" s="1"/>
  <c r="Y47" i="55" s="1"/>
  <c r="V9" i="48"/>
  <c r="W9" i="48" s="1"/>
  <c r="X9" i="48" s="1"/>
  <c r="AT31" i="14"/>
  <c r="X31" i="14"/>
  <c r="U35" i="56"/>
  <c r="V49" i="53"/>
  <c r="W49" i="53" s="1"/>
  <c r="X49" i="53" s="1"/>
  <c r="AT34" i="14"/>
  <c r="AT52" i="14" s="1"/>
  <c r="X34" i="14"/>
  <c r="V37" i="53"/>
  <c r="W37" i="53" s="1"/>
  <c r="X37" i="53" s="1"/>
  <c r="V7" i="48"/>
  <c r="W7" i="48" s="1"/>
  <c r="X7" i="48" s="1"/>
  <c r="V8" i="55"/>
  <c r="W8" i="55" s="1"/>
  <c r="X8" i="55" s="1"/>
  <c r="Y8" i="55" s="1"/>
  <c r="V10" i="55"/>
  <c r="W10" i="55" s="1"/>
  <c r="X10" i="55" s="1"/>
  <c r="Y10" i="55" s="1"/>
  <c r="V46" i="53"/>
  <c r="W46" i="53" s="1"/>
  <c r="X46" i="53" s="1"/>
  <c r="Y46" i="53" s="1"/>
  <c r="V20" i="52"/>
  <c r="W20" i="52" s="1"/>
  <c r="X20" i="52" s="1"/>
  <c r="AS32" i="14"/>
  <c r="AS50" i="14" s="1"/>
  <c r="W32" i="14"/>
  <c r="AS7" i="14"/>
  <c r="W7" i="14"/>
  <c r="V47" i="53"/>
  <c r="W47" i="53" s="1"/>
  <c r="X47" i="53" s="1"/>
  <c r="V25" i="53"/>
  <c r="V19" i="15"/>
  <c r="AS24" i="14"/>
  <c r="W24" i="14"/>
  <c r="V38" i="49"/>
  <c r="AW2" i="14"/>
  <c r="V47" i="49"/>
  <c r="W47" i="49" s="1"/>
  <c r="X47" i="49" s="1"/>
  <c r="Y47" i="49" s="1"/>
  <c r="V19" i="52"/>
  <c r="W19" i="52" s="1"/>
  <c r="X19" i="52" s="1"/>
  <c r="AS9" i="14"/>
  <c r="AS43" i="14" s="1"/>
  <c r="W9" i="14"/>
  <c r="V36" i="48"/>
  <c r="W36" i="48" s="1"/>
  <c r="X36" i="48" s="1"/>
  <c r="V39" i="50"/>
  <c r="W39" i="50" s="1"/>
  <c r="X39" i="50" s="1"/>
  <c r="AR54" i="14"/>
  <c r="V39" i="15"/>
  <c r="AS26" i="14"/>
  <c r="W26" i="14"/>
  <c r="V9" i="54"/>
  <c r="W9" i="54" s="1"/>
  <c r="X9" i="54" s="1"/>
  <c r="AS49" i="14"/>
  <c r="AS35" i="14"/>
  <c r="AS53" i="14" s="1"/>
  <c r="AW3" i="14"/>
  <c r="AW5" i="14"/>
  <c r="AX6" i="14"/>
  <c r="V19" i="48"/>
  <c r="W19" i="48" s="1"/>
  <c r="X19" i="48" s="1"/>
  <c r="V30" i="54"/>
  <c r="W30" i="54" s="1"/>
  <c r="X30" i="54" s="1"/>
  <c r="U35" i="52"/>
  <c r="V10" i="54"/>
  <c r="W10" i="54" s="1"/>
  <c r="X10" i="54" s="1"/>
  <c r="AY29" i="14"/>
  <c r="AZ30" i="14"/>
  <c r="AZ29" i="14" s="1"/>
  <c r="AS25" i="14"/>
  <c r="W25" i="14"/>
  <c r="V7" i="15"/>
  <c r="W7" i="15" s="1"/>
  <c r="X7" i="15" s="1"/>
  <c r="Y7" i="15" s="1"/>
  <c r="V35" i="53"/>
  <c r="AR11" i="14"/>
  <c r="AR45" i="14" s="1"/>
  <c r="AR41" i="14"/>
  <c r="AS16" i="14"/>
  <c r="W16" i="14"/>
  <c r="V18" i="55"/>
  <c r="W18" i="55" s="1"/>
  <c r="X18" i="55" s="1"/>
  <c r="V20" i="15"/>
  <c r="V15" i="15"/>
  <c r="V37" i="50"/>
  <c r="W37" i="50" s="1"/>
  <c r="X37" i="50" s="1"/>
  <c r="V25" i="15"/>
  <c r="U31" i="15"/>
  <c r="W29" i="15"/>
  <c r="X29" i="15" s="1"/>
  <c r="Y29" i="15" s="1"/>
  <c r="U25" i="52"/>
  <c r="V38" i="15"/>
  <c r="W38" i="15" s="1"/>
  <c r="X38" i="15" s="1"/>
  <c r="Y38" i="15" s="1"/>
  <c r="V7" i="55"/>
  <c r="W7" i="55" s="1"/>
  <c r="X7" i="55" s="1"/>
  <c r="U25" i="48"/>
  <c r="AS15" i="14"/>
  <c r="AS19" i="14" s="1"/>
  <c r="W15" i="14"/>
  <c r="V29" i="52"/>
  <c r="W29" i="52" s="1"/>
  <c r="X29" i="52" s="1"/>
  <c r="W60" i="49"/>
  <c r="X60" i="49" s="1"/>
  <c r="Y60" i="49" s="1"/>
  <c r="V40" i="15"/>
  <c r="W40" i="15" s="1"/>
  <c r="X40" i="15" s="1"/>
  <c r="Y40" i="15" s="1"/>
  <c r="V50" i="49"/>
  <c r="AS8" i="14"/>
  <c r="AS42" i="14" s="1"/>
  <c r="W8" i="14"/>
  <c r="V37" i="49"/>
  <c r="W28" i="15"/>
  <c r="X28" i="15" s="1"/>
  <c r="Y28" i="15" s="1"/>
  <c r="U45" i="48"/>
  <c r="V55" i="51"/>
  <c r="AS23" i="14"/>
  <c r="AS27" i="14" s="1"/>
  <c r="W23" i="14"/>
  <c r="V20" i="55"/>
  <c r="W20" i="55" s="1"/>
  <c r="X20" i="55" s="1"/>
  <c r="V10" i="15"/>
  <c r="W10" i="15" s="1"/>
  <c r="X10" i="15" s="1"/>
  <c r="U55" i="52"/>
  <c r="AS18" i="14"/>
  <c r="W18" i="14"/>
  <c r="W28" i="53"/>
  <c r="X28" i="53" s="1"/>
  <c r="Y28" i="53" s="1"/>
  <c r="V40" i="51"/>
  <c r="W40" i="51" s="1"/>
  <c r="X40" i="51" s="1"/>
  <c r="V7" i="53"/>
  <c r="W7" i="53" s="1"/>
  <c r="X7" i="53" s="1"/>
  <c r="V27" i="52"/>
  <c r="W27" i="52" s="1"/>
  <c r="X27" i="52" s="1"/>
  <c r="W57" i="49"/>
  <c r="X57" i="49" s="1"/>
  <c r="Y57" i="49" s="1"/>
  <c r="V9" i="53"/>
  <c r="W9" i="53" s="1"/>
  <c r="X9" i="53" s="1"/>
  <c r="Y9" i="53" s="1"/>
  <c r="U55" i="56"/>
  <c r="AA13" i="14"/>
  <c r="AB14" i="14"/>
  <c r="V40" i="49"/>
  <c r="V48" i="53"/>
  <c r="W48" i="53" s="1"/>
  <c r="X48" i="53" s="1"/>
  <c r="Y48" i="53" s="1"/>
  <c r="V15" i="53"/>
  <c r="V36" i="15"/>
  <c r="W36" i="15" s="1"/>
  <c r="X36" i="15" s="1"/>
  <c r="Y36" i="15" s="1"/>
  <c r="W18" i="53"/>
  <c r="X18" i="53" s="1"/>
  <c r="Y18" i="53" s="1"/>
  <c r="V20" i="48"/>
  <c r="W20" i="48" s="1"/>
  <c r="X20" i="48" s="1"/>
  <c r="V29" i="48"/>
  <c r="W29" i="48" s="1"/>
  <c r="X29" i="48" s="1"/>
  <c r="AS17" i="14"/>
  <c r="W17" i="14"/>
  <c r="V30" i="52"/>
  <c r="W30" i="52" s="1"/>
  <c r="X30" i="52" s="1"/>
  <c r="V8" i="15"/>
  <c r="W8" i="15" s="1"/>
  <c r="X8" i="15" s="1"/>
  <c r="V9" i="52"/>
  <c r="AQ46" i="14"/>
  <c r="V19" i="55"/>
  <c r="W19" i="55" s="1"/>
  <c r="X19" i="55" s="1"/>
  <c r="Y19" i="55" s="1"/>
  <c r="V40" i="50"/>
  <c r="W40" i="50" s="1"/>
  <c r="X40" i="50" s="1"/>
  <c r="V18" i="15"/>
  <c r="V10" i="52"/>
  <c r="AS33" i="14"/>
  <c r="AS51" i="14" s="1"/>
  <c r="W33" i="14"/>
  <c r="W30" i="15"/>
  <c r="X30" i="15" s="1"/>
  <c r="Y30" i="15" s="1"/>
  <c r="V39" i="52"/>
  <c r="W39" i="52" s="1"/>
  <c r="X39" i="52" s="1"/>
  <c r="V35" i="51"/>
  <c r="V29" i="54"/>
  <c r="W29" i="54" s="1"/>
  <c r="X29" i="54" s="1"/>
  <c r="V5" i="55"/>
  <c r="V10" i="53"/>
  <c r="W10" i="53" s="1"/>
  <c r="X10" i="53" s="1"/>
  <c r="V39" i="49"/>
  <c r="Y29" i="14"/>
  <c r="Z30" i="14"/>
  <c r="V39" i="51"/>
  <c r="W39" i="51" s="1"/>
  <c r="X39" i="51" s="1"/>
  <c r="V25" i="51"/>
  <c r="V5" i="56"/>
  <c r="V15" i="49"/>
  <c r="U25" i="54"/>
  <c r="V48" i="49"/>
  <c r="W48" i="49" s="1"/>
  <c r="X48" i="49" s="1"/>
  <c r="Y48" i="49" s="1"/>
  <c r="V15" i="55"/>
  <c r="V38" i="53"/>
  <c r="W38" i="53" s="1"/>
  <c r="X38" i="53" s="1"/>
  <c r="Y38" i="53" s="1"/>
  <c r="AS10" i="14"/>
  <c r="AS44" i="14" s="1"/>
  <c r="W10" i="14"/>
  <c r="W27" i="53"/>
  <c r="X27" i="53" s="1"/>
  <c r="Y27" i="53" s="1"/>
  <c r="U15" i="56"/>
  <c r="V55" i="49"/>
  <c r="V9" i="15"/>
  <c r="W9" i="15" s="1"/>
  <c r="X9" i="15" s="1"/>
  <c r="Y9" i="15" s="1"/>
  <c r="AY22" i="14"/>
  <c r="AX21" i="14"/>
  <c r="Z5" i="14"/>
  <c r="AA6" i="14"/>
  <c r="AB22" i="14"/>
  <c r="AA21" i="14"/>
  <c r="F25" i="10"/>
  <c r="E25" i="10"/>
  <c r="I25" i="10"/>
  <c r="H25" i="10"/>
  <c r="J25" i="10"/>
  <c r="D25" i="10"/>
  <c r="W60" i="53"/>
  <c r="X9" i="56"/>
  <c r="X58" i="56"/>
  <c r="X39" i="56"/>
  <c r="X9" i="49"/>
  <c r="X47" i="52"/>
  <c r="Y20" i="49"/>
  <c r="X50" i="55"/>
  <c r="W26" i="56"/>
  <c r="X46" i="52"/>
  <c r="Y10" i="49"/>
  <c r="X57" i="52"/>
  <c r="W50" i="52"/>
  <c r="X9" i="50"/>
  <c r="Y48" i="15"/>
  <c r="X10" i="50"/>
  <c r="X50" i="51"/>
  <c r="X58" i="48"/>
  <c r="X49" i="48"/>
  <c r="X8" i="49"/>
  <c r="W50" i="56"/>
  <c r="Y56" i="51"/>
  <c r="X58" i="51"/>
  <c r="Y49" i="55"/>
  <c r="X60" i="48"/>
  <c r="Y57" i="51"/>
  <c r="X37" i="52"/>
  <c r="Y30" i="49"/>
  <c r="X58" i="54"/>
  <c r="Y27" i="49"/>
  <c r="X60" i="50"/>
  <c r="Y47" i="51"/>
  <c r="X29" i="50"/>
  <c r="X39" i="55"/>
  <c r="X10" i="51"/>
  <c r="X20" i="51"/>
  <c r="W7" i="54"/>
  <c r="X29" i="53"/>
  <c r="X49" i="52"/>
  <c r="X48" i="48"/>
  <c r="Y48" i="51"/>
  <c r="X49" i="54"/>
  <c r="X9" i="51"/>
  <c r="Y29" i="49"/>
  <c r="Y46" i="15"/>
  <c r="X19" i="51"/>
  <c r="X59" i="48"/>
  <c r="X16" i="51"/>
  <c r="Y57" i="55"/>
  <c r="X50" i="15"/>
  <c r="X20" i="53"/>
  <c r="Y18" i="49"/>
  <c r="W60" i="52"/>
  <c r="X60" i="15"/>
  <c r="Y30" i="51"/>
  <c r="X49" i="50"/>
  <c r="X48" i="52"/>
  <c r="X57" i="50"/>
  <c r="Y29" i="51"/>
  <c r="X19" i="53"/>
  <c r="X26" i="49"/>
  <c r="W26" i="48"/>
  <c r="Y59" i="53"/>
  <c r="X19" i="50"/>
  <c r="X50" i="50"/>
  <c r="X56" i="55"/>
  <c r="X48" i="54"/>
  <c r="Y8" i="51"/>
  <c r="X27" i="15"/>
  <c r="W16" i="54"/>
  <c r="X37" i="51"/>
  <c r="Y7" i="49"/>
  <c r="X59" i="52"/>
  <c r="X48" i="50"/>
  <c r="Y59" i="15"/>
  <c r="Y28" i="51"/>
  <c r="X47" i="15"/>
  <c r="X47" i="54"/>
  <c r="W36" i="54"/>
  <c r="Y38" i="51"/>
  <c r="Y49" i="49"/>
  <c r="X59" i="50"/>
  <c r="W40" i="56"/>
  <c r="Y38" i="55"/>
  <c r="Y27" i="51"/>
  <c r="X29" i="56"/>
  <c r="Y17" i="49"/>
  <c r="X40" i="55"/>
  <c r="X47" i="48"/>
  <c r="X20" i="56"/>
  <c r="X57" i="15"/>
  <c r="Y49" i="51"/>
  <c r="X26" i="55"/>
  <c r="Y18" i="51"/>
  <c r="Y49" i="15"/>
  <c r="X58" i="15"/>
  <c r="L11" i="48" l="1"/>
  <c r="M11" i="48"/>
  <c r="L21" i="52"/>
  <c r="O61" i="49"/>
  <c r="N58" i="52"/>
  <c r="N61" i="52" s="1"/>
  <c r="L11" i="54"/>
  <c r="M61" i="54"/>
  <c r="L61" i="52"/>
  <c r="L61" i="54"/>
  <c r="L41" i="52"/>
  <c r="M61" i="53"/>
  <c r="M31" i="54"/>
  <c r="L31" i="54"/>
  <c r="L41" i="50"/>
  <c r="M31" i="55"/>
  <c r="L51" i="50"/>
  <c r="Q21" i="55"/>
  <c r="S16" i="55"/>
  <c r="R21" i="55"/>
  <c r="L21" i="56"/>
  <c r="P56" i="15"/>
  <c r="O61" i="15"/>
  <c r="M11" i="53"/>
  <c r="L61" i="48"/>
  <c r="L21" i="48"/>
  <c r="M61" i="48"/>
  <c r="L21" i="50"/>
  <c r="L41" i="54"/>
  <c r="N46" i="51"/>
  <c r="M51" i="51"/>
  <c r="L31" i="56"/>
  <c r="M11" i="49"/>
  <c r="L11" i="50"/>
  <c r="L51" i="56"/>
  <c r="L41" i="48"/>
  <c r="L31" i="50"/>
  <c r="M41" i="53"/>
  <c r="N59" i="51"/>
  <c r="M61" i="51"/>
  <c r="L41" i="56"/>
  <c r="L61" i="56"/>
  <c r="N55" i="55"/>
  <c r="M61" i="55"/>
  <c r="N5" i="51"/>
  <c r="M11" i="51"/>
  <c r="N46" i="55"/>
  <c r="M51" i="55"/>
  <c r="N50" i="53"/>
  <c r="M51" i="53"/>
  <c r="L11" i="56"/>
  <c r="N35" i="15"/>
  <c r="M41" i="15"/>
  <c r="M28" i="48"/>
  <c r="L31" i="48"/>
  <c r="L11" i="52"/>
  <c r="L61" i="50"/>
  <c r="M15" i="54"/>
  <c r="L21" i="54"/>
  <c r="Q56" i="49"/>
  <c r="P61" i="49"/>
  <c r="O57" i="48"/>
  <c r="N61" i="48"/>
  <c r="P59" i="55"/>
  <c r="N6" i="56"/>
  <c r="M11" i="56"/>
  <c r="N15" i="52"/>
  <c r="M21" i="52"/>
  <c r="N27" i="56"/>
  <c r="M31" i="56"/>
  <c r="N60" i="56"/>
  <c r="M61" i="56"/>
  <c r="N25" i="50"/>
  <c r="M31" i="50"/>
  <c r="O55" i="54"/>
  <c r="N61" i="54"/>
  <c r="O5" i="48"/>
  <c r="N11" i="48"/>
  <c r="P36" i="55"/>
  <c r="O41" i="55"/>
  <c r="O45" i="49"/>
  <c r="N51" i="49"/>
  <c r="N16" i="50"/>
  <c r="M21" i="50"/>
  <c r="O55" i="53"/>
  <c r="N61" i="53"/>
  <c r="N17" i="48"/>
  <c r="M21" i="48"/>
  <c r="N45" i="52"/>
  <c r="M51" i="52"/>
  <c r="O36" i="53"/>
  <c r="N41" i="53"/>
  <c r="O5" i="15"/>
  <c r="N11" i="15"/>
  <c r="O6" i="49"/>
  <c r="N11" i="49"/>
  <c r="N45" i="50"/>
  <c r="M51" i="50"/>
  <c r="N37" i="54"/>
  <c r="M41" i="54"/>
  <c r="M41" i="50"/>
  <c r="N36" i="50"/>
  <c r="O36" i="49"/>
  <c r="N41" i="49"/>
  <c r="O5" i="53"/>
  <c r="N11" i="53"/>
  <c r="N17" i="56"/>
  <c r="M21" i="56"/>
  <c r="N7" i="52"/>
  <c r="M11" i="52"/>
  <c r="N56" i="50"/>
  <c r="M61" i="50"/>
  <c r="N5" i="54"/>
  <c r="M11" i="54"/>
  <c r="O27" i="55"/>
  <c r="N31" i="55"/>
  <c r="T36" i="51"/>
  <c r="S41" i="51"/>
  <c r="M41" i="52"/>
  <c r="N36" i="52"/>
  <c r="O25" i="49"/>
  <c r="N31" i="49"/>
  <c r="N45" i="56"/>
  <c r="M51" i="56"/>
  <c r="N39" i="48"/>
  <c r="M41" i="48"/>
  <c r="S7" i="51"/>
  <c r="N45" i="54"/>
  <c r="M51" i="54"/>
  <c r="N46" i="48"/>
  <c r="M51" i="48"/>
  <c r="S45" i="53"/>
  <c r="P6" i="55"/>
  <c r="O11" i="55"/>
  <c r="M31" i="52"/>
  <c r="N28" i="52"/>
  <c r="N36" i="56"/>
  <c r="M41" i="56"/>
  <c r="O16" i="53"/>
  <c r="N21" i="53"/>
  <c r="O16" i="49"/>
  <c r="N21" i="49"/>
  <c r="N6" i="50"/>
  <c r="M11" i="50"/>
  <c r="O28" i="54"/>
  <c r="N31" i="54"/>
  <c r="R35" i="49"/>
  <c r="Q16" i="56"/>
  <c r="R57" i="56"/>
  <c r="Q55" i="48"/>
  <c r="Q51" i="15"/>
  <c r="R45" i="15"/>
  <c r="R58" i="55"/>
  <c r="Q46" i="54"/>
  <c r="Q26" i="50"/>
  <c r="R16" i="15"/>
  <c r="Q21" i="15"/>
  <c r="R60" i="51"/>
  <c r="R56" i="53"/>
  <c r="Q16" i="48"/>
  <c r="Q17" i="50"/>
  <c r="S15" i="51"/>
  <c r="R21" i="51"/>
  <c r="S35" i="55"/>
  <c r="R46" i="50"/>
  <c r="R48" i="56"/>
  <c r="U9" i="55"/>
  <c r="T18" i="50"/>
  <c r="U39" i="53"/>
  <c r="T39" i="54"/>
  <c r="U17" i="51"/>
  <c r="T25" i="56"/>
  <c r="U37" i="55"/>
  <c r="U17" i="53"/>
  <c r="U28" i="49"/>
  <c r="T26" i="54"/>
  <c r="T37" i="48"/>
  <c r="T6" i="54"/>
  <c r="T35" i="50"/>
  <c r="T6" i="48"/>
  <c r="U45" i="55"/>
  <c r="U60" i="55"/>
  <c r="T6" i="52"/>
  <c r="U57" i="53"/>
  <c r="U37" i="15"/>
  <c r="U6" i="15"/>
  <c r="U19" i="49"/>
  <c r="U6" i="53"/>
  <c r="T38" i="52"/>
  <c r="U6" i="51"/>
  <c r="U55" i="15"/>
  <c r="U17" i="15"/>
  <c r="T28" i="50"/>
  <c r="T17" i="52"/>
  <c r="T27" i="48"/>
  <c r="U17" i="55"/>
  <c r="U45" i="51"/>
  <c r="T31" i="53"/>
  <c r="U26" i="53"/>
  <c r="U25" i="55"/>
  <c r="T17" i="54"/>
  <c r="T26" i="52"/>
  <c r="T57" i="54"/>
  <c r="U26" i="51"/>
  <c r="T31" i="51"/>
  <c r="T37" i="56"/>
  <c r="T56" i="52"/>
  <c r="U46" i="49"/>
  <c r="AC4" i="54"/>
  <c r="AB3" i="54"/>
  <c r="BA34" i="52"/>
  <c r="AZ33" i="52"/>
  <c r="AZ44" i="53"/>
  <c r="AY43" i="53"/>
  <c r="AA13" i="54"/>
  <c r="AB14" i="54"/>
  <c r="AY43" i="51"/>
  <c r="AZ44" i="51"/>
  <c r="AA53" i="50"/>
  <c r="AB54" i="50"/>
  <c r="AB54" i="54"/>
  <c r="AA53" i="54"/>
  <c r="W60" i="54"/>
  <c r="X60" i="54" s="1"/>
  <c r="Y60" i="54" s="1"/>
  <c r="AZ23" i="52"/>
  <c r="BA24" i="52"/>
  <c r="AA23" i="48"/>
  <c r="AB24" i="48"/>
  <c r="AY43" i="50"/>
  <c r="AZ44" i="50"/>
  <c r="AY43" i="56"/>
  <c r="AZ44" i="56"/>
  <c r="AC4" i="15"/>
  <c r="AB3" i="15"/>
  <c r="AZ54" i="15"/>
  <c r="AY53" i="15"/>
  <c r="AY3" i="52"/>
  <c r="AZ4" i="52"/>
  <c r="BA34" i="51"/>
  <c r="AZ33" i="51"/>
  <c r="AB4" i="48"/>
  <c r="AA3" i="48"/>
  <c r="AA53" i="49"/>
  <c r="AB54" i="49"/>
  <c r="AZ14" i="55"/>
  <c r="AY13" i="55"/>
  <c r="AZ13" i="15"/>
  <c r="BA14" i="15"/>
  <c r="AA23" i="49"/>
  <c r="AB24" i="49"/>
  <c r="AA43" i="53"/>
  <c r="AB44" i="53"/>
  <c r="AY3" i="49"/>
  <c r="AZ4" i="49"/>
  <c r="AB53" i="52"/>
  <c r="AC54" i="52"/>
  <c r="AB33" i="52"/>
  <c r="AC34" i="52"/>
  <c r="BA53" i="56"/>
  <c r="BB54" i="56"/>
  <c r="BB53" i="56" s="1"/>
  <c r="AC34" i="49"/>
  <c r="AB33" i="49"/>
  <c r="AA33" i="56"/>
  <c r="AB34" i="56"/>
  <c r="AA33" i="50"/>
  <c r="AB34" i="50"/>
  <c r="BA13" i="50"/>
  <c r="BB14" i="50"/>
  <c r="BB13" i="50" s="1"/>
  <c r="AB34" i="15"/>
  <c r="AA33" i="15"/>
  <c r="AY53" i="50"/>
  <c r="AZ54" i="50"/>
  <c r="AD44" i="51"/>
  <c r="AD43" i="51" s="1"/>
  <c r="AC43" i="51"/>
  <c r="AZ54" i="51"/>
  <c r="AY53" i="51"/>
  <c r="AA23" i="52"/>
  <c r="AB24" i="52"/>
  <c r="AZ13" i="56"/>
  <c r="BA14" i="56"/>
  <c r="AD24" i="51"/>
  <c r="AD23" i="51" s="1"/>
  <c r="AC23" i="51"/>
  <c r="AD54" i="15"/>
  <c r="AD53" i="15" s="1"/>
  <c r="AC53" i="15"/>
  <c r="AZ43" i="48"/>
  <c r="BA44" i="48"/>
  <c r="AZ34" i="54"/>
  <c r="AY33" i="54"/>
  <c r="AC4" i="51"/>
  <c r="AB3" i="51"/>
  <c r="AA3" i="52"/>
  <c r="AB4" i="52"/>
  <c r="AA43" i="49"/>
  <c r="AB44" i="49"/>
  <c r="AC13" i="55"/>
  <c r="AD14" i="55"/>
  <c r="AD13" i="55" s="1"/>
  <c r="AZ4" i="54"/>
  <c r="AY3" i="54"/>
  <c r="AB44" i="54"/>
  <c r="AA43" i="54"/>
  <c r="W59" i="54"/>
  <c r="X59" i="54" s="1"/>
  <c r="Y59" i="54" s="1"/>
  <c r="AR46" i="14"/>
  <c r="AC33" i="51"/>
  <c r="AD34" i="51"/>
  <c r="AD33" i="51" s="1"/>
  <c r="AB24" i="53"/>
  <c r="AA23" i="53"/>
  <c r="AB44" i="15"/>
  <c r="AA43" i="15"/>
  <c r="AB3" i="49"/>
  <c r="AC4" i="49"/>
  <c r="BA23" i="50"/>
  <c r="BB24" i="50"/>
  <c r="BB23" i="50" s="1"/>
  <c r="AB3" i="56"/>
  <c r="AC4" i="56"/>
  <c r="BA14" i="51"/>
  <c r="AZ13" i="51"/>
  <c r="AZ54" i="49"/>
  <c r="AY53" i="49"/>
  <c r="AA13" i="15"/>
  <c r="AB14" i="15"/>
  <c r="AZ4" i="50"/>
  <c r="AY3" i="50"/>
  <c r="AZ4" i="48"/>
  <c r="AY3" i="48"/>
  <c r="AD24" i="56"/>
  <c r="AD23" i="56" s="1"/>
  <c r="AC23" i="56"/>
  <c r="AA43" i="52"/>
  <c r="AB44" i="52"/>
  <c r="AD54" i="48"/>
  <c r="AD53" i="48" s="1"/>
  <c r="AC53" i="48"/>
  <c r="BB4" i="55"/>
  <c r="BB3" i="55" s="1"/>
  <c r="BA3" i="55"/>
  <c r="AZ4" i="51"/>
  <c r="AY3" i="51"/>
  <c r="AY23" i="51"/>
  <c r="AZ24" i="51"/>
  <c r="AY23" i="56"/>
  <c r="AZ24" i="56"/>
  <c r="AC54" i="51"/>
  <c r="AB53" i="51"/>
  <c r="AY13" i="52"/>
  <c r="AZ14" i="52"/>
  <c r="BB34" i="53"/>
  <c r="BB33" i="53" s="1"/>
  <c r="BA33" i="53"/>
  <c r="BA54" i="54"/>
  <c r="AZ53" i="54"/>
  <c r="AA13" i="51"/>
  <c r="AB14" i="51"/>
  <c r="AB14" i="52"/>
  <c r="AA13" i="52"/>
  <c r="AA13" i="49"/>
  <c r="AB14" i="49"/>
  <c r="AY33" i="15"/>
  <c r="AZ34" i="15"/>
  <c r="BA44" i="52"/>
  <c r="AZ43" i="52"/>
  <c r="BB34" i="55"/>
  <c r="BB33" i="55" s="1"/>
  <c r="BA33" i="55"/>
  <c r="AY53" i="52"/>
  <c r="AZ54" i="52"/>
  <c r="AC24" i="15"/>
  <c r="AB23" i="15"/>
  <c r="AA33" i="54"/>
  <c r="AB34" i="54"/>
  <c r="AX3" i="14"/>
  <c r="AY33" i="50"/>
  <c r="AZ34" i="50"/>
  <c r="AA53" i="55"/>
  <c r="AB54" i="55"/>
  <c r="AZ4" i="56"/>
  <c r="AY3" i="56"/>
  <c r="AY43" i="15"/>
  <c r="AZ44" i="15"/>
  <c r="AY33" i="49"/>
  <c r="AZ34" i="49"/>
  <c r="AB14" i="56"/>
  <c r="AA13" i="56"/>
  <c r="AZ13" i="53"/>
  <c r="BA14" i="53"/>
  <c r="AB24" i="54"/>
  <c r="AA23" i="54"/>
  <c r="AB4" i="53"/>
  <c r="AA3" i="53"/>
  <c r="AB43" i="48"/>
  <c r="AC44" i="48"/>
  <c r="AA53" i="56"/>
  <c r="AB54" i="56"/>
  <c r="AC34" i="55"/>
  <c r="AB33" i="55"/>
  <c r="AB53" i="53"/>
  <c r="AC54" i="53"/>
  <c r="BA4" i="15"/>
  <c r="AZ3" i="15"/>
  <c r="AY43" i="49"/>
  <c r="AZ44" i="49"/>
  <c r="BA14" i="49"/>
  <c r="AZ13" i="49"/>
  <c r="AB24" i="50"/>
  <c r="AA23" i="50"/>
  <c r="AZ54" i="48"/>
  <c r="AY53" i="48"/>
  <c r="AZ14" i="48"/>
  <c r="AY13" i="48"/>
  <c r="AZ34" i="48"/>
  <c r="AY33" i="48"/>
  <c r="AB34" i="53"/>
  <c r="AA33" i="53"/>
  <c r="BA24" i="15"/>
  <c r="AZ23" i="15"/>
  <c r="AW13" i="14"/>
  <c r="AX14" i="14"/>
  <c r="BA24" i="53"/>
  <c r="AZ23" i="53"/>
  <c r="AC3" i="50"/>
  <c r="AD4" i="50"/>
  <c r="AD3" i="50" s="1"/>
  <c r="AY23" i="49"/>
  <c r="AZ24" i="49"/>
  <c r="AY43" i="54"/>
  <c r="AZ44" i="54"/>
  <c r="AB34" i="48"/>
  <c r="AA33" i="48"/>
  <c r="AY33" i="56"/>
  <c r="AZ34" i="56"/>
  <c r="AB44" i="55"/>
  <c r="AA43" i="55"/>
  <c r="AA13" i="48"/>
  <c r="AB14" i="48"/>
  <c r="AB14" i="53"/>
  <c r="AA13" i="53"/>
  <c r="AB24" i="55"/>
  <c r="AA23" i="55"/>
  <c r="BA23" i="55"/>
  <c r="BB24" i="55"/>
  <c r="BB23" i="55" s="1"/>
  <c r="AB44" i="50"/>
  <c r="AA43" i="50"/>
  <c r="BA54" i="53"/>
  <c r="AZ53" i="53"/>
  <c r="AB3" i="55"/>
  <c r="AC4" i="55"/>
  <c r="AZ53" i="55"/>
  <c r="BA54" i="55"/>
  <c r="AY23" i="54"/>
  <c r="AZ24" i="54"/>
  <c r="W56" i="54"/>
  <c r="X56" i="54" s="1"/>
  <c r="Y56" i="54" s="1"/>
  <c r="V38" i="48"/>
  <c r="W38" i="48" s="1"/>
  <c r="X38" i="48" s="1"/>
  <c r="V18" i="48"/>
  <c r="W18" i="48" s="1"/>
  <c r="X18" i="48" s="1"/>
  <c r="W15" i="55"/>
  <c r="W5" i="56"/>
  <c r="V5" i="52"/>
  <c r="W9" i="52"/>
  <c r="X9" i="52" s="1"/>
  <c r="Y9" i="52" s="1"/>
  <c r="W15" i="53"/>
  <c r="W40" i="49"/>
  <c r="X40" i="49" s="1"/>
  <c r="Y40" i="49" s="1"/>
  <c r="Z40" i="49" s="1"/>
  <c r="W50" i="49"/>
  <c r="AT15" i="14"/>
  <c r="AT19" i="14" s="1"/>
  <c r="X15" i="14"/>
  <c r="V15" i="48"/>
  <c r="W19" i="15"/>
  <c r="X19" i="15" s="1"/>
  <c r="Y19" i="15" s="1"/>
  <c r="AT7" i="14"/>
  <c r="X7" i="14"/>
  <c r="AT32" i="14"/>
  <c r="AT50" i="14" s="1"/>
  <c r="X32" i="14"/>
  <c r="AT10" i="14"/>
  <c r="AT44" i="14" s="1"/>
  <c r="X10" i="14"/>
  <c r="W25" i="51"/>
  <c r="W35" i="51"/>
  <c r="V35" i="54"/>
  <c r="W18" i="15"/>
  <c r="X18" i="15" s="1"/>
  <c r="Y18" i="15" s="1"/>
  <c r="Z18" i="15" s="1"/>
  <c r="AT18" i="14"/>
  <c r="X18" i="14"/>
  <c r="V45" i="48"/>
  <c r="W37" i="49"/>
  <c r="X37" i="49" s="1"/>
  <c r="Y37" i="49" s="1"/>
  <c r="Z37" i="49" s="1"/>
  <c r="V35" i="48"/>
  <c r="V25" i="48"/>
  <c r="V25" i="52"/>
  <c r="W20" i="15"/>
  <c r="X20" i="15" s="1"/>
  <c r="Y20" i="15" s="1"/>
  <c r="Z20" i="15" s="1"/>
  <c r="W35" i="53"/>
  <c r="AT25" i="14"/>
  <c r="X25" i="14"/>
  <c r="V18" i="52"/>
  <c r="W18" i="52" s="1"/>
  <c r="X18" i="52" s="1"/>
  <c r="AS11" i="14"/>
  <c r="AS45" i="14" s="1"/>
  <c r="AS41" i="14"/>
  <c r="AU34" i="14"/>
  <c r="AU52" i="14" s="1"/>
  <c r="Y34" i="14"/>
  <c r="V5" i="50"/>
  <c r="V35" i="56"/>
  <c r="W55" i="49"/>
  <c r="V15" i="56"/>
  <c r="W5" i="49"/>
  <c r="V25" i="54"/>
  <c r="W15" i="49"/>
  <c r="V8" i="48"/>
  <c r="W8" i="48" s="1"/>
  <c r="X8" i="48" s="1"/>
  <c r="Y8" i="48" s="1"/>
  <c r="W10" i="52"/>
  <c r="X10" i="52" s="1"/>
  <c r="Y10" i="52" s="1"/>
  <c r="AT17" i="14"/>
  <c r="X17" i="14"/>
  <c r="W55" i="51"/>
  <c r="V8" i="52"/>
  <c r="V55" i="50"/>
  <c r="V35" i="52"/>
  <c r="AS54" i="14"/>
  <c r="AT26" i="14"/>
  <c r="X26" i="14"/>
  <c r="V8" i="54"/>
  <c r="W8" i="54" s="1"/>
  <c r="X8" i="54" s="1"/>
  <c r="AT9" i="14"/>
  <c r="AT43" i="14" s="1"/>
  <c r="X9" i="14"/>
  <c r="AX2" i="14"/>
  <c r="W25" i="53"/>
  <c r="AU31" i="14"/>
  <c r="Y31" i="14"/>
  <c r="Z29" i="14"/>
  <c r="AA30" i="14"/>
  <c r="W39" i="49"/>
  <c r="X39" i="49" s="1"/>
  <c r="Y39" i="49" s="1"/>
  <c r="Z39" i="49" s="1"/>
  <c r="W5" i="55"/>
  <c r="AT33" i="14"/>
  <c r="AT51" i="14" s="1"/>
  <c r="X33" i="14"/>
  <c r="AC14" i="14"/>
  <c r="AC13" i="14" s="1"/>
  <c r="AB13" i="14"/>
  <c r="V55" i="56"/>
  <c r="V55" i="52"/>
  <c r="AT23" i="14"/>
  <c r="AT27" i="14" s="1"/>
  <c r="X23" i="14"/>
  <c r="V38" i="50"/>
  <c r="W38" i="50" s="1"/>
  <c r="X38" i="50" s="1"/>
  <c r="AT8" i="14"/>
  <c r="AT42" i="14" s="1"/>
  <c r="X8" i="14"/>
  <c r="V15" i="50"/>
  <c r="W25" i="15"/>
  <c r="V31" i="15"/>
  <c r="W15" i="15"/>
  <c r="AT16" i="14"/>
  <c r="X16" i="14"/>
  <c r="V38" i="54"/>
  <c r="W38" i="54" s="1"/>
  <c r="X38" i="54" s="1"/>
  <c r="AY6" i="14"/>
  <c r="AX5" i="14"/>
  <c r="W39" i="15"/>
  <c r="W38" i="49"/>
  <c r="X38" i="49" s="1"/>
  <c r="Y38" i="49" s="1"/>
  <c r="AT24" i="14"/>
  <c r="X24" i="14"/>
  <c r="AT35" i="14"/>
  <c r="AT53" i="14" s="1"/>
  <c r="AT49" i="14"/>
  <c r="AH11" i="55"/>
  <c r="J26" i="10"/>
  <c r="F26" i="10"/>
  <c r="E26" i="10"/>
  <c r="I26" i="10"/>
  <c r="H26" i="10"/>
  <c r="D26" i="10"/>
  <c r="AZ22" i="14"/>
  <c r="AZ21" i="14" s="1"/>
  <c r="AY21" i="14"/>
  <c r="AB21" i="14"/>
  <c r="AC22" i="14"/>
  <c r="AC21" i="14" s="1"/>
  <c r="AA5" i="14"/>
  <c r="AB6" i="14"/>
  <c r="X60" i="53"/>
  <c r="Z19" i="55"/>
  <c r="Y58" i="15"/>
  <c r="Y19" i="54"/>
  <c r="Y10" i="53"/>
  <c r="Z38" i="15"/>
  <c r="Z49" i="15"/>
  <c r="Z18" i="51"/>
  <c r="X38" i="56"/>
  <c r="Y26" i="55"/>
  <c r="Y36" i="48"/>
  <c r="Y26" i="15"/>
  <c r="Z49" i="51"/>
  <c r="Y57" i="15"/>
  <c r="Y20" i="56"/>
  <c r="Y47" i="48"/>
  <c r="Y39" i="51"/>
  <c r="Y40" i="55"/>
  <c r="Z17" i="49"/>
  <c r="Y29" i="56"/>
  <c r="X47" i="56"/>
  <c r="Y40" i="50"/>
  <c r="Z40" i="15"/>
  <c r="Z28" i="53"/>
  <c r="Y58" i="50"/>
  <c r="Z27" i="51"/>
  <c r="Z18" i="53"/>
  <c r="Z38" i="55"/>
  <c r="X40" i="56"/>
  <c r="Y59" i="50"/>
  <c r="Z49" i="49"/>
  <c r="Z38" i="51"/>
  <c r="Y19" i="52"/>
  <c r="X36" i="54"/>
  <c r="Y47" i="54"/>
  <c r="Y47" i="15"/>
  <c r="Z48" i="49"/>
  <c r="Z28" i="51"/>
  <c r="Z59" i="15"/>
  <c r="Y9" i="48"/>
  <c r="Y30" i="50"/>
  <c r="Y39" i="50"/>
  <c r="Y30" i="56"/>
  <c r="Z47" i="55"/>
  <c r="Y48" i="50"/>
  <c r="Y59" i="52"/>
  <c r="Z7" i="49"/>
  <c r="Y37" i="51"/>
  <c r="X28" i="56"/>
  <c r="X16" i="54"/>
  <c r="Y10" i="48"/>
  <c r="Y20" i="55"/>
  <c r="Y27" i="15"/>
  <c r="Z60" i="49"/>
  <c r="Z8" i="51"/>
  <c r="Y48" i="54"/>
  <c r="Y56" i="55"/>
  <c r="Y50" i="50"/>
  <c r="Y19" i="50"/>
  <c r="Z59" i="53"/>
  <c r="Y29" i="52"/>
  <c r="Y20" i="54"/>
  <c r="Z7" i="15"/>
  <c r="X26" i="48"/>
  <c r="Y20" i="52"/>
  <c r="Z27" i="53"/>
  <c r="Y56" i="56"/>
  <c r="Y18" i="55"/>
  <c r="Z9" i="15"/>
  <c r="X16" i="52"/>
  <c r="Y26" i="49"/>
  <c r="Y19" i="53"/>
  <c r="Z29" i="51"/>
  <c r="Y57" i="50"/>
  <c r="Y48" i="52"/>
  <c r="Y49" i="50"/>
  <c r="Z30" i="51"/>
  <c r="Y60" i="15"/>
  <c r="X60" i="52"/>
  <c r="Y30" i="48"/>
  <c r="X40" i="52"/>
  <c r="Z18" i="49"/>
  <c r="Y27" i="54"/>
  <c r="Y29" i="55"/>
  <c r="Y20" i="53"/>
  <c r="Y7" i="50"/>
  <c r="Y50" i="15"/>
  <c r="Y29" i="48"/>
  <c r="Y9" i="54"/>
  <c r="Z8" i="55"/>
  <c r="X59" i="56"/>
  <c r="Z28" i="15"/>
  <c r="Z57" i="55"/>
  <c r="Y37" i="50"/>
  <c r="Y16" i="51"/>
  <c r="Y59" i="48"/>
  <c r="Y40" i="51"/>
  <c r="Y19" i="51"/>
  <c r="Y50" i="48"/>
  <c r="Z46" i="15"/>
  <c r="Z29" i="49"/>
  <c r="Y9" i="51"/>
  <c r="Y49" i="54"/>
  <c r="Y48" i="55"/>
  <c r="Y27" i="52"/>
  <c r="Z48" i="51"/>
  <c r="Y50" i="54"/>
  <c r="Y10" i="54"/>
  <c r="Y30" i="54"/>
  <c r="Y48" i="48"/>
  <c r="Y49" i="52"/>
  <c r="Y29" i="53"/>
  <c r="Y40" i="48"/>
  <c r="X7" i="54"/>
  <c r="X18" i="56"/>
  <c r="Y20" i="51"/>
  <c r="Z9" i="53"/>
  <c r="Y10" i="51"/>
  <c r="Y39" i="55"/>
  <c r="Y29" i="50"/>
  <c r="Y8" i="53"/>
  <c r="Z58" i="53"/>
  <c r="Z47" i="51"/>
  <c r="Y47" i="53"/>
  <c r="Y29" i="54"/>
  <c r="Y60" i="50"/>
  <c r="Y30" i="52"/>
  <c r="Z27" i="49"/>
  <c r="Y58" i="54"/>
  <c r="Z30" i="49"/>
  <c r="Y37" i="52"/>
  <c r="Z57" i="51"/>
  <c r="Y60" i="48"/>
  <c r="Z40" i="53"/>
  <c r="Y28" i="55"/>
  <c r="Z49" i="55"/>
  <c r="Y39" i="52"/>
  <c r="X46" i="56"/>
  <c r="Y47" i="50"/>
  <c r="Y58" i="51"/>
  <c r="Y10" i="15"/>
  <c r="Z30" i="55"/>
  <c r="Z56" i="51"/>
  <c r="X8" i="50"/>
  <c r="Z48" i="53"/>
  <c r="Y19" i="56"/>
  <c r="X18" i="54"/>
  <c r="X50" i="56"/>
  <c r="Y30" i="53"/>
  <c r="Z29" i="15"/>
  <c r="Z47" i="49"/>
  <c r="Y56" i="48"/>
  <c r="Z36" i="15"/>
  <c r="Y7" i="55"/>
  <c r="Y8" i="49"/>
  <c r="Y58" i="49"/>
  <c r="Z30" i="15"/>
  <c r="Y49" i="48"/>
  <c r="Z10" i="55"/>
  <c r="Y19" i="48"/>
  <c r="Z46" i="53"/>
  <c r="Y37" i="53"/>
  <c r="Y8" i="15"/>
  <c r="Y7" i="53"/>
  <c r="Y40" i="54"/>
  <c r="Y27" i="50"/>
  <c r="Y58" i="48"/>
  <c r="Y50" i="51"/>
  <c r="Y7" i="56"/>
  <c r="Y10" i="50"/>
  <c r="Z48" i="15"/>
  <c r="Y8" i="56"/>
  <c r="Y9" i="50"/>
  <c r="Y7" i="48"/>
  <c r="X50" i="52"/>
  <c r="Y57" i="52"/>
  <c r="Z10" i="49"/>
  <c r="Y20" i="50"/>
  <c r="Y46" i="52"/>
  <c r="X26" i="56"/>
  <c r="Y50" i="55"/>
  <c r="Y59" i="49"/>
  <c r="Y49" i="56"/>
  <c r="Z20" i="49"/>
  <c r="Y47" i="52"/>
  <c r="Y49" i="53"/>
  <c r="Y9" i="49"/>
  <c r="Y39" i="56"/>
  <c r="Y58" i="56"/>
  <c r="Y9" i="56"/>
  <c r="Z57" i="49"/>
  <c r="Y10" i="56"/>
  <c r="Z38" i="53"/>
  <c r="Y20" i="48"/>
  <c r="O58" i="52" l="1"/>
  <c r="P58" i="52" s="1"/>
  <c r="T16" i="55"/>
  <c r="S21" i="55"/>
  <c r="Q56" i="15"/>
  <c r="P61" i="15"/>
  <c r="O59" i="51"/>
  <c r="N61" i="51"/>
  <c r="O46" i="51"/>
  <c r="N51" i="51"/>
  <c r="N15" i="54"/>
  <c r="M21" i="54"/>
  <c r="N28" i="48"/>
  <c r="M31" i="48"/>
  <c r="O50" i="53"/>
  <c r="N51" i="53"/>
  <c r="O5" i="51"/>
  <c r="N11" i="51"/>
  <c r="O35" i="15"/>
  <c r="N41" i="15"/>
  <c r="O46" i="55"/>
  <c r="N51" i="55"/>
  <c r="O55" i="55"/>
  <c r="N61" i="55"/>
  <c r="P57" i="48"/>
  <c r="O61" i="48"/>
  <c r="Q59" i="55"/>
  <c r="Q61" i="49"/>
  <c r="R56" i="49"/>
  <c r="O6" i="50"/>
  <c r="N11" i="50"/>
  <c r="P16" i="53"/>
  <c r="O21" i="53"/>
  <c r="T45" i="53"/>
  <c r="O45" i="54"/>
  <c r="N51" i="54"/>
  <c r="O45" i="56"/>
  <c r="N51" i="56"/>
  <c r="P27" i="55"/>
  <c r="O31" i="55"/>
  <c r="N61" i="50"/>
  <c r="O56" i="50"/>
  <c r="O17" i="56"/>
  <c r="N21" i="56"/>
  <c r="P36" i="49"/>
  <c r="O41" i="49"/>
  <c r="O37" i="54"/>
  <c r="N41" i="54"/>
  <c r="P6" i="49"/>
  <c r="O11" i="49"/>
  <c r="P36" i="53"/>
  <c r="O41" i="53"/>
  <c r="O17" i="48"/>
  <c r="N21" i="48"/>
  <c r="O16" i="50"/>
  <c r="N21" i="50"/>
  <c r="Q36" i="55"/>
  <c r="P41" i="55"/>
  <c r="P55" i="54"/>
  <c r="O61" i="54"/>
  <c r="O60" i="56"/>
  <c r="N61" i="56"/>
  <c r="O15" i="52"/>
  <c r="N21" i="52"/>
  <c r="O28" i="52"/>
  <c r="N31" i="52"/>
  <c r="O36" i="50"/>
  <c r="N41" i="50"/>
  <c r="O36" i="52"/>
  <c r="N41" i="52"/>
  <c r="P16" i="49"/>
  <c r="O21" i="49"/>
  <c r="O36" i="56"/>
  <c r="N41" i="56"/>
  <c r="Q6" i="55"/>
  <c r="P11" i="55"/>
  <c r="O46" i="48"/>
  <c r="N51" i="48"/>
  <c r="T7" i="51"/>
  <c r="O39" i="48"/>
  <c r="N41" i="48"/>
  <c r="P25" i="49"/>
  <c r="O31" i="49"/>
  <c r="U36" i="51"/>
  <c r="T41" i="51"/>
  <c r="O5" i="54"/>
  <c r="N11" i="54"/>
  <c r="O7" i="52"/>
  <c r="N11" i="52"/>
  <c r="P5" i="53"/>
  <c r="O11" i="53"/>
  <c r="O45" i="50"/>
  <c r="N51" i="50"/>
  <c r="P5" i="15"/>
  <c r="O11" i="15"/>
  <c r="O45" i="52"/>
  <c r="N51" i="52"/>
  <c r="P55" i="53"/>
  <c r="O61" i="53"/>
  <c r="P45" i="49"/>
  <c r="O51" i="49"/>
  <c r="P5" i="48"/>
  <c r="O11" i="48"/>
  <c r="O25" i="50"/>
  <c r="N31" i="50"/>
  <c r="O27" i="56"/>
  <c r="N31" i="56"/>
  <c r="O6" i="56"/>
  <c r="N11" i="56"/>
  <c r="P28" i="54"/>
  <c r="O31" i="54"/>
  <c r="R46" i="54"/>
  <c r="S35" i="49"/>
  <c r="S45" i="15"/>
  <c r="R51" i="15"/>
  <c r="S57" i="56"/>
  <c r="S58" i="55"/>
  <c r="R55" i="48"/>
  <c r="R16" i="56"/>
  <c r="R17" i="50"/>
  <c r="R26" i="50"/>
  <c r="R16" i="48"/>
  <c r="S56" i="53"/>
  <c r="S60" i="51"/>
  <c r="S16" i="15"/>
  <c r="R21" i="15"/>
  <c r="T15" i="51"/>
  <c r="S21" i="51"/>
  <c r="T35" i="55"/>
  <c r="S48" i="56"/>
  <c r="S46" i="50"/>
  <c r="V9" i="55"/>
  <c r="U18" i="50"/>
  <c r="U39" i="54"/>
  <c r="V39" i="53"/>
  <c r="U56" i="52"/>
  <c r="V26" i="51"/>
  <c r="U31" i="51"/>
  <c r="U26" i="52"/>
  <c r="U17" i="54"/>
  <c r="U17" i="52"/>
  <c r="U28" i="50"/>
  <c r="V55" i="15"/>
  <c r="V19" i="49"/>
  <c r="V57" i="53"/>
  <c r="V45" i="55"/>
  <c r="U6" i="48"/>
  <c r="U35" i="50"/>
  <c r="U6" i="54"/>
  <c r="U26" i="54"/>
  <c r="V28" i="49"/>
  <c r="U25" i="56"/>
  <c r="V17" i="55"/>
  <c r="U38" i="52"/>
  <c r="V37" i="15"/>
  <c r="V17" i="15"/>
  <c r="V6" i="51"/>
  <c r="V37" i="55"/>
  <c r="V17" i="51"/>
  <c r="V26" i="53"/>
  <c r="U31" i="53"/>
  <c r="V46" i="49"/>
  <c r="U37" i="56"/>
  <c r="U57" i="54"/>
  <c r="V25" i="55"/>
  <c r="V45" i="51"/>
  <c r="U27" i="48"/>
  <c r="V6" i="53"/>
  <c r="V6" i="15"/>
  <c r="U6" i="52"/>
  <c r="V60" i="55"/>
  <c r="U37" i="48"/>
  <c r="V17" i="53"/>
  <c r="AC3" i="54"/>
  <c r="AD4" i="54"/>
  <c r="AD3" i="54" s="1"/>
  <c r="BA33" i="52"/>
  <c r="BB34" i="52"/>
  <c r="BB33" i="52" s="1"/>
  <c r="AH11" i="56"/>
  <c r="AH11" i="50"/>
  <c r="AR31" i="56"/>
  <c r="AR61" i="53"/>
  <c r="AT31" i="15"/>
  <c r="AR11" i="15"/>
  <c r="AR51" i="54"/>
  <c r="AR31" i="49"/>
  <c r="AS31" i="52"/>
  <c r="AS41" i="49"/>
  <c r="AR11" i="55"/>
  <c r="AS61" i="56"/>
  <c r="AS21" i="15"/>
  <c r="AR51" i="56"/>
  <c r="AR31" i="48"/>
  <c r="AR41" i="54"/>
  <c r="AS51" i="53"/>
  <c r="AS51" i="48"/>
  <c r="AR41" i="52"/>
  <c r="AR51" i="53"/>
  <c r="AR61" i="50"/>
  <c r="AR11" i="54"/>
  <c r="AR61" i="56"/>
  <c r="AR31" i="51"/>
  <c r="AS11" i="53"/>
  <c r="AR51" i="49"/>
  <c r="AR11" i="48"/>
  <c r="AT61" i="48"/>
  <c r="AT41" i="56"/>
  <c r="AT35" i="56" s="1"/>
  <c r="AR21" i="51"/>
  <c r="AR61" i="15"/>
  <c r="AR21" i="52"/>
  <c r="AT31" i="53"/>
  <c r="AR61" i="48"/>
  <c r="AS41" i="53"/>
  <c r="AT61" i="49"/>
  <c r="AT61" i="53"/>
  <c r="AR41" i="56"/>
  <c r="AR11" i="53"/>
  <c r="AS11" i="55"/>
  <c r="AR21" i="54"/>
  <c r="AR21" i="48"/>
  <c r="AS41" i="15"/>
  <c r="AR11" i="56"/>
  <c r="AS21" i="55"/>
  <c r="AS41" i="48"/>
  <c r="AR11" i="50"/>
  <c r="AT21" i="54"/>
  <c r="AR11" i="52"/>
  <c r="AR51" i="52"/>
  <c r="AS31" i="54"/>
  <c r="AR31" i="53"/>
  <c r="AR61" i="51"/>
  <c r="AT31" i="50"/>
  <c r="AT21" i="15"/>
  <c r="AT61" i="54"/>
  <c r="AR61" i="52"/>
  <c r="AR31" i="52"/>
  <c r="AS31" i="48"/>
  <c r="AT41" i="49"/>
  <c r="AT21" i="53"/>
  <c r="AT31" i="55"/>
  <c r="AS41" i="51"/>
  <c r="AR51" i="50"/>
  <c r="AR41" i="55"/>
  <c r="AR11" i="49"/>
  <c r="AR51" i="15"/>
  <c r="AR41" i="50"/>
  <c r="AR61" i="55"/>
  <c r="AS51" i="56"/>
  <c r="AR31" i="50"/>
  <c r="AT11" i="52"/>
  <c r="AT5" i="52" s="1"/>
  <c r="AR21" i="15"/>
  <c r="AS11" i="48"/>
  <c r="AJ21" i="49"/>
  <c r="AI51" i="15"/>
  <c r="AJ21" i="52"/>
  <c r="AJ61" i="48"/>
  <c r="AI21" i="50"/>
  <c r="AI51" i="50"/>
  <c r="AI21" i="15"/>
  <c r="AI41" i="48"/>
  <c r="AJ61" i="56"/>
  <c r="AJ51" i="15"/>
  <c r="AJ51" i="56"/>
  <c r="AI51" i="55"/>
  <c r="AJ41" i="53"/>
  <c r="AJ51" i="55"/>
  <c r="AI51" i="56"/>
  <c r="AJ51" i="51"/>
  <c r="AI31" i="52"/>
  <c r="AI31" i="49"/>
  <c r="AI31" i="55"/>
  <c r="AI21" i="49"/>
  <c r="AI21" i="56"/>
  <c r="AJ11" i="49"/>
  <c r="AI31" i="48"/>
  <c r="AJ51" i="52"/>
  <c r="AJ31" i="48"/>
  <c r="AI21" i="52"/>
  <c r="AI31" i="56"/>
  <c r="AI41" i="56"/>
  <c r="AJ11" i="54"/>
  <c r="AI61" i="51"/>
  <c r="AI31" i="51"/>
  <c r="AJ31" i="55"/>
  <c r="AJ51" i="49"/>
  <c r="AJ41" i="51"/>
  <c r="AJ11" i="56"/>
  <c r="AJ61" i="54"/>
  <c r="AJ61" i="55"/>
  <c r="AJ61" i="52"/>
  <c r="AJ41" i="49"/>
  <c r="AJ51" i="48"/>
  <c r="AI31" i="54"/>
  <c r="AJ11" i="50"/>
  <c r="AI21" i="54"/>
  <c r="AI61" i="55"/>
  <c r="AI21" i="55"/>
  <c r="AI61" i="48"/>
  <c r="AI31" i="15"/>
  <c r="AJ51" i="50"/>
  <c r="AJ61" i="53"/>
  <c r="AJ61" i="15"/>
  <c r="AI61" i="56"/>
  <c r="AI21" i="48"/>
  <c r="AJ21" i="15"/>
  <c r="AI51" i="52"/>
  <c r="AK41" i="56"/>
  <c r="AI51" i="48"/>
  <c r="AJ11" i="55"/>
  <c r="AJ11" i="53"/>
  <c r="AI21" i="53"/>
  <c r="AJ41" i="52"/>
  <c r="AJ21" i="50"/>
  <c r="AK31" i="54"/>
  <c r="AI61" i="53"/>
  <c r="AJ11" i="15"/>
  <c r="AI31" i="53"/>
  <c r="AJ11" i="52"/>
  <c r="AJ21" i="54"/>
  <c r="AJ31" i="54"/>
  <c r="AJ31" i="56"/>
  <c r="AJ41" i="55"/>
  <c r="AJ31" i="50"/>
  <c r="AJ51" i="53"/>
  <c r="AK21" i="52"/>
  <c r="AI51" i="49"/>
  <c r="AJ61" i="50"/>
  <c r="AI51" i="53"/>
  <c r="AK31" i="48"/>
  <c r="AI51" i="51"/>
  <c r="AI51" i="54"/>
  <c r="AK51" i="50"/>
  <c r="AK61" i="50"/>
  <c r="AJ31" i="49"/>
  <c r="AJ51" i="54"/>
  <c r="AI61" i="15"/>
  <c r="AK11" i="48"/>
  <c r="AJ41" i="48"/>
  <c r="AI61" i="52"/>
  <c r="AJ31" i="52"/>
  <c r="AJ21" i="53"/>
  <c r="AI21" i="51"/>
  <c r="AJ41" i="56"/>
  <c r="AJ41" i="15"/>
  <c r="AJ41" i="54"/>
  <c r="AK11" i="54"/>
  <c r="AI31" i="50"/>
  <c r="AJ31" i="53"/>
  <c r="AJ11" i="48"/>
  <c r="AJ41" i="50"/>
  <c r="AJ21" i="51"/>
  <c r="AI61" i="50"/>
  <c r="AJ31" i="15"/>
  <c r="AJ61" i="51"/>
  <c r="AJ21" i="55"/>
  <c r="AI41" i="54"/>
  <c r="AI11" i="50"/>
  <c r="AK11" i="56"/>
  <c r="AI41" i="53"/>
  <c r="AL11" i="51"/>
  <c r="AL41" i="54"/>
  <c r="AK31" i="53"/>
  <c r="AK41" i="52"/>
  <c r="AK21" i="54"/>
  <c r="AK21" i="48"/>
  <c r="AK51" i="53"/>
  <c r="AI11" i="55"/>
  <c r="AI11" i="48"/>
  <c r="AL31" i="53"/>
  <c r="AH5" i="15"/>
  <c r="AK61" i="49"/>
  <c r="AK51" i="54"/>
  <c r="AK41" i="49"/>
  <c r="AK51" i="51"/>
  <c r="AK41" i="53"/>
  <c r="AI41" i="49"/>
  <c r="AK11" i="15"/>
  <c r="AK11" i="53"/>
  <c r="AK11" i="49"/>
  <c r="AK31" i="15"/>
  <c r="AK21" i="53"/>
  <c r="AI11" i="53"/>
  <c r="AI11" i="51"/>
  <c r="AK61" i="15"/>
  <c r="AK21" i="49"/>
  <c r="AK51" i="48"/>
  <c r="AK11" i="50"/>
  <c r="AK31" i="49"/>
  <c r="AK61" i="51"/>
  <c r="AK41" i="51"/>
  <c r="AI41" i="15"/>
  <c r="AK31" i="55"/>
  <c r="AI61" i="49"/>
  <c r="AJ11" i="51"/>
  <c r="AJ21" i="56"/>
  <c r="AJ31" i="51"/>
  <c r="AI11" i="54"/>
  <c r="AK61" i="54"/>
  <c r="AK11" i="55"/>
  <c r="AK61" i="56"/>
  <c r="AK51" i="56"/>
  <c r="AL51" i="52"/>
  <c r="AK11" i="51"/>
  <c r="AL21" i="55"/>
  <c r="AK31" i="56"/>
  <c r="AK21" i="50"/>
  <c r="AK21" i="56"/>
  <c r="AK31" i="52"/>
  <c r="AL61" i="53"/>
  <c r="AK41" i="54"/>
  <c r="AK31" i="50"/>
  <c r="AI41" i="52"/>
  <c r="AK51" i="15"/>
  <c r="AL11" i="55"/>
  <c r="AK61" i="53"/>
  <c r="AK51" i="52"/>
  <c r="AI11" i="15"/>
  <c r="AJ61" i="49"/>
  <c r="AI61" i="54"/>
  <c r="AJ21" i="48"/>
  <c r="AK61" i="48"/>
  <c r="AK41" i="55"/>
  <c r="AK21" i="15"/>
  <c r="AK11" i="52"/>
  <c r="AK31" i="51"/>
  <c r="AK21" i="55"/>
  <c r="AK41" i="48"/>
  <c r="AK61" i="55"/>
  <c r="AI11" i="52"/>
  <c r="AK51" i="49"/>
  <c r="AK41" i="50"/>
  <c r="AL31" i="56"/>
  <c r="AK41" i="15"/>
  <c r="AI11" i="56"/>
  <c r="AK21" i="51"/>
  <c r="AI41" i="51"/>
  <c r="AI11" i="49"/>
  <c r="AL21" i="51"/>
  <c r="AL41" i="53"/>
  <c r="AL61" i="56"/>
  <c r="AL61" i="50"/>
  <c r="AL31" i="51"/>
  <c r="AL41" i="48"/>
  <c r="AM41" i="53"/>
  <c r="AL31" i="50"/>
  <c r="AL51" i="51"/>
  <c r="AL41" i="51"/>
  <c r="AL21" i="53"/>
  <c r="AL41" i="52"/>
  <c r="AL51" i="48"/>
  <c r="AL51" i="54"/>
  <c r="AL21" i="48"/>
  <c r="AM51" i="56"/>
  <c r="AL41" i="15"/>
  <c r="AL11" i="49"/>
  <c r="AL31" i="48"/>
  <c r="AL31" i="49"/>
  <c r="AL31" i="15"/>
  <c r="AL41" i="55"/>
  <c r="AI41" i="55"/>
  <c r="AL41" i="56"/>
  <c r="AL21" i="54"/>
  <c r="AM51" i="52"/>
  <c r="AK61" i="52"/>
  <c r="AL11" i="50"/>
  <c r="AL51" i="15"/>
  <c r="AL31" i="52"/>
  <c r="AL61" i="51"/>
  <c r="AL61" i="48"/>
  <c r="AM21" i="53"/>
  <c r="AL61" i="49"/>
  <c r="AK51" i="55"/>
  <c r="AL51" i="50"/>
  <c r="AL21" i="15"/>
  <c r="AM21" i="51"/>
  <c r="AL51" i="53"/>
  <c r="AL41" i="50"/>
  <c r="AM21" i="55"/>
  <c r="AL31" i="55"/>
  <c r="AL11" i="53"/>
  <c r="AL21" i="49"/>
  <c r="AM21" i="52"/>
  <c r="AL61" i="55"/>
  <c r="AM51" i="48"/>
  <c r="AL21" i="50"/>
  <c r="AL61" i="54"/>
  <c r="AL11" i="52"/>
  <c r="AL51" i="55"/>
  <c r="AL11" i="48"/>
  <c r="AL51" i="49"/>
  <c r="AL31" i="54"/>
  <c r="AI41" i="50"/>
  <c r="AM11" i="15"/>
  <c r="AL21" i="52"/>
  <c r="AM51" i="15"/>
  <c r="AL51" i="56"/>
  <c r="AN31" i="50"/>
  <c r="AM11" i="49"/>
  <c r="AM31" i="51"/>
  <c r="AM61" i="50"/>
  <c r="AN51" i="15"/>
  <c r="AM31" i="49"/>
  <c r="AM41" i="48"/>
  <c r="AN31" i="53"/>
  <c r="AM41" i="15"/>
  <c r="AM51" i="51"/>
  <c r="AM11" i="53"/>
  <c r="AM31" i="54"/>
  <c r="AM21" i="56"/>
  <c r="AM31" i="56"/>
  <c r="AM11" i="52"/>
  <c r="AM51" i="54"/>
  <c r="AM21" i="48"/>
  <c r="AM61" i="54"/>
  <c r="AM51" i="53"/>
  <c r="AM21" i="15"/>
  <c r="AM41" i="54"/>
  <c r="AM41" i="52"/>
  <c r="AM11" i="54"/>
  <c r="AM51" i="50"/>
  <c r="AM41" i="55"/>
  <c r="AM11" i="48"/>
  <c r="AM11" i="50"/>
  <c r="AM51" i="49"/>
  <c r="AN31" i="55"/>
  <c r="AM31" i="55"/>
  <c r="AL61" i="15"/>
  <c r="AL21" i="56"/>
  <c r="AM11" i="51"/>
  <c r="AN31" i="15"/>
  <c r="AM31" i="48"/>
  <c r="AM41" i="49"/>
  <c r="AM11" i="55"/>
  <c r="AM61" i="48"/>
  <c r="AM31" i="15"/>
  <c r="AN31" i="52"/>
  <c r="AL11" i="15"/>
  <c r="AM31" i="53"/>
  <c r="AM61" i="53"/>
  <c r="AM41" i="50"/>
  <c r="AM61" i="55"/>
  <c r="AN41" i="54"/>
  <c r="AM61" i="49"/>
  <c r="AM51" i="55"/>
  <c r="AN31" i="54"/>
  <c r="AL41" i="49"/>
  <c r="AN11" i="52"/>
  <c r="AM41" i="56"/>
  <c r="AM61" i="56"/>
  <c r="AL11" i="56"/>
  <c r="AM61" i="52"/>
  <c r="AM21" i="49"/>
  <c r="AL11" i="54"/>
  <c r="AM31" i="50"/>
  <c r="AM11" i="56"/>
  <c r="AN31" i="51"/>
  <c r="AN21" i="49"/>
  <c r="AL61" i="52"/>
  <c r="AM31" i="52"/>
  <c r="AM41" i="51"/>
  <c r="AM21" i="50"/>
  <c r="AN41" i="49"/>
  <c r="AN11" i="51"/>
  <c r="AN21" i="50"/>
  <c r="AN21" i="52"/>
  <c r="AN51" i="55"/>
  <c r="AN21" i="53"/>
  <c r="AM21" i="54"/>
  <c r="AN61" i="56"/>
  <c r="AN51" i="54"/>
  <c r="AN61" i="55"/>
  <c r="AN41" i="15"/>
  <c r="AN61" i="50"/>
  <c r="AO31" i="56"/>
  <c r="AN21" i="15"/>
  <c r="AN41" i="51"/>
  <c r="AN41" i="52"/>
  <c r="AO61" i="53"/>
  <c r="AN61" i="49"/>
  <c r="AN31" i="48"/>
  <c r="AN61" i="52"/>
  <c r="AN61" i="54"/>
  <c r="AN21" i="54"/>
  <c r="AN61" i="48"/>
  <c r="AO21" i="55"/>
  <c r="AN21" i="51"/>
  <c r="AN11" i="49"/>
  <c r="AN31" i="56"/>
  <c r="AN11" i="53"/>
  <c r="AN11" i="15"/>
  <c r="AN51" i="56"/>
  <c r="AO21" i="15"/>
  <c r="AN41" i="48"/>
  <c r="AN41" i="55"/>
  <c r="AN11" i="50"/>
  <c r="AN61" i="53"/>
  <c r="AN51" i="48"/>
  <c r="AN11" i="48"/>
  <c r="AN21" i="48"/>
  <c r="AN61" i="51"/>
  <c r="AN51" i="51"/>
  <c r="AO51" i="49"/>
  <c r="AM61" i="15"/>
  <c r="AN51" i="50"/>
  <c r="AN61" i="15"/>
  <c r="AM61" i="51"/>
  <c r="AN21" i="56"/>
  <c r="AN31" i="49"/>
  <c r="AO41" i="15"/>
  <c r="AP11" i="49"/>
  <c r="AN11" i="56"/>
  <c r="AN51" i="52"/>
  <c r="AN11" i="55"/>
  <c r="AN41" i="53"/>
  <c r="AO11" i="50"/>
  <c r="AP21" i="54"/>
  <c r="AO41" i="52"/>
  <c r="AO41" i="54"/>
  <c r="AO61" i="49"/>
  <c r="AO11" i="51"/>
  <c r="AP61" i="51"/>
  <c r="AO21" i="53"/>
  <c r="AO61" i="48"/>
  <c r="AO21" i="51"/>
  <c r="AP41" i="56"/>
  <c r="AN51" i="49"/>
  <c r="AO31" i="50"/>
  <c r="AO31" i="48"/>
  <c r="AO21" i="52"/>
  <c r="AO51" i="55"/>
  <c r="AO41" i="48"/>
  <c r="AO31" i="15"/>
  <c r="AN51" i="53"/>
  <c r="AO31" i="51"/>
  <c r="AO31" i="54"/>
  <c r="AP41" i="52"/>
  <c r="AO41" i="49"/>
  <c r="AO41" i="51"/>
  <c r="AO21" i="50"/>
  <c r="AO51" i="52"/>
  <c r="AO61" i="52"/>
  <c r="AN41" i="56"/>
  <c r="AO51" i="15"/>
  <c r="AO61" i="51"/>
  <c r="AO51" i="50"/>
  <c r="AO41" i="53"/>
  <c r="AO61" i="56"/>
  <c r="AO51" i="48"/>
  <c r="AO11" i="48"/>
  <c r="AO31" i="49"/>
  <c r="AO41" i="56"/>
  <c r="AO61" i="15"/>
  <c r="AO41" i="50"/>
  <c r="AO51" i="54"/>
  <c r="AN11" i="54"/>
  <c r="AO21" i="49"/>
  <c r="AO21" i="54"/>
  <c r="AO31" i="53"/>
  <c r="AO31" i="55"/>
  <c r="AO11" i="54"/>
  <c r="AP31" i="50"/>
  <c r="AO51" i="53"/>
  <c r="AO21" i="48"/>
  <c r="AO61" i="54"/>
  <c r="AO61" i="50"/>
  <c r="AO51" i="51"/>
  <c r="AP11" i="56"/>
  <c r="AO31" i="52"/>
  <c r="AO51" i="56"/>
  <c r="AO21" i="56"/>
  <c r="AO11" i="49"/>
  <c r="AO11" i="56"/>
  <c r="AN41" i="50"/>
  <c r="AO11" i="15"/>
  <c r="AP61" i="54"/>
  <c r="AO11" i="55"/>
  <c r="AO11" i="52"/>
  <c r="AO41" i="55"/>
  <c r="AO61" i="55"/>
  <c r="AP11" i="53"/>
  <c r="AO11" i="53"/>
  <c r="AN21" i="55"/>
  <c r="AQ11" i="15"/>
  <c r="AP51" i="50"/>
  <c r="AP41" i="55"/>
  <c r="AP21" i="15"/>
  <c r="AP31" i="15"/>
  <c r="AP51" i="49"/>
  <c r="AP41" i="48"/>
  <c r="AP31" i="54"/>
  <c r="AP21" i="52"/>
  <c r="AP31" i="51"/>
  <c r="AQ31" i="56"/>
  <c r="AP61" i="49"/>
  <c r="AP41" i="15"/>
  <c r="AP11" i="52"/>
  <c r="AP31" i="56"/>
  <c r="AP31" i="49"/>
  <c r="AP11" i="48"/>
  <c r="AP51" i="53"/>
  <c r="AP11" i="55"/>
  <c r="AP61" i="52"/>
  <c r="AP21" i="48"/>
  <c r="AP21" i="51"/>
  <c r="AP21" i="55"/>
  <c r="AP11" i="51"/>
  <c r="AP51" i="51"/>
  <c r="AP21" i="53"/>
  <c r="AQ61" i="54"/>
  <c r="AP31" i="55"/>
  <c r="AP21" i="50"/>
  <c r="AP31" i="52"/>
  <c r="AP61" i="48"/>
  <c r="AP41" i="53"/>
  <c r="AP51" i="55"/>
  <c r="AP41" i="54"/>
  <c r="AQ21" i="15"/>
  <c r="AP51" i="56"/>
  <c r="AP51" i="52"/>
  <c r="AP41" i="50"/>
  <c r="AP61" i="50"/>
  <c r="AP11" i="54"/>
  <c r="AQ61" i="53"/>
  <c r="AQ61" i="49"/>
  <c r="AP21" i="49"/>
  <c r="AP61" i="56"/>
  <c r="AP11" i="15"/>
  <c r="AP51" i="54"/>
  <c r="AQ61" i="48"/>
  <c r="AP61" i="15"/>
  <c r="AP41" i="51"/>
  <c r="AP61" i="55"/>
  <c r="AQ51" i="50"/>
  <c r="AP61" i="53"/>
  <c r="AP31" i="48"/>
  <c r="AP31" i="53"/>
  <c r="AQ61" i="15"/>
  <c r="AQ51" i="15"/>
  <c r="AP11" i="50"/>
  <c r="AP51" i="48"/>
  <c r="AP51" i="15"/>
  <c r="AP21" i="56"/>
  <c r="AQ11" i="54"/>
  <c r="AP41" i="49"/>
  <c r="AR51" i="55"/>
  <c r="AQ21" i="52"/>
  <c r="AQ11" i="48"/>
  <c r="AQ31" i="52"/>
  <c r="AQ51" i="55"/>
  <c r="AQ11" i="52"/>
  <c r="AQ41" i="51"/>
  <c r="AR11" i="51"/>
  <c r="AR61" i="49"/>
  <c r="AQ51" i="53"/>
  <c r="AQ21" i="51"/>
  <c r="AQ61" i="51"/>
  <c r="AQ21" i="48"/>
  <c r="AR31" i="15"/>
  <c r="AQ11" i="56"/>
  <c r="AQ31" i="49"/>
  <c r="AQ51" i="52"/>
  <c r="AQ41" i="53"/>
  <c r="AQ11" i="55"/>
  <c r="AQ11" i="49"/>
  <c r="AQ11" i="50"/>
  <c r="AQ31" i="53"/>
  <c r="AQ31" i="15"/>
  <c r="AQ31" i="50"/>
  <c r="AQ31" i="51"/>
  <c r="AQ41" i="54"/>
  <c r="AR41" i="48"/>
  <c r="AQ41" i="49"/>
  <c r="AQ11" i="51"/>
  <c r="AQ21" i="54"/>
  <c r="AQ61" i="50"/>
  <c r="AQ61" i="56"/>
  <c r="AQ31" i="54"/>
  <c r="AQ51" i="49"/>
  <c r="AQ11" i="53"/>
  <c r="AQ41" i="52"/>
  <c r="AR21" i="50"/>
  <c r="AQ51" i="54"/>
  <c r="AQ31" i="55"/>
  <c r="AQ21" i="49"/>
  <c r="AQ31" i="48"/>
  <c r="AQ21" i="56"/>
  <c r="AQ41" i="15"/>
  <c r="AQ21" i="53"/>
  <c r="AQ41" i="48"/>
  <c r="AQ21" i="50"/>
  <c r="AQ41" i="50"/>
  <c r="AQ41" i="56"/>
  <c r="AQ61" i="52"/>
  <c r="AQ51" i="48"/>
  <c r="AQ41" i="55"/>
  <c r="AQ51" i="51"/>
  <c r="AQ61" i="55"/>
  <c r="AQ51" i="56"/>
  <c r="AQ21" i="55"/>
  <c r="AS51" i="52"/>
  <c r="AR21" i="53"/>
  <c r="AS11" i="54"/>
  <c r="AR41" i="53"/>
  <c r="AS21" i="48"/>
  <c r="AR61" i="54"/>
  <c r="AS41" i="50"/>
  <c r="AS41" i="54"/>
  <c r="AS51" i="49"/>
  <c r="AS51" i="54"/>
  <c r="AS41" i="52"/>
  <c r="AR41" i="49"/>
  <c r="AR51" i="51"/>
  <c r="AS61" i="54"/>
  <c r="AR41" i="51"/>
  <c r="AR21" i="49"/>
  <c r="AR31" i="54"/>
  <c r="AT51" i="55"/>
  <c r="AS21" i="52"/>
  <c r="AS11" i="15"/>
  <c r="AR51" i="48"/>
  <c r="AR21" i="55"/>
  <c r="AS11" i="52"/>
  <c r="AR41" i="15"/>
  <c r="AR31" i="55"/>
  <c r="AB13" i="54"/>
  <c r="AC14" i="54"/>
  <c r="BA44" i="53"/>
  <c r="AZ43" i="53"/>
  <c r="AB53" i="50"/>
  <c r="AC54" i="50"/>
  <c r="BA44" i="51"/>
  <c r="AZ43" i="51"/>
  <c r="AB53" i="54"/>
  <c r="AC54" i="54"/>
  <c r="AH31" i="49"/>
  <c r="AH41" i="52"/>
  <c r="AH11" i="51"/>
  <c r="AH41" i="55"/>
  <c r="AH61" i="48"/>
  <c r="AH11" i="49"/>
  <c r="AH41" i="54"/>
  <c r="AH61" i="49"/>
  <c r="AH21" i="50"/>
  <c r="AH41" i="49"/>
  <c r="AH41" i="56"/>
  <c r="AH61" i="53"/>
  <c r="AH11" i="54"/>
  <c r="AH61" i="56"/>
  <c r="AH41" i="50"/>
  <c r="AH21" i="51"/>
  <c r="AH31" i="53"/>
  <c r="AH31" i="50"/>
  <c r="AH11" i="48"/>
  <c r="AH61" i="54"/>
  <c r="AH51" i="54"/>
  <c r="AH21" i="54"/>
  <c r="AH61" i="55"/>
  <c r="AH51" i="51"/>
  <c r="AH41" i="53"/>
  <c r="AH61" i="15"/>
  <c r="AH41" i="15"/>
  <c r="AH21" i="15"/>
  <c r="AH21" i="52"/>
  <c r="AH31" i="56"/>
  <c r="AH51" i="50"/>
  <c r="AH11" i="52"/>
  <c r="AH51" i="52"/>
  <c r="AH41" i="48"/>
  <c r="AH31" i="54"/>
  <c r="AH31" i="52"/>
  <c r="AH21" i="48"/>
  <c r="AH61" i="52"/>
  <c r="AH41" i="51"/>
  <c r="AH51" i="15"/>
  <c r="AH51" i="56"/>
  <c r="AH61" i="51"/>
  <c r="AH21" i="49"/>
  <c r="AH21" i="56"/>
  <c r="AH51" i="49"/>
  <c r="AH31" i="48"/>
  <c r="AH31" i="55"/>
  <c r="AH31" i="51"/>
  <c r="AH61" i="50"/>
  <c r="AH21" i="53"/>
  <c r="AH31" i="15"/>
  <c r="AH51" i="55"/>
  <c r="AH51" i="48"/>
  <c r="AH51" i="53"/>
  <c r="AH11" i="53"/>
  <c r="AH21" i="55"/>
  <c r="BA4" i="49"/>
  <c r="AZ3" i="49"/>
  <c r="AC24" i="49"/>
  <c r="AB23" i="49"/>
  <c r="AZ3" i="52"/>
  <c r="BA4" i="52"/>
  <c r="BA44" i="56"/>
  <c r="AZ43" i="56"/>
  <c r="AC24" i="48"/>
  <c r="AB23" i="48"/>
  <c r="BA14" i="55"/>
  <c r="AZ13" i="55"/>
  <c r="AC4" i="48"/>
  <c r="AB3" i="48"/>
  <c r="AD4" i="15"/>
  <c r="AD3" i="15" s="1"/>
  <c r="AC3" i="15"/>
  <c r="AB43" i="53"/>
  <c r="AC44" i="53"/>
  <c r="BA13" i="15"/>
  <c r="BB14" i="15"/>
  <c r="BB13" i="15" s="1"/>
  <c r="AC54" i="49"/>
  <c r="AB53" i="49"/>
  <c r="BA44" i="50"/>
  <c r="AZ43" i="50"/>
  <c r="BA23" i="52"/>
  <c r="BB24" i="52"/>
  <c r="BB23" i="52" s="1"/>
  <c r="BA33" i="51"/>
  <c r="BB34" i="51"/>
  <c r="BB33" i="51" s="1"/>
  <c r="AZ53" i="15"/>
  <c r="BA54" i="15"/>
  <c r="BA13" i="56"/>
  <c r="BB14" i="56"/>
  <c r="BB13" i="56" s="1"/>
  <c r="AB33" i="56"/>
  <c r="AC34" i="56"/>
  <c r="AC33" i="52"/>
  <c r="AD34" i="52"/>
  <c r="AD33" i="52" s="1"/>
  <c r="BA4" i="54"/>
  <c r="AZ3" i="54"/>
  <c r="AD4" i="51"/>
  <c r="AD3" i="51" s="1"/>
  <c r="AC3" i="51"/>
  <c r="BA54" i="51"/>
  <c r="AZ53" i="51"/>
  <c r="AB43" i="49"/>
  <c r="AC44" i="49"/>
  <c r="AZ53" i="50"/>
  <c r="BA54" i="50"/>
  <c r="AB3" i="52"/>
  <c r="AC4" i="52"/>
  <c r="BA43" i="48"/>
  <c r="BB44" i="48"/>
  <c r="BB43" i="48" s="1"/>
  <c r="AC24" i="52"/>
  <c r="AB23" i="52"/>
  <c r="AC34" i="50"/>
  <c r="AB33" i="50"/>
  <c r="AD54" i="52"/>
  <c r="AD53" i="52" s="1"/>
  <c r="AC53" i="52"/>
  <c r="AB43" i="54"/>
  <c r="AC44" i="54"/>
  <c r="AZ33" i="54"/>
  <c r="BA34" i="54"/>
  <c r="AB33" i="15"/>
  <c r="AC34" i="15"/>
  <c r="AD34" i="49"/>
  <c r="AD33" i="49" s="1"/>
  <c r="AC33" i="49"/>
  <c r="AS46" i="14"/>
  <c r="AD54" i="53"/>
  <c r="AD53" i="53" s="1"/>
  <c r="AC53" i="53"/>
  <c r="AB53" i="56"/>
  <c r="AC54" i="56"/>
  <c r="BB14" i="53"/>
  <c r="BB13" i="53" s="1"/>
  <c r="BA13" i="53"/>
  <c r="AZ33" i="49"/>
  <c r="BA34" i="49"/>
  <c r="BA34" i="50"/>
  <c r="AZ33" i="50"/>
  <c r="BB44" i="52"/>
  <c r="BB43" i="52" s="1"/>
  <c r="BA43" i="52"/>
  <c r="AC53" i="51"/>
  <c r="AD54" i="51"/>
  <c r="AD53" i="51" s="1"/>
  <c r="BA4" i="48"/>
  <c r="AZ3" i="48"/>
  <c r="BA13" i="51"/>
  <c r="BB14" i="51"/>
  <c r="BB13" i="51" s="1"/>
  <c r="AC44" i="15"/>
  <c r="AB43" i="15"/>
  <c r="AC4" i="53"/>
  <c r="AB3" i="53"/>
  <c r="BA4" i="56"/>
  <c r="AZ3" i="56"/>
  <c r="AZ33" i="15"/>
  <c r="BA34" i="15"/>
  <c r="BA14" i="52"/>
  <c r="AZ13" i="52"/>
  <c r="AZ23" i="56"/>
  <c r="BA24" i="56"/>
  <c r="AC3" i="56"/>
  <c r="AD4" i="56"/>
  <c r="AD3" i="56" s="1"/>
  <c r="AC3" i="49"/>
  <c r="AD4" i="49"/>
  <c r="AD3" i="49" s="1"/>
  <c r="AC43" i="48"/>
  <c r="AD44" i="48"/>
  <c r="AD43" i="48" s="1"/>
  <c r="BA44" i="15"/>
  <c r="AZ43" i="15"/>
  <c r="AB53" i="55"/>
  <c r="AC54" i="55"/>
  <c r="AD24" i="15"/>
  <c r="AD23" i="15" s="1"/>
  <c r="AC23" i="15"/>
  <c r="AB13" i="52"/>
  <c r="AC14" i="52"/>
  <c r="BA53" i="54"/>
  <c r="BB54" i="54"/>
  <c r="BB53" i="54" s="1"/>
  <c r="BA4" i="51"/>
  <c r="AZ3" i="51"/>
  <c r="BA4" i="50"/>
  <c r="AZ3" i="50"/>
  <c r="BA54" i="49"/>
  <c r="AZ53" i="49"/>
  <c r="AC24" i="53"/>
  <c r="AB23" i="53"/>
  <c r="BB4" i="15"/>
  <c r="BB3" i="15" s="1"/>
  <c r="BA3" i="15"/>
  <c r="AD34" i="55"/>
  <c r="AD33" i="55" s="1"/>
  <c r="AC33" i="55"/>
  <c r="AB23" i="54"/>
  <c r="AC24" i="54"/>
  <c r="AC14" i="56"/>
  <c r="AB13" i="56"/>
  <c r="AB33" i="54"/>
  <c r="AC34" i="54"/>
  <c r="BA54" i="52"/>
  <c r="AZ53" i="52"/>
  <c r="AC14" i="49"/>
  <c r="AB13" i="49"/>
  <c r="AB13" i="51"/>
  <c r="AC14" i="51"/>
  <c r="BA24" i="51"/>
  <c r="AZ23" i="51"/>
  <c r="AB43" i="52"/>
  <c r="AC44" i="52"/>
  <c r="AB13" i="15"/>
  <c r="AC14" i="15"/>
  <c r="BB54" i="53"/>
  <c r="BB53" i="53" s="1"/>
  <c r="BA53" i="53"/>
  <c r="AC14" i="53"/>
  <c r="AB13" i="53"/>
  <c r="AB43" i="55"/>
  <c r="AC44" i="55"/>
  <c r="AC34" i="48"/>
  <c r="AB33" i="48"/>
  <c r="BA23" i="53"/>
  <c r="BB24" i="53"/>
  <c r="BB23" i="53" s="1"/>
  <c r="BA23" i="15"/>
  <c r="BB24" i="15"/>
  <c r="BB23" i="15" s="1"/>
  <c r="BA34" i="48"/>
  <c r="AZ33" i="48"/>
  <c r="BA54" i="48"/>
  <c r="AZ53" i="48"/>
  <c r="BB14" i="49"/>
  <c r="BB13" i="49" s="1"/>
  <c r="BA13" i="49"/>
  <c r="BA24" i="54"/>
  <c r="AZ23" i="54"/>
  <c r="AD4" i="55"/>
  <c r="AD3" i="55" s="1"/>
  <c r="AC3" i="55"/>
  <c r="AC14" i="48"/>
  <c r="AB13" i="48"/>
  <c r="BA34" i="56"/>
  <c r="AZ33" i="56"/>
  <c r="BA44" i="54"/>
  <c r="AZ43" i="54"/>
  <c r="AX13" i="14"/>
  <c r="AY14" i="14"/>
  <c r="BA44" i="49"/>
  <c r="AZ43" i="49"/>
  <c r="BB54" i="55"/>
  <c r="BB53" i="55" s="1"/>
  <c r="BA53" i="55"/>
  <c r="BA24" i="49"/>
  <c r="AZ23" i="49"/>
  <c r="AB43" i="50"/>
  <c r="AC44" i="50"/>
  <c r="AB23" i="55"/>
  <c r="AC24" i="55"/>
  <c r="AC34" i="53"/>
  <c r="AB33" i="53"/>
  <c r="BA14" i="48"/>
  <c r="AZ13" i="48"/>
  <c r="AC24" i="50"/>
  <c r="AB23" i="50"/>
  <c r="AT54" i="14"/>
  <c r="X39" i="15"/>
  <c r="W15" i="50"/>
  <c r="X5" i="55"/>
  <c r="X25" i="53"/>
  <c r="W8" i="52"/>
  <c r="X8" i="52" s="1"/>
  <c r="Y8" i="52" s="1"/>
  <c r="X55" i="51"/>
  <c r="X15" i="49"/>
  <c r="W25" i="54"/>
  <c r="X5" i="49"/>
  <c r="X55" i="49"/>
  <c r="AU25" i="14"/>
  <c r="Y25" i="14"/>
  <c r="W25" i="52"/>
  <c r="W25" i="48"/>
  <c r="W35" i="48"/>
  <c r="AU18" i="14"/>
  <c r="Y18" i="14"/>
  <c r="AU10" i="14"/>
  <c r="AU44" i="14" s="1"/>
  <c r="Y10" i="14"/>
  <c r="AU7" i="14"/>
  <c r="Y7" i="14"/>
  <c r="W5" i="52"/>
  <c r="AY5" i="14"/>
  <c r="AZ6" i="14"/>
  <c r="AZ5" i="14" s="1"/>
  <c r="AU16" i="14"/>
  <c r="Y16" i="14"/>
  <c r="AU8" i="14"/>
  <c r="AU42" i="14" s="1"/>
  <c r="Y8" i="14"/>
  <c r="W55" i="56"/>
  <c r="W15" i="56"/>
  <c r="W35" i="56"/>
  <c r="AV34" i="14"/>
  <c r="AV52" i="14" s="1"/>
  <c r="Z34" i="14"/>
  <c r="X35" i="53"/>
  <c r="W35" i="54"/>
  <c r="X35" i="51"/>
  <c r="X25" i="51"/>
  <c r="AT41" i="14"/>
  <c r="AT11" i="14"/>
  <c r="AT45" i="14" s="1"/>
  <c r="W15" i="48"/>
  <c r="AU24" i="14"/>
  <c r="Y24" i="14"/>
  <c r="W55" i="52"/>
  <c r="AV31" i="14"/>
  <c r="Z31" i="14"/>
  <c r="AY2" i="14"/>
  <c r="AU26" i="14"/>
  <c r="Y26" i="14"/>
  <c r="W35" i="52"/>
  <c r="W55" i="50"/>
  <c r="AU17" i="14"/>
  <c r="Y17" i="14"/>
  <c r="W5" i="50"/>
  <c r="AU32" i="14"/>
  <c r="AU50" i="14" s="1"/>
  <c r="Y32" i="14"/>
  <c r="AU15" i="14"/>
  <c r="AU19" i="14" s="1"/>
  <c r="Y15" i="14"/>
  <c r="X15" i="15"/>
  <c r="X25" i="15"/>
  <c r="W31" i="15"/>
  <c r="AU23" i="14"/>
  <c r="AU27" i="14" s="1"/>
  <c r="Y23" i="14"/>
  <c r="AU33" i="14"/>
  <c r="AU51" i="14" s="1"/>
  <c r="Y33" i="14"/>
  <c r="AB30" i="14"/>
  <c r="AA29" i="14"/>
  <c r="AU49" i="14"/>
  <c r="AU35" i="14"/>
  <c r="AU53" i="14" s="1"/>
  <c r="AU9" i="14"/>
  <c r="AU43" i="14" s="1"/>
  <c r="Y9" i="14"/>
  <c r="AY3" i="14"/>
  <c r="W45" i="48"/>
  <c r="X50" i="49"/>
  <c r="X15" i="53"/>
  <c r="X5" i="56"/>
  <c r="X15" i="55"/>
  <c r="AC6" i="14"/>
  <c r="AB5" i="14"/>
  <c r="AX61" i="55"/>
  <c r="AU31" i="48"/>
  <c r="AV51" i="54"/>
  <c r="AU41" i="51"/>
  <c r="AW31" i="48"/>
  <c r="AW30" i="48" s="1"/>
  <c r="AV21" i="56"/>
  <c r="AT51" i="49"/>
  <c r="AU11" i="15"/>
  <c r="AV21" i="52"/>
  <c r="AV16" i="52" s="1"/>
  <c r="AU51" i="53"/>
  <c r="AU11" i="51"/>
  <c r="AV31" i="55"/>
  <c r="AW11" i="48"/>
  <c r="AW7" i="48" s="1"/>
  <c r="AV11" i="50"/>
  <c r="AV8" i="50" s="1"/>
  <c r="AV61" i="53"/>
  <c r="AW41" i="15"/>
  <c r="AW31" i="52"/>
  <c r="AW30" i="52" s="1"/>
  <c r="AW41" i="56"/>
  <c r="AW39" i="56" s="1"/>
  <c r="AU61" i="15"/>
  <c r="AX21" i="51"/>
  <c r="AX18" i="51" s="1"/>
  <c r="AW41" i="50"/>
  <c r="AW39" i="50" s="1"/>
  <c r="AV61" i="48"/>
  <c r="AT41" i="52"/>
  <c r="AV51" i="52"/>
  <c r="AX51" i="52"/>
  <c r="AT51" i="51"/>
  <c r="AV51" i="51"/>
  <c r="AX21" i="52"/>
  <c r="AX41" i="51"/>
  <c r="AX38" i="51" s="1"/>
  <c r="AU61" i="49"/>
  <c r="AV11" i="52"/>
  <c r="AU61" i="54"/>
  <c r="AU21" i="51"/>
  <c r="AU21" i="52"/>
  <c r="AX61" i="53"/>
  <c r="AX60" i="53" s="1"/>
  <c r="AV51" i="50"/>
  <c r="AU11" i="55"/>
  <c r="AW51" i="52"/>
  <c r="AW47" i="52" s="1"/>
  <c r="AW21" i="48"/>
  <c r="AW19" i="48" s="1"/>
  <c r="AW51" i="51"/>
  <c r="AW50" i="51" s="1"/>
  <c r="AW11" i="56"/>
  <c r="AU31" i="53"/>
  <c r="AV61" i="49"/>
  <c r="AU21" i="50"/>
  <c r="AW51" i="49"/>
  <c r="AV21" i="54"/>
  <c r="AV16" i="54" s="1"/>
  <c r="AX51" i="53"/>
  <c r="AX46" i="53" s="1"/>
  <c r="AX31" i="53"/>
  <c r="AX27" i="53" s="1"/>
  <c r="AV51" i="15"/>
  <c r="AW21" i="55"/>
  <c r="AW18" i="55" s="1"/>
  <c r="AV41" i="55"/>
  <c r="AX11" i="50"/>
  <c r="AW31" i="51"/>
  <c r="AX31" i="50"/>
  <c r="AT21" i="51"/>
  <c r="AU41" i="56"/>
  <c r="AV21" i="51"/>
  <c r="AX21" i="48"/>
  <c r="AW21" i="49"/>
  <c r="AT61" i="50"/>
  <c r="AX61" i="50"/>
  <c r="AW41" i="48"/>
  <c r="AT41" i="54"/>
  <c r="AW11" i="52"/>
  <c r="AV51" i="49"/>
  <c r="AW51" i="54"/>
  <c r="AU41" i="55"/>
  <c r="AW61" i="54"/>
  <c r="AW60" i="54" s="1"/>
  <c r="AW61" i="49"/>
  <c r="AW58" i="49" s="1"/>
  <c r="AX51" i="51"/>
  <c r="AX47" i="51" s="1"/>
  <c r="AW21" i="54"/>
  <c r="AW20" i="54" s="1"/>
  <c r="AX41" i="15"/>
  <c r="AU61" i="55"/>
  <c r="AV11" i="48"/>
  <c r="AX41" i="52"/>
  <c r="AX61" i="54"/>
  <c r="AX11" i="55"/>
  <c r="AX10" i="55" s="1"/>
  <c r="AW41" i="52"/>
  <c r="AV41" i="50"/>
  <c r="AT41" i="48"/>
  <c r="AU61" i="53"/>
  <c r="AW41" i="53"/>
  <c r="AV41" i="53"/>
  <c r="AX11" i="49"/>
  <c r="AX10" i="49" s="1"/>
  <c r="AV61" i="55"/>
  <c r="AV31" i="52"/>
  <c r="AW61" i="15"/>
  <c r="AW59" i="15" s="1"/>
  <c r="AW61" i="48"/>
  <c r="AW60" i="48" s="1"/>
  <c r="AW61" i="52"/>
  <c r="AU11" i="48"/>
  <c r="AV31" i="53"/>
  <c r="AW51" i="53"/>
  <c r="AW49" i="53" s="1"/>
  <c r="AX21" i="53"/>
  <c r="AX18" i="53" s="1"/>
  <c r="AX31" i="54"/>
  <c r="AU51" i="50"/>
  <c r="AV41" i="56"/>
  <c r="AV38" i="56" s="1"/>
  <c r="AT41" i="50"/>
  <c r="AU41" i="48"/>
  <c r="AT51" i="56"/>
  <c r="AU21" i="55"/>
  <c r="AV61" i="56"/>
  <c r="AV59" i="56" s="1"/>
  <c r="AW11" i="49"/>
  <c r="AW9" i="49" s="1"/>
  <c r="AW31" i="54"/>
  <c r="AW11" i="51"/>
  <c r="AW9" i="51" s="1"/>
  <c r="AT61" i="52"/>
  <c r="AU41" i="50"/>
  <c r="AU31" i="50"/>
  <c r="AW21" i="50"/>
  <c r="AX21" i="55"/>
  <c r="AX19" i="55" s="1"/>
  <c r="AV11" i="54"/>
  <c r="AV7" i="54" s="1"/>
  <c r="AW31" i="15"/>
  <c r="AW27" i="15" s="1"/>
  <c r="AV61" i="54"/>
  <c r="AW61" i="53"/>
  <c r="AT31" i="51"/>
  <c r="AX51" i="56"/>
  <c r="AV41" i="15"/>
  <c r="AU61" i="56"/>
  <c r="AX31" i="48"/>
  <c r="AX51" i="49"/>
  <c r="AW61" i="51"/>
  <c r="AW58" i="51" s="1"/>
  <c r="AT51" i="53"/>
  <c r="AV21" i="48"/>
  <c r="AV18" i="48" s="1"/>
  <c r="AW61" i="56"/>
  <c r="AW58" i="56" s="1"/>
  <c r="AW51" i="55"/>
  <c r="AT61" i="55"/>
  <c r="AW51" i="48"/>
  <c r="AW50" i="48" s="1"/>
  <c r="AV11" i="51"/>
  <c r="AV41" i="54"/>
  <c r="AV38" i="54" s="1"/>
  <c r="AX51" i="54"/>
  <c r="AU41" i="52"/>
  <c r="AW31" i="50"/>
  <c r="AW29" i="50" s="1"/>
  <c r="AV51" i="55"/>
  <c r="AV31" i="15"/>
  <c r="AX41" i="54"/>
  <c r="AV31" i="51"/>
  <c r="AX31" i="51"/>
  <c r="AU61" i="51"/>
  <c r="AW41" i="54"/>
  <c r="AX51" i="55"/>
  <c r="AX21" i="56"/>
  <c r="AX41" i="55"/>
  <c r="AU11" i="52"/>
  <c r="AU51" i="15"/>
  <c r="AU31" i="51"/>
  <c r="AU51" i="49"/>
  <c r="AU21" i="15"/>
  <c r="AU51" i="54"/>
  <c r="AW61" i="50"/>
  <c r="AW21" i="53"/>
  <c r="AU21" i="49"/>
  <c r="AX21" i="50"/>
  <c r="AU51" i="55"/>
  <c r="AX11" i="15"/>
  <c r="AX9" i="15" s="1"/>
  <c r="AV21" i="50"/>
  <c r="AU51" i="48"/>
  <c r="AW21" i="52"/>
  <c r="AW20" i="52" s="1"/>
  <c r="AX31" i="56"/>
  <c r="AU31" i="55"/>
  <c r="AV11" i="49"/>
  <c r="AX31" i="49"/>
  <c r="AV41" i="52"/>
  <c r="AV40" i="52" s="1"/>
  <c r="AV11" i="56"/>
  <c r="AW31" i="53"/>
  <c r="AW29" i="53" s="1"/>
  <c r="AX11" i="54"/>
  <c r="AV51" i="53"/>
  <c r="AX51" i="50"/>
  <c r="AW21" i="15"/>
  <c r="AW19" i="15" s="1"/>
  <c r="AV51" i="56"/>
  <c r="AV46" i="56" s="1"/>
  <c r="AX51" i="15"/>
  <c r="AX48" i="15" s="1"/>
  <c r="AV21" i="53"/>
  <c r="AV31" i="48"/>
  <c r="AX41" i="56"/>
  <c r="AX41" i="50"/>
  <c r="AW11" i="53"/>
  <c r="AW9" i="53" s="1"/>
  <c r="AW11" i="55"/>
  <c r="AW31" i="56"/>
  <c r="AW51" i="50"/>
  <c r="AW47" i="50" s="1"/>
  <c r="AV21" i="15"/>
  <c r="AX41" i="49"/>
  <c r="AW41" i="55"/>
  <c r="AW39" i="55" s="1"/>
  <c r="AX41" i="48"/>
  <c r="AV61" i="52"/>
  <c r="AV60" i="52" s="1"/>
  <c r="AV61" i="51"/>
  <c r="AV31" i="50"/>
  <c r="AX61" i="51"/>
  <c r="AX57" i="51" s="1"/>
  <c r="AW31" i="55"/>
  <c r="AW28" i="55" s="1"/>
  <c r="AX61" i="49"/>
  <c r="AX60" i="49" s="1"/>
  <c r="AW51" i="56"/>
  <c r="AX31" i="52"/>
  <c r="AX51" i="48"/>
  <c r="AW41" i="51"/>
  <c r="AW37" i="51" s="1"/>
  <c r="AW21" i="56"/>
  <c r="AW20" i="56" s="1"/>
  <c r="AW11" i="50"/>
  <c r="AX11" i="48"/>
  <c r="AW11" i="15"/>
  <c r="AX11" i="52"/>
  <c r="AX11" i="51"/>
  <c r="AX8" i="51" s="1"/>
  <c r="AW31" i="49"/>
  <c r="AW61" i="55"/>
  <c r="AX21" i="49"/>
  <c r="AX20" i="49" s="1"/>
  <c r="AX21" i="54"/>
  <c r="AX31" i="15"/>
  <c r="AX29" i="15" s="1"/>
  <c r="AX41" i="53"/>
  <c r="AX40" i="53" s="1"/>
  <c r="AW41" i="49"/>
  <c r="AW21" i="51"/>
  <c r="AW20" i="51" s="1"/>
  <c r="AX11" i="56"/>
  <c r="AX11" i="53"/>
  <c r="AX9" i="53" s="1"/>
  <c r="AX21" i="15"/>
  <c r="AX20" i="15" s="1"/>
  <c r="AY61" i="53"/>
  <c r="AY60" i="53" s="1"/>
  <c r="AX61" i="52"/>
  <c r="AX31" i="55"/>
  <c r="AX30" i="55" s="1"/>
  <c r="AW51" i="15"/>
  <c r="AW50" i="15" s="1"/>
  <c r="AX61" i="48"/>
  <c r="AX61" i="56"/>
  <c r="AX61" i="15"/>
  <c r="AX59" i="15" s="1"/>
  <c r="AW11" i="54"/>
  <c r="AY51" i="51"/>
  <c r="AY11" i="54"/>
  <c r="AY41" i="54"/>
  <c r="AY61" i="54"/>
  <c r="AY21" i="55"/>
  <c r="Y60" i="53"/>
  <c r="Z20" i="48"/>
  <c r="AA38" i="53"/>
  <c r="Z10" i="56"/>
  <c r="AA57" i="49"/>
  <c r="Z9" i="56"/>
  <c r="Z58" i="56"/>
  <c r="Z39" i="56"/>
  <c r="Z9" i="49"/>
  <c r="Z49" i="53"/>
  <c r="Z47" i="52"/>
  <c r="AA20" i="49"/>
  <c r="Z49" i="56"/>
  <c r="Z59" i="49"/>
  <c r="Z50" i="55"/>
  <c r="Y26" i="56"/>
  <c r="Z46" i="52"/>
  <c r="Z20" i="50"/>
  <c r="AA10" i="49"/>
  <c r="Z57" i="52"/>
  <c r="Y50" i="52"/>
  <c r="Z7" i="48"/>
  <c r="Z9" i="50"/>
  <c r="Z8" i="56"/>
  <c r="AA48" i="15"/>
  <c r="Z10" i="50"/>
  <c r="Z59" i="54"/>
  <c r="Z7" i="56"/>
  <c r="Z50" i="51"/>
  <c r="Z58" i="48"/>
  <c r="Z27" i="50"/>
  <c r="Z40" i="54"/>
  <c r="Z7" i="53"/>
  <c r="Z8" i="15"/>
  <c r="Z37" i="53"/>
  <c r="AA46" i="53"/>
  <c r="Z19" i="48"/>
  <c r="AA10" i="55"/>
  <c r="Z49" i="48"/>
  <c r="AA30" i="15"/>
  <c r="Z58" i="49"/>
  <c r="Z8" i="49"/>
  <c r="Z7" i="55"/>
  <c r="AA36" i="15"/>
  <c r="Z56" i="48"/>
  <c r="AA47" i="49"/>
  <c r="AA29" i="15"/>
  <c r="Z30" i="53"/>
  <c r="Y50" i="56"/>
  <c r="Y18" i="54"/>
  <c r="Z19" i="56"/>
  <c r="AA48" i="53"/>
  <c r="Y8" i="50"/>
  <c r="AA56" i="51"/>
  <c r="AA30" i="55"/>
  <c r="Z10" i="15"/>
  <c r="Z58" i="51"/>
  <c r="Z47" i="50"/>
  <c r="Y46" i="56"/>
  <c r="Z39" i="52"/>
  <c r="AA49" i="55"/>
  <c r="Z28" i="55"/>
  <c r="AA40" i="53"/>
  <c r="Z60" i="48"/>
  <c r="AA57" i="51"/>
  <c r="Z37" i="52"/>
  <c r="AA30" i="49"/>
  <c r="Z58" i="54"/>
  <c r="Z38" i="49"/>
  <c r="AA27" i="49"/>
  <c r="Z30" i="52"/>
  <c r="Z60" i="50"/>
  <c r="Z29" i="54"/>
  <c r="Z47" i="53"/>
  <c r="AA47" i="51"/>
  <c r="AA58" i="53"/>
  <c r="Z8" i="53"/>
  <c r="Z29" i="50"/>
  <c r="Z39" i="55"/>
  <c r="Z10" i="51"/>
  <c r="AA9" i="53"/>
  <c r="Z20" i="51"/>
  <c r="Y18" i="56"/>
  <c r="Y7" i="54"/>
  <c r="Z40" i="48"/>
  <c r="Z29" i="53"/>
  <c r="Z49" i="52"/>
  <c r="Z48" i="48"/>
  <c r="Z9" i="52"/>
  <c r="Z30" i="54"/>
  <c r="Z60" i="54"/>
  <c r="Z19" i="15"/>
  <c r="Z10" i="54"/>
  <c r="Z50" i="54"/>
  <c r="Z56" i="54"/>
  <c r="AA48" i="51"/>
  <c r="Z27" i="52"/>
  <c r="AA20" i="15"/>
  <c r="Z48" i="55"/>
  <c r="Z49" i="54"/>
  <c r="Z9" i="51"/>
  <c r="AA29" i="49"/>
  <c r="AA46" i="15"/>
  <c r="Z50" i="48"/>
  <c r="AA39" i="49"/>
  <c r="Z19" i="51"/>
  <c r="Z40" i="51"/>
  <c r="Z59" i="48"/>
  <c r="Z16" i="51"/>
  <c r="Z37" i="50"/>
  <c r="AA57" i="55"/>
  <c r="AA28" i="15"/>
  <c r="Y59" i="56"/>
  <c r="AA8" i="55"/>
  <c r="Z9" i="54"/>
  <c r="Z29" i="48"/>
  <c r="Z50" i="15"/>
  <c r="Z7" i="50"/>
  <c r="Z20" i="53"/>
  <c r="Z29" i="55"/>
  <c r="Z27" i="54"/>
  <c r="AA18" i="49"/>
  <c r="Y40" i="52"/>
  <c r="Z30" i="48"/>
  <c r="Y60" i="52"/>
  <c r="Z60" i="15"/>
  <c r="AA30" i="51"/>
  <c r="Z49" i="50"/>
  <c r="Z48" i="52"/>
  <c r="Z57" i="50"/>
  <c r="AA29" i="51"/>
  <c r="Z19" i="53"/>
  <c r="Z26" i="49"/>
  <c r="Y16" i="52"/>
  <c r="AA9" i="15"/>
  <c r="Z18" i="55"/>
  <c r="Z56" i="56"/>
  <c r="AA27" i="53"/>
  <c r="Z20" i="52"/>
  <c r="AA18" i="15"/>
  <c r="Y26" i="48"/>
  <c r="AA7" i="15"/>
  <c r="Z20" i="54"/>
  <c r="AA37" i="49"/>
  <c r="Z29" i="52"/>
  <c r="AA59" i="53"/>
  <c r="Z19" i="50"/>
  <c r="Z50" i="50"/>
  <c r="Z56" i="55"/>
  <c r="Z48" i="54"/>
  <c r="AA8" i="51"/>
  <c r="AA40" i="49"/>
  <c r="AA60" i="49"/>
  <c r="Z27" i="15"/>
  <c r="Y18" i="52"/>
  <c r="Z20" i="55"/>
  <c r="Z10" i="48"/>
  <c r="Y16" i="54"/>
  <c r="Y28" i="56"/>
  <c r="Z8" i="48"/>
  <c r="Z37" i="51"/>
  <c r="AA7" i="49"/>
  <c r="Z59" i="52"/>
  <c r="Z48" i="50"/>
  <c r="AA47" i="55"/>
  <c r="Z30" i="56"/>
  <c r="Y8" i="54"/>
  <c r="Z39" i="50"/>
  <c r="Z30" i="50"/>
  <c r="Z9" i="48"/>
  <c r="AA59" i="15"/>
  <c r="AA28" i="51"/>
  <c r="AA48" i="49"/>
  <c r="Y38" i="54"/>
  <c r="Z10" i="52"/>
  <c r="Z47" i="15"/>
  <c r="Z47" i="54"/>
  <c r="Y36" i="54"/>
  <c r="Z19" i="52"/>
  <c r="AA38" i="51"/>
  <c r="AA49" i="49"/>
  <c r="Z59" i="50"/>
  <c r="Y40" i="56"/>
  <c r="AA38" i="55"/>
  <c r="AA18" i="53"/>
  <c r="AA27" i="51"/>
  <c r="Z58" i="50"/>
  <c r="AA28" i="53"/>
  <c r="AA40" i="15"/>
  <c r="Y38" i="48"/>
  <c r="Z40" i="50"/>
  <c r="Y47" i="56"/>
  <c r="Z29" i="56"/>
  <c r="AA17" i="49"/>
  <c r="Z40" i="55"/>
  <c r="Z39" i="51"/>
  <c r="Z47" i="48"/>
  <c r="Z20" i="56"/>
  <c r="Z57" i="15"/>
  <c r="AA49" i="51"/>
  <c r="Z26" i="15"/>
  <c r="Z36" i="48"/>
  <c r="Z26" i="55"/>
  <c r="Y18" i="48"/>
  <c r="Y38" i="56"/>
  <c r="AA18" i="51"/>
  <c r="AA49" i="15"/>
  <c r="AA38" i="15"/>
  <c r="Y38" i="50"/>
  <c r="Z10" i="53"/>
  <c r="Z19" i="54"/>
  <c r="Z58" i="15"/>
  <c r="AA19" i="55"/>
  <c r="O61" i="52" l="1"/>
  <c r="U16" i="55"/>
  <c r="AS16" i="55" s="1"/>
  <c r="T21" i="55"/>
  <c r="R56" i="15"/>
  <c r="AP56" i="15" s="1"/>
  <c r="Q61" i="15"/>
  <c r="P46" i="51"/>
  <c r="AN46" i="51" s="1"/>
  <c r="O51" i="51"/>
  <c r="P59" i="51"/>
  <c r="AN59" i="51" s="1"/>
  <c r="O61" i="51"/>
  <c r="P46" i="55"/>
  <c r="AN46" i="55" s="1"/>
  <c r="O51" i="55"/>
  <c r="P5" i="51"/>
  <c r="AN5" i="51" s="1"/>
  <c r="O11" i="51"/>
  <c r="O28" i="48"/>
  <c r="AM28" i="48" s="1"/>
  <c r="N31" i="48"/>
  <c r="P55" i="55"/>
  <c r="AN55" i="55" s="1"/>
  <c r="O61" i="55"/>
  <c r="P35" i="15"/>
  <c r="O41" i="15"/>
  <c r="P50" i="53"/>
  <c r="AN50" i="53" s="1"/>
  <c r="O51" i="53"/>
  <c r="O15" i="54"/>
  <c r="AM15" i="54" s="1"/>
  <c r="N21" i="54"/>
  <c r="R59" i="55"/>
  <c r="AP59" i="55" s="1"/>
  <c r="S56" i="49"/>
  <c r="AQ56" i="49" s="1"/>
  <c r="R61" i="49"/>
  <c r="Q57" i="48"/>
  <c r="AO57" i="48" s="1"/>
  <c r="P61" i="48"/>
  <c r="P6" i="56"/>
  <c r="AN6" i="56" s="1"/>
  <c r="O11" i="56"/>
  <c r="P25" i="50"/>
  <c r="O31" i="50"/>
  <c r="Q45" i="49"/>
  <c r="AO45" i="49" s="1"/>
  <c r="P51" i="49"/>
  <c r="P45" i="52"/>
  <c r="O51" i="52"/>
  <c r="P45" i="50"/>
  <c r="AN45" i="50" s="1"/>
  <c r="O51" i="50"/>
  <c r="P7" i="52"/>
  <c r="O11" i="52"/>
  <c r="U41" i="51"/>
  <c r="V36" i="51"/>
  <c r="P39" i="48"/>
  <c r="O41" i="48"/>
  <c r="P46" i="48"/>
  <c r="AN46" i="48" s="1"/>
  <c r="O51" i="48"/>
  <c r="P36" i="56"/>
  <c r="AN36" i="56" s="1"/>
  <c r="O41" i="56"/>
  <c r="P36" i="52"/>
  <c r="AN36" i="52" s="1"/>
  <c r="O41" i="52"/>
  <c r="P28" i="52"/>
  <c r="O31" i="52"/>
  <c r="P60" i="56"/>
  <c r="AN60" i="56" s="1"/>
  <c r="O61" i="56"/>
  <c r="R36" i="55"/>
  <c r="Q41" i="55"/>
  <c r="P17" i="48"/>
  <c r="AN17" i="48" s="1"/>
  <c r="O21" i="48"/>
  <c r="Q6" i="49"/>
  <c r="AO6" i="49" s="1"/>
  <c r="P11" i="49"/>
  <c r="Q36" i="49"/>
  <c r="AO36" i="49" s="1"/>
  <c r="P41" i="49"/>
  <c r="P45" i="56"/>
  <c r="O51" i="56"/>
  <c r="P45" i="54"/>
  <c r="AN45" i="54" s="1"/>
  <c r="O51" i="54"/>
  <c r="Q16" i="53"/>
  <c r="P21" i="53"/>
  <c r="P56" i="50"/>
  <c r="AN56" i="50" s="1"/>
  <c r="O61" i="50"/>
  <c r="P27" i="56"/>
  <c r="AN27" i="56" s="1"/>
  <c r="O31" i="56"/>
  <c r="Q5" i="48"/>
  <c r="AO5" i="48" s="1"/>
  <c r="P11" i="48"/>
  <c r="Q55" i="53"/>
  <c r="AO55" i="53" s="1"/>
  <c r="P61" i="53"/>
  <c r="Q5" i="15"/>
  <c r="AO5" i="15" s="1"/>
  <c r="P11" i="15"/>
  <c r="Q5" i="53"/>
  <c r="AO5" i="53" s="1"/>
  <c r="P11" i="53"/>
  <c r="P5" i="54"/>
  <c r="AN5" i="54" s="1"/>
  <c r="O11" i="54"/>
  <c r="Q25" i="49"/>
  <c r="AO25" i="49" s="1"/>
  <c r="P31" i="49"/>
  <c r="U7" i="51"/>
  <c r="R6" i="55"/>
  <c r="AP6" i="55" s="1"/>
  <c r="Q11" i="55"/>
  <c r="Q16" i="49"/>
  <c r="AO16" i="49" s="1"/>
  <c r="P21" i="49"/>
  <c r="P36" i="50"/>
  <c r="AN36" i="50" s="1"/>
  <c r="O41" i="50"/>
  <c r="P15" i="52"/>
  <c r="AN15" i="52" s="1"/>
  <c r="O21" i="52"/>
  <c r="Q55" i="54"/>
  <c r="AO55" i="54" s="1"/>
  <c r="P61" i="54"/>
  <c r="P16" i="50"/>
  <c r="AN16" i="50" s="1"/>
  <c r="O21" i="50"/>
  <c r="Q36" i="53"/>
  <c r="AO36" i="53" s="1"/>
  <c r="P41" i="53"/>
  <c r="P37" i="54"/>
  <c r="AN37" i="54" s="1"/>
  <c r="O41" i="54"/>
  <c r="P17" i="56"/>
  <c r="AN17" i="56" s="1"/>
  <c r="O21" i="56"/>
  <c r="Q27" i="55"/>
  <c r="AO27" i="55" s="1"/>
  <c r="P31" i="55"/>
  <c r="Q58" i="52"/>
  <c r="AO58" i="52" s="1"/>
  <c r="P61" i="52"/>
  <c r="U45" i="53"/>
  <c r="AS45" i="53" s="1"/>
  <c r="P6" i="50"/>
  <c r="AN6" i="50" s="1"/>
  <c r="O11" i="50"/>
  <c r="Q28" i="54"/>
  <c r="AO28" i="54" s="1"/>
  <c r="P31" i="54"/>
  <c r="T35" i="49"/>
  <c r="AR35" i="49" s="1"/>
  <c r="S55" i="48"/>
  <c r="AQ55" i="48" s="1"/>
  <c r="S51" i="15"/>
  <c r="T45" i="15"/>
  <c r="AR45" i="15" s="1"/>
  <c r="S16" i="56"/>
  <c r="AQ16" i="56" s="1"/>
  <c r="T58" i="55"/>
  <c r="AR58" i="55" s="1"/>
  <c r="T57" i="56"/>
  <c r="S46" i="54"/>
  <c r="AQ46" i="54" s="1"/>
  <c r="T60" i="51"/>
  <c r="AR60" i="51" s="1"/>
  <c r="S16" i="48"/>
  <c r="AQ16" i="48" s="1"/>
  <c r="T16" i="15"/>
  <c r="AR16" i="15" s="1"/>
  <c r="S21" i="15"/>
  <c r="T56" i="53"/>
  <c r="AR56" i="53" s="1"/>
  <c r="S26" i="50"/>
  <c r="AQ26" i="50" s="1"/>
  <c r="S17" i="50"/>
  <c r="AQ17" i="50" s="1"/>
  <c r="U15" i="51"/>
  <c r="T21" i="51"/>
  <c r="U35" i="55"/>
  <c r="T46" i="50"/>
  <c r="AR46" i="50" s="1"/>
  <c r="T48" i="56"/>
  <c r="W9" i="55"/>
  <c r="AU9" i="55" s="1"/>
  <c r="V18" i="50"/>
  <c r="W39" i="53"/>
  <c r="V39" i="54"/>
  <c r="AT39" i="54" s="1"/>
  <c r="W25" i="55"/>
  <c r="AU25" i="55" s="1"/>
  <c r="W37" i="15"/>
  <c r="V35" i="50"/>
  <c r="AT35" i="50" s="1"/>
  <c r="W45" i="55"/>
  <c r="AU45" i="55" s="1"/>
  <c r="W55" i="15"/>
  <c r="AU55" i="15" s="1"/>
  <c r="W60" i="55"/>
  <c r="AU60" i="55" s="1"/>
  <c r="W6" i="53"/>
  <c r="V27" i="48"/>
  <c r="V37" i="56"/>
  <c r="AT37" i="56" s="1"/>
  <c r="W17" i="51"/>
  <c r="AU17" i="51" s="1"/>
  <c r="W6" i="51"/>
  <c r="AU6" i="51" s="1"/>
  <c r="W17" i="55"/>
  <c r="AU17" i="55" s="1"/>
  <c r="V26" i="54"/>
  <c r="W57" i="53"/>
  <c r="AU57" i="53" s="1"/>
  <c r="V17" i="52"/>
  <c r="V26" i="52"/>
  <c r="W26" i="51"/>
  <c r="AU26" i="51" s="1"/>
  <c r="V31" i="51"/>
  <c r="W45" i="51"/>
  <c r="W17" i="15"/>
  <c r="AU17" i="15" s="1"/>
  <c r="W17" i="53"/>
  <c r="V37" i="48"/>
  <c r="AT37" i="48" s="1"/>
  <c r="V6" i="52"/>
  <c r="AT6" i="52" s="1"/>
  <c r="W6" i="15"/>
  <c r="AU6" i="15" s="1"/>
  <c r="V57" i="54"/>
  <c r="AT57" i="54" s="1"/>
  <c r="W46" i="49"/>
  <c r="AU46" i="49" s="1"/>
  <c r="W26" i="53"/>
  <c r="AU26" i="53" s="1"/>
  <c r="V31" i="53"/>
  <c r="W37" i="55"/>
  <c r="AU37" i="55" s="1"/>
  <c r="V38" i="52"/>
  <c r="AT38" i="52" s="1"/>
  <c r="V25" i="56"/>
  <c r="W28" i="49"/>
  <c r="V6" i="54"/>
  <c r="V6" i="48"/>
  <c r="W19" i="49"/>
  <c r="AU19" i="49" s="1"/>
  <c r="V28" i="50"/>
  <c r="AT28" i="50" s="1"/>
  <c r="V17" i="54"/>
  <c r="AT17" i="54" s="1"/>
  <c r="V56" i="52"/>
  <c r="AT56" i="52" s="1"/>
  <c r="AR25" i="56"/>
  <c r="AT8" i="52"/>
  <c r="AR30" i="56"/>
  <c r="AR29" i="56"/>
  <c r="AR26" i="56"/>
  <c r="AR28" i="56"/>
  <c r="AS6" i="52"/>
  <c r="AS9" i="52"/>
  <c r="AS10" i="52"/>
  <c r="AS8" i="52"/>
  <c r="AS5" i="52"/>
  <c r="AS37" i="52"/>
  <c r="AS40" i="52"/>
  <c r="AS39" i="52"/>
  <c r="AS35" i="52"/>
  <c r="AS38" i="52"/>
  <c r="AQ46" i="56"/>
  <c r="AQ47" i="56"/>
  <c r="AQ50" i="56"/>
  <c r="AQ49" i="56"/>
  <c r="AQ48" i="56"/>
  <c r="AQ20" i="56"/>
  <c r="AQ19" i="56"/>
  <c r="AQ18" i="56"/>
  <c r="AQ15" i="56"/>
  <c r="AQ16" i="54"/>
  <c r="AQ19" i="54"/>
  <c r="AQ20" i="54"/>
  <c r="AQ17" i="54"/>
  <c r="AQ18" i="54"/>
  <c r="AQ35" i="53"/>
  <c r="AQ37" i="53"/>
  <c r="AQ40" i="53"/>
  <c r="AQ38" i="53"/>
  <c r="AQ39" i="53"/>
  <c r="AQ10" i="52"/>
  <c r="AQ9" i="52"/>
  <c r="AQ6" i="52"/>
  <c r="AQ8" i="52"/>
  <c r="AQ5" i="52"/>
  <c r="AQ47" i="15"/>
  <c r="AQ46" i="15"/>
  <c r="AQ48" i="15"/>
  <c r="AQ49" i="15"/>
  <c r="AQ45" i="15"/>
  <c r="AQ50" i="15"/>
  <c r="AP57" i="56"/>
  <c r="AP58" i="56"/>
  <c r="AP59" i="56"/>
  <c r="AP56" i="56"/>
  <c r="AP55" i="56"/>
  <c r="AP39" i="53"/>
  <c r="AP38" i="53"/>
  <c r="AP40" i="53"/>
  <c r="AP37" i="53"/>
  <c r="AP35" i="53"/>
  <c r="AP56" i="52"/>
  <c r="AP60" i="52"/>
  <c r="AP57" i="52"/>
  <c r="AP59" i="52"/>
  <c r="AP55" i="52"/>
  <c r="AP29" i="54"/>
  <c r="AP27" i="54"/>
  <c r="AP26" i="54"/>
  <c r="AP30" i="54"/>
  <c r="AP25" i="54"/>
  <c r="AO36" i="55"/>
  <c r="AO38" i="55"/>
  <c r="AO40" i="55"/>
  <c r="AO39" i="55"/>
  <c r="AO35" i="55"/>
  <c r="AO37" i="55"/>
  <c r="AO48" i="51"/>
  <c r="AO49" i="51"/>
  <c r="AO50" i="51"/>
  <c r="AO47" i="51"/>
  <c r="AO45" i="51"/>
  <c r="AO26" i="53"/>
  <c r="AO28" i="53"/>
  <c r="AO30" i="53"/>
  <c r="AO27" i="53"/>
  <c r="AO25" i="53"/>
  <c r="AO29" i="53"/>
  <c r="AO37" i="53"/>
  <c r="AO39" i="53"/>
  <c r="AO38" i="53"/>
  <c r="AO35" i="53"/>
  <c r="AO40" i="53"/>
  <c r="AO37" i="51"/>
  <c r="AO39" i="51"/>
  <c r="AO38" i="51"/>
  <c r="AO36" i="51"/>
  <c r="AO40" i="51"/>
  <c r="AO35" i="51"/>
  <c r="AO26" i="51"/>
  <c r="AO27" i="51"/>
  <c r="AO30" i="51"/>
  <c r="AO28" i="51"/>
  <c r="AO29" i="51"/>
  <c r="AO25" i="51"/>
  <c r="AO49" i="55"/>
  <c r="AO50" i="55"/>
  <c r="AO45" i="55"/>
  <c r="AO48" i="55"/>
  <c r="AO47" i="55"/>
  <c r="AN49" i="49"/>
  <c r="AN45" i="49"/>
  <c r="AN48" i="49"/>
  <c r="AN47" i="49"/>
  <c r="AN46" i="49"/>
  <c r="AN50" i="49"/>
  <c r="AO18" i="53"/>
  <c r="AO17" i="53"/>
  <c r="AO20" i="53"/>
  <c r="AO15" i="53"/>
  <c r="AO19" i="53"/>
  <c r="AO36" i="54"/>
  <c r="AO39" i="54"/>
  <c r="AO40" i="54"/>
  <c r="AO35" i="54"/>
  <c r="AO38" i="54"/>
  <c r="AM56" i="51"/>
  <c r="AM59" i="51"/>
  <c r="AM57" i="51"/>
  <c r="AM55" i="51"/>
  <c r="AM58" i="51"/>
  <c r="AM60" i="51"/>
  <c r="AO49" i="49"/>
  <c r="AO48" i="49"/>
  <c r="AO50" i="49"/>
  <c r="AO47" i="49"/>
  <c r="AO46" i="49"/>
  <c r="AN7" i="48"/>
  <c r="AN10" i="48"/>
  <c r="AN9" i="48"/>
  <c r="AN6" i="48"/>
  <c r="AN8" i="48"/>
  <c r="AN5" i="48"/>
  <c r="AN36" i="55"/>
  <c r="AN39" i="55"/>
  <c r="AN35" i="55"/>
  <c r="AN38" i="55"/>
  <c r="AN40" i="55"/>
  <c r="AN37" i="55"/>
  <c r="AN10" i="15"/>
  <c r="AN7" i="15"/>
  <c r="AN6" i="15"/>
  <c r="AN8" i="15"/>
  <c r="AN9" i="15"/>
  <c r="AN5" i="15"/>
  <c r="AN19" i="51"/>
  <c r="AN16" i="51"/>
  <c r="AN20" i="51"/>
  <c r="AN18" i="51"/>
  <c r="AN15" i="51"/>
  <c r="AN17" i="51"/>
  <c r="AN57" i="54"/>
  <c r="AN58" i="54"/>
  <c r="AN59" i="54"/>
  <c r="AN60" i="54"/>
  <c r="AN56" i="54"/>
  <c r="AN55" i="54"/>
  <c r="AO60" i="53"/>
  <c r="AO59" i="53"/>
  <c r="AO58" i="53"/>
  <c r="AO57" i="53"/>
  <c r="AO56" i="53"/>
  <c r="AO26" i="56"/>
  <c r="AO29" i="56"/>
  <c r="AO30" i="56"/>
  <c r="AO28" i="56"/>
  <c r="AO25" i="56"/>
  <c r="AN49" i="54"/>
  <c r="AN47" i="54"/>
  <c r="AN46" i="54"/>
  <c r="AN48" i="54"/>
  <c r="AN50" i="54"/>
  <c r="AN49" i="55"/>
  <c r="AN45" i="55"/>
  <c r="AN50" i="55"/>
  <c r="AN47" i="55"/>
  <c r="AN48" i="55"/>
  <c r="AN40" i="49"/>
  <c r="AN39" i="49"/>
  <c r="AN38" i="49"/>
  <c r="AN37" i="49"/>
  <c r="AN35" i="49"/>
  <c r="AN36" i="49"/>
  <c r="AL56" i="52"/>
  <c r="AL58" i="52"/>
  <c r="AL60" i="52"/>
  <c r="AL57" i="52"/>
  <c r="AL59" i="52"/>
  <c r="AL55" i="52"/>
  <c r="AM29" i="50"/>
  <c r="AM28" i="50"/>
  <c r="AM27" i="50"/>
  <c r="AM30" i="50"/>
  <c r="AM26" i="50"/>
  <c r="AM25" i="50"/>
  <c r="AL8" i="56"/>
  <c r="AL10" i="56"/>
  <c r="AL5" i="56"/>
  <c r="AL9" i="56"/>
  <c r="AL6" i="56"/>
  <c r="AL7" i="56"/>
  <c r="AL35" i="49"/>
  <c r="AL36" i="49"/>
  <c r="AL38" i="49"/>
  <c r="AL37" i="49"/>
  <c r="AL39" i="49"/>
  <c r="AL40" i="49"/>
  <c r="AN36" i="54"/>
  <c r="AN40" i="54"/>
  <c r="AN39" i="54"/>
  <c r="AN35" i="54"/>
  <c r="AN38" i="54"/>
  <c r="AM29" i="53"/>
  <c r="AM25" i="53"/>
  <c r="AM26" i="53"/>
  <c r="AM28" i="53"/>
  <c r="AM30" i="53"/>
  <c r="AM27" i="53"/>
  <c r="AM58" i="48"/>
  <c r="AM59" i="48"/>
  <c r="AM57" i="48"/>
  <c r="AM56" i="48"/>
  <c r="AM60" i="48"/>
  <c r="AM55" i="48"/>
  <c r="AN27" i="15"/>
  <c r="AN26" i="15"/>
  <c r="AN29" i="15"/>
  <c r="AN28" i="15"/>
  <c r="AN30" i="15"/>
  <c r="AN25" i="15"/>
  <c r="AM30" i="55"/>
  <c r="AM27" i="55"/>
  <c r="AM28" i="55"/>
  <c r="AM29" i="55"/>
  <c r="AM25" i="55"/>
  <c r="AM26" i="55"/>
  <c r="AM9" i="48"/>
  <c r="AM6" i="48"/>
  <c r="AM10" i="48"/>
  <c r="AM7" i="48"/>
  <c r="AM5" i="48"/>
  <c r="AM8" i="48"/>
  <c r="AM37" i="52"/>
  <c r="AM40" i="52"/>
  <c r="AM36" i="52"/>
  <c r="AM39" i="52"/>
  <c r="AM35" i="52"/>
  <c r="AM38" i="52"/>
  <c r="AM57" i="54"/>
  <c r="AM58" i="54"/>
  <c r="AM59" i="54"/>
  <c r="AM60" i="54"/>
  <c r="AM56" i="54"/>
  <c r="AM55" i="54"/>
  <c r="AM27" i="56"/>
  <c r="AM26" i="56"/>
  <c r="AM30" i="56"/>
  <c r="AM29" i="56"/>
  <c r="AM25" i="56"/>
  <c r="AM28" i="56"/>
  <c r="AM48" i="51"/>
  <c r="AM49" i="51"/>
  <c r="AM47" i="51"/>
  <c r="AM50" i="51"/>
  <c r="AM46" i="51"/>
  <c r="AM45" i="51"/>
  <c r="AM29" i="49"/>
  <c r="AM27" i="49"/>
  <c r="AM30" i="49"/>
  <c r="AM28" i="49"/>
  <c r="AM26" i="49"/>
  <c r="AM25" i="49"/>
  <c r="AM10" i="49"/>
  <c r="AM6" i="49"/>
  <c r="AM7" i="49"/>
  <c r="AM9" i="49"/>
  <c r="AM8" i="49"/>
  <c r="AM5" i="49"/>
  <c r="AL16" i="52"/>
  <c r="AL19" i="52"/>
  <c r="AL17" i="52"/>
  <c r="AL20" i="52"/>
  <c r="AL15" i="52"/>
  <c r="AL18" i="52"/>
  <c r="AL49" i="49"/>
  <c r="AL46" i="49"/>
  <c r="AL45" i="49"/>
  <c r="AL47" i="49"/>
  <c r="AL48" i="49"/>
  <c r="AL50" i="49"/>
  <c r="AL57" i="54"/>
  <c r="AL59" i="54"/>
  <c r="AL56" i="54"/>
  <c r="AL60" i="54"/>
  <c r="AL58" i="54"/>
  <c r="AL55" i="54"/>
  <c r="AM16" i="52"/>
  <c r="AM19" i="52"/>
  <c r="AM20" i="52"/>
  <c r="AM17" i="52"/>
  <c r="AM15" i="52"/>
  <c r="AM18" i="52"/>
  <c r="AM20" i="55"/>
  <c r="AM15" i="55"/>
  <c r="AM18" i="55"/>
  <c r="AM17" i="55"/>
  <c r="AM19" i="55"/>
  <c r="AM16" i="55"/>
  <c r="AL19" i="15"/>
  <c r="AL18" i="15"/>
  <c r="AL17" i="15"/>
  <c r="AL15" i="15"/>
  <c r="AL20" i="15"/>
  <c r="AL16" i="15"/>
  <c r="AM20" i="53"/>
  <c r="AM19" i="53"/>
  <c r="AM18" i="53"/>
  <c r="AM16" i="53"/>
  <c r="AM17" i="53"/>
  <c r="AM15" i="53"/>
  <c r="AL47" i="15"/>
  <c r="AL46" i="15"/>
  <c r="AL50" i="15"/>
  <c r="AL49" i="15"/>
  <c r="AL48" i="15"/>
  <c r="AL45" i="15"/>
  <c r="AL17" i="54"/>
  <c r="AL20" i="54"/>
  <c r="AL16" i="54"/>
  <c r="AL19" i="54"/>
  <c r="AL18" i="54"/>
  <c r="AL15" i="54"/>
  <c r="AL27" i="15"/>
  <c r="AL26" i="15"/>
  <c r="AL30" i="15"/>
  <c r="AL25" i="15"/>
  <c r="AL28" i="15"/>
  <c r="AL29" i="15"/>
  <c r="AL38" i="15"/>
  <c r="AL39" i="15"/>
  <c r="AL35" i="15"/>
  <c r="AL37" i="15"/>
  <c r="AL40" i="15"/>
  <c r="AL36" i="15"/>
  <c r="AL47" i="48"/>
  <c r="AL46" i="48"/>
  <c r="AL49" i="48"/>
  <c r="AL48" i="48"/>
  <c r="AL50" i="48"/>
  <c r="AL45" i="48"/>
  <c r="AL48" i="51"/>
  <c r="AL49" i="51"/>
  <c r="AL47" i="51"/>
  <c r="AL50" i="51"/>
  <c r="AL46" i="51"/>
  <c r="AL45" i="51"/>
  <c r="AL25" i="51"/>
  <c r="AL26" i="51"/>
  <c r="AL28" i="51"/>
  <c r="AL30" i="51"/>
  <c r="AL27" i="51"/>
  <c r="AL29" i="51"/>
  <c r="AL20" i="51"/>
  <c r="AL16" i="51"/>
  <c r="AL17" i="51"/>
  <c r="AL19" i="51"/>
  <c r="AL18" i="51"/>
  <c r="AL15" i="51"/>
  <c r="AI7" i="56"/>
  <c r="AI8" i="56"/>
  <c r="AI9" i="56"/>
  <c r="AI6" i="56"/>
  <c r="AI10" i="56"/>
  <c r="AI5" i="56"/>
  <c r="AK49" i="49"/>
  <c r="AK45" i="49"/>
  <c r="AK46" i="49"/>
  <c r="AK50" i="49"/>
  <c r="AK47" i="49"/>
  <c r="AK48" i="49"/>
  <c r="AK16" i="55"/>
  <c r="AK15" i="55"/>
  <c r="AK17" i="55"/>
  <c r="AK18" i="55"/>
  <c r="AK20" i="55"/>
  <c r="AK19" i="55"/>
  <c r="AK36" i="55"/>
  <c r="AK37" i="55"/>
  <c r="AK35" i="55"/>
  <c r="AK40" i="55"/>
  <c r="AK39" i="55"/>
  <c r="AK38" i="55"/>
  <c r="AJ56" i="49"/>
  <c r="AJ57" i="49"/>
  <c r="AJ58" i="49"/>
  <c r="AJ55" i="49"/>
  <c r="AJ59" i="49"/>
  <c r="AJ60" i="49"/>
  <c r="AL9" i="55"/>
  <c r="AL6" i="55"/>
  <c r="AL10" i="55"/>
  <c r="AL7" i="55"/>
  <c r="AL8" i="55"/>
  <c r="AL5" i="55"/>
  <c r="AK40" i="54"/>
  <c r="AK36" i="54"/>
  <c r="AK39" i="54"/>
  <c r="AK37" i="54"/>
  <c r="AK35" i="54"/>
  <c r="AK38" i="54"/>
  <c r="AK20" i="50"/>
  <c r="AK19" i="50"/>
  <c r="AK17" i="50"/>
  <c r="AK16" i="50"/>
  <c r="AK18" i="50"/>
  <c r="AK15" i="50"/>
  <c r="AL47" i="52"/>
  <c r="AL48" i="52"/>
  <c r="AL46" i="52"/>
  <c r="AL50" i="52"/>
  <c r="AL49" i="52"/>
  <c r="AL45" i="52"/>
  <c r="AK57" i="54"/>
  <c r="AK56" i="54"/>
  <c r="AK59" i="54"/>
  <c r="AK58" i="54"/>
  <c r="AK60" i="54"/>
  <c r="AK55" i="54"/>
  <c r="AJ10" i="51"/>
  <c r="AJ6" i="51"/>
  <c r="AJ7" i="51"/>
  <c r="AJ5" i="51"/>
  <c r="AJ8" i="51"/>
  <c r="AJ9" i="51"/>
  <c r="AK37" i="51"/>
  <c r="AK38" i="51"/>
  <c r="AK35" i="51"/>
  <c r="AK36" i="51"/>
  <c r="AK40" i="51"/>
  <c r="AK39" i="51"/>
  <c r="AK47" i="48"/>
  <c r="AK49" i="48"/>
  <c r="AK48" i="48"/>
  <c r="AK46" i="48"/>
  <c r="AK50" i="48"/>
  <c r="AK45" i="48"/>
  <c r="AI8" i="53"/>
  <c r="AI10" i="53"/>
  <c r="AI9" i="53"/>
  <c r="AI5" i="53"/>
  <c r="AI6" i="53"/>
  <c r="AI7" i="53"/>
  <c r="AK5" i="53"/>
  <c r="AK10" i="53"/>
  <c r="AK6" i="53"/>
  <c r="AK8" i="53"/>
  <c r="AK9" i="53"/>
  <c r="AK7" i="53"/>
  <c r="AK49" i="51"/>
  <c r="AK50" i="51"/>
  <c r="AK47" i="51"/>
  <c r="AK45" i="51"/>
  <c r="AK48" i="51"/>
  <c r="AK46" i="51"/>
  <c r="AK48" i="53"/>
  <c r="AK49" i="53"/>
  <c r="AK47" i="53"/>
  <c r="AK45" i="53"/>
  <c r="AK46" i="53"/>
  <c r="AK50" i="53"/>
  <c r="AK30" i="53"/>
  <c r="AK29" i="53"/>
  <c r="AK26" i="53"/>
  <c r="AK27" i="53"/>
  <c r="AK28" i="53"/>
  <c r="AK25" i="53"/>
  <c r="AK8" i="56"/>
  <c r="AK9" i="56"/>
  <c r="AK7" i="56"/>
  <c r="AK5" i="56"/>
  <c r="AK10" i="56"/>
  <c r="AK6" i="56"/>
  <c r="AJ56" i="51"/>
  <c r="AJ57" i="51"/>
  <c r="AJ59" i="51"/>
  <c r="AJ58" i="51"/>
  <c r="AJ55" i="51"/>
  <c r="AJ60" i="51"/>
  <c r="AJ40" i="50"/>
  <c r="AJ37" i="50"/>
  <c r="AJ39" i="50"/>
  <c r="AJ36" i="50"/>
  <c r="AJ38" i="50"/>
  <c r="AJ35" i="50"/>
  <c r="AK7" i="54"/>
  <c r="AK9" i="54"/>
  <c r="AK10" i="54"/>
  <c r="AK6" i="54"/>
  <c r="AK5" i="54"/>
  <c r="AK8" i="54"/>
  <c r="AI18" i="51"/>
  <c r="AI20" i="51"/>
  <c r="AI17" i="51"/>
  <c r="AI15" i="51"/>
  <c r="AI19" i="51"/>
  <c r="AI16" i="51"/>
  <c r="AJ40" i="48"/>
  <c r="AJ39" i="48"/>
  <c r="AJ37" i="48"/>
  <c r="AJ36" i="48"/>
  <c r="AJ38" i="48"/>
  <c r="AJ35" i="48"/>
  <c r="AJ29" i="49"/>
  <c r="AJ30" i="49"/>
  <c r="AJ28" i="49"/>
  <c r="AJ26" i="49"/>
  <c r="AJ25" i="49"/>
  <c r="AJ27" i="49"/>
  <c r="AI45" i="51"/>
  <c r="AI47" i="51"/>
  <c r="AI46" i="51"/>
  <c r="AI49" i="51"/>
  <c r="AI48" i="51"/>
  <c r="AI50" i="51"/>
  <c r="AI47" i="49"/>
  <c r="AI46" i="49"/>
  <c r="AI45" i="49"/>
  <c r="AI50" i="49"/>
  <c r="AI49" i="49"/>
  <c r="AI48" i="49"/>
  <c r="AJ40" i="55"/>
  <c r="AJ36" i="55"/>
  <c r="AJ35" i="55"/>
  <c r="AJ39" i="55"/>
  <c r="AJ37" i="55"/>
  <c r="AJ38" i="55"/>
  <c r="AJ7" i="52"/>
  <c r="AJ9" i="52"/>
  <c r="AJ6" i="52"/>
  <c r="AJ10" i="52"/>
  <c r="AJ5" i="52"/>
  <c r="AJ8" i="52"/>
  <c r="AK26" i="54"/>
  <c r="AK30" i="54"/>
  <c r="AK27" i="54"/>
  <c r="AK29" i="54"/>
  <c r="AK25" i="54"/>
  <c r="AK28" i="54"/>
  <c r="AJ10" i="53"/>
  <c r="AJ8" i="53"/>
  <c r="AJ7" i="53"/>
  <c r="AJ5" i="53"/>
  <c r="AJ9" i="53"/>
  <c r="AJ6" i="53"/>
  <c r="AI48" i="52"/>
  <c r="AI46" i="52"/>
  <c r="AI47" i="52"/>
  <c r="AI50" i="52"/>
  <c r="AI49" i="52"/>
  <c r="AI45" i="52"/>
  <c r="AJ55" i="15"/>
  <c r="AJ59" i="15"/>
  <c r="AJ57" i="15"/>
  <c r="AJ56" i="15"/>
  <c r="AJ60" i="15"/>
  <c r="AJ58" i="15"/>
  <c r="AI56" i="48"/>
  <c r="AI58" i="48"/>
  <c r="AI60" i="48"/>
  <c r="AI57" i="48"/>
  <c r="AI59" i="48"/>
  <c r="AI55" i="48"/>
  <c r="AJ10" i="50"/>
  <c r="AJ7" i="50"/>
  <c r="AJ9" i="50"/>
  <c r="AJ6" i="50"/>
  <c r="AJ8" i="50"/>
  <c r="AJ5" i="50"/>
  <c r="AJ56" i="52"/>
  <c r="AJ57" i="52"/>
  <c r="AJ59" i="52"/>
  <c r="AJ58" i="52"/>
  <c r="AJ60" i="52"/>
  <c r="AJ55" i="52"/>
  <c r="AJ38" i="51"/>
  <c r="AJ37" i="51"/>
  <c r="AJ40" i="51"/>
  <c r="AJ39" i="51"/>
  <c r="AJ36" i="51"/>
  <c r="AJ35" i="51"/>
  <c r="AI56" i="51"/>
  <c r="AI59" i="51"/>
  <c r="AI57" i="51"/>
  <c r="AI55" i="51"/>
  <c r="AI60" i="51"/>
  <c r="AI58" i="51"/>
  <c r="AI16" i="52"/>
  <c r="AI20" i="52"/>
  <c r="AI17" i="52"/>
  <c r="AI19" i="52"/>
  <c r="AI18" i="52"/>
  <c r="AI15" i="52"/>
  <c r="AJ8" i="49"/>
  <c r="AJ9" i="49"/>
  <c r="AJ5" i="49"/>
  <c r="AJ7" i="49"/>
  <c r="AJ10" i="49"/>
  <c r="AJ6" i="49"/>
  <c r="AI29" i="49"/>
  <c r="AI28" i="49"/>
  <c r="AI30" i="49"/>
  <c r="AI25" i="49"/>
  <c r="AI26" i="49"/>
  <c r="AI27" i="49"/>
  <c r="AJ47" i="55"/>
  <c r="AJ49" i="55"/>
  <c r="AJ50" i="55"/>
  <c r="AJ46" i="55"/>
  <c r="AJ45" i="55"/>
  <c r="AJ48" i="55"/>
  <c r="AJ47" i="15"/>
  <c r="AJ50" i="15"/>
  <c r="AJ45" i="15"/>
  <c r="AJ48" i="15"/>
  <c r="AJ49" i="15"/>
  <c r="AJ46" i="15"/>
  <c r="AI49" i="50"/>
  <c r="AI45" i="50"/>
  <c r="AI47" i="50"/>
  <c r="AI50" i="50"/>
  <c r="AI48" i="50"/>
  <c r="AI46" i="50"/>
  <c r="AI47" i="15"/>
  <c r="AI50" i="15"/>
  <c r="AI46" i="15"/>
  <c r="AI45" i="15"/>
  <c r="AI48" i="15"/>
  <c r="AI49" i="15"/>
  <c r="AR19" i="15"/>
  <c r="AR20" i="15"/>
  <c r="AR18" i="15"/>
  <c r="AR17" i="15"/>
  <c r="AR15" i="15"/>
  <c r="AR56" i="55"/>
  <c r="AR57" i="55"/>
  <c r="AR60" i="55"/>
  <c r="AR38" i="55"/>
  <c r="AR35" i="55"/>
  <c r="AR37" i="55"/>
  <c r="AR39" i="55"/>
  <c r="AR40" i="55"/>
  <c r="AT19" i="53"/>
  <c r="AT20" i="53"/>
  <c r="AT17" i="53"/>
  <c r="AT18" i="53"/>
  <c r="AT15" i="53"/>
  <c r="AR56" i="52"/>
  <c r="AR60" i="52"/>
  <c r="AR57" i="52"/>
  <c r="AR59" i="52"/>
  <c r="AR55" i="52"/>
  <c r="AR56" i="51"/>
  <c r="AR55" i="51"/>
  <c r="AR58" i="51"/>
  <c r="AR57" i="51"/>
  <c r="AR6" i="52"/>
  <c r="AR10" i="52"/>
  <c r="AR9" i="52"/>
  <c r="AR8" i="52"/>
  <c r="AR5" i="52"/>
  <c r="AS18" i="55"/>
  <c r="AS15" i="55"/>
  <c r="AS17" i="55"/>
  <c r="AS20" i="55"/>
  <c r="AS19" i="55"/>
  <c r="AR16" i="54"/>
  <c r="AR19" i="54"/>
  <c r="AR17" i="54"/>
  <c r="AR20" i="54"/>
  <c r="AR18" i="54"/>
  <c r="AT60" i="53"/>
  <c r="AT59" i="53"/>
  <c r="AT58" i="53"/>
  <c r="AT57" i="53"/>
  <c r="AT26" i="53"/>
  <c r="AT30" i="53"/>
  <c r="AT29" i="53"/>
  <c r="AT28" i="53"/>
  <c r="AT27" i="53"/>
  <c r="AT25" i="53"/>
  <c r="AT39" i="56"/>
  <c r="AT38" i="56"/>
  <c r="AT40" i="56"/>
  <c r="AS8" i="53"/>
  <c r="AS7" i="53"/>
  <c r="AS6" i="53"/>
  <c r="AS9" i="53"/>
  <c r="AS10" i="53"/>
  <c r="AR58" i="50"/>
  <c r="AR57" i="50"/>
  <c r="AR60" i="50"/>
  <c r="AR59" i="50"/>
  <c r="AR55" i="50"/>
  <c r="AS49" i="53"/>
  <c r="AS46" i="53"/>
  <c r="AS47" i="53"/>
  <c r="AS48" i="53"/>
  <c r="AS20" i="15"/>
  <c r="AS15" i="15"/>
  <c r="AS17" i="15"/>
  <c r="AS18" i="15"/>
  <c r="AS19" i="15"/>
  <c r="AS29" i="52"/>
  <c r="AS30" i="52"/>
  <c r="AS26" i="52"/>
  <c r="AS27" i="52"/>
  <c r="AS25" i="52"/>
  <c r="AT26" i="15"/>
  <c r="AT28" i="15"/>
  <c r="AT30" i="15"/>
  <c r="AT27" i="15"/>
  <c r="AT29" i="15"/>
  <c r="AT25" i="15"/>
  <c r="AS16" i="52"/>
  <c r="AS17" i="52"/>
  <c r="AS20" i="52"/>
  <c r="AS19" i="52"/>
  <c r="AS18" i="52"/>
  <c r="AS40" i="50"/>
  <c r="AS37" i="50"/>
  <c r="AS39" i="50"/>
  <c r="AS35" i="50"/>
  <c r="AS38" i="50"/>
  <c r="AQ47" i="48"/>
  <c r="AQ49" i="48"/>
  <c r="AQ48" i="48"/>
  <c r="AQ50" i="48"/>
  <c r="AQ45" i="48"/>
  <c r="AQ49" i="54"/>
  <c r="AQ47" i="54"/>
  <c r="AQ48" i="54"/>
  <c r="AQ50" i="54"/>
  <c r="AQ36" i="54"/>
  <c r="AQ39" i="54"/>
  <c r="AQ40" i="54"/>
  <c r="AQ38" i="54"/>
  <c r="AQ35" i="54"/>
  <c r="AR30" i="15"/>
  <c r="AR27" i="15"/>
  <c r="AR29" i="15"/>
  <c r="AR25" i="15"/>
  <c r="AR26" i="15"/>
  <c r="AR28" i="15"/>
  <c r="AQ16" i="52"/>
  <c r="AQ20" i="52"/>
  <c r="AQ19" i="52"/>
  <c r="AQ17" i="52"/>
  <c r="AQ18" i="52"/>
  <c r="AP60" i="53"/>
  <c r="AP59" i="53"/>
  <c r="AP57" i="53"/>
  <c r="AP56" i="53"/>
  <c r="AP58" i="53"/>
  <c r="AP7" i="54"/>
  <c r="AP9" i="54"/>
  <c r="AP6" i="54"/>
  <c r="AP10" i="54"/>
  <c r="AP8" i="54"/>
  <c r="AP28" i="55"/>
  <c r="AP26" i="55"/>
  <c r="AP30" i="55"/>
  <c r="AP29" i="55"/>
  <c r="AP25" i="55"/>
  <c r="AP29" i="49"/>
  <c r="AP27" i="49"/>
  <c r="AP26" i="49"/>
  <c r="AP30" i="49"/>
  <c r="AP28" i="49"/>
  <c r="AP16" i="15"/>
  <c r="AP15" i="15"/>
  <c r="AP18" i="15"/>
  <c r="AP20" i="15"/>
  <c r="AP19" i="15"/>
  <c r="AP17" i="15"/>
  <c r="AO9" i="15"/>
  <c r="AO8" i="15"/>
  <c r="AO10" i="15"/>
  <c r="AO7" i="15"/>
  <c r="AO6" i="15"/>
  <c r="AO49" i="53"/>
  <c r="AO48" i="53"/>
  <c r="AO46" i="53"/>
  <c r="AO47" i="53"/>
  <c r="AO45" i="53"/>
  <c r="AO26" i="49"/>
  <c r="AO29" i="49"/>
  <c r="AO28" i="49"/>
  <c r="AO30" i="49"/>
  <c r="AO27" i="49"/>
  <c r="AN40" i="56"/>
  <c r="AN38" i="56"/>
  <c r="AN37" i="56"/>
  <c r="AN39" i="56"/>
  <c r="AN35" i="56"/>
  <c r="AP7" i="49"/>
  <c r="AP8" i="49"/>
  <c r="AP10" i="49"/>
  <c r="AP5" i="49"/>
  <c r="AP9" i="49"/>
  <c r="AR17" i="55"/>
  <c r="AR19" i="55"/>
  <c r="AR16" i="55"/>
  <c r="AR20" i="55"/>
  <c r="AR15" i="55"/>
  <c r="AR18" i="55"/>
  <c r="AT49" i="55"/>
  <c r="AT50" i="55"/>
  <c r="AT48" i="55"/>
  <c r="AT47" i="55"/>
  <c r="AT45" i="55"/>
  <c r="AS58" i="54"/>
  <c r="AS57" i="54"/>
  <c r="AS59" i="54"/>
  <c r="AS60" i="54"/>
  <c r="AS56" i="54"/>
  <c r="AS49" i="54"/>
  <c r="AS48" i="54"/>
  <c r="AS47" i="54"/>
  <c r="AS50" i="54"/>
  <c r="AR58" i="54"/>
  <c r="AR57" i="54"/>
  <c r="AR60" i="54"/>
  <c r="AR59" i="54"/>
  <c r="AR56" i="54"/>
  <c r="AR19" i="53"/>
  <c r="AR18" i="53"/>
  <c r="AR20" i="53"/>
  <c r="AR17" i="53"/>
  <c r="AR15" i="53"/>
  <c r="AQ56" i="55"/>
  <c r="AQ57" i="55"/>
  <c r="AQ60" i="55"/>
  <c r="AQ58" i="55"/>
  <c r="AQ56" i="52"/>
  <c r="AQ60" i="52"/>
  <c r="AQ57" i="52"/>
  <c r="AQ59" i="52"/>
  <c r="AQ55" i="52"/>
  <c r="AQ40" i="48"/>
  <c r="AQ37" i="48"/>
  <c r="AQ36" i="48"/>
  <c r="AQ38" i="48"/>
  <c r="AQ35" i="48"/>
  <c r="AQ26" i="48"/>
  <c r="AQ27" i="48"/>
  <c r="AQ29" i="48"/>
  <c r="AQ30" i="48"/>
  <c r="AQ25" i="48"/>
  <c r="AR20" i="50"/>
  <c r="AR19" i="50"/>
  <c r="AR18" i="50"/>
  <c r="AR15" i="50"/>
  <c r="AQ26" i="54"/>
  <c r="AQ29" i="54"/>
  <c r="AQ27" i="54"/>
  <c r="AQ30" i="54"/>
  <c r="AQ25" i="54"/>
  <c r="AQ10" i="51"/>
  <c r="AQ7" i="51"/>
  <c r="AQ9" i="51"/>
  <c r="AQ6" i="51"/>
  <c r="AQ8" i="51"/>
  <c r="AQ26" i="51"/>
  <c r="AQ25" i="51"/>
  <c r="AQ27" i="51"/>
  <c r="AQ30" i="51"/>
  <c r="AQ29" i="51"/>
  <c r="AQ28" i="51"/>
  <c r="AQ7" i="50"/>
  <c r="AQ10" i="50"/>
  <c r="AQ9" i="50"/>
  <c r="AQ8" i="50"/>
  <c r="AQ5" i="50"/>
  <c r="AQ46" i="52"/>
  <c r="AQ49" i="52"/>
  <c r="AQ47" i="52"/>
  <c r="AQ48" i="52"/>
  <c r="AQ50" i="52"/>
  <c r="AQ20" i="48"/>
  <c r="AQ19" i="48"/>
  <c r="AQ18" i="48"/>
  <c r="AQ15" i="48"/>
  <c r="AR59" i="49"/>
  <c r="AR60" i="49"/>
  <c r="AR55" i="49"/>
  <c r="AR58" i="49"/>
  <c r="AR57" i="49"/>
  <c r="AQ49" i="55"/>
  <c r="AQ48" i="55"/>
  <c r="AQ45" i="55"/>
  <c r="AQ50" i="55"/>
  <c r="AQ47" i="55"/>
  <c r="AR49" i="55"/>
  <c r="AR47" i="55"/>
  <c r="AR50" i="55"/>
  <c r="AR48" i="55"/>
  <c r="AR45" i="55"/>
  <c r="AP47" i="15"/>
  <c r="AP49" i="15"/>
  <c r="AP50" i="15"/>
  <c r="AP45" i="15"/>
  <c r="AP48" i="15"/>
  <c r="AP46" i="15"/>
  <c r="AQ58" i="15"/>
  <c r="AQ55" i="15"/>
  <c r="AQ57" i="15"/>
  <c r="AQ60" i="15"/>
  <c r="AQ59" i="15"/>
  <c r="AQ49" i="50"/>
  <c r="AQ48" i="50"/>
  <c r="AQ47" i="50"/>
  <c r="AQ50" i="50"/>
  <c r="AQ46" i="50"/>
  <c r="AQ59" i="48"/>
  <c r="AQ58" i="48"/>
  <c r="AQ56" i="48"/>
  <c r="AQ60" i="48"/>
  <c r="AP17" i="49"/>
  <c r="AP18" i="49"/>
  <c r="AP20" i="49"/>
  <c r="AP19" i="49"/>
  <c r="AP15" i="49"/>
  <c r="AP58" i="50"/>
  <c r="AP57" i="50"/>
  <c r="AP60" i="50"/>
  <c r="AP59" i="50"/>
  <c r="AP55" i="50"/>
  <c r="AQ17" i="15"/>
  <c r="AQ16" i="15"/>
  <c r="AQ18" i="15"/>
  <c r="AQ19" i="15"/>
  <c r="AQ15" i="15"/>
  <c r="AQ20" i="15"/>
  <c r="AP59" i="48"/>
  <c r="AP58" i="48"/>
  <c r="AP56" i="48"/>
  <c r="AP60" i="48"/>
  <c r="AP55" i="48"/>
  <c r="AQ58" i="54"/>
  <c r="AQ57" i="54"/>
  <c r="AQ56" i="54"/>
  <c r="AQ60" i="54"/>
  <c r="AQ59" i="54"/>
  <c r="AP20" i="55"/>
  <c r="AP15" i="55"/>
  <c r="AP19" i="55"/>
  <c r="AP16" i="55"/>
  <c r="AP17" i="55"/>
  <c r="AP18" i="55"/>
  <c r="AP9" i="55"/>
  <c r="AP7" i="55"/>
  <c r="AP5" i="55"/>
  <c r="AP10" i="55"/>
  <c r="AP8" i="55"/>
  <c r="AP26" i="56"/>
  <c r="AP29" i="56"/>
  <c r="AP30" i="56"/>
  <c r="AP25" i="56"/>
  <c r="AP28" i="56"/>
  <c r="AQ26" i="56"/>
  <c r="AQ29" i="56"/>
  <c r="AQ30" i="56"/>
  <c r="AQ28" i="56"/>
  <c r="AQ25" i="56"/>
  <c r="AP40" i="48"/>
  <c r="AP37" i="48"/>
  <c r="AP36" i="48"/>
  <c r="AP38" i="48"/>
  <c r="AP35" i="48"/>
  <c r="AP40" i="55"/>
  <c r="AP38" i="55"/>
  <c r="AP39" i="55"/>
  <c r="AP37" i="55"/>
  <c r="AP35" i="55"/>
  <c r="AO9" i="53"/>
  <c r="AO8" i="53"/>
  <c r="AO7" i="53"/>
  <c r="AO6" i="53"/>
  <c r="AO10" i="53"/>
  <c r="AO10" i="52"/>
  <c r="AO6" i="52"/>
  <c r="AO9" i="52"/>
  <c r="AO8" i="52"/>
  <c r="AO5" i="52"/>
  <c r="AN40" i="50"/>
  <c r="AN39" i="50"/>
  <c r="AN37" i="50"/>
  <c r="AN38" i="50"/>
  <c r="AN35" i="50"/>
  <c r="AO46" i="56"/>
  <c r="AO50" i="56"/>
  <c r="AO47" i="56"/>
  <c r="AO49" i="56"/>
  <c r="AO48" i="56"/>
  <c r="AO58" i="50"/>
  <c r="AO57" i="50"/>
  <c r="AO59" i="50"/>
  <c r="AO60" i="50"/>
  <c r="AO55" i="50"/>
  <c r="AP29" i="50"/>
  <c r="AP26" i="50"/>
  <c r="AP30" i="50"/>
  <c r="AP28" i="50"/>
  <c r="AP27" i="50"/>
  <c r="AO16" i="54"/>
  <c r="AO19" i="54"/>
  <c r="AO17" i="54"/>
  <c r="AO20" i="54"/>
  <c r="AO18" i="54"/>
  <c r="AO40" i="50"/>
  <c r="AO37" i="50"/>
  <c r="AO39" i="50"/>
  <c r="AO35" i="50"/>
  <c r="AO38" i="50"/>
  <c r="AO9" i="48"/>
  <c r="AO6" i="48"/>
  <c r="AO7" i="48"/>
  <c r="AO10" i="48"/>
  <c r="AO8" i="48"/>
  <c r="AO50" i="50"/>
  <c r="AO48" i="50"/>
  <c r="AO47" i="50"/>
  <c r="AO49" i="50"/>
  <c r="AO46" i="50"/>
  <c r="AO56" i="52"/>
  <c r="AO60" i="52"/>
  <c r="AO57" i="52"/>
  <c r="AO59" i="52"/>
  <c r="AO55" i="52"/>
  <c r="AO37" i="49"/>
  <c r="AO39" i="49"/>
  <c r="AO40" i="49"/>
  <c r="AO38" i="49"/>
  <c r="AO35" i="49"/>
  <c r="AN49" i="53"/>
  <c r="AN47" i="53"/>
  <c r="AN46" i="53"/>
  <c r="AN48" i="53"/>
  <c r="AN45" i="53"/>
  <c r="AO16" i="52"/>
  <c r="AO20" i="52"/>
  <c r="AO17" i="52"/>
  <c r="AO19" i="52"/>
  <c r="AO18" i="52"/>
  <c r="AP40" i="56"/>
  <c r="AP39" i="56"/>
  <c r="AP38" i="56"/>
  <c r="AP37" i="56"/>
  <c r="AP35" i="56"/>
  <c r="AP56" i="51"/>
  <c r="AP55" i="51"/>
  <c r="AP57" i="51"/>
  <c r="AP58" i="51"/>
  <c r="AP60" i="51"/>
  <c r="AO37" i="52"/>
  <c r="AO40" i="52"/>
  <c r="AO39" i="52"/>
  <c r="AO38" i="52"/>
  <c r="AO35" i="52"/>
  <c r="AN6" i="55"/>
  <c r="AN9" i="55"/>
  <c r="AN7" i="55"/>
  <c r="AN10" i="55"/>
  <c r="AN8" i="55"/>
  <c r="AN5" i="55"/>
  <c r="AO37" i="15"/>
  <c r="AO38" i="15"/>
  <c r="AO39" i="15"/>
  <c r="AO40" i="15"/>
  <c r="AO36" i="15"/>
  <c r="AN59" i="15"/>
  <c r="AN58" i="15"/>
  <c r="AN56" i="15"/>
  <c r="AN55" i="15"/>
  <c r="AN57" i="15"/>
  <c r="AN60" i="15"/>
  <c r="AN48" i="51"/>
  <c r="AN49" i="51"/>
  <c r="AN45" i="51"/>
  <c r="AN47" i="51"/>
  <c r="AN50" i="51"/>
  <c r="AN49" i="48"/>
  <c r="AN47" i="48"/>
  <c r="AN48" i="48"/>
  <c r="AN50" i="48"/>
  <c r="AN45" i="48"/>
  <c r="AN36" i="48"/>
  <c r="AN37" i="48"/>
  <c r="AN40" i="48"/>
  <c r="AN38" i="48"/>
  <c r="AN35" i="48"/>
  <c r="AN9" i="53"/>
  <c r="AN7" i="53"/>
  <c r="AN10" i="53"/>
  <c r="AN8" i="53"/>
  <c r="AN5" i="53"/>
  <c r="AN6" i="53"/>
  <c r="AO17" i="55"/>
  <c r="AO19" i="55"/>
  <c r="AO15" i="55"/>
  <c r="AO20" i="55"/>
  <c r="AO16" i="55"/>
  <c r="AO18" i="55"/>
  <c r="AN56" i="52"/>
  <c r="AN59" i="52"/>
  <c r="AN57" i="52"/>
  <c r="AN58" i="52"/>
  <c r="AN60" i="52"/>
  <c r="AN55" i="52"/>
  <c r="AN37" i="52"/>
  <c r="AN40" i="52"/>
  <c r="AN39" i="52"/>
  <c r="AN35" i="52"/>
  <c r="AN38" i="52"/>
  <c r="AN57" i="50"/>
  <c r="AN58" i="50"/>
  <c r="AN60" i="50"/>
  <c r="AN59" i="50"/>
  <c r="AN55" i="50"/>
  <c r="AN57" i="56"/>
  <c r="AN58" i="56"/>
  <c r="AN59" i="56"/>
  <c r="AN56" i="56"/>
  <c r="AN55" i="56"/>
  <c r="AN16" i="52"/>
  <c r="AN19" i="52"/>
  <c r="AN20" i="52"/>
  <c r="AN17" i="52"/>
  <c r="AN18" i="52"/>
  <c r="AM20" i="50"/>
  <c r="AM17" i="50"/>
  <c r="AM19" i="50"/>
  <c r="AM16" i="50"/>
  <c r="AM18" i="50"/>
  <c r="AM15" i="50"/>
  <c r="AN15" i="49"/>
  <c r="AN17" i="49"/>
  <c r="AN19" i="49"/>
  <c r="AN20" i="49"/>
  <c r="AN16" i="49"/>
  <c r="AN18" i="49"/>
  <c r="AL7" i="54"/>
  <c r="AL10" i="54"/>
  <c r="AL9" i="54"/>
  <c r="AL6" i="54"/>
  <c r="AL8" i="54"/>
  <c r="AL5" i="54"/>
  <c r="AM57" i="56"/>
  <c r="AM58" i="56"/>
  <c r="AM59" i="56"/>
  <c r="AM56" i="56"/>
  <c r="AM60" i="56"/>
  <c r="AM55" i="56"/>
  <c r="AN29" i="54"/>
  <c r="AN30" i="54"/>
  <c r="AN27" i="54"/>
  <c r="AN26" i="54"/>
  <c r="AN25" i="54"/>
  <c r="AN28" i="54"/>
  <c r="AM55" i="55"/>
  <c r="AM56" i="55"/>
  <c r="AM60" i="55"/>
  <c r="AM57" i="55"/>
  <c r="AM58" i="55"/>
  <c r="AM59" i="55"/>
  <c r="AL7" i="15"/>
  <c r="AL6" i="15"/>
  <c r="AL9" i="15"/>
  <c r="AL5" i="15"/>
  <c r="AL10" i="15"/>
  <c r="AL8" i="15"/>
  <c r="AM9" i="55"/>
  <c r="AM7" i="55"/>
  <c r="AM5" i="55"/>
  <c r="AM8" i="55"/>
  <c r="AM10" i="55"/>
  <c r="AM6" i="55"/>
  <c r="AM6" i="51"/>
  <c r="AM10" i="51"/>
  <c r="AM8" i="51"/>
  <c r="AM9" i="51"/>
  <c r="AM7" i="51"/>
  <c r="AM5" i="51"/>
  <c r="AN26" i="55"/>
  <c r="AN29" i="55"/>
  <c r="AN27" i="55"/>
  <c r="AN25" i="55"/>
  <c r="AN28" i="55"/>
  <c r="AN30" i="55"/>
  <c r="AM36" i="55"/>
  <c r="AM39" i="55"/>
  <c r="AM35" i="55"/>
  <c r="AM38" i="55"/>
  <c r="AM37" i="55"/>
  <c r="AM40" i="55"/>
  <c r="AM36" i="54"/>
  <c r="AM37" i="54"/>
  <c r="AM39" i="54"/>
  <c r="AM40" i="54"/>
  <c r="AM35" i="54"/>
  <c r="AM38" i="54"/>
  <c r="AM17" i="48"/>
  <c r="AM20" i="48"/>
  <c r="AM16" i="48"/>
  <c r="AM19" i="48"/>
  <c r="AM18" i="48"/>
  <c r="AM15" i="48"/>
  <c r="AM17" i="56"/>
  <c r="AM19" i="56"/>
  <c r="AM16" i="56"/>
  <c r="AM20" i="56"/>
  <c r="AM18" i="56"/>
  <c r="AM15" i="56"/>
  <c r="AM36" i="15"/>
  <c r="AM35" i="15"/>
  <c r="AM38" i="15"/>
  <c r="AM40" i="15"/>
  <c r="AM39" i="15"/>
  <c r="AM37" i="15"/>
  <c r="AN47" i="15"/>
  <c r="AN45" i="15"/>
  <c r="AN49" i="15"/>
  <c r="AN48" i="15"/>
  <c r="AN50" i="15"/>
  <c r="AN46" i="15"/>
  <c r="AN29" i="50"/>
  <c r="AN28" i="50"/>
  <c r="AN30" i="50"/>
  <c r="AN27" i="50"/>
  <c r="AN26" i="50"/>
  <c r="AM6" i="15"/>
  <c r="AM10" i="15"/>
  <c r="AM7" i="15"/>
  <c r="AM8" i="15"/>
  <c r="AM9" i="15"/>
  <c r="AM5" i="15"/>
  <c r="AL9" i="48"/>
  <c r="AL10" i="48"/>
  <c r="AL6" i="48"/>
  <c r="AL7" i="48"/>
  <c r="AL5" i="48"/>
  <c r="AL8" i="48"/>
  <c r="AL16" i="50"/>
  <c r="AL17" i="50"/>
  <c r="AL20" i="50"/>
  <c r="AL19" i="50"/>
  <c r="AL18" i="50"/>
  <c r="AL15" i="50"/>
  <c r="AL17" i="49"/>
  <c r="AL16" i="49"/>
  <c r="AL18" i="49"/>
  <c r="AL15" i="49"/>
  <c r="AL20" i="49"/>
  <c r="AL19" i="49"/>
  <c r="AL36" i="50"/>
  <c r="AL39" i="50"/>
  <c r="AL40" i="50"/>
  <c r="AL37" i="50"/>
  <c r="AL35" i="50"/>
  <c r="AL38" i="50"/>
  <c r="AL47" i="50"/>
  <c r="AL48" i="50"/>
  <c r="AL50" i="50"/>
  <c r="AL49" i="50"/>
  <c r="AL46" i="50"/>
  <c r="AL45" i="50"/>
  <c r="AL58" i="48"/>
  <c r="AL59" i="48"/>
  <c r="AL57" i="48"/>
  <c r="AL60" i="48"/>
  <c r="AL56" i="48"/>
  <c r="AL55" i="48"/>
  <c r="AL9" i="50"/>
  <c r="AL10" i="50"/>
  <c r="AL6" i="50"/>
  <c r="AL7" i="50"/>
  <c r="AL8" i="50"/>
  <c r="AL5" i="50"/>
  <c r="AL40" i="56"/>
  <c r="AL36" i="56"/>
  <c r="AL39" i="56"/>
  <c r="AL37" i="56"/>
  <c r="AL35" i="56"/>
  <c r="AL38" i="56"/>
  <c r="AL29" i="49"/>
  <c r="AL28" i="49"/>
  <c r="AL27" i="49"/>
  <c r="AL26" i="49"/>
  <c r="AL30" i="49"/>
  <c r="AL25" i="49"/>
  <c r="AM47" i="56"/>
  <c r="AM50" i="56"/>
  <c r="AM46" i="56"/>
  <c r="AM49" i="56"/>
  <c r="AM48" i="56"/>
  <c r="AM45" i="56"/>
  <c r="AL37" i="52"/>
  <c r="AL40" i="52"/>
  <c r="AL39" i="52"/>
  <c r="AL36" i="52"/>
  <c r="AL38" i="52"/>
  <c r="AL35" i="52"/>
  <c r="AL29" i="50"/>
  <c r="AL26" i="50"/>
  <c r="AL27" i="50"/>
  <c r="AL30" i="50"/>
  <c r="AL28" i="50"/>
  <c r="AL25" i="50"/>
  <c r="AL58" i="50"/>
  <c r="AL57" i="50"/>
  <c r="AL56" i="50"/>
  <c r="AL60" i="50"/>
  <c r="AL59" i="50"/>
  <c r="AL55" i="50"/>
  <c r="AL80" i="50" s="1"/>
  <c r="AI6" i="49"/>
  <c r="AI7" i="49"/>
  <c r="AI8" i="49"/>
  <c r="AI10" i="49"/>
  <c r="AI9" i="49"/>
  <c r="AI5" i="49"/>
  <c r="AK40" i="15"/>
  <c r="AK35" i="15"/>
  <c r="AK37" i="15"/>
  <c r="AK36" i="15"/>
  <c r="AK38" i="15"/>
  <c r="AK39" i="15"/>
  <c r="AI6" i="52"/>
  <c r="AI7" i="52"/>
  <c r="AI10" i="52"/>
  <c r="AI9" i="52"/>
  <c r="AI5" i="52"/>
  <c r="AI8" i="52"/>
  <c r="AK30" i="51"/>
  <c r="AK26" i="51"/>
  <c r="AK25" i="51"/>
  <c r="AK29" i="51"/>
  <c r="AK28" i="51"/>
  <c r="AK27" i="51"/>
  <c r="AK59" i="48"/>
  <c r="AK57" i="48"/>
  <c r="AK58" i="48"/>
  <c r="AK56" i="48"/>
  <c r="AK60" i="48"/>
  <c r="AK55" i="48"/>
  <c r="AI5" i="15"/>
  <c r="AI6" i="15"/>
  <c r="AI9" i="15"/>
  <c r="AI8" i="15"/>
  <c r="AI7" i="15"/>
  <c r="AI10" i="15"/>
  <c r="AK47" i="15"/>
  <c r="AK45" i="15"/>
  <c r="AK49" i="15"/>
  <c r="AK48" i="15"/>
  <c r="AK50" i="15"/>
  <c r="AK46" i="15"/>
  <c r="AL60" i="53"/>
  <c r="AL59" i="53"/>
  <c r="AL58" i="53"/>
  <c r="AL56" i="53"/>
  <c r="AL55" i="53"/>
  <c r="AL57" i="53"/>
  <c r="AK27" i="56"/>
  <c r="AK26" i="56"/>
  <c r="AK30" i="56"/>
  <c r="AK29" i="56"/>
  <c r="AK28" i="56"/>
  <c r="AK25" i="56"/>
  <c r="AK47" i="56"/>
  <c r="AK50" i="56"/>
  <c r="AK49" i="56"/>
  <c r="AK48" i="56"/>
  <c r="AK46" i="56"/>
  <c r="AK45" i="56"/>
  <c r="AI10" i="54"/>
  <c r="AI6" i="54"/>
  <c r="AI9" i="54"/>
  <c r="AI7" i="54"/>
  <c r="AI8" i="54"/>
  <c r="AI5" i="54"/>
  <c r="AI57" i="49"/>
  <c r="AI55" i="49"/>
  <c r="AI60" i="49"/>
  <c r="AI56" i="49"/>
  <c r="AI59" i="49"/>
  <c r="AI58" i="49"/>
  <c r="AK59" i="51"/>
  <c r="AK56" i="51"/>
  <c r="AK57" i="51"/>
  <c r="AK58" i="51"/>
  <c r="AK55" i="51"/>
  <c r="AK60" i="51"/>
  <c r="AK17" i="49"/>
  <c r="AK20" i="49"/>
  <c r="AK19" i="49"/>
  <c r="AK16" i="49"/>
  <c r="AK18" i="49"/>
  <c r="AK15" i="49"/>
  <c r="AK15" i="53"/>
  <c r="AK17" i="53"/>
  <c r="AK20" i="53"/>
  <c r="AK19" i="53"/>
  <c r="AK16" i="53"/>
  <c r="AK18" i="53"/>
  <c r="AK9" i="15"/>
  <c r="AK8" i="15"/>
  <c r="AK7" i="15"/>
  <c r="AK5" i="15"/>
  <c r="AK10" i="15"/>
  <c r="AK6" i="15"/>
  <c r="AK40" i="49"/>
  <c r="AK37" i="49"/>
  <c r="AK36" i="49"/>
  <c r="AK35" i="49"/>
  <c r="AK39" i="49"/>
  <c r="AK38" i="49"/>
  <c r="AL27" i="53"/>
  <c r="AL28" i="53"/>
  <c r="AL26" i="53"/>
  <c r="AL29" i="53"/>
  <c r="AL30" i="53"/>
  <c r="AL25" i="53"/>
  <c r="AK17" i="48"/>
  <c r="AK16" i="48"/>
  <c r="AK20" i="48"/>
  <c r="AK19" i="48"/>
  <c r="AK15" i="48"/>
  <c r="AK18" i="48"/>
  <c r="AL37" i="54"/>
  <c r="AL39" i="54"/>
  <c r="AL36" i="54"/>
  <c r="AL40" i="54"/>
  <c r="AL38" i="54"/>
  <c r="AL35" i="54"/>
  <c r="AI8" i="50"/>
  <c r="AI7" i="50"/>
  <c r="AI10" i="50"/>
  <c r="AI6" i="50"/>
  <c r="AI9" i="50"/>
  <c r="AI5" i="50"/>
  <c r="AJ25" i="15"/>
  <c r="AJ28" i="15"/>
  <c r="AJ29" i="15"/>
  <c r="AJ26" i="15"/>
  <c r="AJ27" i="15"/>
  <c r="AJ30" i="15"/>
  <c r="AJ7" i="48"/>
  <c r="AJ6" i="48"/>
  <c r="AJ10" i="48"/>
  <c r="AJ9" i="48"/>
  <c r="AJ5" i="48"/>
  <c r="AJ8" i="48"/>
  <c r="AJ36" i="54"/>
  <c r="AJ37" i="54"/>
  <c r="AJ39" i="54"/>
  <c r="AJ40" i="54"/>
  <c r="AJ38" i="54"/>
  <c r="AJ35" i="54"/>
  <c r="AJ20" i="53"/>
  <c r="AJ16" i="53"/>
  <c r="AJ15" i="53"/>
  <c r="AJ18" i="53"/>
  <c r="AJ19" i="53"/>
  <c r="AJ17" i="53"/>
  <c r="AK6" i="48"/>
  <c r="AK10" i="48"/>
  <c r="AK9" i="48"/>
  <c r="AK7" i="48"/>
  <c r="AK5" i="48"/>
  <c r="AK8" i="48"/>
  <c r="AK58" i="50"/>
  <c r="AK56" i="50"/>
  <c r="AK57" i="50"/>
  <c r="AK60" i="50"/>
  <c r="AK59" i="50"/>
  <c r="AK55" i="50"/>
  <c r="AK27" i="48"/>
  <c r="AK29" i="48"/>
  <c r="AK26" i="48"/>
  <c r="AK30" i="48"/>
  <c r="AK25" i="48"/>
  <c r="AK28" i="48"/>
  <c r="AK16" i="52"/>
  <c r="AK17" i="52"/>
  <c r="AK19" i="52"/>
  <c r="AK20" i="52"/>
  <c r="AK18" i="52"/>
  <c r="AK15" i="52"/>
  <c r="AJ29" i="56"/>
  <c r="AJ30" i="56"/>
  <c r="AJ26" i="56"/>
  <c r="AJ27" i="56"/>
  <c r="AJ28" i="56"/>
  <c r="AJ25" i="56"/>
  <c r="AI26" i="53"/>
  <c r="AI27" i="53"/>
  <c r="AI29" i="53"/>
  <c r="AI30" i="53"/>
  <c r="AI28" i="53"/>
  <c r="AI25" i="53"/>
  <c r="AJ19" i="50"/>
  <c r="AJ16" i="50"/>
  <c r="AJ17" i="50"/>
  <c r="AJ20" i="50"/>
  <c r="AJ15" i="50"/>
  <c r="AJ18" i="50"/>
  <c r="AJ6" i="55"/>
  <c r="AJ7" i="55"/>
  <c r="AJ9" i="55"/>
  <c r="AJ5" i="55"/>
  <c r="AJ8" i="55"/>
  <c r="AJ10" i="55"/>
  <c r="AJ19" i="15"/>
  <c r="AJ15" i="15"/>
  <c r="AJ17" i="15"/>
  <c r="AJ20" i="15"/>
  <c r="AJ18" i="15"/>
  <c r="AJ16" i="15"/>
  <c r="AJ60" i="53"/>
  <c r="AJ56" i="53"/>
  <c r="AJ58" i="53"/>
  <c r="AJ59" i="53"/>
  <c r="AJ55" i="53"/>
  <c r="AJ57" i="53"/>
  <c r="AI15" i="55"/>
  <c r="AI17" i="55"/>
  <c r="AI20" i="55"/>
  <c r="AI19" i="55"/>
  <c r="AI16" i="55"/>
  <c r="AI18" i="55"/>
  <c r="AI30" i="54"/>
  <c r="AI29" i="54"/>
  <c r="AI28" i="54"/>
  <c r="AI27" i="54"/>
  <c r="AI26" i="54"/>
  <c r="AI25" i="54"/>
  <c r="AJ58" i="55"/>
  <c r="AJ59" i="55"/>
  <c r="AJ57" i="55"/>
  <c r="AJ56" i="55"/>
  <c r="AJ60" i="55"/>
  <c r="AJ55" i="55"/>
  <c r="AJ50" i="49"/>
  <c r="AJ49" i="49"/>
  <c r="AJ48" i="49"/>
  <c r="AJ47" i="49"/>
  <c r="AJ46" i="49"/>
  <c r="AJ45" i="49"/>
  <c r="AJ7" i="54"/>
  <c r="AJ10" i="54"/>
  <c r="AJ6" i="54"/>
  <c r="AJ9" i="54"/>
  <c r="AJ8" i="54"/>
  <c r="AJ5" i="54"/>
  <c r="AJ26" i="48"/>
  <c r="AJ30" i="48"/>
  <c r="AJ27" i="48"/>
  <c r="AJ29" i="48"/>
  <c r="AJ25" i="48"/>
  <c r="AJ28" i="48"/>
  <c r="AI18" i="56"/>
  <c r="AI17" i="56"/>
  <c r="AI20" i="56"/>
  <c r="AJ62" i="56"/>
  <c r="AI16" i="56"/>
  <c r="AI19" i="56"/>
  <c r="AI15" i="56"/>
  <c r="AI30" i="52"/>
  <c r="AI29" i="52"/>
  <c r="AI27" i="52"/>
  <c r="AI28" i="52"/>
  <c r="AI25" i="52"/>
  <c r="AI26" i="52"/>
  <c r="AJ35" i="53"/>
  <c r="AJ39" i="53"/>
  <c r="AJ40" i="53"/>
  <c r="AJ37" i="53"/>
  <c r="AJ38" i="53"/>
  <c r="AJ36" i="53"/>
  <c r="AJ60" i="56"/>
  <c r="AJ58" i="56"/>
  <c r="AJ56" i="56"/>
  <c r="AJ59" i="56"/>
  <c r="AJ57" i="56"/>
  <c r="AJ55" i="56"/>
  <c r="AI18" i="50"/>
  <c r="AI16" i="50"/>
  <c r="AI20" i="50"/>
  <c r="AI17" i="50"/>
  <c r="AI19" i="50"/>
  <c r="AJ62" i="50"/>
  <c r="AI15" i="50"/>
  <c r="AJ16" i="49"/>
  <c r="AJ18" i="49"/>
  <c r="AJ17" i="49"/>
  <c r="AJ19" i="49"/>
  <c r="AJ15" i="49"/>
  <c r="AJ20" i="49"/>
  <c r="AT9" i="52"/>
  <c r="AT10" i="52"/>
  <c r="AR39" i="50"/>
  <c r="AR40" i="50"/>
  <c r="AR37" i="50"/>
  <c r="AR35" i="50"/>
  <c r="AR38" i="50"/>
  <c r="AR48" i="50"/>
  <c r="AR50" i="50"/>
  <c r="AR47" i="50"/>
  <c r="AR49" i="50"/>
  <c r="AT40" i="49"/>
  <c r="AT37" i="49"/>
  <c r="AT38" i="49"/>
  <c r="AT39" i="49"/>
  <c r="AT58" i="54"/>
  <c r="AT60" i="54"/>
  <c r="AT56" i="54"/>
  <c r="AT59" i="54"/>
  <c r="AR25" i="53"/>
  <c r="AR26" i="53"/>
  <c r="AR27" i="53"/>
  <c r="AR28" i="53"/>
  <c r="AR29" i="53"/>
  <c r="AR30" i="53"/>
  <c r="AT16" i="54"/>
  <c r="AT19" i="54"/>
  <c r="AT20" i="54"/>
  <c r="AT18" i="54"/>
  <c r="AR8" i="56"/>
  <c r="AR10" i="56"/>
  <c r="AR5" i="56"/>
  <c r="AR9" i="56"/>
  <c r="AR7" i="56"/>
  <c r="AS10" i="55"/>
  <c r="AS8" i="55"/>
  <c r="AS9" i="55"/>
  <c r="AS7" i="55"/>
  <c r="AS5" i="55"/>
  <c r="AT57" i="49"/>
  <c r="AT59" i="49"/>
  <c r="AT60" i="49"/>
  <c r="AT58" i="49"/>
  <c r="AT55" i="49"/>
  <c r="AR16" i="52"/>
  <c r="AR17" i="52"/>
  <c r="AR19" i="52"/>
  <c r="AR20" i="52"/>
  <c r="AR18" i="52"/>
  <c r="AT58" i="48"/>
  <c r="AT59" i="48"/>
  <c r="AT60" i="48"/>
  <c r="AT56" i="48"/>
  <c r="AR27" i="51"/>
  <c r="AR29" i="51"/>
  <c r="AR30" i="51"/>
  <c r="AR25" i="51"/>
  <c r="AR26" i="51"/>
  <c r="AR28" i="51"/>
  <c r="AR49" i="53"/>
  <c r="AR48" i="53"/>
  <c r="AR47" i="53"/>
  <c r="AR46" i="53"/>
  <c r="AR45" i="53"/>
  <c r="AR36" i="54"/>
  <c r="AR40" i="54"/>
  <c r="AR39" i="54"/>
  <c r="AR38" i="54"/>
  <c r="AR35" i="54"/>
  <c r="AS58" i="56"/>
  <c r="AS59" i="56"/>
  <c r="AS56" i="56"/>
  <c r="AS55" i="56"/>
  <c r="AR26" i="49"/>
  <c r="AR30" i="49"/>
  <c r="AR29" i="49"/>
  <c r="AR27" i="49"/>
  <c r="AR28" i="49"/>
  <c r="AR60" i="53"/>
  <c r="AR59" i="53"/>
  <c r="AR57" i="53"/>
  <c r="AR58" i="53"/>
  <c r="AR37" i="51"/>
  <c r="AR38" i="51"/>
  <c r="AR40" i="51"/>
  <c r="AR36" i="51"/>
  <c r="AR39" i="51"/>
  <c r="AR35" i="51"/>
  <c r="AS7" i="54"/>
  <c r="AS10" i="54"/>
  <c r="AS6" i="54"/>
  <c r="AS9" i="54"/>
  <c r="AS8" i="54"/>
  <c r="AQ19" i="50"/>
  <c r="AQ20" i="50"/>
  <c r="AQ15" i="50"/>
  <c r="AQ18" i="50"/>
  <c r="AQ49" i="49"/>
  <c r="AQ50" i="49"/>
  <c r="AQ47" i="49"/>
  <c r="AQ46" i="49"/>
  <c r="AQ48" i="49"/>
  <c r="AQ27" i="53"/>
  <c r="AQ25" i="53"/>
  <c r="AQ28" i="53"/>
  <c r="AQ30" i="53"/>
  <c r="AQ29" i="53"/>
  <c r="AQ26" i="53"/>
  <c r="AQ45" i="53"/>
  <c r="AQ47" i="53"/>
  <c r="AQ48" i="53"/>
  <c r="AQ46" i="53"/>
  <c r="AQ49" i="53"/>
  <c r="AP16" i="56"/>
  <c r="AP19" i="56"/>
  <c r="AP20" i="56"/>
  <c r="AP18" i="56"/>
  <c r="AP15" i="56"/>
  <c r="AP55" i="15"/>
  <c r="AP58" i="15"/>
  <c r="AP57" i="15"/>
  <c r="AP59" i="15"/>
  <c r="AP60" i="15"/>
  <c r="AP50" i="56"/>
  <c r="AP47" i="56"/>
  <c r="AP46" i="56"/>
  <c r="AP49" i="56"/>
  <c r="AP48" i="56"/>
  <c r="AP8" i="51"/>
  <c r="AP7" i="51"/>
  <c r="AP6" i="51"/>
  <c r="AP9" i="51"/>
  <c r="AP10" i="51"/>
  <c r="AP56" i="49"/>
  <c r="AP57" i="49"/>
  <c r="AP59" i="49"/>
  <c r="AP60" i="49"/>
  <c r="AP55" i="49"/>
  <c r="AP58" i="49"/>
  <c r="AN15" i="55"/>
  <c r="AN18" i="55"/>
  <c r="AN16" i="55"/>
  <c r="AN20" i="55"/>
  <c r="AN17" i="55"/>
  <c r="AN19" i="55"/>
  <c r="AO19" i="56"/>
  <c r="AO16" i="56"/>
  <c r="AO20" i="56"/>
  <c r="AO15" i="56"/>
  <c r="AO18" i="56"/>
  <c r="AO46" i="54"/>
  <c r="AO49" i="54"/>
  <c r="AO48" i="54"/>
  <c r="AO47" i="54"/>
  <c r="AO50" i="54"/>
  <c r="AN36" i="53"/>
  <c r="AN40" i="53"/>
  <c r="AN38" i="53"/>
  <c r="AN39" i="53"/>
  <c r="AN35" i="53"/>
  <c r="AN37" i="53"/>
  <c r="AR29" i="55"/>
  <c r="AR28" i="55"/>
  <c r="AR25" i="55"/>
  <c r="AR26" i="55"/>
  <c r="AR30" i="55"/>
  <c r="AR47" i="48"/>
  <c r="AR49" i="48"/>
  <c r="AR48" i="48"/>
  <c r="AR50" i="48"/>
  <c r="AR45" i="48"/>
  <c r="AR27" i="54"/>
  <c r="AR30" i="54"/>
  <c r="AR29" i="54"/>
  <c r="AR26" i="54"/>
  <c r="AR25" i="54"/>
  <c r="AR48" i="51"/>
  <c r="AR50" i="51"/>
  <c r="AR45" i="51"/>
  <c r="AR49" i="51"/>
  <c r="AR47" i="51"/>
  <c r="AS49" i="49"/>
  <c r="AS50" i="49"/>
  <c r="AS47" i="49"/>
  <c r="AS48" i="49"/>
  <c r="AS46" i="49"/>
  <c r="AS19" i="48"/>
  <c r="AS20" i="48"/>
  <c r="AS15" i="48"/>
  <c r="AS18" i="48"/>
  <c r="AS46" i="52"/>
  <c r="AS49" i="52"/>
  <c r="AS47" i="52"/>
  <c r="AS48" i="52"/>
  <c r="AS50" i="52"/>
  <c r="AQ48" i="51"/>
  <c r="AQ50" i="51"/>
  <c r="AQ47" i="51"/>
  <c r="AQ45" i="51"/>
  <c r="AQ49" i="51"/>
  <c r="AQ38" i="56"/>
  <c r="AQ40" i="56"/>
  <c r="AQ39" i="56"/>
  <c r="AQ37" i="56"/>
  <c r="AQ35" i="56"/>
  <c r="AQ20" i="53"/>
  <c r="AQ18" i="53"/>
  <c r="AQ17" i="53"/>
  <c r="AQ19" i="53"/>
  <c r="AQ15" i="53"/>
  <c r="AQ19" i="49"/>
  <c r="AQ15" i="49"/>
  <c r="AQ20" i="49"/>
  <c r="AQ18" i="49"/>
  <c r="AQ17" i="49"/>
  <c r="AQ37" i="52"/>
  <c r="AQ40" i="52"/>
  <c r="AQ39" i="52"/>
  <c r="AQ35" i="52"/>
  <c r="AQ38" i="52"/>
  <c r="AQ57" i="56"/>
  <c r="AQ58" i="56"/>
  <c r="AQ59" i="56"/>
  <c r="AQ56" i="56"/>
  <c r="AQ55" i="56"/>
  <c r="AQ40" i="49"/>
  <c r="AQ35" i="49"/>
  <c r="AQ37" i="49"/>
  <c r="AQ38" i="49"/>
  <c r="AQ39" i="49"/>
  <c r="AQ29" i="50"/>
  <c r="AQ27" i="50"/>
  <c r="AQ28" i="50"/>
  <c r="AQ30" i="50"/>
  <c r="AQ7" i="49"/>
  <c r="AQ9" i="49"/>
  <c r="AQ5" i="49"/>
  <c r="AQ10" i="49"/>
  <c r="AQ8" i="49"/>
  <c r="AQ27" i="49"/>
  <c r="AQ30" i="49"/>
  <c r="AQ28" i="49"/>
  <c r="AQ26" i="49"/>
  <c r="AQ29" i="49"/>
  <c r="AQ56" i="51"/>
  <c r="AQ58" i="51"/>
  <c r="AQ57" i="51"/>
  <c r="AQ60" i="51"/>
  <c r="AQ55" i="51"/>
  <c r="AR10" i="51"/>
  <c r="AR8" i="51"/>
  <c r="AR7" i="51"/>
  <c r="AR6" i="51"/>
  <c r="AR9" i="51"/>
  <c r="AQ30" i="52"/>
  <c r="AQ27" i="52"/>
  <c r="AQ29" i="52"/>
  <c r="AQ26" i="52"/>
  <c r="AQ25" i="52"/>
  <c r="AP35" i="49"/>
  <c r="AP37" i="49"/>
  <c r="AP38" i="49"/>
  <c r="AP39" i="49"/>
  <c r="AP40" i="49"/>
  <c r="AP49" i="48"/>
  <c r="AP48" i="48"/>
  <c r="AP47" i="48"/>
  <c r="AP50" i="48"/>
  <c r="AP45" i="48"/>
  <c r="AP27" i="53"/>
  <c r="AP26" i="53"/>
  <c r="AP30" i="53"/>
  <c r="AP29" i="53"/>
  <c r="AP28" i="53"/>
  <c r="AP25" i="53"/>
  <c r="AP58" i="55"/>
  <c r="AP57" i="55"/>
  <c r="AP60" i="55"/>
  <c r="AP56" i="55"/>
  <c r="AP49" i="54"/>
  <c r="AP48" i="54"/>
  <c r="AP47" i="54"/>
  <c r="AP46" i="54"/>
  <c r="AP50" i="54"/>
  <c r="AQ60" i="49"/>
  <c r="AQ57" i="49"/>
  <c r="AQ59" i="49"/>
  <c r="AQ58" i="49"/>
  <c r="AQ55" i="49"/>
  <c r="AP40" i="50"/>
  <c r="AP37" i="50"/>
  <c r="AP39" i="50"/>
  <c r="AP38" i="50"/>
  <c r="AP35" i="50"/>
  <c r="AP36" i="54"/>
  <c r="AP39" i="54"/>
  <c r="AP40" i="54"/>
  <c r="AP35" i="54"/>
  <c r="AP38" i="54"/>
  <c r="AP27" i="52"/>
  <c r="AP29" i="52"/>
  <c r="AP26" i="52"/>
  <c r="AP30" i="52"/>
  <c r="AP25" i="52"/>
  <c r="AP17" i="53"/>
  <c r="AP18" i="53"/>
  <c r="AP20" i="53"/>
  <c r="AP15" i="53"/>
  <c r="AP19" i="53"/>
  <c r="AP16" i="51"/>
  <c r="AP20" i="51"/>
  <c r="AP18" i="51"/>
  <c r="AP15" i="51"/>
  <c r="AP17" i="51"/>
  <c r="AP19" i="51"/>
  <c r="AP45" i="53"/>
  <c r="AP48" i="53"/>
  <c r="AP46" i="53"/>
  <c r="AP49" i="53"/>
  <c r="AP47" i="53"/>
  <c r="AP9" i="52"/>
  <c r="AP10" i="52"/>
  <c r="AP6" i="52"/>
  <c r="AP5" i="52"/>
  <c r="AP8" i="52"/>
  <c r="AP30" i="51"/>
  <c r="AP25" i="51"/>
  <c r="AP26" i="51"/>
  <c r="AP27" i="51"/>
  <c r="AP28" i="51"/>
  <c r="AP29" i="51"/>
  <c r="AP49" i="49"/>
  <c r="AP47" i="49"/>
  <c r="AP50" i="49"/>
  <c r="AP46" i="49"/>
  <c r="AP48" i="49"/>
  <c r="AP49" i="50"/>
  <c r="AP47" i="50"/>
  <c r="AP50" i="50"/>
  <c r="AP48" i="50"/>
  <c r="AP46" i="50"/>
  <c r="AP6" i="53"/>
  <c r="AP8" i="53"/>
  <c r="AP7" i="53"/>
  <c r="AP10" i="53"/>
  <c r="AP9" i="53"/>
  <c r="AO8" i="55"/>
  <c r="AO6" i="55"/>
  <c r="AO5" i="55"/>
  <c r="AO10" i="55"/>
  <c r="AO9" i="55"/>
  <c r="AO7" i="55"/>
  <c r="AO7" i="56"/>
  <c r="AO10" i="56"/>
  <c r="AO9" i="56"/>
  <c r="AO8" i="56"/>
  <c r="AO5" i="56"/>
  <c r="AO26" i="52"/>
  <c r="AO30" i="52"/>
  <c r="AO29" i="52"/>
  <c r="AO27" i="52"/>
  <c r="AO25" i="52"/>
  <c r="AO57" i="54"/>
  <c r="AO58" i="54"/>
  <c r="AO56" i="54"/>
  <c r="AO60" i="54"/>
  <c r="AO59" i="54"/>
  <c r="AO7" i="54"/>
  <c r="AO9" i="54"/>
  <c r="AO10" i="54"/>
  <c r="AO6" i="54"/>
  <c r="AO8" i="54"/>
  <c r="AO15" i="49"/>
  <c r="AO20" i="49"/>
  <c r="AO17" i="49"/>
  <c r="AO19" i="49"/>
  <c r="AO18" i="49"/>
  <c r="AO55" i="15"/>
  <c r="AO59" i="15"/>
  <c r="AO56" i="15"/>
  <c r="AO57" i="15"/>
  <c r="AO60" i="15"/>
  <c r="AO58" i="15"/>
  <c r="AO48" i="48"/>
  <c r="AO49" i="48"/>
  <c r="AO47" i="48"/>
  <c r="AO50" i="48"/>
  <c r="AO45" i="48"/>
  <c r="AO56" i="51"/>
  <c r="AO57" i="51"/>
  <c r="AO55" i="51"/>
  <c r="AO58" i="51"/>
  <c r="AO60" i="51"/>
  <c r="AO46" i="52"/>
  <c r="AO48" i="52"/>
  <c r="AO49" i="52"/>
  <c r="AO47" i="52"/>
  <c r="AO50" i="52"/>
  <c r="AP37" i="52"/>
  <c r="AP40" i="52"/>
  <c r="AP39" i="52"/>
  <c r="AP38" i="52"/>
  <c r="AP35" i="52"/>
  <c r="AO25" i="15"/>
  <c r="AO28" i="15"/>
  <c r="AO27" i="15"/>
  <c r="AO29" i="15"/>
  <c r="AO26" i="15"/>
  <c r="AO30" i="15"/>
  <c r="AO27" i="48"/>
  <c r="AO26" i="48"/>
  <c r="AO30" i="48"/>
  <c r="AO29" i="48"/>
  <c r="AO25" i="48"/>
  <c r="AO16" i="51"/>
  <c r="AO17" i="51"/>
  <c r="AO15" i="51"/>
  <c r="AO19" i="51"/>
  <c r="AO18" i="51"/>
  <c r="AO20" i="51"/>
  <c r="AO7" i="51"/>
  <c r="AO9" i="51"/>
  <c r="AO10" i="51"/>
  <c r="AO6" i="51"/>
  <c r="AO8" i="51"/>
  <c r="AP16" i="54"/>
  <c r="AP19" i="54"/>
  <c r="AP20" i="54"/>
  <c r="AP17" i="54"/>
  <c r="AP18" i="54"/>
  <c r="AN47" i="52"/>
  <c r="AN46" i="52"/>
  <c r="AN49" i="52"/>
  <c r="AN48" i="52"/>
  <c r="AN50" i="52"/>
  <c r="AN27" i="49"/>
  <c r="AN28" i="49"/>
  <c r="AN26" i="49"/>
  <c r="AN29" i="49"/>
  <c r="AN25" i="49"/>
  <c r="AN30" i="49"/>
  <c r="AN49" i="50"/>
  <c r="AN48" i="50"/>
  <c r="AN50" i="50"/>
  <c r="AN47" i="50"/>
  <c r="AN46" i="50"/>
  <c r="AN56" i="51"/>
  <c r="AN58" i="51"/>
  <c r="AN57" i="51"/>
  <c r="AN60" i="51"/>
  <c r="AN55" i="51"/>
  <c r="AN60" i="53"/>
  <c r="AN59" i="53"/>
  <c r="AN58" i="53"/>
  <c r="AN57" i="53"/>
  <c r="AN55" i="53"/>
  <c r="AN56" i="53"/>
  <c r="AO19" i="15"/>
  <c r="AO15" i="15"/>
  <c r="AO16" i="15"/>
  <c r="AO18" i="15"/>
  <c r="AO20" i="15"/>
  <c r="AO17" i="15"/>
  <c r="AN26" i="56"/>
  <c r="AN30" i="56"/>
  <c r="AN29" i="56"/>
  <c r="AN25" i="56"/>
  <c r="AN28" i="56"/>
  <c r="AN58" i="48"/>
  <c r="AN59" i="48"/>
  <c r="AN57" i="48"/>
  <c r="AN56" i="48"/>
  <c r="AN60" i="48"/>
  <c r="AN55" i="48"/>
  <c r="AN27" i="48"/>
  <c r="AN26" i="48"/>
  <c r="AN29" i="48"/>
  <c r="AN30" i="48"/>
  <c r="AN25" i="48"/>
  <c r="AN37" i="51"/>
  <c r="AN38" i="51"/>
  <c r="AN40" i="51"/>
  <c r="AN39" i="51"/>
  <c r="AN35" i="51"/>
  <c r="AN36" i="51"/>
  <c r="AN40" i="15"/>
  <c r="AN38" i="15"/>
  <c r="AN36" i="15"/>
  <c r="AN39" i="15"/>
  <c r="AN37" i="15"/>
  <c r="AN35" i="15"/>
  <c r="AM16" i="54"/>
  <c r="AM19" i="54"/>
  <c r="AM17" i="54"/>
  <c r="AM20" i="54"/>
  <c r="AM18" i="54"/>
  <c r="AN19" i="50"/>
  <c r="AN17" i="50"/>
  <c r="AN20" i="50"/>
  <c r="AN18" i="50"/>
  <c r="AN15" i="50"/>
  <c r="AM37" i="51"/>
  <c r="AM35" i="51"/>
  <c r="AM38" i="51"/>
  <c r="AM36" i="51"/>
  <c r="AM39" i="51"/>
  <c r="AM40" i="51"/>
  <c r="AN27" i="51"/>
  <c r="AN29" i="51"/>
  <c r="AN26" i="51"/>
  <c r="AN30" i="51"/>
  <c r="AN28" i="51"/>
  <c r="AN25" i="51"/>
  <c r="AM18" i="49"/>
  <c r="AM17" i="49"/>
  <c r="AM15" i="49"/>
  <c r="AM16" i="49"/>
  <c r="AM19" i="49"/>
  <c r="AM20" i="49"/>
  <c r="AM36" i="56"/>
  <c r="AM40" i="56"/>
  <c r="AM38" i="56"/>
  <c r="AM39" i="56"/>
  <c r="AM37" i="56"/>
  <c r="AM35" i="56"/>
  <c r="AM49" i="55"/>
  <c r="AM45" i="55"/>
  <c r="AM46" i="55"/>
  <c r="AM47" i="55"/>
  <c r="AM50" i="55"/>
  <c r="AM48" i="55"/>
  <c r="AM40" i="50"/>
  <c r="AM39" i="50"/>
  <c r="AM36" i="50"/>
  <c r="AM37" i="50"/>
  <c r="AM35" i="50"/>
  <c r="AM38" i="50"/>
  <c r="AN26" i="52"/>
  <c r="AN27" i="52"/>
  <c r="AN30" i="52"/>
  <c r="AN29" i="52"/>
  <c r="AN25" i="52"/>
  <c r="AM37" i="49"/>
  <c r="AM36" i="49"/>
  <c r="AM38" i="49"/>
  <c r="AM39" i="49"/>
  <c r="AM35" i="49"/>
  <c r="AM40" i="49"/>
  <c r="AL17" i="56"/>
  <c r="AL20" i="56"/>
  <c r="AL19" i="56"/>
  <c r="AL16" i="56"/>
  <c r="AL18" i="56"/>
  <c r="AL15" i="56"/>
  <c r="AM49" i="49"/>
  <c r="AM45" i="49"/>
  <c r="AM50" i="49"/>
  <c r="AM48" i="49"/>
  <c r="AM46" i="49"/>
  <c r="AM47" i="49"/>
  <c r="AM47" i="50"/>
  <c r="AM48" i="50"/>
  <c r="AM50" i="50"/>
  <c r="AM49" i="50"/>
  <c r="AM45" i="50"/>
  <c r="AM46" i="50"/>
  <c r="AM18" i="15"/>
  <c r="AM17" i="15"/>
  <c r="AM16" i="15"/>
  <c r="AM19" i="15"/>
  <c r="AM20" i="15"/>
  <c r="AM15" i="15"/>
  <c r="AM46" i="54"/>
  <c r="AM49" i="54"/>
  <c r="AM47" i="54"/>
  <c r="AM50" i="54"/>
  <c r="AM48" i="54"/>
  <c r="AM45" i="54"/>
  <c r="AM30" i="54"/>
  <c r="AM26" i="54"/>
  <c r="AM27" i="54"/>
  <c r="AM29" i="54"/>
  <c r="AM25" i="54"/>
  <c r="AM28" i="54"/>
  <c r="AN27" i="53"/>
  <c r="AN30" i="53"/>
  <c r="AN26" i="53"/>
  <c r="AN29" i="53"/>
  <c r="AN28" i="53"/>
  <c r="AN25" i="53"/>
  <c r="AM56" i="50"/>
  <c r="AM57" i="50"/>
  <c r="AM58" i="50"/>
  <c r="AM59" i="50"/>
  <c r="AM60" i="50"/>
  <c r="AM55" i="50"/>
  <c r="AL50" i="56"/>
  <c r="AL47" i="56"/>
  <c r="AL46" i="56"/>
  <c r="AL49" i="56"/>
  <c r="AL48" i="56"/>
  <c r="AL45" i="56"/>
  <c r="AI36" i="50"/>
  <c r="AI40" i="50"/>
  <c r="AI39" i="50"/>
  <c r="AI38" i="50"/>
  <c r="AI37" i="50"/>
  <c r="AI35" i="50"/>
  <c r="AL49" i="55"/>
  <c r="AL46" i="55"/>
  <c r="AL45" i="55"/>
  <c r="AL47" i="55"/>
  <c r="AL48" i="55"/>
  <c r="AL50" i="55"/>
  <c r="AM49" i="48"/>
  <c r="AM47" i="48"/>
  <c r="AM48" i="48"/>
  <c r="AM46" i="48"/>
  <c r="AM50" i="48"/>
  <c r="AM45" i="48"/>
  <c r="AL5" i="53"/>
  <c r="AL7" i="53"/>
  <c r="AL10" i="53"/>
  <c r="AL8" i="53"/>
  <c r="AL6" i="53"/>
  <c r="AL9" i="53"/>
  <c r="AL50" i="53"/>
  <c r="AL47" i="53"/>
  <c r="AL48" i="53"/>
  <c r="AL46" i="53"/>
  <c r="AL49" i="53"/>
  <c r="AL45" i="53"/>
  <c r="AK47" i="55"/>
  <c r="AK49" i="55"/>
  <c r="AK46" i="55"/>
  <c r="AK45" i="55"/>
  <c r="AK50" i="55"/>
  <c r="AK48" i="55"/>
  <c r="AL56" i="51"/>
  <c r="AL59" i="51"/>
  <c r="AL58" i="51"/>
  <c r="AL55" i="51"/>
  <c r="AL57" i="51"/>
  <c r="AL60" i="51"/>
  <c r="AK56" i="52"/>
  <c r="AK60" i="52"/>
  <c r="AK59" i="52"/>
  <c r="AK58" i="52"/>
  <c r="AK57" i="52"/>
  <c r="AK55" i="52"/>
  <c r="AJ62" i="55"/>
  <c r="AI36" i="55"/>
  <c r="AI40" i="55"/>
  <c r="AI39" i="55"/>
  <c r="AI37" i="55"/>
  <c r="AI38" i="55"/>
  <c r="AI35" i="55"/>
  <c r="AL26" i="48"/>
  <c r="AL27" i="48"/>
  <c r="AL29" i="48"/>
  <c r="AL30" i="48"/>
  <c r="AL28" i="48"/>
  <c r="AL25" i="48"/>
  <c r="AL17" i="48"/>
  <c r="AL19" i="48"/>
  <c r="AL20" i="48"/>
  <c r="AL16" i="48"/>
  <c r="AL15" i="48"/>
  <c r="AL18" i="48"/>
  <c r="AL17" i="53"/>
  <c r="AL20" i="53"/>
  <c r="AL16" i="53"/>
  <c r="AL18" i="53"/>
  <c r="AL15" i="53"/>
  <c r="AL19" i="53"/>
  <c r="AM36" i="53"/>
  <c r="AM35" i="53"/>
  <c r="AM39" i="53"/>
  <c r="AM38" i="53"/>
  <c r="AM37" i="53"/>
  <c r="AM40" i="53"/>
  <c r="AL57" i="56"/>
  <c r="AL58" i="56"/>
  <c r="AL59" i="56"/>
  <c r="AL56" i="56"/>
  <c r="AL60" i="56"/>
  <c r="AL55" i="56"/>
  <c r="AJ62" i="51"/>
  <c r="AI37" i="51"/>
  <c r="AI36" i="51"/>
  <c r="AI35" i="51"/>
  <c r="AI39" i="51"/>
  <c r="AI40" i="51"/>
  <c r="AI38" i="51"/>
  <c r="AL27" i="56"/>
  <c r="AL26" i="56"/>
  <c r="AL30" i="56"/>
  <c r="AL29" i="56"/>
  <c r="AL28" i="56"/>
  <c r="AL25" i="56"/>
  <c r="AK59" i="55"/>
  <c r="AK55" i="55"/>
  <c r="AK58" i="55"/>
  <c r="AK60" i="55"/>
  <c r="AK56" i="55"/>
  <c r="AK57" i="55"/>
  <c r="AK6" i="52"/>
  <c r="AK10" i="52"/>
  <c r="AK9" i="52"/>
  <c r="AK7" i="52"/>
  <c r="AK5" i="52"/>
  <c r="AK8" i="52"/>
  <c r="AJ17" i="48"/>
  <c r="AJ16" i="48"/>
  <c r="AJ19" i="48"/>
  <c r="AJ20" i="48"/>
  <c r="AJ15" i="48"/>
  <c r="AJ18" i="48"/>
  <c r="AK46" i="52"/>
  <c r="AK48" i="52"/>
  <c r="AK47" i="52"/>
  <c r="AK50" i="52"/>
  <c r="AK49" i="52"/>
  <c r="AK45" i="52"/>
  <c r="AJ62" i="52"/>
  <c r="AI37" i="52"/>
  <c r="AI39" i="52"/>
  <c r="AI38" i="52"/>
  <c r="AI40" i="52"/>
  <c r="AI35" i="52"/>
  <c r="AI36" i="52"/>
  <c r="AK27" i="52"/>
  <c r="AK29" i="52"/>
  <c r="AK26" i="52"/>
  <c r="AK30" i="52"/>
  <c r="AK28" i="52"/>
  <c r="AK25" i="52"/>
  <c r="AL16" i="55"/>
  <c r="AL19" i="55"/>
  <c r="AL20" i="55"/>
  <c r="AL17" i="55"/>
  <c r="AL18" i="55"/>
  <c r="AL15" i="55"/>
  <c r="AK58" i="56"/>
  <c r="AK57" i="56"/>
  <c r="AK60" i="56"/>
  <c r="AK59" i="56"/>
  <c r="AK56" i="56"/>
  <c r="AK55" i="56"/>
  <c r="AJ29" i="51"/>
  <c r="AJ30" i="51"/>
  <c r="AJ28" i="51"/>
  <c r="AJ25" i="51"/>
  <c r="AJ27" i="51"/>
  <c r="AJ26" i="51"/>
  <c r="AK28" i="55"/>
  <c r="AK30" i="55"/>
  <c r="AK27" i="55"/>
  <c r="AK25" i="55"/>
  <c r="AK29" i="55"/>
  <c r="AK26" i="55"/>
  <c r="AK27" i="49"/>
  <c r="AK28" i="49"/>
  <c r="AK25" i="49"/>
  <c r="AK29" i="49"/>
  <c r="AK26" i="49"/>
  <c r="AK30" i="49"/>
  <c r="AK58" i="15"/>
  <c r="AK55" i="15"/>
  <c r="AK59" i="15"/>
  <c r="AK60" i="15"/>
  <c r="AK57" i="15"/>
  <c r="AK56" i="15"/>
  <c r="AK27" i="15"/>
  <c r="AK30" i="15"/>
  <c r="AK26" i="15"/>
  <c r="AK29" i="15"/>
  <c r="AK25" i="15"/>
  <c r="AK28" i="15"/>
  <c r="AI40" i="49"/>
  <c r="AI36" i="49"/>
  <c r="AI37" i="49"/>
  <c r="AI35" i="49"/>
  <c r="AI39" i="49"/>
  <c r="AI38" i="49"/>
  <c r="AK49" i="54"/>
  <c r="AK46" i="54"/>
  <c r="AK50" i="54"/>
  <c r="AK48" i="54"/>
  <c r="AK47" i="54"/>
  <c r="AK45" i="54"/>
  <c r="AI6" i="48"/>
  <c r="AI8" i="48"/>
  <c r="AI7" i="48"/>
  <c r="AI10" i="48"/>
  <c r="AI5" i="48"/>
  <c r="AI9" i="48"/>
  <c r="AK17" i="54"/>
  <c r="AK16" i="54"/>
  <c r="AK19" i="54"/>
  <c r="AK20" i="54"/>
  <c r="AK18" i="54"/>
  <c r="AK15" i="54"/>
  <c r="AL10" i="51"/>
  <c r="AL9" i="51"/>
  <c r="AL8" i="51"/>
  <c r="AL5" i="51"/>
  <c r="AL6" i="51"/>
  <c r="AL7" i="51"/>
  <c r="AJ62" i="54"/>
  <c r="AI37" i="54"/>
  <c r="AI36" i="54"/>
  <c r="AI39" i="54"/>
  <c r="AI38" i="54"/>
  <c r="AI40" i="54"/>
  <c r="AI35" i="54"/>
  <c r="AI59" i="50"/>
  <c r="AI56" i="50"/>
  <c r="AI57" i="50"/>
  <c r="AI60" i="50"/>
  <c r="AI58" i="50"/>
  <c r="AI55" i="50"/>
  <c r="AJ29" i="53"/>
  <c r="AJ27" i="53"/>
  <c r="AJ26" i="53"/>
  <c r="AJ30" i="53"/>
  <c r="AJ25" i="53"/>
  <c r="AJ28" i="53"/>
  <c r="AJ35" i="15"/>
  <c r="AJ39" i="15"/>
  <c r="AJ37" i="15"/>
  <c r="AJ40" i="15"/>
  <c r="AJ38" i="15"/>
  <c r="AJ36" i="15"/>
  <c r="AJ27" i="52"/>
  <c r="AJ30" i="52"/>
  <c r="AJ26" i="52"/>
  <c r="AJ29" i="52"/>
  <c r="AJ28" i="52"/>
  <c r="AJ25" i="52"/>
  <c r="AI56" i="15"/>
  <c r="AI60" i="15"/>
  <c r="AI57" i="15"/>
  <c r="AI59" i="15"/>
  <c r="AI55" i="15"/>
  <c r="AI58" i="15"/>
  <c r="AK49" i="50"/>
  <c r="AK47" i="50"/>
  <c r="AK50" i="50"/>
  <c r="AK48" i="50"/>
  <c r="AK46" i="50"/>
  <c r="AK45" i="50"/>
  <c r="AI48" i="53"/>
  <c r="AI50" i="53"/>
  <c r="AI47" i="53"/>
  <c r="AI49" i="53"/>
  <c r="AI46" i="53"/>
  <c r="AI45" i="53"/>
  <c r="AJ49" i="53"/>
  <c r="AJ46" i="53"/>
  <c r="AJ48" i="53"/>
  <c r="AJ45" i="53"/>
  <c r="AJ47" i="53"/>
  <c r="AJ50" i="53"/>
  <c r="AJ26" i="54"/>
  <c r="AJ30" i="54"/>
  <c r="AJ27" i="54"/>
  <c r="AJ29" i="54"/>
  <c r="AJ25" i="54"/>
  <c r="AJ28" i="54"/>
  <c r="AJ6" i="15"/>
  <c r="AJ9" i="15"/>
  <c r="AJ10" i="15"/>
  <c r="AJ8" i="15"/>
  <c r="AJ5" i="15"/>
  <c r="AJ7" i="15"/>
  <c r="AJ37" i="52"/>
  <c r="AJ40" i="52"/>
  <c r="AJ36" i="52"/>
  <c r="AJ39" i="52"/>
  <c r="AJ35" i="52"/>
  <c r="AJ38" i="52"/>
  <c r="AI50" i="48"/>
  <c r="AI46" i="48"/>
  <c r="AI47" i="48"/>
  <c r="AI49" i="48"/>
  <c r="AI48" i="48"/>
  <c r="AI45" i="48"/>
  <c r="AI20" i="48"/>
  <c r="AI16" i="48"/>
  <c r="AJ62" i="48"/>
  <c r="AI19" i="48"/>
  <c r="AI17" i="48"/>
  <c r="AI15" i="48"/>
  <c r="AI18" i="48"/>
  <c r="AJ47" i="50"/>
  <c r="AJ48" i="50"/>
  <c r="AJ50" i="50"/>
  <c r="AJ49" i="50"/>
  <c r="AJ45" i="50"/>
  <c r="AJ46" i="50"/>
  <c r="AI56" i="55"/>
  <c r="AI57" i="55"/>
  <c r="AI55" i="55"/>
  <c r="AI59" i="55"/>
  <c r="AI58" i="55"/>
  <c r="AI60" i="55"/>
  <c r="AJ47" i="48"/>
  <c r="AJ50" i="48"/>
  <c r="AJ49" i="48"/>
  <c r="AJ46" i="48"/>
  <c r="AJ48" i="48"/>
  <c r="AJ45" i="48"/>
  <c r="AJ60" i="54"/>
  <c r="AJ56" i="54"/>
  <c r="AJ58" i="54"/>
  <c r="AJ57" i="54"/>
  <c r="AJ59" i="54"/>
  <c r="AJ55" i="54"/>
  <c r="AJ27" i="55"/>
  <c r="AJ25" i="55"/>
  <c r="AJ30" i="55"/>
  <c r="AJ26" i="55"/>
  <c r="AJ29" i="55"/>
  <c r="AJ28" i="55"/>
  <c r="AI40" i="56"/>
  <c r="AI36" i="56"/>
  <c r="AI38" i="56"/>
  <c r="AI39" i="56"/>
  <c r="AI37" i="56"/>
  <c r="AI35" i="56"/>
  <c r="AJ50" i="52"/>
  <c r="AJ48" i="52"/>
  <c r="AJ49" i="52"/>
  <c r="AJ46" i="52"/>
  <c r="AJ47" i="52"/>
  <c r="AJ45" i="52"/>
  <c r="AJ62" i="49"/>
  <c r="AI15" i="49"/>
  <c r="AI17" i="49"/>
  <c r="AI19" i="49"/>
  <c r="AI18" i="49"/>
  <c r="AI16" i="49"/>
  <c r="AI20" i="49"/>
  <c r="AJ48" i="51"/>
  <c r="AJ45" i="51"/>
  <c r="AJ49" i="51"/>
  <c r="AJ47" i="51"/>
  <c r="AJ50" i="51"/>
  <c r="AJ46" i="51"/>
  <c r="AI47" i="55"/>
  <c r="AI50" i="55"/>
  <c r="AI49" i="55"/>
  <c r="AI45" i="55"/>
  <c r="AI46" i="55"/>
  <c r="AI48" i="55"/>
  <c r="AI36" i="48"/>
  <c r="AI37" i="48"/>
  <c r="AI39" i="48"/>
  <c r="AI40" i="48"/>
  <c r="AI38" i="48"/>
  <c r="AI35" i="48"/>
  <c r="AJ57" i="48"/>
  <c r="AJ60" i="48"/>
  <c r="AJ58" i="48"/>
  <c r="AJ59" i="48"/>
  <c r="AJ83" i="48" s="1"/>
  <c r="AJ101" i="48" s="1"/>
  <c r="AJ56" i="48"/>
  <c r="AJ55" i="48"/>
  <c r="AR29" i="50"/>
  <c r="AR30" i="50"/>
  <c r="AR27" i="50"/>
  <c r="AR28" i="50"/>
  <c r="AR47" i="15"/>
  <c r="AR49" i="15"/>
  <c r="AR46" i="15"/>
  <c r="AR50" i="15"/>
  <c r="AR48" i="15"/>
  <c r="AS37" i="51"/>
  <c r="AS38" i="51"/>
  <c r="AS35" i="51"/>
  <c r="AS36" i="51"/>
  <c r="AS40" i="51"/>
  <c r="AS39" i="51"/>
  <c r="AS26" i="48"/>
  <c r="AS27" i="48"/>
  <c r="AS29" i="48"/>
  <c r="AS30" i="48"/>
  <c r="AS25" i="48"/>
  <c r="AT18" i="15"/>
  <c r="AT17" i="15"/>
  <c r="AT19" i="15"/>
  <c r="AT20" i="15"/>
  <c r="AT15" i="15"/>
  <c r="AS27" i="54"/>
  <c r="AS26" i="54"/>
  <c r="AS29" i="54"/>
  <c r="AS30" i="54"/>
  <c r="AS25" i="54"/>
  <c r="AR7" i="50"/>
  <c r="AR10" i="50"/>
  <c r="AR9" i="50"/>
  <c r="AR5" i="50"/>
  <c r="AR8" i="50"/>
  <c r="AS39" i="15"/>
  <c r="AS40" i="15"/>
  <c r="AS38" i="15"/>
  <c r="AS37" i="15"/>
  <c r="AS36" i="15"/>
  <c r="AR7" i="53"/>
  <c r="AR8" i="53"/>
  <c r="AR6" i="53"/>
  <c r="AR9" i="53"/>
  <c r="AR10" i="53"/>
  <c r="AS37" i="53"/>
  <c r="AS39" i="53"/>
  <c r="AS35" i="53"/>
  <c r="AS38" i="53"/>
  <c r="AS40" i="53"/>
  <c r="AR59" i="15"/>
  <c r="AR57" i="15"/>
  <c r="AR60" i="15"/>
  <c r="AR58" i="15"/>
  <c r="AR55" i="15"/>
  <c r="AR6" i="48"/>
  <c r="AR9" i="48"/>
  <c r="AR10" i="48"/>
  <c r="AR7" i="48"/>
  <c r="AR8" i="48"/>
  <c r="AR58" i="56"/>
  <c r="AR59" i="56"/>
  <c r="AR56" i="56"/>
  <c r="AR55" i="56"/>
  <c r="AR37" i="52"/>
  <c r="AR40" i="52"/>
  <c r="AR39" i="52"/>
  <c r="AR35" i="52"/>
  <c r="AR38" i="52"/>
  <c r="AR27" i="48"/>
  <c r="AR26" i="48"/>
  <c r="AR29" i="48"/>
  <c r="AR30" i="48"/>
  <c r="AR25" i="48"/>
  <c r="AR7" i="55"/>
  <c r="AR9" i="55"/>
  <c r="AR8" i="55"/>
  <c r="AR5" i="55"/>
  <c r="AR10" i="55"/>
  <c r="AR49" i="54"/>
  <c r="AR47" i="54"/>
  <c r="AR48" i="54"/>
  <c r="AR50" i="54"/>
  <c r="AR40" i="15"/>
  <c r="AR39" i="15"/>
  <c r="AR37" i="15"/>
  <c r="AR38" i="15"/>
  <c r="AR36" i="15"/>
  <c r="AS10" i="15"/>
  <c r="AS9" i="15"/>
  <c r="AS7" i="15"/>
  <c r="AS6" i="15"/>
  <c r="AS8" i="15"/>
  <c r="AR19" i="49"/>
  <c r="AR15" i="49"/>
  <c r="AR18" i="49"/>
  <c r="AR20" i="49"/>
  <c r="AR17" i="49"/>
  <c r="AR38" i="49"/>
  <c r="AR39" i="49"/>
  <c r="AR37" i="49"/>
  <c r="AR40" i="49"/>
  <c r="AS36" i="54"/>
  <c r="AS40" i="54"/>
  <c r="AS39" i="54"/>
  <c r="AS38" i="54"/>
  <c r="AS35" i="54"/>
  <c r="AR37" i="53"/>
  <c r="AR40" i="53"/>
  <c r="AR35" i="53"/>
  <c r="AR38" i="53"/>
  <c r="AR39" i="53"/>
  <c r="AQ17" i="55"/>
  <c r="AQ15" i="55"/>
  <c r="AQ18" i="55"/>
  <c r="AQ16" i="55"/>
  <c r="AQ19" i="55"/>
  <c r="AQ20" i="55"/>
  <c r="AQ35" i="55"/>
  <c r="AQ40" i="55"/>
  <c r="AQ38" i="55"/>
  <c r="AQ39" i="55"/>
  <c r="AQ37" i="55"/>
  <c r="AQ39" i="50"/>
  <c r="AQ40" i="50"/>
  <c r="AQ37" i="50"/>
  <c r="AQ38" i="50"/>
  <c r="AQ35" i="50"/>
  <c r="AQ40" i="15"/>
  <c r="AQ36" i="15"/>
  <c r="AQ38" i="15"/>
  <c r="AQ37" i="15"/>
  <c r="AQ39" i="15"/>
  <c r="AQ28" i="55"/>
  <c r="AQ26" i="55"/>
  <c r="AQ29" i="55"/>
  <c r="AQ30" i="55"/>
  <c r="AQ25" i="55"/>
  <c r="AQ9" i="53"/>
  <c r="AQ6" i="53"/>
  <c r="AQ8" i="53"/>
  <c r="AQ10" i="53"/>
  <c r="AQ7" i="53"/>
  <c r="AQ58" i="50"/>
  <c r="AQ57" i="50"/>
  <c r="AQ59" i="50"/>
  <c r="AQ60" i="50"/>
  <c r="AQ55" i="50"/>
  <c r="AR36" i="48"/>
  <c r="AR37" i="48"/>
  <c r="AR40" i="48"/>
  <c r="AR38" i="48"/>
  <c r="AR35" i="48"/>
  <c r="AQ28" i="15"/>
  <c r="AQ27" i="15"/>
  <c r="AQ30" i="15"/>
  <c r="AQ25" i="15"/>
  <c r="AQ29" i="15"/>
  <c r="AQ26" i="15"/>
  <c r="AQ10" i="55"/>
  <c r="AQ5" i="55"/>
  <c r="AQ7" i="55"/>
  <c r="AQ9" i="55"/>
  <c r="AQ8" i="55"/>
  <c r="AQ10" i="56"/>
  <c r="AQ8" i="56"/>
  <c r="AQ5" i="56"/>
  <c r="AQ9" i="56"/>
  <c r="AQ7" i="56"/>
  <c r="AQ15" i="51"/>
  <c r="AQ17" i="51"/>
  <c r="AQ20" i="51"/>
  <c r="AQ18" i="51"/>
  <c r="AQ19" i="51"/>
  <c r="AQ16" i="51"/>
  <c r="AQ37" i="51"/>
  <c r="AQ38" i="51"/>
  <c r="AQ36" i="51"/>
  <c r="AQ35" i="51"/>
  <c r="AQ39" i="51"/>
  <c r="AQ40" i="51"/>
  <c r="AQ10" i="48"/>
  <c r="AQ6" i="48"/>
  <c r="AQ7" i="48"/>
  <c r="AQ9" i="48"/>
  <c r="AQ8" i="48"/>
  <c r="AQ7" i="54"/>
  <c r="AQ10" i="54"/>
  <c r="AQ9" i="54"/>
  <c r="AQ6" i="54"/>
  <c r="AQ8" i="54"/>
  <c r="AP9" i="50"/>
  <c r="AP10" i="50"/>
  <c r="AP7" i="50"/>
  <c r="AP8" i="50"/>
  <c r="AP5" i="50"/>
  <c r="AP26" i="48"/>
  <c r="AP27" i="48"/>
  <c r="AP30" i="48"/>
  <c r="AP29" i="48"/>
  <c r="AP25" i="48"/>
  <c r="AP37" i="51"/>
  <c r="AP38" i="51"/>
  <c r="AP35" i="51"/>
  <c r="AP39" i="51"/>
  <c r="AP40" i="51"/>
  <c r="AP36" i="51"/>
  <c r="AP7" i="15"/>
  <c r="AP10" i="15"/>
  <c r="AP9" i="15"/>
  <c r="AP6" i="15"/>
  <c r="AP8" i="15"/>
  <c r="AQ60" i="53"/>
  <c r="AQ59" i="53"/>
  <c r="AQ56" i="53"/>
  <c r="AQ58" i="53"/>
  <c r="AQ57" i="53"/>
  <c r="AP46" i="52"/>
  <c r="AP49" i="52"/>
  <c r="AP48" i="52"/>
  <c r="AP47" i="52"/>
  <c r="AP50" i="52"/>
  <c r="AP49" i="55"/>
  <c r="AP47" i="55"/>
  <c r="AP45" i="55"/>
  <c r="AP48" i="55"/>
  <c r="AP50" i="55"/>
  <c r="AP20" i="50"/>
  <c r="AP19" i="50"/>
  <c r="AP17" i="50"/>
  <c r="AP18" i="50"/>
  <c r="AP15" i="50"/>
  <c r="AP48" i="51"/>
  <c r="AP50" i="51"/>
  <c r="AP49" i="51"/>
  <c r="AP45" i="51"/>
  <c r="AP47" i="51"/>
  <c r="AP20" i="48"/>
  <c r="AP16" i="48"/>
  <c r="AP19" i="48"/>
  <c r="AP15" i="48"/>
  <c r="AP18" i="48"/>
  <c r="AP10" i="48"/>
  <c r="AP7" i="48"/>
  <c r="AP6" i="48"/>
  <c r="AP9" i="48"/>
  <c r="AP8" i="48"/>
  <c r="AP39" i="15"/>
  <c r="AP36" i="15"/>
  <c r="AP38" i="15"/>
  <c r="AP40" i="15"/>
  <c r="AP37" i="15"/>
  <c r="AP16" i="52"/>
  <c r="AP20" i="52"/>
  <c r="AP19" i="52"/>
  <c r="AP17" i="52"/>
  <c r="AP18" i="52"/>
  <c r="AP25" i="15"/>
  <c r="AP29" i="15"/>
  <c r="AP26" i="15"/>
  <c r="AP27" i="15"/>
  <c r="AP30" i="15"/>
  <c r="AP28" i="15"/>
  <c r="AQ8" i="15"/>
  <c r="AQ9" i="15"/>
  <c r="AQ7" i="15"/>
  <c r="AQ6" i="15"/>
  <c r="AQ10" i="15"/>
  <c r="AO59" i="55"/>
  <c r="AO57" i="55"/>
  <c r="AO60" i="55"/>
  <c r="AO56" i="55"/>
  <c r="AO58" i="55"/>
  <c r="AP57" i="54"/>
  <c r="AP58" i="54"/>
  <c r="AP60" i="54"/>
  <c r="AP56" i="54"/>
  <c r="AP59" i="54"/>
  <c r="AO9" i="49"/>
  <c r="AO7" i="49"/>
  <c r="AO10" i="49"/>
  <c r="AO5" i="49"/>
  <c r="AO8" i="49"/>
  <c r="AP8" i="56"/>
  <c r="AP5" i="56"/>
  <c r="AP7" i="56"/>
  <c r="AP10" i="56"/>
  <c r="AP9" i="56"/>
  <c r="AO20" i="48"/>
  <c r="AO19" i="48"/>
  <c r="AO16" i="48"/>
  <c r="AO18" i="48"/>
  <c r="AO15" i="48"/>
  <c r="AO26" i="55"/>
  <c r="AO29" i="55"/>
  <c r="AO30" i="55"/>
  <c r="AO28" i="55"/>
  <c r="AO25" i="55"/>
  <c r="AN7" i="54"/>
  <c r="AN9" i="54"/>
  <c r="AN10" i="54"/>
  <c r="AN6" i="54"/>
  <c r="AN8" i="54"/>
  <c r="AO40" i="56"/>
  <c r="AO39" i="56"/>
  <c r="AO38" i="56"/>
  <c r="AO37" i="56"/>
  <c r="AO35" i="56"/>
  <c r="AO58" i="56"/>
  <c r="AO57" i="56"/>
  <c r="AO59" i="56"/>
  <c r="AO56" i="56"/>
  <c r="AO55" i="56"/>
  <c r="AO47" i="15"/>
  <c r="AO45" i="15"/>
  <c r="AO48" i="15"/>
  <c r="AO49" i="15"/>
  <c r="AO50" i="15"/>
  <c r="AO46" i="15"/>
  <c r="AO19" i="50"/>
  <c r="AO17" i="50"/>
  <c r="AO20" i="50"/>
  <c r="AO15" i="50"/>
  <c r="AO18" i="50"/>
  <c r="AO26" i="54"/>
  <c r="AO27" i="54"/>
  <c r="AO29" i="54"/>
  <c r="AO30" i="54"/>
  <c r="AO25" i="54"/>
  <c r="AO40" i="48"/>
  <c r="AO37" i="48"/>
  <c r="AO36" i="48"/>
  <c r="AO38" i="48"/>
  <c r="AO35" i="48"/>
  <c r="AO29" i="50"/>
  <c r="AO30" i="50"/>
  <c r="AO27" i="50"/>
  <c r="AO26" i="50"/>
  <c r="AO28" i="50"/>
  <c r="AO59" i="48"/>
  <c r="AO58" i="48"/>
  <c r="AO60" i="48"/>
  <c r="AO56" i="48"/>
  <c r="AO55" i="48"/>
  <c r="AO57" i="49"/>
  <c r="AO59" i="49"/>
  <c r="AO58" i="49"/>
  <c r="AO60" i="49"/>
  <c r="AO56" i="49"/>
  <c r="AO55" i="49"/>
  <c r="AO9" i="50"/>
  <c r="AO10" i="50"/>
  <c r="AO7" i="50"/>
  <c r="AO8" i="50"/>
  <c r="AO5" i="50"/>
  <c r="AN5" i="56"/>
  <c r="AN7" i="56"/>
  <c r="AN9" i="56"/>
  <c r="AN8" i="56"/>
  <c r="AN10" i="56"/>
  <c r="AN16" i="56"/>
  <c r="AN20" i="56"/>
  <c r="AN19" i="56"/>
  <c r="AN15" i="56"/>
  <c r="AN18" i="56"/>
  <c r="AM59" i="15"/>
  <c r="AM60" i="15"/>
  <c r="AM55" i="15"/>
  <c r="AM57" i="15"/>
  <c r="AM58" i="15"/>
  <c r="AM56" i="15"/>
  <c r="AN16" i="48"/>
  <c r="AN19" i="48"/>
  <c r="AN20" i="48"/>
  <c r="AN18" i="48"/>
  <c r="AN15" i="48"/>
  <c r="AN9" i="50"/>
  <c r="AN7" i="50"/>
  <c r="AN10" i="50"/>
  <c r="AN8" i="50"/>
  <c r="AN5" i="50"/>
  <c r="AN46" i="56"/>
  <c r="AN50" i="56"/>
  <c r="AN47" i="56"/>
  <c r="AN49" i="56"/>
  <c r="AN48" i="56"/>
  <c r="AN9" i="49"/>
  <c r="AN5" i="49"/>
  <c r="AN6" i="49"/>
  <c r="AN7" i="49"/>
  <c r="AN8" i="49"/>
  <c r="AN10" i="49"/>
  <c r="AN16" i="54"/>
  <c r="AN17" i="54"/>
  <c r="AN20" i="54"/>
  <c r="AN19" i="54"/>
  <c r="AN18" i="54"/>
  <c r="AN56" i="49"/>
  <c r="AN60" i="49"/>
  <c r="AN58" i="49"/>
  <c r="AN57" i="49"/>
  <c r="AN55" i="49"/>
  <c r="AN59" i="49"/>
  <c r="AN15" i="15"/>
  <c r="AN17" i="15"/>
  <c r="AN19" i="15"/>
  <c r="AN20" i="15"/>
  <c r="AN18" i="15"/>
  <c r="AN16" i="15"/>
  <c r="AN58" i="55"/>
  <c r="AN56" i="55"/>
  <c r="AN59" i="55"/>
  <c r="AN57" i="55"/>
  <c r="AN60" i="55"/>
  <c r="AN20" i="53"/>
  <c r="AN17" i="53"/>
  <c r="AN16" i="53"/>
  <c r="AN15" i="53"/>
  <c r="AN18" i="53"/>
  <c r="AN19" i="53"/>
  <c r="AN8" i="51"/>
  <c r="AN6" i="51"/>
  <c r="AN10" i="51"/>
  <c r="AN9" i="51"/>
  <c r="AN7" i="51"/>
  <c r="AM28" i="52"/>
  <c r="AM29" i="52"/>
  <c r="AM30" i="52"/>
  <c r="AM27" i="52"/>
  <c r="AM26" i="52"/>
  <c r="AM25" i="52"/>
  <c r="AM10" i="56"/>
  <c r="AM7" i="56"/>
  <c r="AM9" i="56"/>
  <c r="AM5" i="56"/>
  <c r="AM8" i="56"/>
  <c r="AM6" i="56"/>
  <c r="AM56" i="52"/>
  <c r="AM58" i="52"/>
  <c r="AM60" i="52"/>
  <c r="AM59" i="52"/>
  <c r="AM57" i="52"/>
  <c r="AM55" i="52"/>
  <c r="AN9" i="52"/>
  <c r="AN10" i="52"/>
  <c r="AN6" i="52"/>
  <c r="AN5" i="52"/>
  <c r="AN8" i="52"/>
  <c r="AM56" i="49"/>
  <c r="AM59" i="49"/>
  <c r="AM57" i="49"/>
  <c r="AM55" i="49"/>
  <c r="AM58" i="49"/>
  <c r="AM60" i="49"/>
  <c r="AM60" i="53"/>
  <c r="AM59" i="53"/>
  <c r="AM58" i="53"/>
  <c r="AM56" i="53"/>
  <c r="AM55" i="53"/>
  <c r="AM57" i="53"/>
  <c r="AM30" i="15"/>
  <c r="AM27" i="15"/>
  <c r="AM28" i="15"/>
  <c r="AM29" i="15"/>
  <c r="AM25" i="15"/>
  <c r="AM26" i="15"/>
  <c r="AM27" i="48"/>
  <c r="AM26" i="48"/>
  <c r="AM29" i="48"/>
  <c r="AM30" i="48"/>
  <c r="AM25" i="48"/>
  <c r="AL59" i="15"/>
  <c r="AL60" i="15"/>
  <c r="AL58" i="15"/>
  <c r="AL57" i="15"/>
  <c r="AL56" i="15"/>
  <c r="AL55" i="15"/>
  <c r="AM7" i="50"/>
  <c r="AM6" i="50"/>
  <c r="AM9" i="50"/>
  <c r="AM10" i="50"/>
  <c r="AM8" i="50"/>
  <c r="AM5" i="50"/>
  <c r="AM7" i="54"/>
  <c r="AM10" i="54"/>
  <c r="AM9" i="54"/>
  <c r="AM6" i="54"/>
  <c r="AM8" i="54"/>
  <c r="AM5" i="54"/>
  <c r="AM50" i="53"/>
  <c r="AM47" i="53"/>
  <c r="AM46" i="53"/>
  <c r="AM49" i="53"/>
  <c r="AM45" i="53"/>
  <c r="AM48" i="53"/>
  <c r="AM7" i="52"/>
  <c r="AM6" i="52"/>
  <c r="AM10" i="52"/>
  <c r="AM9" i="52"/>
  <c r="AM8" i="52"/>
  <c r="AM5" i="52"/>
  <c r="AM5" i="53"/>
  <c r="AM8" i="53"/>
  <c r="AM10" i="53"/>
  <c r="AM7" i="53"/>
  <c r="AM6" i="53"/>
  <c r="AM9" i="53"/>
  <c r="AM37" i="48"/>
  <c r="AM36" i="48"/>
  <c r="AM39" i="48"/>
  <c r="AM40" i="48"/>
  <c r="AM38" i="48"/>
  <c r="AM35" i="48"/>
  <c r="AM27" i="51"/>
  <c r="AM29" i="51"/>
  <c r="AM25" i="51"/>
  <c r="AM30" i="51"/>
  <c r="AM28" i="51"/>
  <c r="AM26" i="51"/>
  <c r="AM47" i="15"/>
  <c r="AM49" i="15"/>
  <c r="AM50" i="15"/>
  <c r="AM45" i="15"/>
  <c r="AM48" i="15"/>
  <c r="AM46" i="15"/>
  <c r="AL26" i="54"/>
  <c r="AL29" i="54"/>
  <c r="AL30" i="54"/>
  <c r="AL27" i="54"/>
  <c r="AL28" i="54"/>
  <c r="AL25" i="54"/>
  <c r="AL7" i="52"/>
  <c r="AL10" i="52"/>
  <c r="AL6" i="52"/>
  <c r="AL9" i="52"/>
  <c r="AL5" i="52"/>
  <c r="AL8" i="52"/>
  <c r="AL57" i="55"/>
  <c r="AL60" i="55"/>
  <c r="AL56" i="55"/>
  <c r="AL58" i="55"/>
  <c r="AL59" i="55"/>
  <c r="AL55" i="55"/>
  <c r="AL29" i="55"/>
  <c r="AL28" i="55"/>
  <c r="AL27" i="55"/>
  <c r="AL26" i="55"/>
  <c r="AL25" i="55"/>
  <c r="AL30" i="55"/>
  <c r="AM17" i="51"/>
  <c r="AM20" i="51"/>
  <c r="AM19" i="51"/>
  <c r="AM18" i="51"/>
  <c r="AM15" i="51"/>
  <c r="AM16" i="51"/>
  <c r="AL60" i="49"/>
  <c r="AL56" i="49"/>
  <c r="AL59" i="49"/>
  <c r="AL57" i="49"/>
  <c r="AL55" i="49"/>
  <c r="AL58" i="49"/>
  <c r="AL28" i="52"/>
  <c r="AL26" i="52"/>
  <c r="AL30" i="52"/>
  <c r="AL27" i="52"/>
  <c r="AL29" i="52"/>
  <c r="AL25" i="52"/>
  <c r="AM47" i="52"/>
  <c r="AM49" i="52"/>
  <c r="AM48" i="52"/>
  <c r="AM46" i="52"/>
  <c r="AM50" i="52"/>
  <c r="AM45" i="52"/>
  <c r="AL36" i="55"/>
  <c r="AL35" i="55"/>
  <c r="AL39" i="55"/>
  <c r="AL37" i="55"/>
  <c r="AL38" i="55"/>
  <c r="AL40" i="55"/>
  <c r="AL7" i="49"/>
  <c r="AL6" i="49"/>
  <c r="AL10" i="49"/>
  <c r="AL5" i="49"/>
  <c r="AL8" i="49"/>
  <c r="AL9" i="49"/>
  <c r="AL46" i="54"/>
  <c r="AL49" i="54"/>
  <c r="AL47" i="54"/>
  <c r="AL50" i="54"/>
  <c r="AL48" i="54"/>
  <c r="AL45" i="54"/>
  <c r="AL37" i="51"/>
  <c r="AL38" i="51"/>
  <c r="AL36" i="51"/>
  <c r="AL40" i="51"/>
  <c r="AL39" i="51"/>
  <c r="AL35" i="51"/>
  <c r="AL40" i="48"/>
  <c r="AL37" i="48"/>
  <c r="AL36" i="48"/>
  <c r="AL39" i="48"/>
  <c r="AL38" i="48"/>
  <c r="AL35" i="48"/>
  <c r="AL38" i="53"/>
  <c r="AL35" i="53"/>
  <c r="AL39" i="53"/>
  <c r="AL40" i="53"/>
  <c r="AL37" i="53"/>
  <c r="AL36" i="53"/>
  <c r="AK18" i="51"/>
  <c r="AK20" i="51"/>
  <c r="AK19" i="51"/>
  <c r="AK17" i="51"/>
  <c r="AK16" i="51"/>
  <c r="AK15" i="51"/>
  <c r="AK40" i="50"/>
  <c r="AK37" i="50"/>
  <c r="AK39" i="50"/>
  <c r="AK36" i="50"/>
  <c r="AK35" i="50"/>
  <c r="AK38" i="50"/>
  <c r="AK36" i="48"/>
  <c r="AK40" i="48"/>
  <c r="AK39" i="48"/>
  <c r="AK37" i="48"/>
  <c r="AK38" i="48"/>
  <c r="AK35" i="48"/>
  <c r="AK15" i="15"/>
  <c r="AK18" i="15"/>
  <c r="AK16" i="15"/>
  <c r="AK17" i="15"/>
  <c r="AK20" i="15"/>
  <c r="AK19" i="15"/>
  <c r="AI59" i="54"/>
  <c r="AI57" i="54"/>
  <c r="AI60" i="54"/>
  <c r="AI58" i="54"/>
  <c r="AI56" i="54"/>
  <c r="AI55" i="54"/>
  <c r="AK60" i="53"/>
  <c r="AK58" i="53"/>
  <c r="AK59" i="53"/>
  <c r="AK56" i="53"/>
  <c r="AK57" i="53"/>
  <c r="AK55" i="53"/>
  <c r="AK29" i="50"/>
  <c r="AK30" i="50"/>
  <c r="AK28" i="50"/>
  <c r="AK26" i="50"/>
  <c r="AK27" i="50"/>
  <c r="AK25" i="50"/>
  <c r="AK17" i="56"/>
  <c r="AK16" i="56"/>
  <c r="AK20" i="56"/>
  <c r="AK19" i="56"/>
  <c r="AK15" i="56"/>
  <c r="AK18" i="56"/>
  <c r="AK5" i="51"/>
  <c r="AK7" i="51"/>
  <c r="AK9" i="51"/>
  <c r="AK6" i="51"/>
  <c r="AK8" i="51"/>
  <c r="AK10" i="51"/>
  <c r="AK5" i="55"/>
  <c r="AK10" i="55"/>
  <c r="AK9" i="55"/>
  <c r="AK7" i="55"/>
  <c r="AK6" i="55"/>
  <c r="AK8" i="55"/>
  <c r="AJ17" i="56"/>
  <c r="AJ19" i="56"/>
  <c r="AJ20" i="56"/>
  <c r="AJ16" i="56"/>
  <c r="AJ15" i="56"/>
  <c r="AJ18" i="56"/>
  <c r="AI38" i="15"/>
  <c r="AI35" i="15"/>
  <c r="AI40" i="15"/>
  <c r="AI37" i="15"/>
  <c r="AI36" i="15"/>
  <c r="AI39" i="15"/>
  <c r="AK10" i="50"/>
  <c r="AK7" i="50"/>
  <c r="AK6" i="50"/>
  <c r="AK9" i="50"/>
  <c r="AK5" i="50"/>
  <c r="AK8" i="50"/>
  <c r="AI8" i="51"/>
  <c r="AI7" i="51"/>
  <c r="AI6" i="51"/>
  <c r="AI9" i="51"/>
  <c r="AI10" i="51"/>
  <c r="AI5" i="51"/>
  <c r="AK9" i="49"/>
  <c r="AK6" i="49"/>
  <c r="AK7" i="49"/>
  <c r="AK10" i="49"/>
  <c r="AK5" i="49"/>
  <c r="AK8" i="49"/>
  <c r="AK38" i="53"/>
  <c r="AK36" i="53"/>
  <c r="AK37" i="53"/>
  <c r="AK35" i="53"/>
  <c r="AK40" i="53"/>
  <c r="AK39" i="53"/>
  <c r="AK59" i="49"/>
  <c r="AK60" i="49"/>
  <c r="AK55" i="49"/>
  <c r="AK57" i="49"/>
  <c r="AK58" i="49"/>
  <c r="AK56" i="49"/>
  <c r="AI9" i="55"/>
  <c r="AI8" i="55"/>
  <c r="AI10" i="55"/>
  <c r="AI6" i="55"/>
  <c r="AI7" i="55"/>
  <c r="AI5" i="55"/>
  <c r="AK37" i="52"/>
  <c r="AK40" i="52"/>
  <c r="AK36" i="52"/>
  <c r="AK39" i="52"/>
  <c r="AK35" i="52"/>
  <c r="AK38" i="52"/>
  <c r="AJ62" i="53"/>
  <c r="AI35" i="53"/>
  <c r="AI40" i="53"/>
  <c r="AI38" i="53"/>
  <c r="AI37" i="53"/>
  <c r="AI39" i="53"/>
  <c r="AI36" i="53"/>
  <c r="AJ18" i="55"/>
  <c r="AJ17" i="55"/>
  <c r="AJ20" i="55"/>
  <c r="AJ19" i="55"/>
  <c r="AJ16" i="55"/>
  <c r="AJ15" i="55"/>
  <c r="AJ15" i="51"/>
  <c r="AJ19" i="51"/>
  <c r="AJ20" i="51"/>
  <c r="AJ17" i="51"/>
  <c r="AJ16" i="51"/>
  <c r="AJ18" i="51"/>
  <c r="AI29" i="50"/>
  <c r="AI26" i="50"/>
  <c r="AI30" i="50"/>
  <c r="AI28" i="50"/>
  <c r="AI27" i="50"/>
  <c r="AI25" i="50"/>
  <c r="AJ36" i="56"/>
  <c r="AJ40" i="56"/>
  <c r="AJ37" i="56"/>
  <c r="AJ39" i="56"/>
  <c r="AJ38" i="56"/>
  <c r="AJ35" i="56"/>
  <c r="AI59" i="52"/>
  <c r="AI57" i="52"/>
  <c r="AI56" i="52"/>
  <c r="AI58" i="52"/>
  <c r="AI60" i="52"/>
  <c r="AI55" i="52"/>
  <c r="AJ50" i="54"/>
  <c r="AJ48" i="54"/>
  <c r="AJ49" i="54"/>
  <c r="AJ47" i="54"/>
  <c r="AJ46" i="54"/>
  <c r="AJ45" i="54"/>
  <c r="AI46" i="54"/>
  <c r="AI50" i="54"/>
  <c r="AI47" i="54"/>
  <c r="AI48" i="54"/>
  <c r="AI49" i="54"/>
  <c r="AI45" i="54"/>
  <c r="AJ60" i="50"/>
  <c r="AJ58" i="50"/>
  <c r="AJ57" i="50"/>
  <c r="AJ56" i="50"/>
  <c r="AJ59" i="50"/>
  <c r="AJ55" i="50"/>
  <c r="AJ29" i="50"/>
  <c r="AJ30" i="50"/>
  <c r="AJ27" i="50"/>
  <c r="AJ26" i="50"/>
  <c r="AJ28" i="50"/>
  <c r="AJ25" i="50"/>
  <c r="AJ16" i="54"/>
  <c r="AJ17" i="54"/>
  <c r="AJ20" i="54"/>
  <c r="AJ19" i="54"/>
  <c r="AJ15" i="54"/>
  <c r="AJ18" i="54"/>
  <c r="AI60" i="53"/>
  <c r="AI56" i="53"/>
  <c r="AI57" i="53"/>
  <c r="AI59" i="53"/>
  <c r="AI58" i="53"/>
  <c r="AI55" i="53"/>
  <c r="AI15" i="53"/>
  <c r="AI18" i="53"/>
  <c r="AI19" i="53"/>
  <c r="AI16" i="53"/>
  <c r="AI17" i="53"/>
  <c r="AI20" i="53"/>
  <c r="AK40" i="56"/>
  <c r="AK39" i="56"/>
  <c r="AK36" i="56"/>
  <c r="AK37" i="56"/>
  <c r="AK35" i="56"/>
  <c r="AK38" i="56"/>
  <c r="AI57" i="56"/>
  <c r="AI60" i="56"/>
  <c r="AI58" i="56"/>
  <c r="AI56" i="56"/>
  <c r="AI59" i="56"/>
  <c r="AI55" i="56"/>
  <c r="AI30" i="15"/>
  <c r="AI26" i="15"/>
  <c r="AI25" i="15"/>
  <c r="AI28" i="15"/>
  <c r="AI27" i="15"/>
  <c r="AI29" i="15"/>
  <c r="AI18" i="54"/>
  <c r="AI17" i="54"/>
  <c r="AI19" i="54"/>
  <c r="AI16" i="54"/>
  <c r="AI20" i="54"/>
  <c r="AI15" i="54"/>
  <c r="AJ36" i="49"/>
  <c r="AJ40" i="49"/>
  <c r="AJ37" i="49"/>
  <c r="AJ38" i="49"/>
  <c r="AJ39" i="49"/>
  <c r="AJ35" i="49"/>
  <c r="AJ9" i="56"/>
  <c r="AJ10" i="56"/>
  <c r="AJ5" i="56"/>
  <c r="AJ6" i="56"/>
  <c r="AJ7" i="56"/>
  <c r="AJ8" i="56"/>
  <c r="AI25" i="51"/>
  <c r="AI27" i="51"/>
  <c r="AI30" i="51"/>
  <c r="AI29" i="51"/>
  <c r="AI28" i="51"/>
  <c r="AI26" i="51"/>
  <c r="AI29" i="56"/>
  <c r="AI28" i="56"/>
  <c r="AI30" i="56"/>
  <c r="AI27" i="56"/>
  <c r="AI25" i="56"/>
  <c r="AI26" i="56"/>
  <c r="AI27" i="48"/>
  <c r="AI29" i="48"/>
  <c r="AI26" i="48"/>
  <c r="AI28" i="48"/>
  <c r="AI30" i="48"/>
  <c r="AI25" i="48"/>
  <c r="AI28" i="55"/>
  <c r="AI30" i="55"/>
  <c r="AI25" i="55"/>
  <c r="AI26" i="55"/>
  <c r="AI29" i="55"/>
  <c r="AI27" i="55"/>
  <c r="AI48" i="56"/>
  <c r="AI49" i="56"/>
  <c r="AI47" i="56"/>
  <c r="AI46" i="56"/>
  <c r="AI50" i="56"/>
  <c r="AI45" i="56"/>
  <c r="AJ47" i="56"/>
  <c r="AJ49" i="56"/>
  <c r="AJ50" i="56"/>
  <c r="AJ46" i="56"/>
  <c r="AJ48" i="56"/>
  <c r="AJ45" i="56"/>
  <c r="AJ62" i="15"/>
  <c r="AI18" i="15"/>
  <c r="AI15" i="15"/>
  <c r="AI17" i="15"/>
  <c r="AI16" i="15"/>
  <c r="AI20" i="15"/>
  <c r="AI19" i="15"/>
  <c r="AJ20" i="52"/>
  <c r="AJ16" i="52"/>
  <c r="AJ17" i="52"/>
  <c r="AJ19" i="52"/>
  <c r="AJ15" i="52"/>
  <c r="AJ18" i="52"/>
  <c r="AS9" i="48"/>
  <c r="AS7" i="48"/>
  <c r="AS10" i="48"/>
  <c r="AS6" i="48"/>
  <c r="AS8" i="48"/>
  <c r="AS47" i="56"/>
  <c r="AS50" i="56"/>
  <c r="AS46" i="56"/>
  <c r="AS49" i="56"/>
  <c r="AR5" i="49"/>
  <c r="AR8" i="49"/>
  <c r="AR9" i="49"/>
  <c r="AR10" i="49"/>
  <c r="AR7" i="49"/>
  <c r="AT29" i="55"/>
  <c r="AT28" i="55"/>
  <c r="AT26" i="55"/>
  <c r="AT30" i="55"/>
  <c r="AT25" i="55"/>
  <c r="AR30" i="52"/>
  <c r="AR27" i="52"/>
  <c r="AR29" i="52"/>
  <c r="AR26" i="52"/>
  <c r="AR25" i="52"/>
  <c r="AT29" i="50"/>
  <c r="AT30" i="50"/>
  <c r="AT27" i="50"/>
  <c r="AR46" i="52"/>
  <c r="AR47" i="52"/>
  <c r="AR48" i="52"/>
  <c r="AR49" i="52"/>
  <c r="AR50" i="52"/>
  <c r="AS36" i="48"/>
  <c r="AS40" i="48"/>
  <c r="AS37" i="48"/>
  <c r="AS35" i="48"/>
  <c r="AS38" i="48"/>
  <c r="AR19" i="48"/>
  <c r="AR20" i="48"/>
  <c r="AR15" i="48"/>
  <c r="AR18" i="48"/>
  <c r="AR38" i="56"/>
  <c r="AR40" i="56"/>
  <c r="AR37" i="56"/>
  <c r="AR39" i="56"/>
  <c r="AR35" i="56"/>
  <c r="AR59" i="48"/>
  <c r="AR58" i="48"/>
  <c r="AR60" i="48"/>
  <c r="AR56" i="48"/>
  <c r="AR17" i="51"/>
  <c r="AR20" i="51"/>
  <c r="AR19" i="51"/>
  <c r="AR18" i="51"/>
  <c r="AR15" i="51"/>
  <c r="AR16" i="51"/>
  <c r="AR49" i="49"/>
  <c r="AR47" i="49"/>
  <c r="AR48" i="49"/>
  <c r="AR50" i="49"/>
  <c r="AR46" i="49"/>
  <c r="AR7" i="54"/>
  <c r="AR6" i="54"/>
  <c r="AR9" i="54"/>
  <c r="AR10" i="54"/>
  <c r="AR8" i="54"/>
  <c r="AS49" i="48"/>
  <c r="AS48" i="48"/>
  <c r="AS47" i="48"/>
  <c r="AS50" i="48"/>
  <c r="AS45" i="48"/>
  <c r="AR47" i="56"/>
  <c r="AR46" i="56"/>
  <c r="AR50" i="56"/>
  <c r="AR49" i="56"/>
  <c r="AS37" i="49"/>
  <c r="AS38" i="49"/>
  <c r="AS39" i="49"/>
  <c r="AS40" i="49"/>
  <c r="AR6" i="15"/>
  <c r="AR9" i="15"/>
  <c r="AR10" i="15"/>
  <c r="AR8" i="15"/>
  <c r="AR7" i="15"/>
  <c r="AY61" i="48"/>
  <c r="AY41" i="48"/>
  <c r="AY61" i="56"/>
  <c r="AY41" i="52"/>
  <c r="AY21" i="51"/>
  <c r="AY41" i="55"/>
  <c r="AY61" i="51"/>
  <c r="AY21" i="48"/>
  <c r="AY21" i="53"/>
  <c r="AY18" i="53" s="1"/>
  <c r="AY51" i="56"/>
  <c r="AY61" i="55"/>
  <c r="AY57" i="55" s="1"/>
  <c r="AY21" i="49"/>
  <c r="AY17" i="49" s="1"/>
  <c r="AY31" i="52"/>
  <c r="AY21" i="50"/>
  <c r="AY11" i="49"/>
  <c r="AY7" i="49" s="1"/>
  <c r="AY11" i="51"/>
  <c r="AY61" i="15"/>
  <c r="AY59" i="15" s="1"/>
  <c r="AY31" i="54"/>
  <c r="AY61" i="50"/>
  <c r="AY31" i="48"/>
  <c r="AY41" i="49"/>
  <c r="AY40" i="49" s="1"/>
  <c r="AY31" i="53"/>
  <c r="AY28" i="53" s="1"/>
  <c r="AY51" i="15"/>
  <c r="AY46" i="15" s="1"/>
  <c r="AY61" i="52"/>
  <c r="AY31" i="49"/>
  <c r="AY11" i="48"/>
  <c r="AY21" i="15"/>
  <c r="AY21" i="52"/>
  <c r="AY11" i="52"/>
  <c r="AY51" i="54"/>
  <c r="AY41" i="15"/>
  <c r="AY11" i="53"/>
  <c r="AY9" i="53" s="1"/>
  <c r="AY31" i="56"/>
  <c r="AY11" i="50"/>
  <c r="AY11" i="55"/>
  <c r="AY8" i="55" s="1"/>
  <c r="AY51" i="55"/>
  <c r="AY41" i="50"/>
  <c r="AY51" i="48"/>
  <c r="AY11" i="56"/>
  <c r="AY51" i="50"/>
  <c r="AY41" i="53"/>
  <c r="AY31" i="50"/>
  <c r="AY31" i="51"/>
  <c r="AY27" i="51" s="1"/>
  <c r="AY21" i="54"/>
  <c r="AY31" i="15"/>
  <c r="AY28" i="15" s="1"/>
  <c r="AY41" i="51"/>
  <c r="AY21" i="56"/>
  <c r="AY31" i="55"/>
  <c r="AY30" i="55" s="1"/>
  <c r="AY51" i="52"/>
  <c r="AY11" i="15"/>
  <c r="AY7" i="15" s="1"/>
  <c r="AY51" i="53"/>
  <c r="AY48" i="53" s="1"/>
  <c r="AY41" i="56"/>
  <c r="AY51" i="49"/>
  <c r="AY49" i="49" s="1"/>
  <c r="AY61" i="49"/>
  <c r="AY60" i="49" s="1"/>
  <c r="BA43" i="53"/>
  <c r="BB44" i="53"/>
  <c r="BB43" i="53" s="1"/>
  <c r="AD14" i="54"/>
  <c r="AD13" i="54" s="1"/>
  <c r="AC13" i="54"/>
  <c r="BA43" i="51"/>
  <c r="BB44" i="51"/>
  <c r="BB43" i="51" s="1"/>
  <c r="AD54" i="50"/>
  <c r="AD53" i="50" s="1"/>
  <c r="AC53" i="50"/>
  <c r="AD54" i="54"/>
  <c r="AD53" i="54" s="1"/>
  <c r="AC53" i="54"/>
  <c r="AH16" i="53"/>
  <c r="AH18" i="53"/>
  <c r="AH17" i="53"/>
  <c r="AH19" i="53"/>
  <c r="AH20" i="53"/>
  <c r="AH15" i="53"/>
  <c r="AH26" i="48"/>
  <c r="AH29" i="48"/>
  <c r="AH27" i="48"/>
  <c r="AH30" i="48"/>
  <c r="AH28" i="48"/>
  <c r="AH25" i="48"/>
  <c r="AH40" i="48"/>
  <c r="AH36" i="48"/>
  <c r="AH37" i="48"/>
  <c r="AH39" i="48"/>
  <c r="AH38" i="48"/>
  <c r="AH35" i="48"/>
  <c r="AH56" i="15"/>
  <c r="AH60" i="15"/>
  <c r="AH58" i="15"/>
  <c r="AH55" i="15"/>
  <c r="AH59" i="15"/>
  <c r="AH57" i="15"/>
  <c r="AH57" i="55"/>
  <c r="AH60" i="55"/>
  <c r="AH56" i="55"/>
  <c r="AH55" i="55"/>
  <c r="AH59" i="55"/>
  <c r="AH58" i="55"/>
  <c r="AH60" i="53"/>
  <c r="AH59" i="53"/>
  <c r="AH58" i="53"/>
  <c r="AH55" i="53"/>
  <c r="AH57" i="53"/>
  <c r="AH56" i="53"/>
  <c r="AH9" i="15"/>
  <c r="AH6" i="15"/>
  <c r="AH10" i="15"/>
  <c r="AH7" i="15"/>
  <c r="AH8" i="15"/>
  <c r="AH46" i="48"/>
  <c r="AH49" i="48"/>
  <c r="AH50" i="48"/>
  <c r="AH47" i="48"/>
  <c r="AH48" i="48"/>
  <c r="AH45" i="48"/>
  <c r="AH46" i="49"/>
  <c r="AH47" i="49"/>
  <c r="AH48" i="49"/>
  <c r="AH49" i="49"/>
  <c r="AH50" i="49"/>
  <c r="AH45" i="49"/>
  <c r="AH17" i="48"/>
  <c r="AH20" i="48"/>
  <c r="AH19" i="48"/>
  <c r="AH16" i="48"/>
  <c r="AH18" i="48"/>
  <c r="AH15" i="48"/>
  <c r="AH19" i="52"/>
  <c r="AH18" i="52"/>
  <c r="AH20" i="52"/>
  <c r="AH16" i="52"/>
  <c r="AH17" i="52"/>
  <c r="AH15" i="52"/>
  <c r="AH20" i="54"/>
  <c r="AH17" i="54"/>
  <c r="AH16" i="54"/>
  <c r="AH19" i="54"/>
  <c r="AH18" i="54"/>
  <c r="AH15" i="54"/>
  <c r="AH36" i="56"/>
  <c r="AH37" i="56"/>
  <c r="AH39" i="56"/>
  <c r="AH38" i="56"/>
  <c r="AH40" i="56"/>
  <c r="AH35" i="56"/>
  <c r="AH40" i="54"/>
  <c r="AH39" i="54"/>
  <c r="AH38" i="54"/>
  <c r="AH37" i="54"/>
  <c r="AH36" i="54"/>
  <c r="AH35" i="54"/>
  <c r="AH18" i="55"/>
  <c r="AH15" i="55"/>
  <c r="AH16" i="55"/>
  <c r="AH20" i="55"/>
  <c r="AH19" i="55"/>
  <c r="AH17" i="55"/>
  <c r="AH50" i="55"/>
  <c r="AH48" i="55"/>
  <c r="AH47" i="55"/>
  <c r="AH49" i="55"/>
  <c r="AH45" i="55"/>
  <c r="AH46" i="55"/>
  <c r="AH29" i="51"/>
  <c r="AH30" i="51"/>
  <c r="AH25" i="51"/>
  <c r="AH28" i="51"/>
  <c r="AH27" i="51"/>
  <c r="AH26" i="51"/>
  <c r="AH19" i="56"/>
  <c r="AH20" i="56"/>
  <c r="AH18" i="56"/>
  <c r="AH17" i="56"/>
  <c r="AH16" i="56"/>
  <c r="AH15" i="56"/>
  <c r="AH47" i="15"/>
  <c r="AH48" i="15"/>
  <c r="AH49" i="15"/>
  <c r="AH50" i="15"/>
  <c r="AH46" i="15"/>
  <c r="AH45" i="15"/>
  <c r="AH27" i="52"/>
  <c r="AH29" i="52"/>
  <c r="AH28" i="52"/>
  <c r="AH30" i="52"/>
  <c r="AH26" i="52"/>
  <c r="AH25" i="52"/>
  <c r="AH7" i="52"/>
  <c r="AH9" i="52"/>
  <c r="AH8" i="52"/>
  <c r="AH10" i="52"/>
  <c r="AH6" i="52"/>
  <c r="AH5" i="52"/>
  <c r="AH16" i="15"/>
  <c r="AH18" i="15"/>
  <c r="AH20" i="15"/>
  <c r="AH19" i="15"/>
  <c r="AH15" i="15"/>
  <c r="AH17" i="15"/>
  <c r="AH37" i="53"/>
  <c r="AH39" i="53"/>
  <c r="AH38" i="53"/>
  <c r="AH40" i="53"/>
  <c r="AH36" i="53"/>
  <c r="AH35" i="53"/>
  <c r="AH49" i="54"/>
  <c r="AH46" i="54"/>
  <c r="AH50" i="54"/>
  <c r="AH47" i="54"/>
  <c r="AH48" i="54"/>
  <c r="AH45" i="54"/>
  <c r="AH29" i="50"/>
  <c r="AH27" i="50"/>
  <c r="AH30" i="50"/>
  <c r="AH26" i="50"/>
  <c r="AH28" i="50"/>
  <c r="AH25" i="50"/>
  <c r="AH58" i="56"/>
  <c r="AH57" i="56"/>
  <c r="AH56" i="56"/>
  <c r="AH60" i="56"/>
  <c r="AH59" i="56"/>
  <c r="AH55" i="56"/>
  <c r="AH39" i="49"/>
  <c r="AH35" i="49"/>
  <c r="AH37" i="49"/>
  <c r="AH38" i="49"/>
  <c r="AH40" i="49"/>
  <c r="AH36" i="49"/>
  <c r="AH7" i="49"/>
  <c r="AH5" i="49"/>
  <c r="AH10" i="49"/>
  <c r="AH8" i="49"/>
  <c r="AH6" i="49"/>
  <c r="AH9" i="49"/>
  <c r="AH10" i="51"/>
  <c r="AH5" i="51"/>
  <c r="AH8" i="51"/>
  <c r="AH6" i="51"/>
  <c r="AH9" i="51"/>
  <c r="AH7" i="51"/>
  <c r="AH48" i="53"/>
  <c r="AH49" i="53"/>
  <c r="AH50" i="53"/>
  <c r="AH46" i="53"/>
  <c r="AH47" i="53"/>
  <c r="AH45" i="53"/>
  <c r="AH56" i="51"/>
  <c r="AH57" i="51"/>
  <c r="AH58" i="51"/>
  <c r="AH60" i="51"/>
  <c r="AH59" i="51"/>
  <c r="AH55" i="51"/>
  <c r="AH56" i="52"/>
  <c r="AH60" i="52"/>
  <c r="AH59" i="52"/>
  <c r="AH57" i="52"/>
  <c r="AH58" i="52"/>
  <c r="AH55" i="52"/>
  <c r="AH28" i="56"/>
  <c r="AH27" i="56"/>
  <c r="AH30" i="56"/>
  <c r="AH29" i="56"/>
  <c r="AH26" i="56"/>
  <c r="AH25" i="56"/>
  <c r="AH56" i="54"/>
  <c r="AH60" i="54"/>
  <c r="AH59" i="54"/>
  <c r="AH58" i="54"/>
  <c r="AH57" i="54"/>
  <c r="AH55" i="54"/>
  <c r="AH18" i="51"/>
  <c r="AH17" i="51"/>
  <c r="AH16" i="51"/>
  <c r="AH20" i="51"/>
  <c r="AH19" i="51"/>
  <c r="AH15" i="51"/>
  <c r="AH60" i="49"/>
  <c r="AH58" i="49"/>
  <c r="AH59" i="49"/>
  <c r="AH56" i="49"/>
  <c r="AH57" i="49"/>
  <c r="AH55" i="49"/>
  <c r="AH57" i="50"/>
  <c r="AH56" i="50"/>
  <c r="AH59" i="50"/>
  <c r="AH58" i="50"/>
  <c r="AH60" i="50"/>
  <c r="AH55" i="50"/>
  <c r="AH48" i="56"/>
  <c r="AH49" i="56"/>
  <c r="AH50" i="56"/>
  <c r="AH46" i="56"/>
  <c r="AH47" i="56"/>
  <c r="AH45" i="56"/>
  <c r="AH47" i="52"/>
  <c r="AH48" i="52"/>
  <c r="AH46" i="52"/>
  <c r="AH50" i="52"/>
  <c r="AH49" i="52"/>
  <c r="AH45" i="52"/>
  <c r="AH9" i="55"/>
  <c r="AH10" i="55"/>
  <c r="AH5" i="55"/>
  <c r="AH7" i="55"/>
  <c r="AH6" i="55"/>
  <c r="AH8" i="55"/>
  <c r="AH7" i="48"/>
  <c r="AH6" i="48"/>
  <c r="AH8" i="48"/>
  <c r="AH9" i="48"/>
  <c r="AH10" i="48"/>
  <c r="AH5" i="48"/>
  <c r="AH40" i="50"/>
  <c r="AH38" i="50"/>
  <c r="AH39" i="50"/>
  <c r="AH36" i="50"/>
  <c r="AH37" i="50"/>
  <c r="AH35" i="50"/>
  <c r="AH39" i="55"/>
  <c r="AH36" i="55"/>
  <c r="AH37" i="55"/>
  <c r="AH38" i="55"/>
  <c r="AH35" i="55"/>
  <c r="AH40" i="55"/>
  <c r="AW59" i="49"/>
  <c r="AH10" i="53"/>
  <c r="AH9" i="53"/>
  <c r="AH8" i="53"/>
  <c r="AH7" i="53"/>
  <c r="AH6" i="53"/>
  <c r="AH5" i="53"/>
  <c r="AH26" i="15"/>
  <c r="AH30" i="15"/>
  <c r="AH25" i="15"/>
  <c r="AH28" i="15"/>
  <c r="AH29" i="15"/>
  <c r="AH27" i="15"/>
  <c r="AH25" i="55"/>
  <c r="AH27" i="55"/>
  <c r="AH28" i="55"/>
  <c r="AH30" i="55"/>
  <c r="AH29" i="55"/>
  <c r="AH26" i="55"/>
  <c r="AH20" i="49"/>
  <c r="AH16" i="49"/>
  <c r="AH17" i="49"/>
  <c r="AH15" i="49"/>
  <c r="AH18" i="49"/>
  <c r="AH19" i="49"/>
  <c r="AH37" i="51"/>
  <c r="AH39" i="51"/>
  <c r="AH38" i="51"/>
  <c r="AH36" i="51"/>
  <c r="AH35" i="51"/>
  <c r="AH40" i="51"/>
  <c r="AH26" i="54"/>
  <c r="AH27" i="54"/>
  <c r="AH29" i="54"/>
  <c r="AH30" i="54"/>
  <c r="AH28" i="54"/>
  <c r="AH25" i="54"/>
  <c r="AH45" i="50"/>
  <c r="AH50" i="50"/>
  <c r="AH47" i="50"/>
  <c r="AH48" i="50"/>
  <c r="AH49" i="50"/>
  <c r="AH46" i="50"/>
  <c r="AH38" i="15"/>
  <c r="AH37" i="15"/>
  <c r="AH35" i="15"/>
  <c r="AH39" i="15"/>
  <c r="AH40" i="15"/>
  <c r="AH36" i="15"/>
  <c r="AH45" i="51"/>
  <c r="AH46" i="51"/>
  <c r="AH49" i="51"/>
  <c r="AH50" i="51"/>
  <c r="AH47" i="51"/>
  <c r="AH48" i="51"/>
  <c r="AH8" i="56"/>
  <c r="AH7" i="56"/>
  <c r="AH10" i="56"/>
  <c r="AH9" i="56"/>
  <c r="AH6" i="56"/>
  <c r="AH5" i="56"/>
  <c r="AH27" i="53"/>
  <c r="AH28" i="53"/>
  <c r="AH29" i="53"/>
  <c r="AH26" i="53"/>
  <c r="AH30" i="53"/>
  <c r="AH25" i="53"/>
  <c r="AH7" i="54"/>
  <c r="AH6" i="54"/>
  <c r="AH9" i="54"/>
  <c r="AH8" i="54"/>
  <c r="AH10" i="54"/>
  <c r="AH5" i="54"/>
  <c r="AH19" i="50"/>
  <c r="AH16" i="50"/>
  <c r="AH20" i="50"/>
  <c r="AH18" i="50"/>
  <c r="AH17" i="50"/>
  <c r="AH15" i="50"/>
  <c r="AH57" i="48"/>
  <c r="AH58" i="48"/>
  <c r="AH60" i="48"/>
  <c r="AH56" i="48"/>
  <c r="AH59" i="48"/>
  <c r="AH55" i="48"/>
  <c r="AH37" i="52"/>
  <c r="AH40" i="52"/>
  <c r="AH36" i="52"/>
  <c r="AH38" i="52"/>
  <c r="AH39" i="52"/>
  <c r="AH35" i="52"/>
  <c r="AH9" i="50"/>
  <c r="AH10" i="50"/>
  <c r="AH6" i="50"/>
  <c r="AH7" i="50"/>
  <c r="AH8" i="50"/>
  <c r="AH5" i="50"/>
  <c r="AH29" i="49"/>
  <c r="AH27" i="49"/>
  <c r="AH25" i="49"/>
  <c r="AH30" i="49"/>
  <c r="AH28" i="49"/>
  <c r="AH26" i="49"/>
  <c r="AX30" i="49"/>
  <c r="BB44" i="50"/>
  <c r="BB43" i="50" s="1"/>
  <c r="BA43" i="50"/>
  <c r="BA13" i="55"/>
  <c r="BB14" i="55"/>
  <c r="BB13" i="55" s="1"/>
  <c r="BA43" i="56"/>
  <c r="BB44" i="56"/>
  <c r="BB43" i="56" s="1"/>
  <c r="AD24" i="49"/>
  <c r="AD23" i="49" s="1"/>
  <c r="AC23" i="49"/>
  <c r="BB54" i="15"/>
  <c r="BB53" i="15" s="1"/>
  <c r="BA53" i="15"/>
  <c r="AC43" i="53"/>
  <c r="AD44" i="53"/>
  <c r="AD43" i="53" s="1"/>
  <c r="BB4" i="52"/>
  <c r="BA3" i="52"/>
  <c r="AD54" i="49"/>
  <c r="AD53" i="49" s="1"/>
  <c r="AC53" i="49"/>
  <c r="AD4" i="48"/>
  <c r="AD3" i="48" s="1"/>
  <c r="AC3" i="48"/>
  <c r="AD24" i="48"/>
  <c r="AD23" i="48" s="1"/>
  <c r="AC23" i="48"/>
  <c r="BB4" i="49"/>
  <c r="BA3" i="49"/>
  <c r="AC33" i="15"/>
  <c r="AD34" i="15"/>
  <c r="AD33" i="15" s="1"/>
  <c r="AC43" i="54"/>
  <c r="AD44" i="54"/>
  <c r="AD43" i="54" s="1"/>
  <c r="BA53" i="50"/>
  <c r="BB54" i="50"/>
  <c r="BB53" i="50" s="1"/>
  <c r="AD34" i="56"/>
  <c r="AD33" i="56" s="1"/>
  <c r="AC33" i="56"/>
  <c r="AC33" i="50"/>
  <c r="AD34" i="50"/>
  <c r="AD33" i="50" s="1"/>
  <c r="BA53" i="51"/>
  <c r="BB54" i="51"/>
  <c r="BB53" i="51" s="1"/>
  <c r="BB4" i="54"/>
  <c r="BA3" i="54"/>
  <c r="AW10" i="52"/>
  <c r="AX7" i="49"/>
  <c r="AX29" i="49"/>
  <c r="BB34" i="54"/>
  <c r="BB33" i="54" s="1"/>
  <c r="BA33" i="54"/>
  <c r="AC3" i="52"/>
  <c r="AD4" i="52"/>
  <c r="AD3" i="52" s="1"/>
  <c r="AD44" i="49"/>
  <c r="AD43" i="49" s="1"/>
  <c r="AC43" i="49"/>
  <c r="AW10" i="53"/>
  <c r="AX49" i="49"/>
  <c r="AX47" i="49"/>
  <c r="AD24" i="52"/>
  <c r="AD23" i="52" s="1"/>
  <c r="AC23" i="52"/>
  <c r="AX48" i="51"/>
  <c r="AX18" i="49"/>
  <c r="AX27" i="49"/>
  <c r="AW29" i="48"/>
  <c r="AW37" i="50"/>
  <c r="AW36" i="48"/>
  <c r="AW10" i="56"/>
  <c r="AW59" i="50"/>
  <c r="AW57" i="50"/>
  <c r="AW40" i="48"/>
  <c r="AW60" i="50"/>
  <c r="AX56" i="51"/>
  <c r="BA23" i="51"/>
  <c r="BB24" i="51"/>
  <c r="BB23" i="51" s="1"/>
  <c r="AC13" i="49"/>
  <c r="AD14" i="49"/>
  <c r="AD13" i="49" s="1"/>
  <c r="BB54" i="49"/>
  <c r="BB53" i="49" s="1"/>
  <c r="BA53" i="49"/>
  <c r="BB4" i="51"/>
  <c r="BA3" i="51"/>
  <c r="BB14" i="52"/>
  <c r="BB13" i="52" s="1"/>
  <c r="BA13" i="52"/>
  <c r="BA3" i="56"/>
  <c r="BB4" i="56"/>
  <c r="AC43" i="15"/>
  <c r="AD44" i="15"/>
  <c r="AD43" i="15" s="1"/>
  <c r="BB4" i="48"/>
  <c r="BA3" i="48"/>
  <c r="AD44" i="52"/>
  <c r="AD43" i="52" s="1"/>
  <c r="AC43" i="52"/>
  <c r="AD14" i="51"/>
  <c r="AD13" i="51" s="1"/>
  <c r="AC13" i="51"/>
  <c r="BA23" i="56"/>
  <c r="BB24" i="56"/>
  <c r="BB23" i="56" s="1"/>
  <c r="BA33" i="15"/>
  <c r="BB34" i="15"/>
  <c r="BB33" i="15" s="1"/>
  <c r="AZ3" i="14"/>
  <c r="BA53" i="52"/>
  <c r="BB54" i="52"/>
  <c r="BB53" i="52" s="1"/>
  <c r="AC13" i="56"/>
  <c r="AD14" i="56"/>
  <c r="AD13" i="56" s="1"/>
  <c r="AC23" i="53"/>
  <c r="AD24" i="53"/>
  <c r="AD23" i="53" s="1"/>
  <c r="BB4" i="50"/>
  <c r="BA3" i="50"/>
  <c r="BB44" i="15"/>
  <c r="BB43" i="15" s="1"/>
  <c r="BA43" i="15"/>
  <c r="AC3" i="53"/>
  <c r="AD4" i="53"/>
  <c r="AD3" i="53" s="1"/>
  <c r="BA33" i="50"/>
  <c r="BB34" i="50"/>
  <c r="BB33" i="50" s="1"/>
  <c r="AX28" i="53"/>
  <c r="AW58" i="50"/>
  <c r="AW19" i="52"/>
  <c r="AX28" i="15"/>
  <c r="AW8" i="49"/>
  <c r="AZ2" i="14"/>
  <c r="AC13" i="15"/>
  <c r="AD14" i="15"/>
  <c r="AD13" i="15" s="1"/>
  <c r="AC33" i="54"/>
  <c r="AD34" i="54"/>
  <c r="AD33" i="54" s="1"/>
  <c r="AD24" i="54"/>
  <c r="AD23" i="54" s="1"/>
  <c r="AC23" i="54"/>
  <c r="AC13" i="52"/>
  <c r="AD14" i="52"/>
  <c r="AD13" i="52" s="1"/>
  <c r="AD54" i="55"/>
  <c r="AD53" i="55" s="1"/>
  <c r="AC53" i="55"/>
  <c r="BB34" i="49"/>
  <c r="BB33" i="49" s="1"/>
  <c r="BA33" i="49"/>
  <c r="AD54" i="56"/>
  <c r="AD53" i="56" s="1"/>
  <c r="AC53" i="56"/>
  <c r="AX7" i="15"/>
  <c r="AW49" i="50"/>
  <c r="AW49" i="56"/>
  <c r="AW39" i="51"/>
  <c r="AX17" i="49"/>
  <c r="AW48" i="50"/>
  <c r="AW20" i="53"/>
  <c r="AW7" i="50"/>
  <c r="AV18" i="56"/>
  <c r="AW8" i="53"/>
  <c r="BB14" i="48"/>
  <c r="BB13" i="48" s="1"/>
  <c r="BA13" i="48"/>
  <c r="BB24" i="49"/>
  <c r="BB23" i="49" s="1"/>
  <c r="BA23" i="49"/>
  <c r="BA43" i="49"/>
  <c r="BB44" i="49"/>
  <c r="BB43" i="49" s="1"/>
  <c r="BA43" i="54"/>
  <c r="BB44" i="54"/>
  <c r="BB43" i="54" s="1"/>
  <c r="AD14" i="48"/>
  <c r="AD13" i="48" s="1"/>
  <c r="AC13" i="48"/>
  <c r="BB24" i="54"/>
  <c r="BB23" i="54" s="1"/>
  <c r="BA23" i="54"/>
  <c r="AW50" i="50"/>
  <c r="AC43" i="50"/>
  <c r="AD44" i="50"/>
  <c r="AD43" i="50" s="1"/>
  <c r="AY13" i="14"/>
  <c r="AZ14" i="14"/>
  <c r="AZ13" i="14" s="1"/>
  <c r="BB54" i="48"/>
  <c r="BB53" i="48" s="1"/>
  <c r="BA53" i="48"/>
  <c r="AD34" i="48"/>
  <c r="AD33" i="48" s="1"/>
  <c r="AC33" i="48"/>
  <c r="AD14" i="53"/>
  <c r="AD13" i="53" s="1"/>
  <c r="AC13" i="53"/>
  <c r="AC23" i="50"/>
  <c r="AD24" i="50"/>
  <c r="AD23" i="50" s="1"/>
  <c r="AC33" i="53"/>
  <c r="AD34" i="53"/>
  <c r="AD33" i="53" s="1"/>
  <c r="BA33" i="56"/>
  <c r="BB34" i="56"/>
  <c r="BB33" i="56" s="1"/>
  <c r="AD44" i="55"/>
  <c r="AD43" i="55" s="1"/>
  <c r="AC43" i="55"/>
  <c r="AC23" i="55"/>
  <c r="AD24" i="55"/>
  <c r="AD23" i="55" s="1"/>
  <c r="BA33" i="48"/>
  <c r="BB34" i="48"/>
  <c r="BB33" i="48" s="1"/>
  <c r="AW9" i="50"/>
  <c r="AW39" i="52"/>
  <c r="AW29" i="56"/>
  <c r="AW47" i="54"/>
  <c r="AW59" i="52"/>
  <c r="AW48" i="48"/>
  <c r="AW10" i="54"/>
  <c r="AV8" i="54"/>
  <c r="AW50" i="54"/>
  <c r="AW59" i="48"/>
  <c r="AX30" i="15"/>
  <c r="AW10" i="50"/>
  <c r="AW47" i="15"/>
  <c r="AW9" i="54"/>
  <c r="AV26" i="48"/>
  <c r="AW58" i="54"/>
  <c r="AW37" i="52"/>
  <c r="AW58" i="48"/>
  <c r="AW59" i="54"/>
  <c r="AX49" i="55"/>
  <c r="AW37" i="53"/>
  <c r="AX38" i="15"/>
  <c r="AW47" i="53"/>
  <c r="AW56" i="48"/>
  <c r="AX47" i="55"/>
  <c r="AX37" i="49"/>
  <c r="AX36" i="15"/>
  <c r="AW8" i="48"/>
  <c r="AX59" i="53"/>
  <c r="AX39" i="49"/>
  <c r="AW30" i="53"/>
  <c r="AW20" i="55"/>
  <c r="AX58" i="53"/>
  <c r="AW20" i="48"/>
  <c r="AW19" i="54"/>
  <c r="AV36" i="54"/>
  <c r="AW9" i="48"/>
  <c r="AW19" i="56"/>
  <c r="AX38" i="53"/>
  <c r="Y15" i="55"/>
  <c r="AW15" i="55" s="1"/>
  <c r="Y15" i="53"/>
  <c r="AW15" i="53" s="1"/>
  <c r="AV33" i="14"/>
  <c r="AV51" i="14" s="1"/>
  <c r="Z33" i="14"/>
  <c r="Y15" i="15"/>
  <c r="AW15" i="15" s="1"/>
  <c r="X5" i="50"/>
  <c r="AV5" i="50" s="1"/>
  <c r="X35" i="52"/>
  <c r="X35" i="54"/>
  <c r="AV35" i="54" s="1"/>
  <c r="X35" i="56"/>
  <c r="AV35" i="56" s="1"/>
  <c r="AV16" i="14"/>
  <c r="Z16" i="14"/>
  <c r="X5" i="52"/>
  <c r="X25" i="48"/>
  <c r="AV25" i="48" s="1"/>
  <c r="Y5" i="49"/>
  <c r="AW5" i="49" s="1"/>
  <c r="Y15" i="49"/>
  <c r="Y25" i="53"/>
  <c r="AW25" i="53" s="1"/>
  <c r="X15" i="50"/>
  <c r="AV15" i="50" s="1"/>
  <c r="AW40" i="50"/>
  <c r="AV18" i="52"/>
  <c r="AW19" i="53"/>
  <c r="AW40" i="54"/>
  <c r="AW8" i="56"/>
  <c r="X45" i="48"/>
  <c r="AV23" i="14"/>
  <c r="AV27" i="14" s="1"/>
  <c r="Z23" i="14"/>
  <c r="AW31" i="14"/>
  <c r="AA31" i="14"/>
  <c r="AW34" i="14"/>
  <c r="AW52" i="14" s="1"/>
  <c r="AA34" i="14"/>
  <c r="X55" i="56"/>
  <c r="AV55" i="56" s="1"/>
  <c r="AV7" i="14"/>
  <c r="Z7" i="14"/>
  <c r="AV10" i="14"/>
  <c r="AV44" i="14" s="1"/>
  <c r="Z10" i="14"/>
  <c r="X25" i="52"/>
  <c r="AV25" i="52" s="1"/>
  <c r="AV25" i="14"/>
  <c r="Z25" i="14"/>
  <c r="AW19" i="51"/>
  <c r="AX48" i="53"/>
  <c r="Y5" i="56"/>
  <c r="AW5" i="56" s="1"/>
  <c r="AU54" i="14"/>
  <c r="Y25" i="15"/>
  <c r="AW25" i="15" s="1"/>
  <c r="X31" i="15"/>
  <c r="X55" i="50"/>
  <c r="AV26" i="14"/>
  <c r="Z26" i="14"/>
  <c r="AV35" i="14"/>
  <c r="AV53" i="14" s="1"/>
  <c r="AV49" i="14"/>
  <c r="X15" i="48"/>
  <c r="AV15" i="48" s="1"/>
  <c r="AT46" i="14"/>
  <c r="Y35" i="51"/>
  <c r="AV8" i="14"/>
  <c r="AV42" i="14" s="1"/>
  <c r="Z8" i="14"/>
  <c r="AU41" i="14"/>
  <c r="AU11" i="14"/>
  <c r="AU45" i="14" s="1"/>
  <c r="X35" i="48"/>
  <c r="Y55" i="49"/>
  <c r="AW55" i="49" s="1"/>
  <c r="X25" i="54"/>
  <c r="Y55" i="51"/>
  <c r="AW55" i="51" s="1"/>
  <c r="Y5" i="55"/>
  <c r="AX57" i="55"/>
  <c r="AW16" i="51"/>
  <c r="AW57" i="52"/>
  <c r="Y50" i="49"/>
  <c r="AW50" i="49" s="1"/>
  <c r="AV9" i="14"/>
  <c r="AV43" i="14" s="1"/>
  <c r="Z9" i="14"/>
  <c r="AC30" i="14"/>
  <c r="AC29" i="14" s="1"/>
  <c r="AB29" i="14"/>
  <c r="AV15" i="14"/>
  <c r="AV19" i="14" s="1"/>
  <c r="Z15" i="14"/>
  <c r="AV32" i="14"/>
  <c r="AV50" i="14" s="1"/>
  <c r="Z32" i="14"/>
  <c r="AV17" i="14"/>
  <c r="Z17" i="14"/>
  <c r="X55" i="52"/>
  <c r="AV24" i="14"/>
  <c r="Z24" i="14"/>
  <c r="Y25" i="51"/>
  <c r="AW25" i="51" s="1"/>
  <c r="Y35" i="53"/>
  <c r="AW35" i="53" s="1"/>
  <c r="X15" i="56"/>
  <c r="AV15" i="56" s="1"/>
  <c r="AV18" i="14"/>
  <c r="Z18" i="14"/>
  <c r="Y39" i="15"/>
  <c r="AW39" i="49"/>
  <c r="AW40" i="49"/>
  <c r="AW37" i="49"/>
  <c r="AV20" i="15"/>
  <c r="AV18" i="15"/>
  <c r="AV15" i="15"/>
  <c r="AV19" i="15"/>
  <c r="AV8" i="56"/>
  <c r="AV10" i="56"/>
  <c r="AV5" i="56"/>
  <c r="AV9" i="56"/>
  <c r="AV7" i="56"/>
  <c r="AU19" i="55"/>
  <c r="AU15" i="55"/>
  <c r="AU18" i="55"/>
  <c r="AU20" i="55"/>
  <c r="AT58" i="50"/>
  <c r="AT59" i="50"/>
  <c r="AT60" i="50"/>
  <c r="AT57" i="50"/>
  <c r="AT55" i="50"/>
  <c r="AV20" i="54"/>
  <c r="AV19" i="54"/>
  <c r="AU29" i="48"/>
  <c r="AU25" i="48"/>
  <c r="AU30" i="48"/>
  <c r="AU26" i="48"/>
  <c r="AW48" i="54"/>
  <c r="AW27" i="54"/>
  <c r="AV56" i="51"/>
  <c r="AV57" i="51"/>
  <c r="AV55" i="51"/>
  <c r="AV58" i="51"/>
  <c r="AV37" i="52"/>
  <c r="AV39" i="52"/>
  <c r="AW18" i="53"/>
  <c r="AT49" i="56"/>
  <c r="AT50" i="56"/>
  <c r="AT46" i="56"/>
  <c r="AT47" i="56"/>
  <c r="AV38" i="53"/>
  <c r="AV40" i="53"/>
  <c r="AV37" i="53"/>
  <c r="AV35" i="53"/>
  <c r="AV48" i="49"/>
  <c r="AV49" i="49"/>
  <c r="AV47" i="49"/>
  <c r="AV50" i="49"/>
  <c r="AW47" i="51"/>
  <c r="AW49" i="51"/>
  <c r="AW48" i="51"/>
  <c r="AW84" i="51" s="1"/>
  <c r="AT37" i="52"/>
  <c r="AT39" i="52"/>
  <c r="AT40" i="52"/>
  <c r="AT35" i="52"/>
  <c r="AV60" i="53"/>
  <c r="AV58" i="53"/>
  <c r="AV59" i="53"/>
  <c r="AU48" i="53"/>
  <c r="AU46" i="53"/>
  <c r="AU47" i="53"/>
  <c r="AU49" i="53"/>
  <c r="AW27" i="49"/>
  <c r="AW29" i="49"/>
  <c r="AW30" i="49"/>
  <c r="AU47" i="55"/>
  <c r="AU49" i="55"/>
  <c r="AU48" i="55"/>
  <c r="AU50" i="55"/>
  <c r="AU49" i="49"/>
  <c r="AU48" i="49"/>
  <c r="AU47" i="49"/>
  <c r="AU50" i="49"/>
  <c r="AW47" i="55"/>
  <c r="AW49" i="55"/>
  <c r="AW60" i="53"/>
  <c r="AW58" i="53"/>
  <c r="AW59" i="53"/>
  <c r="AW83" i="53" s="1"/>
  <c r="AW101" i="53" s="1"/>
  <c r="AU8" i="48"/>
  <c r="AU10" i="48"/>
  <c r="AU9" i="48"/>
  <c r="AU7" i="48"/>
  <c r="AU60" i="53"/>
  <c r="AU59" i="53"/>
  <c r="AU58" i="53"/>
  <c r="AT17" i="51"/>
  <c r="AT18" i="51"/>
  <c r="AT19" i="51"/>
  <c r="AT20" i="51"/>
  <c r="AT16" i="51"/>
  <c r="AV9" i="52"/>
  <c r="AV10" i="52"/>
  <c r="AV48" i="52"/>
  <c r="AV47" i="52"/>
  <c r="AV49" i="52"/>
  <c r="AV46" i="52"/>
  <c r="AW38" i="15"/>
  <c r="AW36" i="15"/>
  <c r="AW40" i="15"/>
  <c r="AU38" i="51"/>
  <c r="AU37" i="51"/>
  <c r="AU40" i="51"/>
  <c r="AU39" i="51"/>
  <c r="AU35" i="51"/>
  <c r="AX38" i="55"/>
  <c r="AX28" i="51"/>
  <c r="AX75" i="51" s="1"/>
  <c r="AX18" i="15"/>
  <c r="AW60" i="15"/>
  <c r="AX46" i="15"/>
  <c r="AV8" i="52"/>
  <c r="AW9" i="56"/>
  <c r="AV49" i="56"/>
  <c r="AV83" i="56" s="1"/>
  <c r="AV101" i="56" s="1"/>
  <c r="AV29" i="15"/>
  <c r="AV30" i="15"/>
  <c r="AV25" i="15"/>
  <c r="AV28" i="15"/>
  <c r="AV26" i="15"/>
  <c r="AV27" i="15"/>
  <c r="AV8" i="51"/>
  <c r="AV9" i="51"/>
  <c r="AV10" i="51"/>
  <c r="AU55" i="56"/>
  <c r="AU56" i="56"/>
  <c r="AU58" i="56"/>
  <c r="AU59" i="56"/>
  <c r="AU38" i="55"/>
  <c r="AU39" i="55"/>
  <c r="AU40" i="55"/>
  <c r="AU28" i="53"/>
  <c r="AU27" i="53"/>
  <c r="AU25" i="53"/>
  <c r="AU29" i="53"/>
  <c r="AU30" i="53"/>
  <c r="AV47" i="51"/>
  <c r="AV48" i="51"/>
  <c r="AV49" i="51"/>
  <c r="AV50" i="51"/>
  <c r="AW58" i="15"/>
  <c r="AX49" i="15"/>
  <c r="AX83" i="15" s="1"/>
  <c r="AX101" i="15" s="1"/>
  <c r="AX8" i="55"/>
  <c r="AW56" i="54"/>
  <c r="AW9" i="52"/>
  <c r="AW49" i="52"/>
  <c r="AW38" i="49"/>
  <c r="AV18" i="54"/>
  <c r="AW7" i="56"/>
  <c r="AX57" i="49"/>
  <c r="AW57" i="55"/>
  <c r="AC5" i="14"/>
  <c r="AW7" i="15"/>
  <c r="AW9" i="15"/>
  <c r="AW38" i="55"/>
  <c r="AW8" i="55"/>
  <c r="AW10" i="55"/>
  <c r="AV46" i="53"/>
  <c r="AV48" i="53"/>
  <c r="AV49" i="53"/>
  <c r="AV47" i="53"/>
  <c r="AV19" i="50"/>
  <c r="AV20" i="50"/>
  <c r="AU48" i="15"/>
  <c r="AU49" i="15"/>
  <c r="AU46" i="15"/>
  <c r="AU50" i="15"/>
  <c r="AU47" i="15"/>
  <c r="AU55" i="51"/>
  <c r="AU57" i="51"/>
  <c r="AU56" i="51"/>
  <c r="AU58" i="51"/>
  <c r="AV48" i="15"/>
  <c r="AV46" i="15"/>
  <c r="AV49" i="15"/>
  <c r="AV47" i="15"/>
  <c r="AV50" i="15"/>
  <c r="AV60" i="49"/>
  <c r="AV55" i="49"/>
  <c r="AV57" i="49"/>
  <c r="AV58" i="49"/>
  <c r="AV59" i="49"/>
  <c r="AU19" i="52"/>
  <c r="AU20" i="52"/>
  <c r="AU16" i="52"/>
  <c r="AU18" i="52"/>
  <c r="AX27" i="51"/>
  <c r="AW29" i="54"/>
  <c r="AW27" i="50"/>
  <c r="AW38" i="51"/>
  <c r="AW30" i="55"/>
  <c r="AV10" i="49"/>
  <c r="AV7" i="49"/>
  <c r="AV5" i="49"/>
  <c r="AV8" i="49"/>
  <c r="AV9" i="49"/>
  <c r="AU47" i="54"/>
  <c r="AU50" i="54"/>
  <c r="AU49" i="54"/>
  <c r="AU48" i="54"/>
  <c r="AU9" i="52"/>
  <c r="AU10" i="52"/>
  <c r="AU8" i="52"/>
  <c r="AU5" i="52"/>
  <c r="AU37" i="52"/>
  <c r="AU39" i="52"/>
  <c r="AU40" i="52"/>
  <c r="AU35" i="52"/>
  <c r="AW56" i="51"/>
  <c r="AW57" i="51"/>
  <c r="AV56" i="54"/>
  <c r="AV59" i="54"/>
  <c r="AV58" i="54"/>
  <c r="AV60" i="54"/>
  <c r="AT59" i="52"/>
  <c r="AT57" i="52"/>
  <c r="AT55" i="52"/>
  <c r="AT60" i="52"/>
  <c r="AV39" i="56"/>
  <c r="AT40" i="48"/>
  <c r="AT36" i="48"/>
  <c r="AT35" i="48"/>
  <c r="AT38" i="48"/>
  <c r="AV38" i="55"/>
  <c r="AV40" i="55"/>
  <c r="AV39" i="55"/>
  <c r="AW47" i="49"/>
  <c r="AW48" i="49"/>
  <c r="AW84" i="49" s="1"/>
  <c r="AW49" i="49"/>
  <c r="AU5" i="55"/>
  <c r="AU10" i="55"/>
  <c r="AU8" i="55"/>
  <c r="AU7" i="55"/>
  <c r="AU60" i="49"/>
  <c r="AU55" i="49"/>
  <c r="AU57" i="49"/>
  <c r="AU58" i="49"/>
  <c r="AU59" i="49"/>
  <c r="AW57" i="15"/>
  <c r="AV47" i="56"/>
  <c r="AX40" i="15"/>
  <c r="AW10" i="48"/>
  <c r="AW19" i="50"/>
  <c r="AW29" i="52"/>
  <c r="AW26" i="49"/>
  <c r="AX29" i="51"/>
  <c r="AW49" i="54"/>
  <c r="AW27" i="52"/>
  <c r="AW30" i="54"/>
  <c r="AW49" i="48"/>
  <c r="AW8" i="15"/>
  <c r="AW50" i="55"/>
  <c r="AV59" i="52"/>
  <c r="AV57" i="52"/>
  <c r="AV30" i="48"/>
  <c r="AV29" i="48"/>
  <c r="AV18" i="53"/>
  <c r="AV20" i="53"/>
  <c r="AV15" i="53"/>
  <c r="AV19" i="53"/>
  <c r="AW18" i="15"/>
  <c r="AW20" i="15"/>
  <c r="AU18" i="49"/>
  <c r="AU17" i="49"/>
  <c r="AU20" i="49"/>
  <c r="AU15" i="49"/>
  <c r="AU20" i="15"/>
  <c r="AU15" i="15"/>
  <c r="AU18" i="15"/>
  <c r="AU19" i="15"/>
  <c r="AV40" i="54"/>
  <c r="AT57" i="55"/>
  <c r="AT60" i="55"/>
  <c r="AT56" i="55"/>
  <c r="AV20" i="48"/>
  <c r="AV19" i="48"/>
  <c r="AV40" i="15"/>
  <c r="AV38" i="15"/>
  <c r="AV36" i="15"/>
  <c r="AV39" i="15"/>
  <c r="AW28" i="15"/>
  <c r="AW30" i="15"/>
  <c r="AW29" i="15"/>
  <c r="AU27" i="50"/>
  <c r="AU30" i="50"/>
  <c r="AU29" i="50"/>
  <c r="AW8" i="51"/>
  <c r="AW10" i="49"/>
  <c r="AW7" i="49"/>
  <c r="AU40" i="48"/>
  <c r="AU35" i="48"/>
  <c r="AU36" i="48"/>
  <c r="AU38" i="48"/>
  <c r="AU48" i="50"/>
  <c r="AU49" i="50"/>
  <c r="AU47" i="50"/>
  <c r="AU50" i="50"/>
  <c r="AW46" i="53"/>
  <c r="AW48" i="53"/>
  <c r="AV29" i="52"/>
  <c r="AV27" i="52"/>
  <c r="AV30" i="52"/>
  <c r="AW38" i="53"/>
  <c r="AW40" i="53"/>
  <c r="AV37" i="50"/>
  <c r="AV39" i="50"/>
  <c r="AV40" i="50"/>
  <c r="AV9" i="48"/>
  <c r="AV10" i="48"/>
  <c r="AV7" i="48"/>
  <c r="AV8" i="48"/>
  <c r="AT35" i="54"/>
  <c r="AT40" i="54"/>
  <c r="AT38" i="54"/>
  <c r="AT36" i="54"/>
  <c r="AV18" i="51"/>
  <c r="AV19" i="51"/>
  <c r="AV16" i="51"/>
  <c r="AV20" i="51"/>
  <c r="AW27" i="51"/>
  <c r="AW30" i="51"/>
  <c r="AW28" i="51"/>
  <c r="AW29" i="51"/>
  <c r="AW19" i="55"/>
  <c r="AV48" i="50"/>
  <c r="AV50" i="50"/>
  <c r="AV47" i="50"/>
  <c r="AV49" i="50"/>
  <c r="AU18" i="51"/>
  <c r="AU19" i="51"/>
  <c r="AU16" i="51"/>
  <c r="AU20" i="51"/>
  <c r="AT45" i="51"/>
  <c r="AT49" i="51"/>
  <c r="AT47" i="51"/>
  <c r="AT48" i="51"/>
  <c r="AT50" i="51"/>
  <c r="AV9" i="50"/>
  <c r="AV7" i="50"/>
  <c r="AV10" i="50"/>
  <c r="AU8" i="51"/>
  <c r="AU9" i="51"/>
  <c r="AU10" i="51"/>
  <c r="AV19" i="52"/>
  <c r="AV20" i="52"/>
  <c r="AV19" i="56"/>
  <c r="AV20" i="56"/>
  <c r="AV48" i="54"/>
  <c r="AV49" i="54"/>
  <c r="AV47" i="54"/>
  <c r="AV50" i="54"/>
  <c r="AV38" i="50"/>
  <c r="AW26" i="55"/>
  <c r="AW26" i="15"/>
  <c r="AX49" i="51"/>
  <c r="AW47" i="48"/>
  <c r="AW40" i="55"/>
  <c r="AV40" i="56"/>
  <c r="AX48" i="49"/>
  <c r="AW30" i="50"/>
  <c r="AW30" i="56"/>
  <c r="AX40" i="49"/>
  <c r="AW56" i="55"/>
  <c r="AW56" i="56"/>
  <c r="AW48" i="52"/>
  <c r="AX30" i="51"/>
  <c r="AW29" i="55"/>
  <c r="AW40" i="51"/>
  <c r="AW48" i="55"/>
  <c r="AW10" i="51"/>
  <c r="AW10" i="15"/>
  <c r="AV50" i="56"/>
  <c r="AW7" i="55"/>
  <c r="AW7" i="53"/>
  <c r="AV50" i="52"/>
  <c r="AW20" i="50"/>
  <c r="AW46" i="52"/>
  <c r="AW48" i="15"/>
  <c r="AW49" i="15"/>
  <c r="AW83" i="15" s="1"/>
  <c r="AW101" i="15" s="1"/>
  <c r="AW46" i="15"/>
  <c r="AW18" i="51"/>
  <c r="AV29" i="50"/>
  <c r="AV27" i="50"/>
  <c r="AV30" i="50"/>
  <c r="AW27" i="53"/>
  <c r="AW28" i="53"/>
  <c r="AU30" i="55"/>
  <c r="AU28" i="55"/>
  <c r="AU26" i="55"/>
  <c r="AU29" i="55"/>
  <c r="AU45" i="48"/>
  <c r="AU49" i="48"/>
  <c r="AU50" i="48"/>
  <c r="AU47" i="48"/>
  <c r="AU48" i="48"/>
  <c r="AU29" i="51"/>
  <c r="AU25" i="51"/>
  <c r="AU28" i="51"/>
  <c r="AU30" i="51"/>
  <c r="AU27" i="51"/>
  <c r="AV25" i="51"/>
  <c r="AV30" i="51"/>
  <c r="AV29" i="51"/>
  <c r="AV28" i="51"/>
  <c r="AV27" i="51"/>
  <c r="AV49" i="55"/>
  <c r="AV47" i="55"/>
  <c r="AV50" i="55"/>
  <c r="AV48" i="55"/>
  <c r="AT48" i="53"/>
  <c r="AT46" i="53"/>
  <c r="AT47" i="53"/>
  <c r="AT49" i="53"/>
  <c r="AT25" i="51"/>
  <c r="AT30" i="51"/>
  <c r="AT28" i="51"/>
  <c r="AT29" i="51"/>
  <c r="AT26" i="51"/>
  <c r="AT27" i="51"/>
  <c r="AV9" i="54"/>
  <c r="AV10" i="54"/>
  <c r="AU39" i="50"/>
  <c r="AU40" i="50"/>
  <c r="AU37" i="50"/>
  <c r="AU38" i="50"/>
  <c r="AV58" i="56"/>
  <c r="AV56" i="56"/>
  <c r="AT37" i="50"/>
  <c r="AT39" i="50"/>
  <c r="AT40" i="50"/>
  <c r="AT38" i="50"/>
  <c r="AV27" i="53"/>
  <c r="AV25" i="53"/>
  <c r="AV28" i="53"/>
  <c r="AV30" i="53"/>
  <c r="AV29" i="53"/>
  <c r="AV57" i="55"/>
  <c r="AV56" i="55"/>
  <c r="AU57" i="55"/>
  <c r="AU56" i="55"/>
  <c r="AW57" i="49"/>
  <c r="AW60" i="49"/>
  <c r="AW17" i="49"/>
  <c r="AW18" i="49"/>
  <c r="AW20" i="49"/>
  <c r="AU35" i="56"/>
  <c r="AU39" i="56"/>
  <c r="AU40" i="56"/>
  <c r="AU38" i="56"/>
  <c r="AU19" i="50"/>
  <c r="AU20" i="50"/>
  <c r="AU15" i="50"/>
  <c r="AU59" i="54"/>
  <c r="AU58" i="54"/>
  <c r="AU56" i="54"/>
  <c r="AU60" i="54"/>
  <c r="AV59" i="48"/>
  <c r="AV60" i="48"/>
  <c r="AV56" i="48"/>
  <c r="AV58" i="48"/>
  <c r="AU59" i="15"/>
  <c r="AU58" i="15"/>
  <c r="AU60" i="15"/>
  <c r="AU57" i="15"/>
  <c r="AV30" i="55"/>
  <c r="AV29" i="55"/>
  <c r="AV28" i="55"/>
  <c r="AV26" i="55"/>
  <c r="AU9" i="15"/>
  <c r="AU7" i="15"/>
  <c r="AU10" i="15"/>
  <c r="AU8" i="15"/>
  <c r="AT47" i="49"/>
  <c r="AT49" i="49"/>
  <c r="AT48" i="49"/>
  <c r="AT46" i="49"/>
  <c r="AT50" i="49"/>
  <c r="BB61" i="15"/>
  <c r="BB21" i="53"/>
  <c r="BB51" i="55"/>
  <c r="BB11" i="55"/>
  <c r="BB31" i="55"/>
  <c r="BB41" i="53"/>
  <c r="Z60" i="53"/>
  <c r="AY19" i="55"/>
  <c r="AB19" i="55"/>
  <c r="AX58" i="15"/>
  <c r="AX84" i="15" s="1"/>
  <c r="AX102" i="15" s="1"/>
  <c r="AA58" i="15"/>
  <c r="AA19" i="54"/>
  <c r="AX19" i="54"/>
  <c r="AA10" i="53"/>
  <c r="AX10" i="53"/>
  <c r="AW38" i="50"/>
  <c r="Z38" i="50"/>
  <c r="AB38" i="15"/>
  <c r="AB49" i="15"/>
  <c r="AB18" i="51"/>
  <c r="Z38" i="56"/>
  <c r="AW38" i="56"/>
  <c r="Z18" i="48"/>
  <c r="AW18" i="48"/>
  <c r="AA26" i="55"/>
  <c r="AX26" i="55"/>
  <c r="AX36" i="48"/>
  <c r="AA36" i="48"/>
  <c r="AX26" i="15"/>
  <c r="AA26" i="15"/>
  <c r="AB49" i="51"/>
  <c r="AY49" i="51"/>
  <c r="AX57" i="15"/>
  <c r="AA57" i="15"/>
  <c r="AA20" i="56"/>
  <c r="AX20" i="56"/>
  <c r="AA47" i="48"/>
  <c r="AX47" i="48"/>
  <c r="AA39" i="51"/>
  <c r="AX39" i="51"/>
  <c r="AA40" i="55"/>
  <c r="AX40" i="55"/>
  <c r="AB17" i="49"/>
  <c r="AX29" i="56"/>
  <c r="AA29" i="56"/>
  <c r="AW47" i="56"/>
  <c r="Z47" i="56"/>
  <c r="AA40" i="50"/>
  <c r="AX40" i="50"/>
  <c r="Z38" i="48"/>
  <c r="AW38" i="48"/>
  <c r="AB40" i="15"/>
  <c r="AB28" i="53"/>
  <c r="AA58" i="50"/>
  <c r="AX58" i="50"/>
  <c r="AB27" i="51"/>
  <c r="AB18" i="53"/>
  <c r="AB38" i="55"/>
  <c r="AW40" i="56"/>
  <c r="Z40" i="56"/>
  <c r="AA59" i="50"/>
  <c r="AX59" i="50"/>
  <c r="AB49" i="49"/>
  <c r="AB38" i="51"/>
  <c r="AX19" i="52"/>
  <c r="AA19" i="52"/>
  <c r="AW36" i="54"/>
  <c r="Z36" i="54"/>
  <c r="AA47" i="54"/>
  <c r="AX47" i="54"/>
  <c r="AA47" i="15"/>
  <c r="AX47" i="15"/>
  <c r="AX10" i="52"/>
  <c r="AA10" i="52"/>
  <c r="AW38" i="54"/>
  <c r="Z38" i="54"/>
  <c r="AB48" i="49"/>
  <c r="AB28" i="51"/>
  <c r="AB59" i="15"/>
  <c r="AX9" i="48"/>
  <c r="AA9" i="48"/>
  <c r="AA30" i="50"/>
  <c r="AX30" i="50"/>
  <c r="AA39" i="50"/>
  <c r="AX39" i="50"/>
  <c r="Z8" i="54"/>
  <c r="AW8" i="54"/>
  <c r="AA30" i="56"/>
  <c r="AX30" i="56"/>
  <c r="AB47" i="55"/>
  <c r="AA48" i="50"/>
  <c r="AX48" i="50"/>
  <c r="AX59" i="52"/>
  <c r="AA59" i="52"/>
  <c r="AB7" i="49"/>
  <c r="AA37" i="51"/>
  <c r="AX37" i="51"/>
  <c r="AA8" i="48"/>
  <c r="AX8" i="48"/>
  <c r="Z28" i="56"/>
  <c r="AW28" i="56"/>
  <c r="AW16" i="54"/>
  <c r="Z16" i="54"/>
  <c r="AX10" i="48"/>
  <c r="AA10" i="48"/>
  <c r="AX20" i="55"/>
  <c r="AA20" i="55"/>
  <c r="AW18" i="52"/>
  <c r="Z18" i="52"/>
  <c r="AA27" i="15"/>
  <c r="AX27" i="15"/>
  <c r="AB60" i="49"/>
  <c r="AB40" i="49"/>
  <c r="AB8" i="51"/>
  <c r="AA48" i="54"/>
  <c r="AX48" i="54"/>
  <c r="AA56" i="55"/>
  <c r="AX56" i="55"/>
  <c r="AX50" i="50"/>
  <c r="AA50" i="50"/>
  <c r="AA19" i="50"/>
  <c r="AX19" i="50"/>
  <c r="AB59" i="53"/>
  <c r="AY59" i="53"/>
  <c r="AX29" i="52"/>
  <c r="AA29" i="52"/>
  <c r="AB37" i="49"/>
  <c r="AX20" i="54"/>
  <c r="AA20" i="54"/>
  <c r="AB7" i="15"/>
  <c r="Z26" i="48"/>
  <c r="AW26" i="48"/>
  <c r="AB18" i="15"/>
  <c r="AA20" i="52"/>
  <c r="AX20" i="52"/>
  <c r="AB27" i="53"/>
  <c r="AA56" i="56"/>
  <c r="AX56" i="56"/>
  <c r="AX18" i="55"/>
  <c r="AA18" i="55"/>
  <c r="AB9" i="15"/>
  <c r="Z16" i="52"/>
  <c r="AW16" i="52"/>
  <c r="AA26" i="49"/>
  <c r="AX26" i="49"/>
  <c r="AA19" i="53"/>
  <c r="AX19" i="53"/>
  <c r="AB29" i="51"/>
  <c r="AX57" i="50"/>
  <c r="AA57" i="50"/>
  <c r="AA48" i="52"/>
  <c r="AX48" i="52"/>
  <c r="AA49" i="50"/>
  <c r="AX49" i="50"/>
  <c r="AB30" i="51"/>
  <c r="AX60" i="15"/>
  <c r="AA60" i="15"/>
  <c r="AW60" i="52"/>
  <c r="Z60" i="52"/>
  <c r="AX30" i="48"/>
  <c r="AA30" i="48"/>
  <c r="Z40" i="52"/>
  <c r="AW40" i="52"/>
  <c r="AB18" i="49"/>
  <c r="AA27" i="54"/>
  <c r="AX27" i="54"/>
  <c r="AX29" i="55"/>
  <c r="AA29" i="55"/>
  <c r="AA20" i="53"/>
  <c r="AX20" i="53"/>
  <c r="AA7" i="50"/>
  <c r="AX7" i="50"/>
  <c r="AA50" i="15"/>
  <c r="AX50" i="15"/>
  <c r="AA29" i="48"/>
  <c r="AX29" i="48"/>
  <c r="AX9" i="54"/>
  <c r="AA9" i="54"/>
  <c r="AB8" i="55"/>
  <c r="Z59" i="56"/>
  <c r="AW59" i="56"/>
  <c r="AB28" i="15"/>
  <c r="AB57" i="55"/>
  <c r="AA37" i="50"/>
  <c r="AX37" i="50"/>
  <c r="AA16" i="51"/>
  <c r="AX16" i="51"/>
  <c r="AX59" i="48"/>
  <c r="AA59" i="48"/>
  <c r="AA40" i="51"/>
  <c r="AX40" i="51"/>
  <c r="AA19" i="51"/>
  <c r="AX19" i="51"/>
  <c r="AB39" i="49"/>
  <c r="AA50" i="48"/>
  <c r="AX50" i="48"/>
  <c r="AB46" i="15"/>
  <c r="AB29" i="49"/>
  <c r="AA9" i="51"/>
  <c r="AX9" i="51"/>
  <c r="AX49" i="54"/>
  <c r="AA49" i="54"/>
  <c r="AX48" i="55"/>
  <c r="AA48" i="55"/>
  <c r="AB20" i="15"/>
  <c r="AX27" i="52"/>
  <c r="AA27" i="52"/>
  <c r="AY48" i="51"/>
  <c r="AB48" i="51"/>
  <c r="AX56" i="54"/>
  <c r="AA56" i="54"/>
  <c r="AX50" i="54"/>
  <c r="AA50" i="54"/>
  <c r="AA10" i="54"/>
  <c r="AX10" i="54"/>
  <c r="AA19" i="15"/>
  <c r="AX19" i="15"/>
  <c r="AA60" i="54"/>
  <c r="AX60" i="54"/>
  <c r="AX30" i="54"/>
  <c r="AA30" i="54"/>
  <c r="AX9" i="52"/>
  <c r="AA9" i="52"/>
  <c r="AA48" i="48"/>
  <c r="AX48" i="48"/>
  <c r="AA49" i="52"/>
  <c r="AX49" i="52"/>
  <c r="AA29" i="53"/>
  <c r="AX29" i="53"/>
  <c r="AA40" i="48"/>
  <c r="AX40" i="48"/>
  <c r="AW7" i="54"/>
  <c r="Z7" i="54"/>
  <c r="Z18" i="56"/>
  <c r="AW18" i="56"/>
  <c r="AA20" i="51"/>
  <c r="AX20" i="51"/>
  <c r="AB9" i="53"/>
  <c r="AA10" i="51"/>
  <c r="AX10" i="51"/>
  <c r="AX39" i="55"/>
  <c r="AA39" i="55"/>
  <c r="AX29" i="50"/>
  <c r="AA29" i="50"/>
  <c r="AX8" i="53"/>
  <c r="AA8" i="53"/>
  <c r="AB58" i="53"/>
  <c r="AY58" i="53"/>
  <c r="AY47" i="51"/>
  <c r="AB47" i="51"/>
  <c r="AX47" i="53"/>
  <c r="AA47" i="53"/>
  <c r="AA29" i="54"/>
  <c r="AX29" i="54"/>
  <c r="AA60" i="50"/>
  <c r="AX60" i="50"/>
  <c r="AA30" i="52"/>
  <c r="AX30" i="52"/>
  <c r="AB27" i="49"/>
  <c r="AA38" i="49"/>
  <c r="AX38" i="49"/>
  <c r="AX58" i="54"/>
  <c r="AA58" i="54"/>
  <c r="AB30" i="49"/>
  <c r="AX37" i="52"/>
  <c r="AA37" i="52"/>
  <c r="AB57" i="51"/>
  <c r="AX60" i="48"/>
  <c r="AA60" i="48"/>
  <c r="AB40" i="53"/>
  <c r="AX28" i="55"/>
  <c r="AA28" i="55"/>
  <c r="AB49" i="55"/>
  <c r="AX39" i="52"/>
  <c r="AA39" i="52"/>
  <c r="AW46" i="56"/>
  <c r="Z46" i="56"/>
  <c r="AX47" i="50"/>
  <c r="AA47" i="50"/>
  <c r="AA58" i="51"/>
  <c r="AX58" i="51"/>
  <c r="AX10" i="15"/>
  <c r="AA10" i="15"/>
  <c r="AB30" i="55"/>
  <c r="AB56" i="51"/>
  <c r="AW8" i="50"/>
  <c r="Z8" i="50"/>
  <c r="AB48" i="53"/>
  <c r="AX19" i="56"/>
  <c r="AA19" i="56"/>
  <c r="Z18" i="54"/>
  <c r="AW18" i="54"/>
  <c r="AW50" i="56"/>
  <c r="Z50" i="56"/>
  <c r="AA30" i="53"/>
  <c r="AX30" i="53"/>
  <c r="AB29" i="15"/>
  <c r="AB47" i="49"/>
  <c r="AX56" i="48"/>
  <c r="AA56" i="48"/>
  <c r="AB36" i="15"/>
  <c r="AX7" i="55"/>
  <c r="AA7" i="55"/>
  <c r="AA8" i="49"/>
  <c r="AX8" i="49"/>
  <c r="AX58" i="49"/>
  <c r="AA58" i="49"/>
  <c r="AB30" i="15"/>
  <c r="AX49" i="48"/>
  <c r="AA49" i="48"/>
  <c r="AW8" i="52"/>
  <c r="Z8" i="52"/>
  <c r="AB10" i="55"/>
  <c r="AX19" i="48"/>
  <c r="AA19" i="48"/>
  <c r="AB46" i="53"/>
  <c r="AX37" i="53"/>
  <c r="AA37" i="53"/>
  <c r="AX8" i="15"/>
  <c r="AA8" i="15"/>
  <c r="AX7" i="53"/>
  <c r="AA7" i="53"/>
  <c r="AA40" i="54"/>
  <c r="AX40" i="54"/>
  <c r="AA27" i="50"/>
  <c r="AX27" i="50"/>
  <c r="AX58" i="48"/>
  <c r="AA58" i="48"/>
  <c r="AA50" i="51"/>
  <c r="AX50" i="51"/>
  <c r="AX7" i="56"/>
  <c r="AA7" i="56"/>
  <c r="AX59" i="54"/>
  <c r="AA59" i="54"/>
  <c r="AA10" i="50"/>
  <c r="AX10" i="50"/>
  <c r="AB48" i="15"/>
  <c r="AA8" i="56"/>
  <c r="AX8" i="56"/>
  <c r="AA9" i="50"/>
  <c r="AX9" i="50"/>
  <c r="AX7" i="48"/>
  <c r="AA7" i="48"/>
  <c r="Z50" i="52"/>
  <c r="AW50" i="52"/>
  <c r="AA57" i="52"/>
  <c r="AX57" i="52"/>
  <c r="AB10" i="49"/>
  <c r="AX20" i="50"/>
  <c r="AA20" i="50"/>
  <c r="AX46" i="52"/>
  <c r="AA46" i="52"/>
  <c r="Z26" i="56"/>
  <c r="AW26" i="56"/>
  <c r="AA50" i="55"/>
  <c r="AX50" i="55"/>
  <c r="AA59" i="49"/>
  <c r="AX59" i="49"/>
  <c r="AX49" i="56"/>
  <c r="AA49" i="56"/>
  <c r="AB20" i="49"/>
  <c r="AA47" i="52"/>
  <c r="AX47" i="52"/>
  <c r="AX49" i="53"/>
  <c r="AA49" i="53"/>
  <c r="AX9" i="49"/>
  <c r="AA9" i="49"/>
  <c r="AA39" i="56"/>
  <c r="AX39" i="56"/>
  <c r="AX58" i="56"/>
  <c r="AA58" i="56"/>
  <c r="AA9" i="56"/>
  <c r="AX9" i="56"/>
  <c r="AB57" i="49"/>
  <c r="AA10" i="56"/>
  <c r="AX10" i="56"/>
  <c r="AB38" i="53"/>
  <c r="AX20" i="48"/>
  <c r="AA20" i="48"/>
  <c r="AI84" i="56" l="1"/>
  <c r="AH71" i="15"/>
  <c r="V16" i="55"/>
  <c r="U21" i="55"/>
  <c r="S56" i="15"/>
  <c r="R61" i="15"/>
  <c r="Q59" i="51"/>
  <c r="P61" i="51"/>
  <c r="Q46" i="51"/>
  <c r="P51" i="51"/>
  <c r="P15" i="54"/>
  <c r="O21" i="54"/>
  <c r="Q35" i="15"/>
  <c r="P41" i="15"/>
  <c r="P28" i="48"/>
  <c r="O31" i="48"/>
  <c r="Q46" i="55"/>
  <c r="P51" i="55"/>
  <c r="Q50" i="53"/>
  <c r="P51" i="53"/>
  <c r="Q55" i="55"/>
  <c r="P61" i="55"/>
  <c r="Q5" i="51"/>
  <c r="P11" i="51"/>
  <c r="AN84" i="54"/>
  <c r="AN102" i="54" s="1"/>
  <c r="S61" i="49"/>
  <c r="T56" i="49"/>
  <c r="R57" i="48"/>
  <c r="Q61" i="48"/>
  <c r="S59" i="55"/>
  <c r="R16" i="53"/>
  <c r="Q21" i="53"/>
  <c r="Q45" i="56"/>
  <c r="P51" i="56"/>
  <c r="R6" i="49"/>
  <c r="Q11" i="49"/>
  <c r="S36" i="55"/>
  <c r="R41" i="55"/>
  <c r="P31" i="52"/>
  <c r="Q28" i="52"/>
  <c r="Q36" i="56"/>
  <c r="P41" i="56"/>
  <c r="Q39" i="48"/>
  <c r="P41" i="48"/>
  <c r="Q7" i="52"/>
  <c r="P11" i="52"/>
  <c r="Q45" i="52"/>
  <c r="P51" i="52"/>
  <c r="Q25" i="50"/>
  <c r="P31" i="50"/>
  <c r="AN7" i="52"/>
  <c r="AN25" i="50"/>
  <c r="AN71" i="50" s="1"/>
  <c r="AN39" i="48"/>
  <c r="AN74" i="48" s="1"/>
  <c r="AN92" i="48" s="1"/>
  <c r="V45" i="53"/>
  <c r="R27" i="55"/>
  <c r="Q31" i="55"/>
  <c r="Q37" i="54"/>
  <c r="P41" i="54"/>
  <c r="Q16" i="50"/>
  <c r="P21" i="50"/>
  <c r="Q15" i="52"/>
  <c r="P21" i="52"/>
  <c r="R16" i="49"/>
  <c r="Q21" i="49"/>
  <c r="V7" i="51"/>
  <c r="Q5" i="54"/>
  <c r="P11" i="54"/>
  <c r="R5" i="15"/>
  <c r="Q11" i="15"/>
  <c r="R5" i="48"/>
  <c r="Q11" i="48"/>
  <c r="W36" i="51"/>
  <c r="V41" i="51"/>
  <c r="AN45" i="56"/>
  <c r="AN80" i="56" s="1"/>
  <c r="AN98" i="56" s="1"/>
  <c r="AN28" i="52"/>
  <c r="AN75" i="52" s="1"/>
  <c r="AO16" i="53"/>
  <c r="AO72" i="53" s="1"/>
  <c r="Q45" i="54"/>
  <c r="P51" i="54"/>
  <c r="R36" i="49"/>
  <c r="Q41" i="49"/>
  <c r="Q17" i="48"/>
  <c r="P21" i="48"/>
  <c r="Q60" i="56"/>
  <c r="P61" i="56"/>
  <c r="Q36" i="52"/>
  <c r="P41" i="52"/>
  <c r="Q46" i="48"/>
  <c r="P51" i="48"/>
  <c r="Q45" i="50"/>
  <c r="P51" i="50"/>
  <c r="R45" i="49"/>
  <c r="Q51" i="49"/>
  <c r="P11" i="56"/>
  <c r="Q6" i="56"/>
  <c r="AN45" i="52"/>
  <c r="AN80" i="52" s="1"/>
  <c r="AP36" i="55"/>
  <c r="AP72" i="55" s="1"/>
  <c r="AP90" i="55" s="1"/>
  <c r="Q6" i="50"/>
  <c r="P11" i="50"/>
  <c r="R58" i="52"/>
  <c r="Q61" i="52"/>
  <c r="Q17" i="56"/>
  <c r="P21" i="56"/>
  <c r="R36" i="53"/>
  <c r="Q41" i="53"/>
  <c r="R55" i="54"/>
  <c r="Q61" i="54"/>
  <c r="Q36" i="50"/>
  <c r="P41" i="50"/>
  <c r="S6" i="55"/>
  <c r="R11" i="55"/>
  <c r="R25" i="49"/>
  <c r="Q31" i="49"/>
  <c r="R5" i="53"/>
  <c r="Q11" i="53"/>
  <c r="R55" i="53"/>
  <c r="Q61" i="53"/>
  <c r="Q27" i="56"/>
  <c r="P31" i="56"/>
  <c r="P61" i="50"/>
  <c r="Q56" i="50"/>
  <c r="R28" i="54"/>
  <c r="Q31" i="54"/>
  <c r="AJ83" i="54"/>
  <c r="AJ101" i="54" s="1"/>
  <c r="AQ83" i="49"/>
  <c r="AQ80" i="48"/>
  <c r="AQ98" i="48" s="1"/>
  <c r="U57" i="56"/>
  <c r="T16" i="56"/>
  <c r="AS84" i="54"/>
  <c r="AS102" i="54" s="1"/>
  <c r="AR57" i="56"/>
  <c r="AQ84" i="55"/>
  <c r="AQ102" i="55" s="1"/>
  <c r="T46" i="54"/>
  <c r="U58" i="55"/>
  <c r="U45" i="15"/>
  <c r="T51" i="15"/>
  <c r="U35" i="49"/>
  <c r="T55" i="48"/>
  <c r="AL83" i="55"/>
  <c r="AL101" i="55" s="1"/>
  <c r="AP83" i="54"/>
  <c r="AP101" i="54" s="1"/>
  <c r="U56" i="53"/>
  <c r="T17" i="50"/>
  <c r="T26" i="50"/>
  <c r="U16" i="15"/>
  <c r="T21" i="15"/>
  <c r="T16" i="48"/>
  <c r="U60" i="51"/>
  <c r="V15" i="51"/>
  <c r="U21" i="51"/>
  <c r="V35" i="55"/>
  <c r="U46" i="50"/>
  <c r="U48" i="56"/>
  <c r="AR48" i="56"/>
  <c r="AR84" i="56" s="1"/>
  <c r="AR102" i="56" s="1"/>
  <c r="AJ80" i="55"/>
  <c r="AJ98" i="55" s="1"/>
  <c r="AI80" i="49"/>
  <c r="AR84" i="55"/>
  <c r="AR102" i="55" s="1"/>
  <c r="AK83" i="15"/>
  <c r="AK101" i="15" s="1"/>
  <c r="AO80" i="51"/>
  <c r="AP84" i="50"/>
  <c r="AL83" i="49"/>
  <c r="AK80" i="15"/>
  <c r="AP84" i="53"/>
  <c r="AP102" i="53" s="1"/>
  <c r="AP83" i="15"/>
  <c r="AP101" i="15" s="1"/>
  <c r="X9" i="55"/>
  <c r="AK80" i="53"/>
  <c r="AK98" i="53" s="1"/>
  <c r="AR84" i="54"/>
  <c r="AR102" i="54" s="1"/>
  <c r="AL74" i="55"/>
  <c r="AL80" i="49"/>
  <c r="AN83" i="55"/>
  <c r="AN101" i="55" s="1"/>
  <c r="AN84" i="56"/>
  <c r="AN102" i="56" s="1"/>
  <c r="AO83" i="55"/>
  <c r="AO101" i="55" s="1"/>
  <c r="AL83" i="53"/>
  <c r="AL101" i="53" s="1"/>
  <c r="AN80" i="53"/>
  <c r="AN98" i="53" s="1"/>
  <c r="AT83" i="49"/>
  <c r="W18" i="50"/>
  <c r="W39" i="54"/>
  <c r="X39" i="53"/>
  <c r="W38" i="52"/>
  <c r="W26" i="52"/>
  <c r="X57" i="53"/>
  <c r="X6" i="51"/>
  <c r="X17" i="51"/>
  <c r="W37" i="56"/>
  <c r="W27" i="48"/>
  <c r="X60" i="55"/>
  <c r="W17" i="54"/>
  <c r="X19" i="49"/>
  <c r="W6" i="48"/>
  <c r="X28" i="49"/>
  <c r="X26" i="53"/>
  <c r="W31" i="53"/>
  <c r="W57" i="54"/>
  <c r="W6" i="52"/>
  <c r="W37" i="48"/>
  <c r="X45" i="55"/>
  <c r="X37" i="15"/>
  <c r="X26" i="51"/>
  <c r="W31" i="51"/>
  <c r="W17" i="52"/>
  <c r="W26" i="54"/>
  <c r="X17" i="55"/>
  <c r="X6" i="53"/>
  <c r="W35" i="50"/>
  <c r="X25" i="55"/>
  <c r="W56" i="52"/>
  <c r="W28" i="50"/>
  <c r="W6" i="54"/>
  <c r="W25" i="56"/>
  <c r="X37" i="55"/>
  <c r="X46" i="49"/>
  <c r="X6" i="15"/>
  <c r="X17" i="53"/>
  <c r="X17" i="15"/>
  <c r="X45" i="51"/>
  <c r="X55" i="15"/>
  <c r="AQ80" i="15"/>
  <c r="AO84" i="51"/>
  <c r="AP83" i="53"/>
  <c r="AP101" i="53" s="1"/>
  <c r="AR84" i="49"/>
  <c r="AK81" i="49"/>
  <c r="AN83" i="49"/>
  <c r="AO83" i="49"/>
  <c r="AJ83" i="52"/>
  <c r="AP83" i="56"/>
  <c r="AP101" i="56" s="1"/>
  <c r="AI83" i="49"/>
  <c r="AR83" i="48"/>
  <c r="AR101" i="48" s="1"/>
  <c r="AO84" i="52"/>
  <c r="AK74" i="53"/>
  <c r="AK92" i="53" s="1"/>
  <c r="AQ75" i="51"/>
  <c r="AO75" i="56"/>
  <c r="AO93" i="56" s="1"/>
  <c r="AI75" i="52"/>
  <c r="AN80" i="48"/>
  <c r="AN98" i="48" s="1"/>
  <c r="AT84" i="53"/>
  <c r="AT102" i="53" s="1"/>
  <c r="AI83" i="52"/>
  <c r="AK83" i="49"/>
  <c r="AJ83" i="50"/>
  <c r="AL71" i="51"/>
  <c r="AM83" i="49"/>
  <c r="AO83" i="48"/>
  <c r="AO101" i="48" s="1"/>
  <c r="AO71" i="48"/>
  <c r="AO89" i="48" s="1"/>
  <c r="AJ84" i="56"/>
  <c r="AJ102" i="56" s="1"/>
  <c r="AK74" i="52"/>
  <c r="AL71" i="53"/>
  <c r="AL89" i="53" s="1"/>
  <c r="AL74" i="48"/>
  <c r="AL92" i="48" s="1"/>
  <c r="AL75" i="51"/>
  <c r="AL80" i="15"/>
  <c r="AO80" i="48"/>
  <c r="AO98" i="48" s="1"/>
  <c r="AP74" i="51"/>
  <c r="AI83" i="15"/>
  <c r="AI101" i="15" s="1"/>
  <c r="AN84" i="50"/>
  <c r="AK80" i="51"/>
  <c r="AK83" i="48"/>
  <c r="AK101" i="48" s="1"/>
  <c r="AO83" i="53"/>
  <c r="AO101" i="53" s="1"/>
  <c r="AX83" i="49"/>
  <c r="AT83" i="53"/>
  <c r="AT101" i="53" s="1"/>
  <c r="AJ71" i="49"/>
  <c r="AI80" i="53"/>
  <c r="AI98" i="53" s="1"/>
  <c r="AL74" i="51"/>
  <c r="AN84" i="51"/>
  <c r="AK83" i="53"/>
  <c r="AK101" i="53" s="1"/>
  <c r="AN80" i="49"/>
  <c r="AJ84" i="51"/>
  <c r="AJ84" i="52"/>
  <c r="AK84" i="54"/>
  <c r="AK102" i="54" s="1"/>
  <c r="AM84" i="54"/>
  <c r="AM102" i="54" s="1"/>
  <c r="AM75" i="49"/>
  <c r="AJ84" i="53"/>
  <c r="AJ102" i="53" s="1"/>
  <c r="AL80" i="55"/>
  <c r="AL98" i="55" s="1"/>
  <c r="AP75" i="51"/>
  <c r="AN84" i="52"/>
  <c r="AJ84" i="49"/>
  <c r="AQ83" i="48"/>
  <c r="AQ101" i="48" s="1"/>
  <c r="AI80" i="51"/>
  <c r="AJ75" i="49"/>
  <c r="AK71" i="52"/>
  <c r="AK75" i="48"/>
  <c r="AK93" i="48" s="1"/>
  <c r="AL74" i="53"/>
  <c r="AL75" i="48"/>
  <c r="AL93" i="48" s="1"/>
  <c r="AI83" i="50"/>
  <c r="AK80" i="56"/>
  <c r="AK98" i="56" s="1"/>
  <c r="AM84" i="48"/>
  <c r="AM102" i="48" s="1"/>
  <c r="AO83" i="54"/>
  <c r="AO101" i="54" s="1"/>
  <c r="AP84" i="48"/>
  <c r="AP102" i="48" s="1"/>
  <c r="AP80" i="15"/>
  <c r="AK80" i="48"/>
  <c r="AK98" i="48" s="1"/>
  <c r="AL80" i="48"/>
  <c r="AL98" i="48" s="1"/>
  <c r="AL83" i="48"/>
  <c r="AL101" i="48" s="1"/>
  <c r="AO84" i="53"/>
  <c r="AO102" i="53" s="1"/>
  <c r="AI82" i="53"/>
  <c r="AI100" i="53" s="1"/>
  <c r="AM71" i="48"/>
  <c r="AM89" i="48" s="1"/>
  <c r="AI84" i="55"/>
  <c r="AI102" i="55" s="1"/>
  <c r="AK81" i="56"/>
  <c r="AK99" i="56" s="1"/>
  <c r="AQ80" i="51"/>
  <c r="AP82" i="15"/>
  <c r="AP100" i="15" s="1"/>
  <c r="AM71" i="55"/>
  <c r="AM89" i="55" s="1"/>
  <c r="AQ83" i="54"/>
  <c r="AQ101" i="54" s="1"/>
  <c r="AJ84" i="15"/>
  <c r="AJ102" i="15" s="1"/>
  <c r="AI83" i="51"/>
  <c r="AN84" i="15"/>
  <c r="AN102" i="15" s="1"/>
  <c r="AJ82" i="55"/>
  <c r="AJ100" i="55" s="1"/>
  <c r="AI83" i="56"/>
  <c r="AI101" i="56" s="1"/>
  <c r="AL81" i="49"/>
  <c r="AP81" i="54"/>
  <c r="AP99" i="54" s="1"/>
  <c r="AJ80" i="48"/>
  <c r="AJ98" i="48" s="1"/>
  <c r="AM80" i="50"/>
  <c r="AN81" i="48"/>
  <c r="AN99" i="48" s="1"/>
  <c r="AN81" i="53"/>
  <c r="AN99" i="53" s="1"/>
  <c r="AN81" i="50"/>
  <c r="AQ81" i="49"/>
  <c r="AM84" i="15"/>
  <c r="AM102" i="15" s="1"/>
  <c r="AL83" i="50"/>
  <c r="AY57" i="49"/>
  <c r="AJ75" i="56"/>
  <c r="AM81" i="53"/>
  <c r="AM99" i="53" s="1"/>
  <c r="AQ74" i="51"/>
  <c r="AN82" i="48"/>
  <c r="AN100" i="48" s="1"/>
  <c r="AN81" i="55"/>
  <c r="AN99" i="55" s="1"/>
  <c r="AN81" i="51"/>
  <c r="AL81" i="48"/>
  <c r="AI74" i="53"/>
  <c r="AI92" i="53" s="1"/>
  <c r="AK75" i="50"/>
  <c r="AQ75" i="15"/>
  <c r="AQ93" i="15" s="1"/>
  <c r="AQ75" i="55"/>
  <c r="AQ93" i="55" s="1"/>
  <c r="AR74" i="49"/>
  <c r="AR72" i="15"/>
  <c r="AR90" i="15" s="1"/>
  <c r="AI75" i="56"/>
  <c r="AI93" i="56" s="1"/>
  <c r="AI80" i="55"/>
  <c r="AI98" i="55" s="1"/>
  <c r="AI71" i="54"/>
  <c r="AI89" i="54" s="1"/>
  <c r="AI74" i="49"/>
  <c r="AI71" i="50"/>
  <c r="AM75" i="50"/>
  <c r="AM74" i="50"/>
  <c r="AN71" i="15"/>
  <c r="AN75" i="15"/>
  <c r="AP74" i="54"/>
  <c r="AP92" i="54" s="1"/>
  <c r="AJ74" i="53"/>
  <c r="AJ92" i="53" s="1"/>
  <c r="AL71" i="50"/>
  <c r="AL117" i="50" s="1"/>
  <c r="AN83" i="15"/>
  <c r="AN101" i="15" s="1"/>
  <c r="AJ81" i="15"/>
  <c r="AL80" i="52"/>
  <c r="AN80" i="54"/>
  <c r="AN98" i="54" s="1"/>
  <c r="AI74" i="51"/>
  <c r="AP74" i="50"/>
  <c r="AQ74" i="56"/>
  <c r="AQ92" i="56" s="1"/>
  <c r="AR75" i="51"/>
  <c r="AJ83" i="56"/>
  <c r="AJ80" i="53"/>
  <c r="AJ98" i="53" s="1"/>
  <c r="AK83" i="50"/>
  <c r="AK74" i="49"/>
  <c r="AL74" i="52"/>
  <c r="AM75" i="15"/>
  <c r="AM93" i="15" s="1"/>
  <c r="AM80" i="55"/>
  <c r="AM98" i="55" s="1"/>
  <c r="AN83" i="50"/>
  <c r="AO74" i="52"/>
  <c r="AP74" i="56"/>
  <c r="AP92" i="56" s="1"/>
  <c r="AN74" i="50"/>
  <c r="AN74" i="56"/>
  <c r="AN92" i="56" s="1"/>
  <c r="AR83" i="50"/>
  <c r="AR80" i="51"/>
  <c r="AJ74" i="51"/>
  <c r="AJ80" i="52"/>
  <c r="AJ74" i="48"/>
  <c r="AJ92" i="48" s="1"/>
  <c r="AJ111" i="48" s="1"/>
  <c r="AK74" i="51"/>
  <c r="AK75" i="51"/>
  <c r="AK80" i="54"/>
  <c r="AK98" i="54" s="1"/>
  <c r="AJ80" i="49"/>
  <c r="AL80" i="54"/>
  <c r="AL98" i="54" s="1"/>
  <c r="AL83" i="54"/>
  <c r="AL101" i="54" s="1"/>
  <c r="AM75" i="52"/>
  <c r="AM83" i="48"/>
  <c r="AO75" i="55"/>
  <c r="AO93" i="55" s="1"/>
  <c r="AS74" i="52"/>
  <c r="AI81" i="56"/>
  <c r="AI99" i="56" s="1"/>
  <c r="AK74" i="56"/>
  <c r="AK92" i="56" s="1"/>
  <c r="AI81" i="53"/>
  <c r="AI99" i="53" s="1"/>
  <c r="AL81" i="55"/>
  <c r="AL99" i="55" s="1"/>
  <c r="AM75" i="48"/>
  <c r="AM80" i="15"/>
  <c r="AK81" i="50"/>
  <c r="AL80" i="56"/>
  <c r="AP81" i="15"/>
  <c r="AP99" i="15" s="1"/>
  <c r="AL82" i="50"/>
  <c r="AR75" i="53"/>
  <c r="AR93" i="53" s="1"/>
  <c r="AI81" i="15"/>
  <c r="AI99" i="15" s="1"/>
  <c r="AK83" i="55"/>
  <c r="AK101" i="55" s="1"/>
  <c r="AJ81" i="55"/>
  <c r="AJ99" i="55" s="1"/>
  <c r="AO84" i="50"/>
  <c r="AJ74" i="52"/>
  <c r="AI75" i="55"/>
  <c r="AI93" i="55" s="1"/>
  <c r="AM71" i="56"/>
  <c r="AM89" i="56" s="1"/>
  <c r="AN74" i="51"/>
  <c r="AN81" i="52"/>
  <c r="AO75" i="15"/>
  <c r="AO93" i="15" s="1"/>
  <c r="AR71" i="55"/>
  <c r="AI80" i="48"/>
  <c r="AI98" i="48" s="1"/>
  <c r="AK75" i="56"/>
  <c r="AK93" i="56" s="1"/>
  <c r="AI80" i="52"/>
  <c r="AJ74" i="56"/>
  <c r="AJ92" i="56" s="1"/>
  <c r="AK80" i="49"/>
  <c r="AK75" i="53"/>
  <c r="AK93" i="53" s="1"/>
  <c r="AI75" i="15"/>
  <c r="AK74" i="48"/>
  <c r="AK71" i="50"/>
  <c r="AL73" i="53"/>
  <c r="AL91" i="53" s="1"/>
  <c r="AL75" i="53"/>
  <c r="AL81" i="15"/>
  <c r="AL99" i="15" s="1"/>
  <c r="AL83" i="15"/>
  <c r="AL101" i="15" s="1"/>
  <c r="AM81" i="49"/>
  <c r="AM81" i="52"/>
  <c r="AO82" i="48"/>
  <c r="AO100" i="48" s="1"/>
  <c r="AO74" i="56"/>
  <c r="AO92" i="56" s="1"/>
  <c r="AQ75" i="50"/>
  <c r="AQ74" i="50"/>
  <c r="AR75" i="49"/>
  <c r="AR75" i="15"/>
  <c r="AJ81" i="48"/>
  <c r="AJ99" i="48" s="1"/>
  <c r="AJ81" i="52"/>
  <c r="AI71" i="56"/>
  <c r="AJ80" i="54"/>
  <c r="AI71" i="49"/>
  <c r="AI74" i="52"/>
  <c r="AI71" i="51"/>
  <c r="AM75" i="53"/>
  <c r="AM93" i="53" s="1"/>
  <c r="AK83" i="52"/>
  <c r="AL81" i="51"/>
  <c r="AM71" i="49"/>
  <c r="AM73" i="49"/>
  <c r="AM71" i="50"/>
  <c r="AM73" i="56"/>
  <c r="AM91" i="56" s="1"/>
  <c r="AM75" i="51"/>
  <c r="AI71" i="15"/>
  <c r="AM80" i="52"/>
  <c r="AR74" i="50"/>
  <c r="AK73" i="15"/>
  <c r="AK91" i="15" s="1"/>
  <c r="AL72" i="50"/>
  <c r="AO75" i="49"/>
  <c r="AJ75" i="55"/>
  <c r="AJ93" i="55" s="1"/>
  <c r="AJ71" i="48"/>
  <c r="AJ89" i="48" s="1"/>
  <c r="AK81" i="54"/>
  <c r="AK99" i="54" s="1"/>
  <c r="AK75" i="55"/>
  <c r="AK93" i="55" s="1"/>
  <c r="AL74" i="15"/>
  <c r="AN75" i="54"/>
  <c r="AN93" i="54" s="1"/>
  <c r="AO74" i="51"/>
  <c r="AO73" i="55"/>
  <c r="AO91" i="55" s="1"/>
  <c r="AW84" i="54"/>
  <c r="AW102" i="54" s="1"/>
  <c r="AJ74" i="49"/>
  <c r="AK71" i="56"/>
  <c r="AK89" i="56" s="1"/>
  <c r="AI75" i="53"/>
  <c r="AI93" i="53" s="1"/>
  <c r="AK75" i="52"/>
  <c r="AK71" i="53"/>
  <c r="AK81" i="53"/>
  <c r="AK99" i="53" s="1"/>
  <c r="AI80" i="54"/>
  <c r="AI98" i="54" s="1"/>
  <c r="AK71" i="48"/>
  <c r="AL71" i="48"/>
  <c r="AL71" i="55"/>
  <c r="AL89" i="55" s="1"/>
  <c r="AM80" i="49"/>
  <c r="AM83" i="52"/>
  <c r="AN80" i="55"/>
  <c r="AN98" i="55" s="1"/>
  <c r="AM81" i="15"/>
  <c r="AM99" i="15" s="1"/>
  <c r="AO80" i="49"/>
  <c r="AO71" i="56"/>
  <c r="AO89" i="56" s="1"/>
  <c r="AP75" i="15"/>
  <c r="AQ83" i="50"/>
  <c r="AQ74" i="15"/>
  <c r="AR74" i="53"/>
  <c r="AR92" i="53" s="1"/>
  <c r="AR74" i="52"/>
  <c r="AR80" i="15"/>
  <c r="AI71" i="48"/>
  <c r="AI89" i="48" s="1"/>
  <c r="AI81" i="55"/>
  <c r="AI99" i="55" s="1"/>
  <c r="AJ75" i="52"/>
  <c r="AJ74" i="15"/>
  <c r="AJ92" i="15" s="1"/>
  <c r="AI71" i="53"/>
  <c r="AI74" i="15"/>
  <c r="AI92" i="15" s="1"/>
  <c r="AP74" i="15"/>
  <c r="AO83" i="15"/>
  <c r="AO101" i="15" s="1"/>
  <c r="AQ74" i="49"/>
  <c r="AJ74" i="54"/>
  <c r="AJ92" i="54" s="1"/>
  <c r="AL71" i="56"/>
  <c r="AL89" i="56" s="1"/>
  <c r="AM71" i="54"/>
  <c r="AM89" i="54" s="1"/>
  <c r="AM80" i="48"/>
  <c r="AM98" i="48" s="1"/>
  <c r="AN75" i="55"/>
  <c r="AN93" i="55" s="1"/>
  <c r="AO75" i="53"/>
  <c r="AI80" i="56"/>
  <c r="AI98" i="56" s="1"/>
  <c r="AI83" i="53"/>
  <c r="AI101" i="53" s="1"/>
  <c r="AJ80" i="50"/>
  <c r="AJ71" i="56"/>
  <c r="AJ89" i="56" s="1"/>
  <c r="AI72" i="53"/>
  <c r="AI90" i="53" s="1"/>
  <c r="AI81" i="54"/>
  <c r="AI99" i="54" s="1"/>
  <c r="AK74" i="50"/>
  <c r="AL75" i="55"/>
  <c r="AL93" i="55" s="1"/>
  <c r="AM74" i="48"/>
  <c r="AM92" i="48" s="1"/>
  <c r="AM80" i="53"/>
  <c r="AM98" i="53" s="1"/>
  <c r="AN81" i="49"/>
  <c r="AM83" i="15"/>
  <c r="AM101" i="15" s="1"/>
  <c r="AO81" i="49"/>
  <c r="AQ74" i="55"/>
  <c r="AQ71" i="55"/>
  <c r="AQ89" i="55" s="1"/>
  <c r="AR74" i="15"/>
  <c r="AR92" i="15" s="1"/>
  <c r="AR83" i="15"/>
  <c r="AI75" i="48"/>
  <c r="AI93" i="48" s="1"/>
  <c r="AI74" i="56"/>
  <c r="AI92" i="56" s="1"/>
  <c r="AI83" i="55"/>
  <c r="AI101" i="55" s="1"/>
  <c r="AJ71" i="52"/>
  <c r="AI80" i="15"/>
  <c r="AJ75" i="15"/>
  <c r="AJ93" i="15" s="1"/>
  <c r="AJ71" i="15"/>
  <c r="AJ89" i="15" s="1"/>
  <c r="AO80" i="15"/>
  <c r="AO81" i="54"/>
  <c r="AO99" i="54" s="1"/>
  <c r="AP83" i="55"/>
  <c r="AP101" i="55" s="1"/>
  <c r="AP75" i="49"/>
  <c r="AQ75" i="49"/>
  <c r="AN71" i="53"/>
  <c r="AN89" i="53" s="1"/>
  <c r="AP81" i="49"/>
  <c r="AR74" i="51"/>
  <c r="AJ81" i="56"/>
  <c r="AJ99" i="56" s="1"/>
  <c r="AJ75" i="53"/>
  <c r="AJ93" i="53" s="1"/>
  <c r="AJ71" i="53"/>
  <c r="AJ89" i="53" s="1"/>
  <c r="AJ83" i="55"/>
  <c r="AJ101" i="55" s="1"/>
  <c r="AJ83" i="53"/>
  <c r="AJ101" i="53" s="1"/>
  <c r="AJ71" i="54"/>
  <c r="AL71" i="54"/>
  <c r="AL89" i="54" s="1"/>
  <c r="AL74" i="54"/>
  <c r="AK71" i="49"/>
  <c r="AK81" i="48"/>
  <c r="AK99" i="48" s="1"/>
  <c r="AK74" i="15"/>
  <c r="AK92" i="15" s="1"/>
  <c r="AK71" i="15"/>
  <c r="AK89" i="15" s="1"/>
  <c r="AL71" i="52"/>
  <c r="AM71" i="15"/>
  <c r="AM89" i="15" s="1"/>
  <c r="AM74" i="55"/>
  <c r="AM81" i="56"/>
  <c r="AM99" i="56" s="1"/>
  <c r="AN71" i="48"/>
  <c r="AN89" i="48" s="1"/>
  <c r="AN80" i="15"/>
  <c r="AP71" i="56"/>
  <c r="AP89" i="56" s="1"/>
  <c r="AO74" i="50"/>
  <c r="AP74" i="55"/>
  <c r="AP92" i="55" s="1"/>
  <c r="AP80" i="48"/>
  <c r="AP98" i="48" s="1"/>
  <c r="AQ83" i="15"/>
  <c r="AQ101" i="15" s="1"/>
  <c r="AR83" i="54"/>
  <c r="AN73" i="56"/>
  <c r="AN91" i="56" s="1"/>
  <c r="AQ74" i="54"/>
  <c r="AQ92" i="54" s="1"/>
  <c r="AR83" i="52"/>
  <c r="AR81" i="52"/>
  <c r="AR75" i="55"/>
  <c r="AR93" i="55" s="1"/>
  <c r="AI81" i="51"/>
  <c r="AI83" i="48"/>
  <c r="AI101" i="48" s="1"/>
  <c r="AI81" i="48"/>
  <c r="AI99" i="48" s="1"/>
  <c r="AJ75" i="48"/>
  <c r="AJ93" i="48" s="1"/>
  <c r="AJ74" i="50"/>
  <c r="AJ80" i="51"/>
  <c r="AJ81" i="51"/>
  <c r="AK74" i="54"/>
  <c r="AK92" i="54" s="1"/>
  <c r="AK74" i="55"/>
  <c r="AK92" i="55" s="1"/>
  <c r="AL75" i="15"/>
  <c r="AL93" i="15" s="1"/>
  <c r="AM83" i="54"/>
  <c r="AM101" i="54" s="1"/>
  <c r="AM71" i="52"/>
  <c r="AL75" i="49"/>
  <c r="AL83" i="52"/>
  <c r="AL81" i="52"/>
  <c r="AN75" i="49"/>
  <c r="AN81" i="54"/>
  <c r="AN99" i="54" s="1"/>
  <c r="AN71" i="55"/>
  <c r="AM81" i="51"/>
  <c r="AO74" i="53"/>
  <c r="AO92" i="53" s="1"/>
  <c r="AO71" i="55"/>
  <c r="AO89" i="55" s="1"/>
  <c r="AP83" i="52"/>
  <c r="AP81" i="52"/>
  <c r="AI80" i="50"/>
  <c r="AI71" i="52"/>
  <c r="AK80" i="55"/>
  <c r="AK98" i="55" s="1"/>
  <c r="AI75" i="51"/>
  <c r="AM74" i="53"/>
  <c r="AM92" i="53" s="1"/>
  <c r="AI74" i="55"/>
  <c r="AI92" i="55" s="1"/>
  <c r="AK80" i="52"/>
  <c r="AL80" i="51"/>
  <c r="AI75" i="50"/>
  <c r="AM83" i="50"/>
  <c r="AM74" i="49"/>
  <c r="AM74" i="56"/>
  <c r="AM92" i="56" s="1"/>
  <c r="AM71" i="51"/>
  <c r="AN74" i="15"/>
  <c r="AN92" i="15" s="1"/>
  <c r="AN75" i="51"/>
  <c r="AN83" i="48"/>
  <c r="AN101" i="48" s="1"/>
  <c r="AN80" i="51"/>
  <c r="AQ74" i="52"/>
  <c r="AQ71" i="56"/>
  <c r="AQ89" i="56" s="1"/>
  <c r="AQ75" i="56"/>
  <c r="AQ93" i="56" s="1"/>
  <c r="AN74" i="53"/>
  <c r="AN92" i="53" s="1"/>
  <c r="AR74" i="54"/>
  <c r="AR92" i="54" s="1"/>
  <c r="AJ80" i="56"/>
  <c r="AJ98" i="56" s="1"/>
  <c r="AJ75" i="54"/>
  <c r="AL75" i="54"/>
  <c r="AL93" i="54" s="1"/>
  <c r="AL80" i="53"/>
  <c r="AL98" i="53" s="1"/>
  <c r="AK75" i="15"/>
  <c r="AK93" i="15" s="1"/>
  <c r="AL75" i="52"/>
  <c r="AL74" i="56"/>
  <c r="AL92" i="56" s="1"/>
  <c r="AM74" i="15"/>
  <c r="AM92" i="15" s="1"/>
  <c r="AM74" i="54"/>
  <c r="AM92" i="54" s="1"/>
  <c r="AM83" i="56"/>
  <c r="AN71" i="52"/>
  <c r="AN81" i="15"/>
  <c r="AP80" i="51"/>
  <c r="AO83" i="52"/>
  <c r="AO81" i="52"/>
  <c r="AN75" i="50"/>
  <c r="AP75" i="55"/>
  <c r="AP93" i="55" s="1"/>
  <c r="AQ81" i="54"/>
  <c r="AQ99" i="54" s="1"/>
  <c r="AP83" i="48"/>
  <c r="AP101" i="48" s="1"/>
  <c r="AP83" i="50"/>
  <c r="AR83" i="49"/>
  <c r="AQ83" i="52"/>
  <c r="AQ81" i="52"/>
  <c r="AS83" i="54"/>
  <c r="AS101" i="54" s="1"/>
  <c r="AN75" i="56"/>
  <c r="AR74" i="55"/>
  <c r="AJ71" i="51"/>
  <c r="AJ83" i="15"/>
  <c r="AJ101" i="15" s="1"/>
  <c r="AJ74" i="55"/>
  <c r="AJ92" i="55" s="1"/>
  <c r="AJ71" i="50"/>
  <c r="AK75" i="54"/>
  <c r="AM80" i="54"/>
  <c r="AM98" i="54" s="1"/>
  <c r="AM74" i="52"/>
  <c r="AM81" i="48"/>
  <c r="AM99" i="48" s="1"/>
  <c r="AN74" i="54"/>
  <c r="AN92" i="54" s="1"/>
  <c r="AN74" i="49"/>
  <c r="AN74" i="55"/>
  <c r="AN92" i="55" s="1"/>
  <c r="AM80" i="51"/>
  <c r="AO75" i="54"/>
  <c r="AO93" i="54" s="1"/>
  <c r="AO74" i="54"/>
  <c r="AO74" i="55"/>
  <c r="AO92" i="55" s="1"/>
  <c r="AP75" i="53"/>
  <c r="AP93" i="53" s="1"/>
  <c r="AQ74" i="53"/>
  <c r="AQ92" i="53" s="1"/>
  <c r="AI74" i="54"/>
  <c r="AI92" i="54" s="1"/>
  <c r="AI75" i="49"/>
  <c r="AK81" i="15"/>
  <c r="AK99" i="15" s="1"/>
  <c r="AK81" i="55"/>
  <c r="AK99" i="55" s="1"/>
  <c r="AL81" i="56"/>
  <c r="AL99" i="56" s="1"/>
  <c r="AM71" i="53"/>
  <c r="AI71" i="55"/>
  <c r="AI89" i="55" s="1"/>
  <c r="AI74" i="50"/>
  <c r="AM75" i="56"/>
  <c r="AM93" i="56" s="1"/>
  <c r="AM74" i="51"/>
  <c r="AN71" i="51"/>
  <c r="AP74" i="52"/>
  <c r="AO82" i="51"/>
  <c r="AO81" i="15"/>
  <c r="AO99" i="15" s="1"/>
  <c r="AP75" i="50"/>
  <c r="AP74" i="49"/>
  <c r="AN75" i="53"/>
  <c r="AP83" i="49"/>
  <c r="AR75" i="50"/>
  <c r="AJ81" i="53"/>
  <c r="AK80" i="50"/>
  <c r="AL98" i="50" s="1"/>
  <c r="AK75" i="49"/>
  <c r="AK81" i="51"/>
  <c r="AI81" i="49"/>
  <c r="AL81" i="53"/>
  <c r="AL99" i="53" s="1"/>
  <c r="AL75" i="56"/>
  <c r="AL93" i="56" s="1"/>
  <c r="AL75" i="50"/>
  <c r="AL74" i="50"/>
  <c r="AM75" i="54"/>
  <c r="AM93" i="54" s="1"/>
  <c r="AM75" i="55"/>
  <c r="AM93" i="55" s="1"/>
  <c r="AM83" i="55"/>
  <c r="AM81" i="55"/>
  <c r="AM99" i="55" s="1"/>
  <c r="AM80" i="56"/>
  <c r="AM98" i="56" s="1"/>
  <c r="AN81" i="56"/>
  <c r="AN99" i="56" s="1"/>
  <c r="AN80" i="50"/>
  <c r="AN74" i="52"/>
  <c r="AN83" i="52"/>
  <c r="AO74" i="15"/>
  <c r="AO92" i="15" s="1"/>
  <c r="AP75" i="56"/>
  <c r="AP93" i="56" s="1"/>
  <c r="AO71" i="49"/>
  <c r="AO74" i="49"/>
  <c r="AO75" i="50"/>
  <c r="AO83" i="50"/>
  <c r="AP71" i="55"/>
  <c r="AP89" i="55" s="1"/>
  <c r="AN71" i="56"/>
  <c r="AN89" i="56" s="1"/>
  <c r="AJ75" i="51"/>
  <c r="AJ80" i="15"/>
  <c r="AJ71" i="55"/>
  <c r="AJ89" i="55" s="1"/>
  <c r="AJ75" i="50"/>
  <c r="AJ83" i="51"/>
  <c r="AK71" i="51"/>
  <c r="AK83" i="54"/>
  <c r="AK101" i="54" s="1"/>
  <c r="AK71" i="54"/>
  <c r="AJ83" i="49"/>
  <c r="AJ81" i="49"/>
  <c r="AK71" i="55"/>
  <c r="AL71" i="15"/>
  <c r="AL81" i="54"/>
  <c r="AL99" i="54" s="1"/>
  <c r="AM81" i="54"/>
  <c r="AM99" i="54" s="1"/>
  <c r="AL74" i="49"/>
  <c r="AL71" i="49"/>
  <c r="AN71" i="49"/>
  <c r="AO80" i="53"/>
  <c r="AO98" i="53" s="1"/>
  <c r="AN83" i="54"/>
  <c r="AN101" i="54" s="1"/>
  <c r="AO75" i="51"/>
  <c r="AO71" i="53"/>
  <c r="AP74" i="53"/>
  <c r="AQ75" i="53"/>
  <c r="AQ93" i="53" s="1"/>
  <c r="AY40" i="15"/>
  <c r="AK82" i="53"/>
  <c r="AK100" i="53" s="1"/>
  <c r="AO84" i="15"/>
  <c r="AO102" i="15" s="1"/>
  <c r="AR84" i="15"/>
  <c r="AR102" i="15" s="1"/>
  <c r="AI84" i="48"/>
  <c r="AI102" i="48" s="1"/>
  <c r="AI82" i="15"/>
  <c r="AI100" i="15" s="1"/>
  <c r="AP84" i="56"/>
  <c r="AP102" i="56" s="1"/>
  <c r="AL84" i="50"/>
  <c r="AI84" i="51"/>
  <c r="AY36" i="15"/>
  <c r="AY18" i="15"/>
  <c r="AY38" i="15"/>
  <c r="AL82" i="49"/>
  <c r="AN83" i="56"/>
  <c r="AN101" i="56" s="1"/>
  <c r="AK84" i="50"/>
  <c r="AM84" i="55"/>
  <c r="AM102" i="55" s="1"/>
  <c r="AP84" i="49"/>
  <c r="AR84" i="50"/>
  <c r="AY10" i="49"/>
  <c r="AY46" i="53"/>
  <c r="AY10" i="55"/>
  <c r="AY28" i="51"/>
  <c r="AI84" i="54"/>
  <c r="AI102" i="54" s="1"/>
  <c r="AJ84" i="54"/>
  <c r="AJ102" i="54" s="1"/>
  <c r="AM84" i="52"/>
  <c r="AL82" i="55"/>
  <c r="AL100" i="55" s="1"/>
  <c r="AP82" i="54"/>
  <c r="AP100" i="54" s="1"/>
  <c r="AP84" i="55"/>
  <c r="AP102" i="55" s="1"/>
  <c r="AQ82" i="50"/>
  <c r="AK82" i="56"/>
  <c r="AL84" i="53"/>
  <c r="AL102" i="53" s="1"/>
  <c r="AK82" i="49"/>
  <c r="AN82" i="55"/>
  <c r="AN100" i="55" s="1"/>
  <c r="AN82" i="49"/>
  <c r="AO82" i="56"/>
  <c r="AO100" i="56" s="1"/>
  <c r="AO82" i="55"/>
  <c r="AJ84" i="48"/>
  <c r="AJ102" i="48" s="1"/>
  <c r="AN82" i="51"/>
  <c r="AQ82" i="49"/>
  <c r="AQ84" i="53"/>
  <c r="AR82" i="53"/>
  <c r="AR100" i="53" s="1"/>
  <c r="AM84" i="56"/>
  <c r="AM102" i="56" s="1"/>
  <c r="AO84" i="56"/>
  <c r="AO102" i="56" s="1"/>
  <c r="AP84" i="15"/>
  <c r="AP102" i="15" s="1"/>
  <c r="AJ84" i="55"/>
  <c r="AJ102" i="55" s="1"/>
  <c r="AK84" i="49"/>
  <c r="AL84" i="48"/>
  <c r="AN84" i="55"/>
  <c r="AY27" i="49"/>
  <c r="AI82" i="50"/>
  <c r="AL82" i="51"/>
  <c r="AO84" i="54"/>
  <c r="AO102" i="54" s="1"/>
  <c r="AK84" i="15"/>
  <c r="AK102" i="15" s="1"/>
  <c r="AN84" i="48"/>
  <c r="AN102" i="48" s="1"/>
  <c r="AQ84" i="54"/>
  <c r="AI84" i="50"/>
  <c r="AI84" i="52"/>
  <c r="AK84" i="51"/>
  <c r="AN84" i="49"/>
  <c r="AQ84" i="15"/>
  <c r="AQ102" i="15" s="1"/>
  <c r="AQ84" i="56"/>
  <c r="AQ102" i="56" s="1"/>
  <c r="AJ82" i="50"/>
  <c r="AM84" i="53"/>
  <c r="AL82" i="15"/>
  <c r="AQ82" i="53"/>
  <c r="AQ100" i="53" s="1"/>
  <c r="AK82" i="55"/>
  <c r="AK100" i="55" s="1"/>
  <c r="AK84" i="55"/>
  <c r="AM84" i="50"/>
  <c r="AM84" i="49"/>
  <c r="AN82" i="53"/>
  <c r="AN100" i="53" s="1"/>
  <c r="AO84" i="48"/>
  <c r="AP84" i="54"/>
  <c r="AR84" i="48"/>
  <c r="AR102" i="48" s="1"/>
  <c r="AQ84" i="49"/>
  <c r="AR84" i="53"/>
  <c r="AI82" i="49"/>
  <c r="AN84" i="53"/>
  <c r="AN102" i="53" s="1"/>
  <c r="AI84" i="49"/>
  <c r="AO84" i="49"/>
  <c r="AO84" i="55"/>
  <c r="AM82" i="49"/>
  <c r="AO82" i="49"/>
  <c r="AJ84" i="50"/>
  <c r="AI84" i="53"/>
  <c r="AI102" i="53" s="1"/>
  <c r="AL84" i="55"/>
  <c r="AL102" i="55" s="1"/>
  <c r="AL84" i="56"/>
  <c r="AK84" i="56"/>
  <c r="AK102" i="56" s="1"/>
  <c r="AQ84" i="50"/>
  <c r="AQ84" i="48"/>
  <c r="AQ102" i="48" s="1"/>
  <c r="AI84" i="15"/>
  <c r="AI102" i="15" s="1"/>
  <c r="AK84" i="53"/>
  <c r="AK102" i="53" s="1"/>
  <c r="AL84" i="15"/>
  <c r="AL102" i="15" s="1"/>
  <c r="AL84" i="49"/>
  <c r="AK73" i="54"/>
  <c r="AK91" i="54" s="1"/>
  <c r="AK72" i="55"/>
  <c r="AK90" i="55" s="1"/>
  <c r="AN72" i="54"/>
  <c r="AN90" i="54" s="1"/>
  <c r="AO73" i="51"/>
  <c r="AO72" i="55"/>
  <c r="AI73" i="53"/>
  <c r="AK72" i="52"/>
  <c r="AJ82" i="48"/>
  <c r="AJ100" i="48" s="1"/>
  <c r="AL82" i="48"/>
  <c r="AL100" i="48" s="1"/>
  <c r="AM83" i="51"/>
  <c r="AN73" i="55"/>
  <c r="AN91" i="55" s="1"/>
  <c r="AL73" i="51"/>
  <c r="AQ73" i="51"/>
  <c r="AJ72" i="52"/>
  <c r="AI73" i="55"/>
  <c r="AI91" i="55" s="1"/>
  <c r="AI73" i="50"/>
  <c r="AI72" i="50"/>
  <c r="AM72" i="56"/>
  <c r="AM90" i="56" s="1"/>
  <c r="AN73" i="15"/>
  <c r="AN91" i="15" s="1"/>
  <c r="AP72" i="54"/>
  <c r="AP90" i="54" s="1"/>
  <c r="AN72" i="53"/>
  <c r="AR72" i="54"/>
  <c r="AJ73" i="54"/>
  <c r="AJ91" i="54" s="1"/>
  <c r="AN72" i="50"/>
  <c r="AK72" i="15"/>
  <c r="AQ72" i="51"/>
  <c r="AQ73" i="15"/>
  <c r="AQ91" i="15" s="1"/>
  <c r="AI72" i="48"/>
  <c r="AI90" i="48" s="1"/>
  <c r="AI72" i="49"/>
  <c r="AI72" i="15"/>
  <c r="AI90" i="15" s="1"/>
  <c r="AI82" i="55"/>
  <c r="AR73" i="51"/>
  <c r="AQ73" i="53"/>
  <c r="AI81" i="52"/>
  <c r="AI73" i="56"/>
  <c r="AI91" i="56" s="1"/>
  <c r="AJ72" i="15"/>
  <c r="AJ90" i="15" s="1"/>
  <c r="AI73" i="52"/>
  <c r="AM73" i="50"/>
  <c r="AN73" i="50"/>
  <c r="AM73" i="15"/>
  <c r="AM91" i="15" s="1"/>
  <c r="AO72" i="15"/>
  <c r="AO73" i="15"/>
  <c r="AO91" i="15" s="1"/>
  <c r="AQ72" i="48"/>
  <c r="AJ73" i="55"/>
  <c r="AJ91" i="55" s="1"/>
  <c r="AK72" i="49"/>
  <c r="AK82" i="51"/>
  <c r="AK84" i="48"/>
  <c r="AK102" i="48" s="1"/>
  <c r="AI72" i="56"/>
  <c r="AI90" i="56" s="1"/>
  <c r="AK73" i="56"/>
  <c r="AK91" i="56" s="1"/>
  <c r="AI82" i="52"/>
  <c r="AK73" i="52"/>
  <c r="AK72" i="48"/>
  <c r="AK90" i="48" s="1"/>
  <c r="AL72" i="51"/>
  <c r="AL72" i="55"/>
  <c r="AL90" i="55" s="1"/>
  <c r="AP73" i="51"/>
  <c r="AJ73" i="52"/>
  <c r="AI73" i="51"/>
  <c r="AK82" i="52"/>
  <c r="AL84" i="51"/>
  <c r="AM82" i="50"/>
  <c r="AM72" i="50"/>
  <c r="AM73" i="51"/>
  <c r="AN72" i="15"/>
  <c r="AN90" i="15" s="1"/>
  <c r="AN73" i="51"/>
  <c r="AO82" i="54"/>
  <c r="AO100" i="54" s="1"/>
  <c r="AQ84" i="51"/>
  <c r="AQ73" i="49"/>
  <c r="AQ82" i="56"/>
  <c r="AQ100" i="56" s="1"/>
  <c r="AR83" i="53"/>
  <c r="AR101" i="53" s="1"/>
  <c r="AK82" i="48"/>
  <c r="AK100" i="48" s="1"/>
  <c r="AL72" i="52"/>
  <c r="AL72" i="56"/>
  <c r="AL90" i="56" s="1"/>
  <c r="AP72" i="48"/>
  <c r="AQ82" i="54"/>
  <c r="AQ100" i="54" s="1"/>
  <c r="AQ82" i="15"/>
  <c r="AQ100" i="15" s="1"/>
  <c r="AS82" i="54"/>
  <c r="AS100" i="54" s="1"/>
  <c r="AI82" i="51"/>
  <c r="AJ73" i="48"/>
  <c r="AJ91" i="48" s="1"/>
  <c r="AO72" i="54"/>
  <c r="AP73" i="53"/>
  <c r="AP91" i="53" s="1"/>
  <c r="AR83" i="56"/>
  <c r="AR101" i="56" s="1"/>
  <c r="AS83" i="56"/>
  <c r="AS101" i="56" s="1"/>
  <c r="AJ81" i="54"/>
  <c r="AJ99" i="54" s="1"/>
  <c r="AK82" i="15"/>
  <c r="AK100" i="15" s="1"/>
  <c r="AK81" i="52"/>
  <c r="AL82" i="56"/>
  <c r="AL100" i="56" s="1"/>
  <c r="AO72" i="48"/>
  <c r="AO90" i="48" s="1"/>
  <c r="AP72" i="15"/>
  <c r="AQ73" i="50"/>
  <c r="AR73" i="49"/>
  <c r="AM72" i="52"/>
  <c r="AO73" i="53"/>
  <c r="AO91" i="53" s="1"/>
  <c r="AK72" i="56"/>
  <c r="AL72" i="53"/>
  <c r="AM72" i="48"/>
  <c r="AM83" i="53"/>
  <c r="AP73" i="15"/>
  <c r="AP91" i="15" s="1"/>
  <c r="AL72" i="48"/>
  <c r="AJ82" i="15"/>
  <c r="AJ100" i="15" s="1"/>
  <c r="AK73" i="51"/>
  <c r="AM73" i="52"/>
  <c r="AN82" i="54"/>
  <c r="AN100" i="54" s="1"/>
  <c r="AI102" i="56"/>
  <c r="AJ72" i="49"/>
  <c r="AI83" i="54"/>
  <c r="AJ73" i="56"/>
  <c r="AI73" i="15"/>
  <c r="AI82" i="54"/>
  <c r="AK72" i="50"/>
  <c r="AL73" i="48"/>
  <c r="AM82" i="53"/>
  <c r="AM100" i="53" s="1"/>
  <c r="AP72" i="51"/>
  <c r="AR73" i="15"/>
  <c r="AR82" i="15"/>
  <c r="AR100" i="15" s="1"/>
  <c r="AI73" i="48"/>
  <c r="AI73" i="54"/>
  <c r="AI75" i="54"/>
  <c r="AI73" i="49"/>
  <c r="AI72" i="51"/>
  <c r="AM81" i="50"/>
  <c r="AN72" i="51"/>
  <c r="AO82" i="15"/>
  <c r="AO100" i="15" s="1"/>
  <c r="AP73" i="50"/>
  <c r="AP73" i="49"/>
  <c r="AQ82" i="51"/>
  <c r="AQ83" i="53"/>
  <c r="AQ101" i="53" s="1"/>
  <c r="AR72" i="51"/>
  <c r="AJ73" i="53"/>
  <c r="AK82" i="50"/>
  <c r="AJ72" i="54"/>
  <c r="AL73" i="54"/>
  <c r="AL73" i="52"/>
  <c r="AL81" i="50"/>
  <c r="AM72" i="15"/>
  <c r="AM73" i="55"/>
  <c r="AM72" i="55"/>
  <c r="AN82" i="56"/>
  <c r="AN100" i="56" s="1"/>
  <c r="AN82" i="52"/>
  <c r="AN72" i="48"/>
  <c r="AN83" i="53"/>
  <c r="AN101" i="53" s="1"/>
  <c r="AO72" i="49"/>
  <c r="AO73" i="50"/>
  <c r="AR82" i="49"/>
  <c r="AQ82" i="55"/>
  <c r="AQ100" i="55" s="1"/>
  <c r="AP82" i="53"/>
  <c r="AP100" i="53" s="1"/>
  <c r="AQ72" i="54"/>
  <c r="AR82" i="51"/>
  <c r="AJ73" i="51"/>
  <c r="AI82" i="48"/>
  <c r="AJ72" i="48"/>
  <c r="AJ73" i="50"/>
  <c r="AK72" i="51"/>
  <c r="AK72" i="54"/>
  <c r="AJ82" i="49"/>
  <c r="AL73" i="15"/>
  <c r="AL72" i="49"/>
  <c r="AL82" i="52"/>
  <c r="AN72" i="49"/>
  <c r="AO72" i="51"/>
  <c r="AQ83" i="56"/>
  <c r="AQ101" i="56" s="1"/>
  <c r="AK73" i="53"/>
  <c r="AR73" i="53"/>
  <c r="AJ82" i="54"/>
  <c r="AJ100" i="54" s="1"/>
  <c r="AJ81" i="50"/>
  <c r="AI74" i="48"/>
  <c r="AP82" i="55"/>
  <c r="AJ82" i="56"/>
  <c r="AJ100" i="56" s="1"/>
  <c r="AJ82" i="53"/>
  <c r="AJ100" i="53" s="1"/>
  <c r="AK73" i="49"/>
  <c r="AM73" i="54"/>
  <c r="AR82" i="54"/>
  <c r="AR100" i="54" s="1"/>
  <c r="AR82" i="50"/>
  <c r="AR84" i="51"/>
  <c r="AJ72" i="51"/>
  <c r="AM82" i="54"/>
  <c r="AM100" i="54" s="1"/>
  <c r="AM82" i="48"/>
  <c r="AM100" i="48" s="1"/>
  <c r="AN72" i="55"/>
  <c r="AM82" i="51"/>
  <c r="AJ73" i="49"/>
  <c r="AI82" i="56"/>
  <c r="AJ72" i="56"/>
  <c r="AK72" i="53"/>
  <c r="AK73" i="48"/>
  <c r="AK73" i="50"/>
  <c r="AL73" i="55"/>
  <c r="AM82" i="15"/>
  <c r="AM100" i="15" s="1"/>
  <c r="AI72" i="54"/>
  <c r="AM73" i="53"/>
  <c r="AM72" i="53"/>
  <c r="AI72" i="55"/>
  <c r="AK84" i="52"/>
  <c r="AL83" i="56"/>
  <c r="AM72" i="49"/>
  <c r="AM72" i="51"/>
  <c r="AN73" i="53"/>
  <c r="AP82" i="49"/>
  <c r="AJ72" i="53"/>
  <c r="AL72" i="54"/>
  <c r="AK83" i="56"/>
  <c r="AK101" i="56" s="1"/>
  <c r="AM72" i="54"/>
  <c r="AM82" i="56"/>
  <c r="AM100" i="56" s="1"/>
  <c r="AN82" i="50"/>
  <c r="AN72" i="52"/>
  <c r="AN82" i="15"/>
  <c r="AN100" i="15" s="1"/>
  <c r="AP84" i="51"/>
  <c r="AO73" i="49"/>
  <c r="AO82" i="52"/>
  <c r="AO82" i="50"/>
  <c r="AN72" i="56"/>
  <c r="AI81" i="50"/>
  <c r="AJ82" i="52"/>
  <c r="AJ72" i="55"/>
  <c r="AJ72" i="50"/>
  <c r="AJ82" i="51"/>
  <c r="AK73" i="55"/>
  <c r="AL83" i="51"/>
  <c r="AL72" i="15"/>
  <c r="AN73" i="54"/>
  <c r="AL73" i="49"/>
  <c r="AL84" i="52"/>
  <c r="AN73" i="49"/>
  <c r="AO82" i="53"/>
  <c r="AO100" i="53" s="1"/>
  <c r="AM73" i="48"/>
  <c r="AM82" i="52"/>
  <c r="AQ72" i="15"/>
  <c r="AJ73" i="15"/>
  <c r="AI72" i="52"/>
  <c r="AL82" i="53"/>
  <c r="AL73" i="56"/>
  <c r="AL73" i="50"/>
  <c r="AM82" i="55"/>
  <c r="AM100" i="55" s="1"/>
  <c r="AN83" i="51"/>
  <c r="AP82" i="51"/>
  <c r="AO83" i="56"/>
  <c r="AO101" i="56" s="1"/>
  <c r="AP82" i="50"/>
  <c r="AR82" i="55"/>
  <c r="AR100" i="55" s="1"/>
  <c r="AK83" i="51"/>
  <c r="AK82" i="54"/>
  <c r="AK100" i="54" s="1"/>
  <c r="AL84" i="54"/>
  <c r="AL82" i="54"/>
  <c r="AM84" i="51"/>
  <c r="AP82" i="56"/>
  <c r="AP100" i="56" s="1"/>
  <c r="AY48" i="15"/>
  <c r="AY20" i="15"/>
  <c r="AY29" i="51"/>
  <c r="AY49" i="15"/>
  <c r="AY83" i="15" s="1"/>
  <c r="AY101" i="15" s="1"/>
  <c r="AY56" i="51"/>
  <c r="AY57" i="51"/>
  <c r="AY30" i="51"/>
  <c r="AY39" i="49"/>
  <c r="AY40" i="53"/>
  <c r="AY30" i="49"/>
  <c r="AY48" i="49"/>
  <c r="AY18" i="51"/>
  <c r="AY38" i="53"/>
  <c r="AY30" i="15"/>
  <c r="AY29" i="15"/>
  <c r="AY29" i="49"/>
  <c r="AY37" i="49"/>
  <c r="AY47" i="49"/>
  <c r="AW74" i="50"/>
  <c r="AY8" i="51"/>
  <c r="AX82" i="51"/>
  <c r="AY18" i="49"/>
  <c r="AY47" i="55"/>
  <c r="AY49" i="55"/>
  <c r="AY20" i="49"/>
  <c r="AY38" i="51"/>
  <c r="AY38" i="55"/>
  <c r="AY9" i="15"/>
  <c r="AY27" i="53"/>
  <c r="AZ11" i="56"/>
  <c r="AZ41" i="55"/>
  <c r="AZ38" i="55" s="1"/>
  <c r="AZ61" i="48"/>
  <c r="AZ61" i="54"/>
  <c r="AZ21" i="54"/>
  <c r="AZ61" i="55"/>
  <c r="AZ51" i="55"/>
  <c r="AZ31" i="49"/>
  <c r="AZ30" i="49" s="1"/>
  <c r="AZ61" i="53"/>
  <c r="AZ60" i="53" s="1"/>
  <c r="AZ41" i="53"/>
  <c r="AZ11" i="53"/>
  <c r="AZ9" i="53" s="1"/>
  <c r="AZ61" i="51"/>
  <c r="AZ61" i="49"/>
  <c r="AZ57" i="49" s="1"/>
  <c r="AZ51" i="56"/>
  <c r="AZ41" i="50"/>
  <c r="AZ21" i="51"/>
  <c r="AZ21" i="48"/>
  <c r="AZ61" i="50"/>
  <c r="AZ21" i="49"/>
  <c r="AZ20" i="49" s="1"/>
  <c r="AZ21" i="52"/>
  <c r="AZ31" i="15"/>
  <c r="AZ30" i="15" s="1"/>
  <c r="AZ11" i="52"/>
  <c r="AZ11" i="55"/>
  <c r="AZ8" i="55" s="1"/>
  <c r="AZ41" i="49"/>
  <c r="AZ31" i="50"/>
  <c r="AZ61" i="52"/>
  <c r="AZ51" i="48"/>
  <c r="AZ41" i="15"/>
  <c r="AZ11" i="48"/>
  <c r="AZ41" i="52"/>
  <c r="AZ51" i="53"/>
  <c r="AZ48" i="53" s="1"/>
  <c r="AZ51" i="51"/>
  <c r="AZ49" i="51" s="1"/>
  <c r="AZ31" i="54"/>
  <c r="AZ31" i="53"/>
  <c r="AZ27" i="53" s="1"/>
  <c r="AZ31" i="56"/>
  <c r="AZ11" i="15"/>
  <c r="AZ7" i="15" s="1"/>
  <c r="AZ31" i="51"/>
  <c r="AZ28" i="51" s="1"/>
  <c r="AZ31" i="52"/>
  <c r="AZ41" i="56"/>
  <c r="AZ11" i="54"/>
  <c r="AZ21" i="53"/>
  <c r="AZ18" i="53" s="1"/>
  <c r="AZ51" i="54"/>
  <c r="AZ51" i="15"/>
  <c r="AZ48" i="15" s="1"/>
  <c r="AZ51" i="50"/>
  <c r="AZ41" i="54"/>
  <c r="AZ51" i="52"/>
  <c r="AZ21" i="55"/>
  <c r="AZ19" i="55" s="1"/>
  <c r="AZ51" i="49"/>
  <c r="AZ47" i="49" s="1"/>
  <c r="AZ61" i="56"/>
  <c r="AZ21" i="50"/>
  <c r="AZ21" i="56"/>
  <c r="AZ21" i="15"/>
  <c r="AZ18" i="15" s="1"/>
  <c r="AZ31" i="48"/>
  <c r="AZ11" i="49"/>
  <c r="AZ10" i="49" s="1"/>
  <c r="AZ11" i="51"/>
  <c r="AZ8" i="51" s="1"/>
  <c r="AZ61" i="15"/>
  <c r="AZ59" i="15" s="1"/>
  <c r="AZ11" i="50"/>
  <c r="AZ41" i="51"/>
  <c r="AZ41" i="48"/>
  <c r="AZ31" i="55"/>
  <c r="AZ30" i="55" s="1"/>
  <c r="AH84" i="53"/>
  <c r="AH83" i="50"/>
  <c r="AH80" i="49"/>
  <c r="AH80" i="53"/>
  <c r="BB31" i="15"/>
  <c r="BB11" i="53"/>
  <c r="BB21" i="55"/>
  <c r="BB51" i="15"/>
  <c r="BB41" i="15"/>
  <c r="BB11" i="15"/>
  <c r="BB61" i="55"/>
  <c r="BB31" i="53"/>
  <c r="BB51" i="53"/>
  <c r="BB21" i="15"/>
  <c r="BB61" i="53"/>
  <c r="BB60" i="53" s="1"/>
  <c r="BB41" i="55"/>
  <c r="AH71" i="55"/>
  <c r="AH84" i="15"/>
  <c r="AW83" i="49"/>
  <c r="AH81" i="48"/>
  <c r="AH80" i="51"/>
  <c r="AH83" i="48"/>
  <c r="AH75" i="15"/>
  <c r="AH75" i="51"/>
  <c r="AH80" i="56"/>
  <c r="AH74" i="55"/>
  <c r="AH81" i="54"/>
  <c r="AH84" i="55"/>
  <c r="AH74" i="51"/>
  <c r="AH71" i="54"/>
  <c r="AH74" i="54"/>
  <c r="AH83" i="53"/>
  <c r="AH75" i="54"/>
  <c r="AH83" i="55"/>
  <c r="AH75" i="48"/>
  <c r="AH75" i="49"/>
  <c r="AH84" i="51"/>
  <c r="AH74" i="15"/>
  <c r="AH75" i="55"/>
  <c r="AH71" i="50"/>
  <c r="AH81" i="49"/>
  <c r="AH84" i="54"/>
  <c r="AH75" i="56"/>
  <c r="AH81" i="53"/>
  <c r="AH74" i="52"/>
  <c r="AH71" i="51"/>
  <c r="AH82" i="56"/>
  <c r="AH84" i="56"/>
  <c r="AH83" i="49"/>
  <c r="AH83" i="54"/>
  <c r="AH72" i="56"/>
  <c r="AH83" i="51"/>
  <c r="AH81" i="51"/>
  <c r="AH71" i="49"/>
  <c r="AH71" i="53"/>
  <c r="AH74" i="53"/>
  <c r="AH72" i="54"/>
  <c r="AH74" i="56"/>
  <c r="AH84" i="49"/>
  <c r="AH84" i="48"/>
  <c r="AH81" i="55"/>
  <c r="AH83" i="15"/>
  <c r="AH81" i="15"/>
  <c r="AH73" i="48"/>
  <c r="AH74" i="50"/>
  <c r="AH71" i="52"/>
  <c r="AH75" i="50"/>
  <c r="AH83" i="56"/>
  <c r="AH75" i="53"/>
  <c r="AH80" i="55"/>
  <c r="AH74" i="48"/>
  <c r="AH75" i="52"/>
  <c r="AH80" i="48"/>
  <c r="AH84" i="50"/>
  <c r="AH84" i="52"/>
  <c r="AH81" i="56"/>
  <c r="AH80" i="50"/>
  <c r="AH80" i="54"/>
  <c r="AH80" i="52"/>
  <c r="AH74" i="49"/>
  <c r="AH71" i="56"/>
  <c r="AH80" i="15"/>
  <c r="AH71" i="48"/>
  <c r="AH73" i="53"/>
  <c r="AH73" i="56"/>
  <c r="AH82" i="48"/>
  <c r="AH82" i="54"/>
  <c r="AH73" i="52"/>
  <c r="AH73" i="55"/>
  <c r="AH73" i="50"/>
  <c r="AH72" i="49"/>
  <c r="AH83" i="52"/>
  <c r="AH82" i="50"/>
  <c r="AH82" i="49"/>
  <c r="AH81" i="50"/>
  <c r="AH81" i="52"/>
  <c r="AH82" i="52"/>
  <c r="AH82" i="51"/>
  <c r="AH73" i="49"/>
  <c r="AH72" i="52"/>
  <c r="AH82" i="15"/>
  <c r="AH73" i="51"/>
  <c r="AH82" i="53"/>
  <c r="AH72" i="15"/>
  <c r="AH73" i="15"/>
  <c r="AH72" i="51"/>
  <c r="AH72" i="55"/>
  <c r="AH72" i="50"/>
  <c r="AH72" i="53"/>
  <c r="AH73" i="54"/>
  <c r="AH72" i="48"/>
  <c r="AH82" i="55"/>
  <c r="BB3" i="49"/>
  <c r="BB11" i="49"/>
  <c r="BB51" i="49"/>
  <c r="BB61" i="49"/>
  <c r="BB41" i="49"/>
  <c r="BB31" i="49"/>
  <c r="BB21" i="49"/>
  <c r="BB3" i="52"/>
  <c r="BB21" i="52"/>
  <c r="BB51" i="52"/>
  <c r="BB11" i="52"/>
  <c r="BB61" i="52"/>
  <c r="BB41" i="52"/>
  <c r="BB31" i="52"/>
  <c r="BB3" i="54"/>
  <c r="BB21" i="54"/>
  <c r="BB41" i="54"/>
  <c r="BB31" i="54"/>
  <c r="BB51" i="54"/>
  <c r="BB11" i="54"/>
  <c r="BB61" i="54"/>
  <c r="AW82" i="50"/>
  <c r="AW83" i="54"/>
  <c r="AW101" i="54" s="1"/>
  <c r="AW74" i="56"/>
  <c r="AW92" i="56" s="1"/>
  <c r="AW84" i="50"/>
  <c r="AW83" i="50"/>
  <c r="BB3" i="56"/>
  <c r="BB41" i="56"/>
  <c r="BB61" i="56"/>
  <c r="BB31" i="56"/>
  <c r="BB11" i="56"/>
  <c r="BB21" i="56"/>
  <c r="BB51" i="56"/>
  <c r="BB3" i="48"/>
  <c r="BB31" i="48"/>
  <c r="BB21" i="48"/>
  <c r="BB11" i="48"/>
  <c r="BB61" i="48"/>
  <c r="BB51" i="48"/>
  <c r="BB41" i="48"/>
  <c r="BB3" i="51"/>
  <c r="BB31" i="51"/>
  <c r="BB41" i="51"/>
  <c r="BB21" i="51"/>
  <c r="BB11" i="51"/>
  <c r="BB61" i="51"/>
  <c r="BB51" i="51"/>
  <c r="BB3" i="50"/>
  <c r="BB51" i="50"/>
  <c r="BB41" i="50"/>
  <c r="BB61" i="50"/>
  <c r="BB31" i="50"/>
  <c r="BB11" i="50"/>
  <c r="BB21" i="50"/>
  <c r="AW83" i="56"/>
  <c r="AW101" i="56" s="1"/>
  <c r="AW83" i="52"/>
  <c r="AV84" i="51"/>
  <c r="AW102" i="51" s="1"/>
  <c r="AW83" i="48"/>
  <c r="AW101" i="48" s="1"/>
  <c r="AW84" i="48"/>
  <c r="AW102" i="48" s="1"/>
  <c r="AX75" i="53"/>
  <c r="AX93" i="53" s="1"/>
  <c r="AW74" i="52"/>
  <c r="AV83" i="52"/>
  <c r="AW82" i="51"/>
  <c r="AW84" i="53"/>
  <c r="AW102" i="53" s="1"/>
  <c r="AX84" i="53"/>
  <c r="AX102" i="53" s="1"/>
  <c r="AX75" i="15"/>
  <c r="AX93" i="15" s="1"/>
  <c r="AX112" i="15" s="1"/>
  <c r="AW74" i="51"/>
  <c r="AU84" i="15"/>
  <c r="AU102" i="15" s="1"/>
  <c r="AX84" i="49"/>
  <c r="AX102" i="49" s="1"/>
  <c r="AW82" i="15"/>
  <c r="AW100" i="15" s="1"/>
  <c r="AW75" i="55"/>
  <c r="AW93" i="55" s="1"/>
  <c r="AV84" i="54"/>
  <c r="AV102" i="54" s="1"/>
  <c r="AX83" i="53"/>
  <c r="AX101" i="53" s="1"/>
  <c r="AW82" i="49"/>
  <c r="AU83" i="49"/>
  <c r="AV84" i="49"/>
  <c r="AW102" i="49" s="1"/>
  <c r="AU83" i="15"/>
  <c r="AU101" i="15" s="1"/>
  <c r="AU83" i="54"/>
  <c r="AU101" i="54" s="1"/>
  <c r="AV83" i="49"/>
  <c r="AV84" i="53"/>
  <c r="AV102" i="53" s="1"/>
  <c r="AU75" i="55"/>
  <c r="AU93" i="55" s="1"/>
  <c r="AV55" i="52"/>
  <c r="Y55" i="52"/>
  <c r="AW32" i="14"/>
  <c r="AW50" i="14" s="1"/>
  <c r="AA32" i="14"/>
  <c r="AW9" i="14"/>
  <c r="AW43" i="14" s="1"/>
  <c r="AA9" i="14"/>
  <c r="Z5" i="55"/>
  <c r="Z35" i="51"/>
  <c r="AW35" i="51"/>
  <c r="AW26" i="14"/>
  <c r="AA26" i="14"/>
  <c r="AW25" i="14"/>
  <c r="AA25" i="14"/>
  <c r="AW10" i="14"/>
  <c r="AW44" i="14" s="1"/>
  <c r="AA10" i="14"/>
  <c r="AW23" i="14"/>
  <c r="AW27" i="14" s="1"/>
  <c r="AA23" i="14"/>
  <c r="Z15" i="49"/>
  <c r="AW15" i="49"/>
  <c r="AV5" i="52"/>
  <c r="Y5" i="52"/>
  <c r="AV35" i="52"/>
  <c r="Y35" i="52"/>
  <c r="Z15" i="55"/>
  <c r="AU82" i="15"/>
  <c r="AU100" i="15" s="1"/>
  <c r="AT82" i="53"/>
  <c r="AT100" i="53" s="1"/>
  <c r="AV82" i="49"/>
  <c r="AU74" i="55"/>
  <c r="AU92" i="55" s="1"/>
  <c r="AU84" i="49"/>
  <c r="AU84" i="53"/>
  <c r="AU102" i="53" s="1"/>
  <c r="Z39" i="15"/>
  <c r="AW39" i="15"/>
  <c r="AW74" i="15" s="1"/>
  <c r="AW92" i="15" s="1"/>
  <c r="AW111" i="15" s="1"/>
  <c r="AW18" i="14"/>
  <c r="AA18" i="14"/>
  <c r="AW24" i="14"/>
  <c r="AA24" i="14"/>
  <c r="AW17" i="14"/>
  <c r="AA17" i="14"/>
  <c r="Y25" i="54"/>
  <c r="Y35" i="48"/>
  <c r="AU46" i="14"/>
  <c r="Y15" i="48"/>
  <c r="Z5" i="56"/>
  <c r="AX34" i="14"/>
  <c r="AX52" i="14" s="1"/>
  <c r="AB34" i="14"/>
  <c r="Y45" i="48"/>
  <c r="Z5" i="49"/>
  <c r="Y35" i="56"/>
  <c r="Z15" i="15"/>
  <c r="AV74" i="50"/>
  <c r="AW75" i="53"/>
  <c r="AW93" i="53" s="1"/>
  <c r="AW75" i="15"/>
  <c r="AW93" i="15" s="1"/>
  <c r="AU82" i="49"/>
  <c r="AU84" i="54"/>
  <c r="AU102" i="54" s="1"/>
  <c r="AW75" i="51"/>
  <c r="AW121" i="51" s="1"/>
  <c r="AV83" i="53"/>
  <c r="AV101" i="53" s="1"/>
  <c r="AV74" i="52"/>
  <c r="Y15" i="56"/>
  <c r="Z25" i="51"/>
  <c r="AW15" i="14"/>
  <c r="AW19" i="14" s="1"/>
  <c r="AA15" i="14"/>
  <c r="Y25" i="52"/>
  <c r="AW7" i="14"/>
  <c r="AA7" i="14"/>
  <c r="AX31" i="14"/>
  <c r="AB31" i="14"/>
  <c r="Y15" i="50"/>
  <c r="Z25" i="53"/>
  <c r="Y25" i="48"/>
  <c r="AW16" i="14"/>
  <c r="AA16" i="14"/>
  <c r="Y5" i="50"/>
  <c r="AW33" i="14"/>
  <c r="AW51" i="14" s="1"/>
  <c r="AA33" i="14"/>
  <c r="Z15" i="53"/>
  <c r="AV83" i="54"/>
  <c r="AV101" i="54" s="1"/>
  <c r="AW5" i="55"/>
  <c r="AU74" i="51"/>
  <c r="AU75" i="51"/>
  <c r="Z35" i="53"/>
  <c r="Z50" i="49"/>
  <c r="Z55" i="51"/>
  <c r="Z55" i="49"/>
  <c r="AW8" i="14"/>
  <c r="AW42" i="14" s="1"/>
  <c r="AA8" i="14"/>
  <c r="AV54" i="14"/>
  <c r="Y55" i="50"/>
  <c r="Z25" i="15"/>
  <c r="Y31" i="15"/>
  <c r="AV11" i="14"/>
  <c r="AV45" i="14" s="1"/>
  <c r="AV41" i="14"/>
  <c r="Y55" i="56"/>
  <c r="AW49" i="14"/>
  <c r="AW35" i="14"/>
  <c r="AW53" i="14" s="1"/>
  <c r="Y35" i="54"/>
  <c r="BA31" i="55"/>
  <c r="BA31" i="52"/>
  <c r="BA31" i="15"/>
  <c r="BA31" i="48"/>
  <c r="BA31" i="49"/>
  <c r="BA31" i="56"/>
  <c r="BA31" i="53"/>
  <c r="BA31" i="50"/>
  <c r="BA31" i="54"/>
  <c r="BA31" i="51"/>
  <c r="BA61" i="50"/>
  <c r="BA61" i="56"/>
  <c r="BA61" i="53"/>
  <c r="BA60" i="53" s="1"/>
  <c r="BA61" i="55"/>
  <c r="BA61" i="51"/>
  <c r="BA61" i="49"/>
  <c r="BA61" i="15"/>
  <c r="BA61" i="52"/>
  <c r="BA61" i="48"/>
  <c r="BA61" i="54"/>
  <c r="AT84" i="49"/>
  <c r="AT82" i="49"/>
  <c r="AW84" i="15"/>
  <c r="AU83" i="53"/>
  <c r="AU101" i="53" s="1"/>
  <c r="BA11" i="51"/>
  <c r="BA11" i="52"/>
  <c r="BA11" i="15"/>
  <c r="BA11" i="48"/>
  <c r="BA11" i="49"/>
  <c r="BA11" i="50"/>
  <c r="BA11" i="54"/>
  <c r="BA11" i="53"/>
  <c r="BA11" i="55"/>
  <c r="BA11" i="56"/>
  <c r="AU82" i="53"/>
  <c r="AU100" i="53" s="1"/>
  <c r="BA51" i="51"/>
  <c r="BA51" i="55"/>
  <c r="BA51" i="53"/>
  <c r="BA51" i="15"/>
  <c r="BA51" i="56"/>
  <c r="BA51" i="49"/>
  <c r="BA51" i="52"/>
  <c r="BA51" i="54"/>
  <c r="BA51" i="48"/>
  <c r="BA51" i="50"/>
  <c r="BA41" i="53"/>
  <c r="BA41" i="48"/>
  <c r="BA41" i="56"/>
  <c r="BA41" i="49"/>
  <c r="BA41" i="50"/>
  <c r="BA41" i="54"/>
  <c r="BA41" i="52"/>
  <c r="BA41" i="55"/>
  <c r="BA41" i="15"/>
  <c r="BA41" i="51"/>
  <c r="AR21" i="56"/>
  <c r="AS41" i="56"/>
  <c r="AS61" i="15"/>
  <c r="AS51" i="51"/>
  <c r="AS51" i="50"/>
  <c r="AT31" i="54"/>
  <c r="AT31" i="52"/>
  <c r="AS61" i="48"/>
  <c r="AT21" i="55"/>
  <c r="AT21" i="50"/>
  <c r="AT61" i="51"/>
  <c r="AS61" i="50"/>
  <c r="AS21" i="54"/>
  <c r="AS11" i="56"/>
  <c r="AS61" i="52"/>
  <c r="AS21" i="49"/>
  <c r="AS31" i="55"/>
  <c r="AT51" i="15"/>
  <c r="AT11" i="49"/>
  <c r="AS41" i="55"/>
  <c r="AS31" i="53"/>
  <c r="AS21" i="53"/>
  <c r="AS21" i="51"/>
  <c r="AS31" i="49"/>
  <c r="AS11" i="50"/>
  <c r="AS61" i="51"/>
  <c r="AS31" i="51"/>
  <c r="AS31" i="15"/>
  <c r="AS61" i="49"/>
  <c r="AT61" i="15"/>
  <c r="AS11" i="49"/>
  <c r="AT11" i="51"/>
  <c r="AS61" i="55"/>
  <c r="AT11" i="15"/>
  <c r="AT11" i="55"/>
  <c r="AT11" i="48"/>
  <c r="AS21" i="56"/>
  <c r="AS61" i="53"/>
  <c r="AT21" i="48"/>
  <c r="AS21" i="50"/>
  <c r="AT21" i="56"/>
  <c r="AS51" i="55"/>
  <c r="AT51" i="54"/>
  <c r="AS51" i="15"/>
  <c r="AT41" i="15"/>
  <c r="AT11" i="50"/>
  <c r="AT41" i="51"/>
  <c r="AT21" i="52"/>
  <c r="AS31" i="50"/>
  <c r="AS11" i="51"/>
  <c r="AT11" i="56"/>
  <c r="AS31" i="56"/>
  <c r="AT51" i="48"/>
  <c r="AT11" i="53"/>
  <c r="AT31" i="48"/>
  <c r="AU31" i="56"/>
  <c r="AU31" i="15"/>
  <c r="AT31" i="49"/>
  <c r="AT51" i="50"/>
  <c r="AT61" i="56"/>
  <c r="AU11" i="54"/>
  <c r="AT51" i="52"/>
  <c r="AT41" i="55"/>
  <c r="AT11" i="54"/>
  <c r="AT21" i="49"/>
  <c r="AU11" i="50"/>
  <c r="AT31" i="56"/>
  <c r="AT41" i="53"/>
  <c r="AU51" i="56"/>
  <c r="AU51" i="51"/>
  <c r="AV31" i="56"/>
  <c r="AU11" i="56"/>
  <c r="AV21" i="49"/>
  <c r="AU31" i="52"/>
  <c r="AU51" i="52"/>
  <c r="AV61" i="50"/>
  <c r="AU31" i="49"/>
  <c r="AU21" i="48"/>
  <c r="AU21" i="56"/>
  <c r="AV41" i="49"/>
  <c r="AU41" i="49"/>
  <c r="AV61" i="15"/>
  <c r="AU11" i="53"/>
  <c r="AV31" i="54"/>
  <c r="AV41" i="48"/>
  <c r="AV11" i="53"/>
  <c r="AV31" i="49"/>
  <c r="AU41" i="54"/>
  <c r="AU61" i="48"/>
  <c r="AV51" i="48"/>
  <c r="AU21" i="54"/>
  <c r="AU41" i="53"/>
  <c r="AV21" i="55"/>
  <c r="AU41" i="15"/>
  <c r="AU31" i="54"/>
  <c r="AU61" i="52"/>
  <c r="AV11" i="55"/>
  <c r="AU11" i="49"/>
  <c r="AU21" i="53"/>
  <c r="AV11" i="15"/>
  <c r="AV41" i="51"/>
  <c r="AU61" i="50"/>
  <c r="BA21" i="56"/>
  <c r="BA21" i="55"/>
  <c r="BA21" i="54"/>
  <c r="BA21" i="53"/>
  <c r="BA21" i="48"/>
  <c r="BA21" i="15"/>
  <c r="BA21" i="51"/>
  <c r="BA21" i="49"/>
  <c r="BA21" i="52"/>
  <c r="BA21" i="50"/>
  <c r="AV82" i="51"/>
  <c r="AX83" i="54"/>
  <c r="AX101" i="54" s="1"/>
  <c r="AA60" i="53"/>
  <c r="AX74" i="52"/>
  <c r="AX84" i="50"/>
  <c r="AY84" i="53"/>
  <c r="AY102" i="53" s="1"/>
  <c r="AX75" i="55"/>
  <c r="AX83" i="52"/>
  <c r="AX82" i="49"/>
  <c r="AX84" i="48"/>
  <c r="AX102" i="48" s="1"/>
  <c r="AX83" i="48"/>
  <c r="AX101" i="48" s="1"/>
  <c r="AX74" i="50"/>
  <c r="AX82" i="15"/>
  <c r="AX100" i="15" s="1"/>
  <c r="AX84" i="51"/>
  <c r="AX74" i="56"/>
  <c r="AX92" i="56" s="1"/>
  <c r="AX82" i="50"/>
  <c r="AX84" i="54"/>
  <c r="AX102" i="54" s="1"/>
  <c r="AX83" i="50"/>
  <c r="AW75" i="56"/>
  <c r="AX74" i="51"/>
  <c r="AY20" i="48"/>
  <c r="AB20" i="48"/>
  <c r="AC38" i="53"/>
  <c r="AB10" i="56"/>
  <c r="AY10" i="56"/>
  <c r="AC57" i="49"/>
  <c r="AY9" i="56"/>
  <c r="AB9" i="56"/>
  <c r="AB58" i="56"/>
  <c r="AY58" i="56"/>
  <c r="AB39" i="56"/>
  <c r="AY39" i="56"/>
  <c r="AB9" i="49"/>
  <c r="AY9" i="49"/>
  <c r="AB49" i="53"/>
  <c r="AY49" i="53"/>
  <c r="AY83" i="53" s="1"/>
  <c r="AY101" i="53" s="1"/>
  <c r="AB47" i="52"/>
  <c r="AY47" i="52"/>
  <c r="AC20" i="49"/>
  <c r="AY49" i="56"/>
  <c r="AB49" i="56"/>
  <c r="AB59" i="49"/>
  <c r="AY59" i="49"/>
  <c r="AY83" i="49" s="1"/>
  <c r="AB50" i="55"/>
  <c r="AY50" i="55"/>
  <c r="AX26" i="56"/>
  <c r="AA26" i="56"/>
  <c r="AY46" i="52"/>
  <c r="AB46" i="52"/>
  <c r="AB20" i="50"/>
  <c r="AY20" i="50"/>
  <c r="AC10" i="49"/>
  <c r="AB57" i="52"/>
  <c r="AY57" i="52"/>
  <c r="AA50" i="52"/>
  <c r="AX50" i="52"/>
  <c r="AY7" i="48"/>
  <c r="AB7" i="48"/>
  <c r="AY9" i="50"/>
  <c r="AB9" i="50"/>
  <c r="AY8" i="56"/>
  <c r="AB8" i="56"/>
  <c r="AC48" i="15"/>
  <c r="AB10" i="50"/>
  <c r="AY10" i="50"/>
  <c r="AY59" i="54"/>
  <c r="AB59" i="54"/>
  <c r="AY7" i="56"/>
  <c r="AB7" i="56"/>
  <c r="AY50" i="51"/>
  <c r="AB50" i="51"/>
  <c r="AB58" i="48"/>
  <c r="AY58" i="48"/>
  <c r="AY27" i="50"/>
  <c r="AB27" i="50"/>
  <c r="AB40" i="54"/>
  <c r="AY40" i="54"/>
  <c r="AB7" i="53"/>
  <c r="AY7" i="53"/>
  <c r="AB8" i="15"/>
  <c r="AY8" i="15"/>
  <c r="AY37" i="53"/>
  <c r="AB37" i="53"/>
  <c r="AC46" i="53"/>
  <c r="AB19" i="48"/>
  <c r="AY19" i="48"/>
  <c r="AC10" i="55"/>
  <c r="AX8" i="52"/>
  <c r="AA8" i="52"/>
  <c r="AY49" i="48"/>
  <c r="AB49" i="48"/>
  <c r="AC30" i="15"/>
  <c r="AB58" i="49"/>
  <c r="AY58" i="49"/>
  <c r="AY8" i="49"/>
  <c r="AB8" i="49"/>
  <c r="AB7" i="55"/>
  <c r="AY7" i="55"/>
  <c r="AC36" i="15"/>
  <c r="AB56" i="48"/>
  <c r="AY56" i="48"/>
  <c r="AC47" i="49"/>
  <c r="AC29" i="15"/>
  <c r="AY30" i="53"/>
  <c r="AB30" i="53"/>
  <c r="AX50" i="56"/>
  <c r="AA50" i="56"/>
  <c r="AA18" i="54"/>
  <c r="AX18" i="54"/>
  <c r="AB19" i="56"/>
  <c r="AY19" i="56"/>
  <c r="AC48" i="53"/>
  <c r="AX8" i="50"/>
  <c r="AA8" i="50"/>
  <c r="AC56" i="51"/>
  <c r="AC30" i="55"/>
  <c r="AB10" i="15"/>
  <c r="AY10" i="15"/>
  <c r="AY58" i="51"/>
  <c r="AY84" i="51" s="1"/>
  <c r="AB58" i="51"/>
  <c r="AY47" i="50"/>
  <c r="AB47" i="50"/>
  <c r="AX46" i="56"/>
  <c r="AA46" i="56"/>
  <c r="AB39" i="52"/>
  <c r="AY39" i="52"/>
  <c r="AC49" i="55"/>
  <c r="AY28" i="55"/>
  <c r="AB28" i="55"/>
  <c r="AC40" i="53"/>
  <c r="AY60" i="48"/>
  <c r="AB60" i="48"/>
  <c r="AC57" i="51"/>
  <c r="AY37" i="52"/>
  <c r="AB37" i="52"/>
  <c r="AC30" i="49"/>
  <c r="AY58" i="54"/>
  <c r="AB58" i="54"/>
  <c r="AB38" i="49"/>
  <c r="AY38" i="49"/>
  <c r="AC27" i="49"/>
  <c r="AB30" i="52"/>
  <c r="AY30" i="52"/>
  <c r="AY60" i="50"/>
  <c r="AB60" i="50"/>
  <c r="AB29" i="54"/>
  <c r="AY29" i="54"/>
  <c r="AY47" i="53"/>
  <c r="AB47" i="53"/>
  <c r="AC47" i="51"/>
  <c r="AC58" i="53"/>
  <c r="AY8" i="53"/>
  <c r="AB8" i="53"/>
  <c r="AY29" i="50"/>
  <c r="AB29" i="50"/>
  <c r="AB39" i="55"/>
  <c r="AY39" i="55"/>
  <c r="AY10" i="51"/>
  <c r="AB10" i="51"/>
  <c r="AC9" i="53"/>
  <c r="AY20" i="51"/>
  <c r="AB20" i="51"/>
  <c r="AA18" i="56"/>
  <c r="AX18" i="56"/>
  <c r="AA7" i="54"/>
  <c r="AX7" i="54"/>
  <c r="AB40" i="48"/>
  <c r="AY40" i="48"/>
  <c r="AY29" i="53"/>
  <c r="AB29" i="53"/>
  <c r="AY49" i="52"/>
  <c r="AB49" i="52"/>
  <c r="AB48" i="48"/>
  <c r="AY48" i="48"/>
  <c r="AB9" i="52"/>
  <c r="AY9" i="52"/>
  <c r="AB30" i="54"/>
  <c r="AY30" i="54"/>
  <c r="AB60" i="54"/>
  <c r="AY60" i="54"/>
  <c r="AY19" i="15"/>
  <c r="AB19" i="15"/>
  <c r="AB10" i="54"/>
  <c r="AY10" i="54"/>
  <c r="AB50" i="54"/>
  <c r="AY50" i="54"/>
  <c r="AY56" i="54"/>
  <c r="AB56" i="54"/>
  <c r="AC48" i="51"/>
  <c r="AY27" i="52"/>
  <c r="AB27" i="52"/>
  <c r="AC20" i="15"/>
  <c r="AY48" i="55"/>
  <c r="AB48" i="55"/>
  <c r="AB49" i="54"/>
  <c r="AY49" i="54"/>
  <c r="AY9" i="51"/>
  <c r="AB9" i="51"/>
  <c r="AC29" i="49"/>
  <c r="AC46" i="15"/>
  <c r="AB50" i="48"/>
  <c r="AY50" i="48"/>
  <c r="AC39" i="49"/>
  <c r="AY19" i="51"/>
  <c r="AB19" i="51"/>
  <c r="AB40" i="51"/>
  <c r="AY40" i="51"/>
  <c r="AY59" i="48"/>
  <c r="AB59" i="48"/>
  <c r="AB16" i="51"/>
  <c r="AY16" i="51"/>
  <c r="AB37" i="50"/>
  <c r="AY37" i="50"/>
  <c r="AC57" i="55"/>
  <c r="AC28" i="15"/>
  <c r="AA59" i="56"/>
  <c r="AX59" i="56"/>
  <c r="AX83" i="56" s="1"/>
  <c r="AX101" i="56" s="1"/>
  <c r="AC8" i="55"/>
  <c r="AB9" i="54"/>
  <c r="AY9" i="54"/>
  <c r="AY29" i="48"/>
  <c r="AB29" i="48"/>
  <c r="AY50" i="15"/>
  <c r="AB50" i="15"/>
  <c r="AB7" i="50"/>
  <c r="AY7" i="50"/>
  <c r="AB20" i="53"/>
  <c r="AY20" i="53"/>
  <c r="AY29" i="55"/>
  <c r="AB29" i="55"/>
  <c r="AY27" i="54"/>
  <c r="AB27" i="54"/>
  <c r="AC18" i="49"/>
  <c r="AA40" i="52"/>
  <c r="AX40" i="52"/>
  <c r="AB30" i="48"/>
  <c r="AY30" i="48"/>
  <c r="AX60" i="52"/>
  <c r="AA60" i="52"/>
  <c r="AB60" i="15"/>
  <c r="AY60" i="15"/>
  <c r="AC30" i="51"/>
  <c r="AY49" i="50"/>
  <c r="AB49" i="50"/>
  <c r="AY48" i="52"/>
  <c r="AB48" i="52"/>
  <c r="AY57" i="50"/>
  <c r="AB57" i="50"/>
  <c r="AC29" i="51"/>
  <c r="AY19" i="53"/>
  <c r="AB19" i="53"/>
  <c r="AB26" i="49"/>
  <c r="AY26" i="49"/>
  <c r="AX16" i="52"/>
  <c r="AA16" i="52"/>
  <c r="AC9" i="15"/>
  <c r="AB18" i="55"/>
  <c r="AY18" i="55"/>
  <c r="AB56" i="56"/>
  <c r="AY56" i="56"/>
  <c r="AC27" i="53"/>
  <c r="AY20" i="52"/>
  <c r="AB20" i="52"/>
  <c r="AC18" i="15"/>
  <c r="AA26" i="48"/>
  <c r="AX26" i="48"/>
  <c r="AC7" i="15"/>
  <c r="AY20" i="54"/>
  <c r="AB20" i="54"/>
  <c r="AC37" i="49"/>
  <c r="AY29" i="52"/>
  <c r="AB29" i="52"/>
  <c r="AC59" i="53"/>
  <c r="AB19" i="50"/>
  <c r="AY19" i="50"/>
  <c r="AB50" i="50"/>
  <c r="AY50" i="50"/>
  <c r="AY56" i="55"/>
  <c r="AB56" i="55"/>
  <c r="AY48" i="54"/>
  <c r="AB48" i="54"/>
  <c r="AC8" i="51"/>
  <c r="AC40" i="49"/>
  <c r="AC60" i="49"/>
  <c r="AB27" i="15"/>
  <c r="AY27" i="15"/>
  <c r="AX18" i="52"/>
  <c r="AA18" i="52"/>
  <c r="AB20" i="55"/>
  <c r="AY20" i="55"/>
  <c r="AB10" i="48"/>
  <c r="AY10" i="48"/>
  <c r="AX16" i="54"/>
  <c r="AA16" i="54"/>
  <c r="AX28" i="56"/>
  <c r="AA28" i="56"/>
  <c r="AB8" i="48"/>
  <c r="AY8" i="48"/>
  <c r="AY37" i="51"/>
  <c r="AB37" i="51"/>
  <c r="AC7" i="49"/>
  <c r="AB59" i="52"/>
  <c r="AY59" i="52"/>
  <c r="AB48" i="50"/>
  <c r="AY48" i="50"/>
  <c r="AC47" i="55"/>
  <c r="AB30" i="56"/>
  <c r="AY30" i="56"/>
  <c r="AX8" i="54"/>
  <c r="AA8" i="54"/>
  <c r="AY39" i="50"/>
  <c r="AB39" i="50"/>
  <c r="AB30" i="50"/>
  <c r="AY30" i="50"/>
  <c r="AY9" i="48"/>
  <c r="AB9" i="48"/>
  <c r="AC59" i="15"/>
  <c r="AC28" i="51"/>
  <c r="AC48" i="49"/>
  <c r="AX38" i="54"/>
  <c r="AA38" i="54"/>
  <c r="AY10" i="52"/>
  <c r="AB10" i="52"/>
  <c r="AY47" i="15"/>
  <c r="AB47" i="15"/>
  <c r="AB47" i="54"/>
  <c r="AY47" i="54"/>
  <c r="AA36" i="54"/>
  <c r="AX36" i="54"/>
  <c r="AB19" i="52"/>
  <c r="AY19" i="52"/>
  <c r="AC38" i="51"/>
  <c r="AC49" i="49"/>
  <c r="AB59" i="50"/>
  <c r="AY59" i="50"/>
  <c r="AA40" i="56"/>
  <c r="AX40" i="56"/>
  <c r="AC38" i="55"/>
  <c r="AC18" i="53"/>
  <c r="AC27" i="51"/>
  <c r="AB58" i="50"/>
  <c r="AY58" i="50"/>
  <c r="AC28" i="53"/>
  <c r="AC40" i="15"/>
  <c r="AX38" i="48"/>
  <c r="AA38" i="48"/>
  <c r="AB40" i="50"/>
  <c r="AY40" i="50"/>
  <c r="AX47" i="56"/>
  <c r="AA47" i="56"/>
  <c r="AB29" i="56"/>
  <c r="AY29" i="56"/>
  <c r="AC17" i="49"/>
  <c r="AY40" i="55"/>
  <c r="AB40" i="55"/>
  <c r="AB39" i="51"/>
  <c r="AY39" i="51"/>
  <c r="AY47" i="48"/>
  <c r="AB47" i="48"/>
  <c r="AB20" i="56"/>
  <c r="AY20" i="56"/>
  <c r="AB57" i="15"/>
  <c r="AY57" i="15"/>
  <c r="AC49" i="51"/>
  <c r="AY26" i="15"/>
  <c r="AB26" i="15"/>
  <c r="AY36" i="48"/>
  <c r="AB36" i="48"/>
  <c r="AB26" i="55"/>
  <c r="AY26" i="55"/>
  <c r="AA18" i="48"/>
  <c r="AX18" i="48"/>
  <c r="AX38" i="56"/>
  <c r="AA38" i="56"/>
  <c r="AC18" i="51"/>
  <c r="AC49" i="15"/>
  <c r="AC38" i="15"/>
  <c r="AX38" i="50"/>
  <c r="AA38" i="50"/>
  <c r="AB10" i="53"/>
  <c r="AY10" i="53"/>
  <c r="AY19" i="54"/>
  <c r="AB19" i="54"/>
  <c r="AY58" i="15"/>
  <c r="AB58" i="15"/>
  <c r="AC19" i="55"/>
  <c r="W23" i="5"/>
  <c r="K21" i="5"/>
  <c r="W22" i="5"/>
  <c r="J5" i="5"/>
  <c r="H23" i="5"/>
  <c r="I6" i="5"/>
  <c r="H8" i="5"/>
  <c r="U6" i="5"/>
  <c r="S22" i="5"/>
  <c r="J20" i="5"/>
  <c r="S8" i="5"/>
  <c r="BS7" i="5"/>
  <c r="J21" i="5"/>
  <c r="V6" i="5"/>
  <c r="T23" i="5"/>
  <c r="G5" i="5"/>
  <c r="K4" i="5"/>
  <c r="W21" i="5"/>
  <c r="H20" i="5"/>
  <c r="T19" i="5"/>
  <c r="G7" i="5"/>
  <c r="J7" i="5"/>
  <c r="AS18" i="5"/>
  <c r="S7" i="5"/>
  <c r="U8" i="5"/>
  <c r="H4" i="5"/>
  <c r="W8" i="5"/>
  <c r="H21" i="5"/>
  <c r="S19" i="5"/>
  <c r="U21" i="5"/>
  <c r="T4" i="5"/>
  <c r="T5" i="5"/>
  <c r="J23" i="5"/>
  <c r="I21" i="5"/>
  <c r="I8" i="5"/>
  <c r="J8" i="5"/>
  <c r="K20" i="5"/>
  <c r="T6" i="5"/>
  <c r="G8" i="5"/>
  <c r="U4" i="5"/>
  <c r="J4" i="5"/>
  <c r="H19" i="5"/>
  <c r="K6" i="5"/>
  <c r="T22" i="5"/>
  <c r="I4" i="5"/>
  <c r="W20" i="5"/>
  <c r="W7" i="5"/>
  <c r="AH42" i="5"/>
  <c r="BF40" i="5"/>
  <c r="G22" i="5"/>
  <c r="J6" i="5"/>
  <c r="T21" i="5"/>
  <c r="G4" i="5"/>
  <c r="S4" i="5"/>
  <c r="U5" i="5"/>
  <c r="S20" i="5"/>
  <c r="G23" i="5"/>
  <c r="J22" i="5"/>
  <c r="V8" i="5"/>
  <c r="V23" i="5"/>
  <c r="S21" i="5"/>
  <c r="I22" i="5"/>
  <c r="V5" i="5"/>
  <c r="S6" i="5"/>
  <c r="T7" i="5"/>
  <c r="S23" i="5"/>
  <c r="U22" i="5"/>
  <c r="V20" i="5"/>
  <c r="K8" i="5"/>
  <c r="W4" i="5"/>
  <c r="V4" i="5"/>
  <c r="H6" i="5"/>
  <c r="U23" i="5"/>
  <c r="K19" i="5"/>
  <c r="K22" i="5"/>
  <c r="V19" i="5"/>
  <c r="G20" i="5"/>
  <c r="K5" i="5"/>
  <c r="G19" i="5"/>
  <c r="I23" i="5"/>
  <c r="U7" i="5"/>
  <c r="G6" i="5"/>
  <c r="G21" i="5"/>
  <c r="S5" i="5"/>
  <c r="V21" i="5"/>
  <c r="I5" i="5"/>
  <c r="V7" i="5"/>
  <c r="K7" i="5"/>
  <c r="H22" i="5"/>
  <c r="BT8" i="5"/>
  <c r="T8" i="5"/>
  <c r="W19" i="5"/>
  <c r="W5" i="5"/>
  <c r="U19" i="5"/>
  <c r="I7" i="5"/>
  <c r="V22" i="5"/>
  <c r="I20" i="5"/>
  <c r="I19" i="5"/>
  <c r="H5" i="5"/>
  <c r="T20" i="5"/>
  <c r="W6" i="5"/>
  <c r="U20" i="5"/>
  <c r="K23" i="5"/>
  <c r="H7" i="5"/>
  <c r="J19" i="5"/>
  <c r="AJ100" i="50" l="1"/>
  <c r="AN98" i="15"/>
  <c r="AI98" i="15"/>
  <c r="AI103" i="15" s="1"/>
  <c r="AP98" i="15"/>
  <c r="AQ98" i="15"/>
  <c r="AO98" i="15"/>
  <c r="AR98" i="15"/>
  <c r="AJ98" i="15"/>
  <c r="AJ108" i="15" s="1"/>
  <c r="AM98" i="15"/>
  <c r="AM103" i="15" s="1"/>
  <c r="AL98" i="15"/>
  <c r="AK98" i="15"/>
  <c r="AK103" i="15" s="1"/>
  <c r="AI89" i="15"/>
  <c r="AI117" i="15"/>
  <c r="AN92" i="50"/>
  <c r="AN112" i="54"/>
  <c r="W16" i="55"/>
  <c r="V21" i="55"/>
  <c r="T56" i="15"/>
  <c r="S61" i="15"/>
  <c r="AQ56" i="15"/>
  <c r="AQ81" i="15" s="1"/>
  <c r="AQ99" i="15" s="1"/>
  <c r="R46" i="51"/>
  <c r="Q51" i="51"/>
  <c r="AO46" i="51"/>
  <c r="AO81" i="51" s="1"/>
  <c r="AO99" i="51" s="1"/>
  <c r="R59" i="51"/>
  <c r="Q61" i="51"/>
  <c r="AO59" i="51"/>
  <c r="AO83" i="51" s="1"/>
  <c r="AO120" i="51" s="1"/>
  <c r="AN73" i="52"/>
  <c r="AN76" i="52" s="1"/>
  <c r="R55" i="55"/>
  <c r="Q61" i="55"/>
  <c r="AO55" i="55"/>
  <c r="AO80" i="55" s="1"/>
  <c r="AO98" i="55" s="1"/>
  <c r="AO108" i="55" s="1"/>
  <c r="R46" i="55"/>
  <c r="Q51" i="55"/>
  <c r="AO46" i="55"/>
  <c r="AO81" i="55" s="1"/>
  <c r="AO99" i="55" s="1"/>
  <c r="R35" i="15"/>
  <c r="Q41" i="15"/>
  <c r="AO35" i="15"/>
  <c r="AO71" i="15" s="1"/>
  <c r="AO76" i="15" s="1"/>
  <c r="R5" i="51"/>
  <c r="Q11" i="51"/>
  <c r="AO5" i="51"/>
  <c r="AO71" i="51" s="1"/>
  <c r="AO76" i="51" s="1"/>
  <c r="AO117" i="53"/>
  <c r="R50" i="53"/>
  <c r="Q51" i="53"/>
  <c r="AO50" i="53"/>
  <c r="AO81" i="53" s="1"/>
  <c r="AO99" i="53" s="1"/>
  <c r="AO103" i="53" s="1"/>
  <c r="Q28" i="48"/>
  <c r="P31" i="48"/>
  <c r="AN28" i="48"/>
  <c r="Q15" i="54"/>
  <c r="P21" i="54"/>
  <c r="AN15" i="54"/>
  <c r="AN71" i="54" s="1"/>
  <c r="AN89" i="54" s="1"/>
  <c r="AN108" i="54" s="1"/>
  <c r="S57" i="48"/>
  <c r="R61" i="48"/>
  <c r="AP57" i="48"/>
  <c r="AP82" i="48" s="1"/>
  <c r="AP100" i="48" s="1"/>
  <c r="T59" i="55"/>
  <c r="AQ59" i="55"/>
  <c r="AQ83" i="55" s="1"/>
  <c r="AQ101" i="55" s="1"/>
  <c r="U56" i="49"/>
  <c r="AS56" i="49" s="1"/>
  <c r="T61" i="49"/>
  <c r="AR56" i="49"/>
  <c r="AR81" i="49" s="1"/>
  <c r="AR99" i="49" s="1"/>
  <c r="Q11" i="56"/>
  <c r="R6" i="56"/>
  <c r="AO6" i="56"/>
  <c r="S5" i="48"/>
  <c r="R11" i="48"/>
  <c r="AP5" i="48"/>
  <c r="AP71" i="48" s="1"/>
  <c r="AP89" i="48" s="1"/>
  <c r="AP108" i="48" s="1"/>
  <c r="R5" i="54"/>
  <c r="Q11" i="54"/>
  <c r="AO5" i="54"/>
  <c r="S16" i="49"/>
  <c r="R21" i="49"/>
  <c r="AP16" i="49"/>
  <c r="R16" i="50"/>
  <c r="Q21" i="50"/>
  <c r="AO16" i="50"/>
  <c r="S27" i="55"/>
  <c r="R31" i="55"/>
  <c r="AP27" i="55"/>
  <c r="AP73" i="55" s="1"/>
  <c r="AP91" i="55" s="1"/>
  <c r="AP94" i="55" s="1"/>
  <c r="Q31" i="52"/>
  <c r="R28" i="52"/>
  <c r="AO28" i="52"/>
  <c r="AO75" i="52" s="1"/>
  <c r="AO93" i="52" s="1"/>
  <c r="R27" i="56"/>
  <c r="Q31" i="56"/>
  <c r="AO27" i="56"/>
  <c r="S5" i="53"/>
  <c r="R11" i="53"/>
  <c r="AP5" i="53"/>
  <c r="AP71" i="53" s="1"/>
  <c r="AP89" i="53" s="1"/>
  <c r="T6" i="55"/>
  <c r="S11" i="55"/>
  <c r="AQ6" i="55"/>
  <c r="S55" i="54"/>
  <c r="R61" i="54"/>
  <c r="AP55" i="54"/>
  <c r="R17" i="56"/>
  <c r="Q21" i="56"/>
  <c r="AO17" i="56"/>
  <c r="Q11" i="50"/>
  <c r="R6" i="50"/>
  <c r="AO6" i="50"/>
  <c r="R45" i="50"/>
  <c r="Q51" i="50"/>
  <c r="AO45" i="50"/>
  <c r="AO80" i="50" s="1"/>
  <c r="R36" i="52"/>
  <c r="Q41" i="52"/>
  <c r="AO36" i="52"/>
  <c r="AO72" i="52" s="1"/>
  <c r="AO90" i="52" s="1"/>
  <c r="R17" i="48"/>
  <c r="Q21" i="48"/>
  <c r="AO17" i="48"/>
  <c r="R45" i="54"/>
  <c r="Q51" i="54"/>
  <c r="AO45" i="54"/>
  <c r="AO80" i="54" s="1"/>
  <c r="AO98" i="54" s="1"/>
  <c r="AO103" i="54" s="1"/>
  <c r="W45" i="53"/>
  <c r="AT45" i="53"/>
  <c r="R45" i="52"/>
  <c r="Q51" i="52"/>
  <c r="AO45" i="52"/>
  <c r="AO80" i="52" s="1"/>
  <c r="AO85" i="52" s="1"/>
  <c r="R39" i="48"/>
  <c r="Q41" i="48"/>
  <c r="AO39" i="48"/>
  <c r="AO74" i="48" s="1"/>
  <c r="AO120" i="48" s="1"/>
  <c r="R11" i="49"/>
  <c r="S6" i="49"/>
  <c r="AP6" i="49"/>
  <c r="S16" i="53"/>
  <c r="R21" i="53"/>
  <c r="AP16" i="53"/>
  <c r="Q61" i="50"/>
  <c r="R56" i="50"/>
  <c r="AO56" i="50"/>
  <c r="AO81" i="50" s="1"/>
  <c r="AO99" i="50" s="1"/>
  <c r="X36" i="51"/>
  <c r="AV36" i="51" s="1"/>
  <c r="W41" i="51"/>
  <c r="AU36" i="51"/>
  <c r="AU72" i="51" s="1"/>
  <c r="S5" i="15"/>
  <c r="R11" i="15"/>
  <c r="AP5" i="15"/>
  <c r="W7" i="51"/>
  <c r="R15" i="52"/>
  <c r="Q21" i="52"/>
  <c r="AO15" i="52"/>
  <c r="AO71" i="52" s="1"/>
  <c r="R37" i="54"/>
  <c r="Q41" i="54"/>
  <c r="AO37" i="54"/>
  <c r="AO73" i="54" s="1"/>
  <c r="AO91" i="54" s="1"/>
  <c r="AO110" i="54" s="1"/>
  <c r="S55" i="53"/>
  <c r="R61" i="53"/>
  <c r="AP55" i="53"/>
  <c r="AP80" i="53" s="1"/>
  <c r="AP98" i="53" s="1"/>
  <c r="S25" i="49"/>
  <c r="R31" i="49"/>
  <c r="AP25" i="49"/>
  <c r="AP71" i="49" s="1"/>
  <c r="AP89" i="49" s="1"/>
  <c r="R36" i="50"/>
  <c r="Q41" i="50"/>
  <c r="AO36" i="50"/>
  <c r="S36" i="53"/>
  <c r="R41" i="53"/>
  <c r="AP36" i="53"/>
  <c r="S58" i="52"/>
  <c r="R61" i="52"/>
  <c r="AP58" i="52"/>
  <c r="S45" i="49"/>
  <c r="R51" i="49"/>
  <c r="AP45" i="49"/>
  <c r="AP80" i="49" s="1"/>
  <c r="AP98" i="49" s="1"/>
  <c r="R46" i="48"/>
  <c r="Q51" i="48"/>
  <c r="AO46" i="48"/>
  <c r="AO81" i="48" s="1"/>
  <c r="AO99" i="48" s="1"/>
  <c r="AO109" i="48" s="1"/>
  <c r="R60" i="56"/>
  <c r="Q61" i="56"/>
  <c r="AO60" i="56"/>
  <c r="AO81" i="56" s="1"/>
  <c r="AO99" i="56" s="1"/>
  <c r="S36" i="49"/>
  <c r="R41" i="49"/>
  <c r="AP36" i="49"/>
  <c r="R25" i="50"/>
  <c r="Q31" i="50"/>
  <c r="AO25" i="50"/>
  <c r="AO71" i="50" s="1"/>
  <c r="AO89" i="50" s="1"/>
  <c r="R7" i="52"/>
  <c r="Q11" i="52"/>
  <c r="AO7" i="52"/>
  <c r="R36" i="56"/>
  <c r="Q41" i="56"/>
  <c r="AO36" i="56"/>
  <c r="T36" i="55"/>
  <c r="S41" i="55"/>
  <c r="AQ36" i="55"/>
  <c r="R45" i="56"/>
  <c r="Q51" i="56"/>
  <c r="AO45" i="56"/>
  <c r="AO80" i="56" s="1"/>
  <c r="AO98" i="56" s="1"/>
  <c r="AO108" i="56" s="1"/>
  <c r="AP111" i="55"/>
  <c r="S28" i="54"/>
  <c r="R31" i="54"/>
  <c r="AP28" i="54"/>
  <c r="AR101" i="49"/>
  <c r="AK99" i="51"/>
  <c r="AL93" i="49"/>
  <c r="AJ111" i="54"/>
  <c r="AQ120" i="49"/>
  <c r="AR82" i="56"/>
  <c r="AR100" i="56" s="1"/>
  <c r="AJ92" i="49"/>
  <c r="AP111" i="54"/>
  <c r="AQ112" i="55"/>
  <c r="AP121" i="50"/>
  <c r="AL120" i="55"/>
  <c r="V35" i="49"/>
  <c r="AS35" i="49"/>
  <c r="U55" i="48"/>
  <c r="AS55" i="48" s="1"/>
  <c r="AS80" i="48" s="1"/>
  <c r="AR55" i="48"/>
  <c r="AR80" i="48" s="1"/>
  <c r="AR98" i="48" s="1"/>
  <c r="V58" i="55"/>
  <c r="U16" i="56"/>
  <c r="AS16" i="56" s="1"/>
  <c r="V45" i="15"/>
  <c r="AT45" i="15" s="1"/>
  <c r="U51" i="15"/>
  <c r="U46" i="54"/>
  <c r="AR46" i="54"/>
  <c r="AR81" i="54" s="1"/>
  <c r="AR118" i="54" s="1"/>
  <c r="V57" i="56"/>
  <c r="AT57" i="56" s="1"/>
  <c r="AS57" i="56"/>
  <c r="V60" i="51"/>
  <c r="AT60" i="51" s="1"/>
  <c r="U26" i="50"/>
  <c r="AS26" i="50" s="1"/>
  <c r="AR26" i="50"/>
  <c r="V56" i="53"/>
  <c r="U16" i="48"/>
  <c r="AR16" i="48"/>
  <c r="AR72" i="48" s="1"/>
  <c r="V16" i="15"/>
  <c r="U21" i="15"/>
  <c r="AS16" i="15"/>
  <c r="U17" i="50"/>
  <c r="AS17" i="50" s="1"/>
  <c r="AR17" i="50"/>
  <c r="AR73" i="50" s="1"/>
  <c r="AR91" i="50" s="1"/>
  <c r="AI117" i="53"/>
  <c r="W15" i="51"/>
  <c r="V21" i="51"/>
  <c r="AT15" i="51"/>
  <c r="AR102" i="49"/>
  <c r="AP92" i="51"/>
  <c r="W35" i="55"/>
  <c r="AK120" i="49"/>
  <c r="V48" i="56"/>
  <c r="AS48" i="56"/>
  <c r="V46" i="50"/>
  <c r="AT46" i="50" s="1"/>
  <c r="AP98" i="51"/>
  <c r="AI117" i="49"/>
  <c r="AI98" i="49"/>
  <c r="AK111" i="15"/>
  <c r="AR112" i="55"/>
  <c r="AP102" i="50"/>
  <c r="AQ102" i="50"/>
  <c r="AN111" i="55"/>
  <c r="AL101" i="49"/>
  <c r="AP120" i="52"/>
  <c r="AL120" i="49"/>
  <c r="AP112" i="53"/>
  <c r="Y9" i="55"/>
  <c r="AL92" i="55"/>
  <c r="AL111" i="55" s="1"/>
  <c r="AJ112" i="53"/>
  <c r="AR121" i="49"/>
  <c r="AO120" i="49"/>
  <c r="AJ118" i="52"/>
  <c r="AO111" i="55"/>
  <c r="AL117" i="49"/>
  <c r="AO111" i="53"/>
  <c r="AL98" i="49"/>
  <c r="AQ121" i="51"/>
  <c r="AL120" i="53"/>
  <c r="AJ101" i="52"/>
  <c r="AU101" i="49"/>
  <c r="AO101" i="49"/>
  <c r="AK117" i="51"/>
  <c r="AN121" i="56"/>
  <c r="AL121" i="48"/>
  <c r="AJ102" i="51"/>
  <c r="AK102" i="51"/>
  <c r="AL101" i="52"/>
  <c r="AO101" i="50"/>
  <c r="AM93" i="52"/>
  <c r="AK111" i="55"/>
  <c r="AJ117" i="52"/>
  <c r="AN109" i="54"/>
  <c r="AM99" i="51"/>
  <c r="AP93" i="51"/>
  <c r="AN117" i="49"/>
  <c r="AJ89" i="50"/>
  <c r="AN121" i="50"/>
  <c r="AP109" i="54"/>
  <c r="AL102" i="49"/>
  <c r="AM100" i="49"/>
  <c r="X18" i="50"/>
  <c r="AU18" i="50"/>
  <c r="Y39" i="53"/>
  <c r="AV39" i="53"/>
  <c r="X39" i="54"/>
  <c r="Y45" i="51"/>
  <c r="AV45" i="51"/>
  <c r="AV80" i="51" s="1"/>
  <c r="Y17" i="53"/>
  <c r="AV17" i="53"/>
  <c r="Y6" i="15"/>
  <c r="Y46" i="49"/>
  <c r="AV46" i="49"/>
  <c r="X25" i="56"/>
  <c r="X56" i="52"/>
  <c r="X35" i="50"/>
  <c r="AU35" i="50"/>
  <c r="Y6" i="53"/>
  <c r="X26" i="54"/>
  <c r="AV26" i="54" s="1"/>
  <c r="Y26" i="51"/>
  <c r="AV26" i="51"/>
  <c r="X31" i="51"/>
  <c r="Y37" i="15"/>
  <c r="AV37" i="15"/>
  <c r="X6" i="52"/>
  <c r="AU6" i="52"/>
  <c r="X57" i="54"/>
  <c r="AU57" i="54"/>
  <c r="AU82" i="54" s="1"/>
  <c r="AU100" i="54" s="1"/>
  <c r="Y28" i="49"/>
  <c r="Y19" i="49"/>
  <c r="AV25" i="55"/>
  <c r="Y25" i="55"/>
  <c r="AV45" i="55"/>
  <c r="Y45" i="55"/>
  <c r="Y60" i="55"/>
  <c r="AV60" i="55"/>
  <c r="X37" i="56"/>
  <c r="AU37" i="56"/>
  <c r="Y6" i="51"/>
  <c r="AV6" i="51"/>
  <c r="Y57" i="53"/>
  <c r="AV57" i="53"/>
  <c r="AV82" i="53" s="1"/>
  <c r="AV100" i="53" s="1"/>
  <c r="X38" i="52"/>
  <c r="AU38" i="52"/>
  <c r="Y55" i="15"/>
  <c r="Y17" i="15"/>
  <c r="AV17" i="15"/>
  <c r="Y37" i="55"/>
  <c r="AV37" i="55"/>
  <c r="X6" i="54"/>
  <c r="X28" i="50"/>
  <c r="AU28" i="50"/>
  <c r="Y17" i="55"/>
  <c r="X17" i="52"/>
  <c r="AU17" i="52"/>
  <c r="X37" i="48"/>
  <c r="AV37" i="48" s="1"/>
  <c r="AU37" i="48"/>
  <c r="Y26" i="53"/>
  <c r="AV26" i="53"/>
  <c r="X31" i="53"/>
  <c r="X6" i="48"/>
  <c r="AU6" i="48"/>
  <c r="X17" i="54"/>
  <c r="X27" i="48"/>
  <c r="AU27" i="48"/>
  <c r="Y17" i="51"/>
  <c r="AV17" i="51"/>
  <c r="X26" i="52"/>
  <c r="AK99" i="49"/>
  <c r="AP111" i="56"/>
  <c r="AP102" i="51"/>
  <c r="AK118" i="49"/>
  <c r="AO102" i="51"/>
  <c r="AI101" i="49"/>
  <c r="AI120" i="49"/>
  <c r="AI101" i="52"/>
  <c r="AI93" i="52"/>
  <c r="AO102" i="52"/>
  <c r="AM101" i="53"/>
  <c r="AM111" i="53" s="1"/>
  <c r="AM92" i="55"/>
  <c r="AM98" i="50"/>
  <c r="AM101" i="49"/>
  <c r="AM101" i="55"/>
  <c r="AM103" i="55" s="1"/>
  <c r="AI120" i="52"/>
  <c r="AK101" i="49"/>
  <c r="AQ93" i="51"/>
  <c r="AR93" i="51"/>
  <c r="AJ120" i="50"/>
  <c r="AK102" i="52"/>
  <c r="AL120" i="51"/>
  <c r="AL117" i="15"/>
  <c r="AM92" i="51"/>
  <c r="AK101" i="50"/>
  <c r="AN101" i="49"/>
  <c r="AM120" i="49"/>
  <c r="AK120" i="52"/>
  <c r="AL92" i="51"/>
  <c r="AJ102" i="52"/>
  <c r="AK120" i="48"/>
  <c r="AL92" i="52"/>
  <c r="AQ112" i="15"/>
  <c r="AK120" i="53"/>
  <c r="AO117" i="48"/>
  <c r="AQ121" i="15"/>
  <c r="AK111" i="53"/>
  <c r="AP110" i="15"/>
  <c r="AK121" i="54"/>
  <c r="AN121" i="51"/>
  <c r="AL98" i="52"/>
  <c r="AI92" i="49"/>
  <c r="AI101" i="51"/>
  <c r="AN117" i="48"/>
  <c r="AJ101" i="51"/>
  <c r="AM121" i="49"/>
  <c r="AJ121" i="51"/>
  <c r="AM93" i="49"/>
  <c r="AK98" i="51"/>
  <c r="AL121" i="51"/>
  <c r="AM93" i="51"/>
  <c r="AL98" i="51"/>
  <c r="AY101" i="49"/>
  <c r="AI98" i="51"/>
  <c r="AX101" i="49"/>
  <c r="AM112" i="54"/>
  <c r="AL120" i="48"/>
  <c r="AJ100" i="52"/>
  <c r="AO98" i="49"/>
  <c r="AN98" i="49"/>
  <c r="AQ92" i="51"/>
  <c r="AJ121" i="56"/>
  <c r="AN111" i="56"/>
  <c r="AN98" i="52"/>
  <c r="AN93" i="56"/>
  <c r="AN112" i="56" s="1"/>
  <c r="AL102" i="48"/>
  <c r="AL112" i="48" s="1"/>
  <c r="AM98" i="49"/>
  <c r="AI99" i="52"/>
  <c r="AI92" i="52"/>
  <c r="AI92" i="51"/>
  <c r="AI120" i="15"/>
  <c r="AN99" i="51"/>
  <c r="AL101" i="50"/>
  <c r="AK121" i="56"/>
  <c r="AL117" i="48"/>
  <c r="AJ102" i="49"/>
  <c r="AJ99" i="51"/>
  <c r="AL89" i="52"/>
  <c r="AJ121" i="49"/>
  <c r="AL118" i="51"/>
  <c r="AK102" i="49"/>
  <c r="AN101" i="52"/>
  <c r="AR120" i="52"/>
  <c r="AL120" i="54"/>
  <c r="AR98" i="51"/>
  <c r="AI101" i="50"/>
  <c r="AM91" i="50"/>
  <c r="AJ121" i="53"/>
  <c r="AR92" i="51"/>
  <c r="AP92" i="49"/>
  <c r="AO120" i="50"/>
  <c r="AJ112" i="55"/>
  <c r="AM89" i="49"/>
  <c r="AI90" i="50"/>
  <c r="AI102" i="51"/>
  <c r="AL99" i="51"/>
  <c r="AL102" i="51"/>
  <c r="AI119" i="53"/>
  <c r="AN111" i="15"/>
  <c r="AQ111" i="54"/>
  <c r="AJ89" i="49"/>
  <c r="AL92" i="53"/>
  <c r="AL111" i="53" s="1"/>
  <c r="AK118" i="56"/>
  <c r="AQ120" i="54"/>
  <c r="AO121" i="53"/>
  <c r="AI117" i="54"/>
  <c r="AP121" i="56"/>
  <c r="AJ110" i="55"/>
  <c r="AN102" i="52"/>
  <c r="AJ101" i="50"/>
  <c r="AK92" i="48"/>
  <c r="AK111" i="48" s="1"/>
  <c r="AZ18" i="51"/>
  <c r="AZ40" i="49"/>
  <c r="AL90" i="51"/>
  <c r="AK117" i="56"/>
  <c r="AI90" i="52"/>
  <c r="AP112" i="56"/>
  <c r="AM99" i="49"/>
  <c r="AY84" i="15"/>
  <c r="AY102" i="15" s="1"/>
  <c r="AZ36" i="15"/>
  <c r="AI90" i="51"/>
  <c r="AI100" i="51"/>
  <c r="AJ112" i="48"/>
  <c r="AQ121" i="55"/>
  <c r="AL99" i="49"/>
  <c r="AN93" i="52"/>
  <c r="AI98" i="50"/>
  <c r="AI99" i="51"/>
  <c r="AO100" i="52"/>
  <c r="AI121" i="56"/>
  <c r="AJ112" i="15"/>
  <c r="AL118" i="53"/>
  <c r="AK99" i="52"/>
  <c r="AN98" i="50"/>
  <c r="AP120" i="49"/>
  <c r="AJ92" i="50"/>
  <c r="AN98" i="51"/>
  <c r="AQ98" i="51"/>
  <c r="AK98" i="52"/>
  <c r="AN117" i="55"/>
  <c r="AJ121" i="15"/>
  <c r="AM117" i="49"/>
  <c r="AM117" i="50"/>
  <c r="AL121" i="50"/>
  <c r="AJ98" i="51"/>
  <c r="AL92" i="54"/>
  <c r="AL111" i="54" s="1"/>
  <c r="AM117" i="55"/>
  <c r="AI121" i="55"/>
  <c r="AJ85" i="55"/>
  <c r="AL120" i="56"/>
  <c r="AM118" i="50"/>
  <c r="AN121" i="15"/>
  <c r="AI99" i="50"/>
  <c r="AN85" i="53"/>
  <c r="AO93" i="51"/>
  <c r="AI120" i="51"/>
  <c r="AQ111" i="56"/>
  <c r="AN110" i="55"/>
  <c r="AL76" i="51"/>
  <c r="AN100" i="49"/>
  <c r="AL85" i="49"/>
  <c r="AM112" i="55"/>
  <c r="AK121" i="49"/>
  <c r="AP121" i="49"/>
  <c r="AI121" i="48"/>
  <c r="AL121" i="55"/>
  <c r="AM90" i="50"/>
  <c r="AM119" i="49"/>
  <c r="AJ117" i="54"/>
  <c r="AO99" i="52"/>
  <c r="AL89" i="50"/>
  <c r="AL108" i="50" s="1"/>
  <c r="AI102" i="52"/>
  <c r="AN118" i="54"/>
  <c r="AK117" i="15"/>
  <c r="AN117" i="53"/>
  <c r="AP118" i="54"/>
  <c r="AJ98" i="54"/>
  <c r="AJ103" i="54" s="1"/>
  <c r="AL121" i="53"/>
  <c r="AI91" i="53"/>
  <c r="AI110" i="53" s="1"/>
  <c r="AN121" i="54"/>
  <c r="AO121" i="51"/>
  <c r="AO89" i="49"/>
  <c r="AO120" i="55"/>
  <c r="AJ111" i="55"/>
  <c r="AI117" i="50"/>
  <c r="AI91" i="50"/>
  <c r="AI89" i="52"/>
  <c r="AK101" i="51"/>
  <c r="AI121" i="52"/>
  <c r="AI76" i="52"/>
  <c r="AJ120" i="54"/>
  <c r="AN93" i="15"/>
  <c r="AN112" i="15" s="1"/>
  <c r="AI76" i="55"/>
  <c r="AM117" i="48"/>
  <c r="AK93" i="49"/>
  <c r="AK85" i="15"/>
  <c r="AN120" i="55"/>
  <c r="AQ121" i="56"/>
  <c r="AL117" i="55"/>
  <c r="AL90" i="50"/>
  <c r="AL91" i="51"/>
  <c r="AN119" i="51"/>
  <c r="AQ119" i="53"/>
  <c r="AK118" i="15"/>
  <c r="AM109" i="56"/>
  <c r="AL100" i="49"/>
  <c r="AJ117" i="56"/>
  <c r="AR92" i="50"/>
  <c r="AL121" i="49"/>
  <c r="AN103" i="56"/>
  <c r="AJ101" i="49"/>
  <c r="AM111" i="15"/>
  <c r="AM118" i="48"/>
  <c r="AO111" i="15"/>
  <c r="AJ117" i="51"/>
  <c r="AM120" i="15"/>
  <c r="AQ120" i="50"/>
  <c r="AI119" i="50"/>
  <c r="AQ101" i="52"/>
  <c r="AM112" i="15"/>
  <c r="AM76" i="55"/>
  <c r="AO91" i="51"/>
  <c r="AR121" i="50"/>
  <c r="AP112" i="55"/>
  <c r="AQ112" i="56"/>
  <c r="AJ85" i="51"/>
  <c r="AN85" i="56"/>
  <c r="AL89" i="49"/>
  <c r="AQ92" i="49"/>
  <c r="AI76" i="53"/>
  <c r="AI121" i="53"/>
  <c r="AP93" i="49"/>
  <c r="AK89" i="50"/>
  <c r="AN120" i="56"/>
  <c r="AQ120" i="56"/>
  <c r="AN93" i="50"/>
  <c r="AR120" i="49"/>
  <c r="AM119" i="52"/>
  <c r="AL119" i="51"/>
  <c r="AI102" i="49"/>
  <c r="AN89" i="55"/>
  <c r="AN108" i="55" s="1"/>
  <c r="AI85" i="49"/>
  <c r="AM89" i="50"/>
  <c r="AK101" i="52"/>
  <c r="AM85" i="15"/>
  <c r="AM76" i="48"/>
  <c r="AR101" i="50"/>
  <c r="AP120" i="56"/>
  <c r="AM121" i="15"/>
  <c r="AL76" i="54"/>
  <c r="AJ111" i="53"/>
  <c r="AM93" i="50"/>
  <c r="AR92" i="49"/>
  <c r="AO112" i="56"/>
  <c r="AL89" i="51"/>
  <c r="AL117" i="53"/>
  <c r="AI89" i="53"/>
  <c r="AI108" i="53" s="1"/>
  <c r="AO120" i="15"/>
  <c r="AI120" i="50"/>
  <c r="AI120" i="56"/>
  <c r="AL118" i="55"/>
  <c r="AK117" i="52"/>
  <c r="AK93" i="54"/>
  <c r="AK112" i="54" s="1"/>
  <c r="AR100" i="49"/>
  <c r="AQ102" i="49"/>
  <c r="AI89" i="49"/>
  <c r="AK118" i="55"/>
  <c r="AK117" i="49"/>
  <c r="AO121" i="56"/>
  <c r="AO89" i="53"/>
  <c r="AO108" i="53" s="1"/>
  <c r="AK89" i="51"/>
  <c r="AO117" i="49"/>
  <c r="AI117" i="55"/>
  <c r="AK121" i="48"/>
  <c r="AI118" i="53"/>
  <c r="AP121" i="55"/>
  <c r="AI117" i="48"/>
  <c r="AP110" i="53"/>
  <c r="AM76" i="50"/>
  <c r="AI118" i="48"/>
  <c r="AN110" i="15"/>
  <c r="AK117" i="50"/>
  <c r="AR99" i="52"/>
  <c r="AQ92" i="52"/>
  <c r="AM117" i="51"/>
  <c r="AO93" i="49"/>
  <c r="AL120" i="15"/>
  <c r="AI121" i="15"/>
  <c r="AI85" i="52"/>
  <c r="AJ92" i="52"/>
  <c r="AL117" i="56"/>
  <c r="AN101" i="50"/>
  <c r="AM98" i="52"/>
  <c r="AJ120" i="53"/>
  <c r="AL85" i="48"/>
  <c r="AI100" i="52"/>
  <c r="AI100" i="50"/>
  <c r="AI92" i="50"/>
  <c r="AK109" i="55"/>
  <c r="AN110" i="56"/>
  <c r="AK89" i="49"/>
  <c r="AN103" i="53"/>
  <c r="AJ117" i="48"/>
  <c r="AL76" i="55"/>
  <c r="AO102" i="50"/>
  <c r="AK112" i="48"/>
  <c r="AI85" i="48"/>
  <c r="AK100" i="50"/>
  <c r="AN120" i="15"/>
  <c r="AL90" i="52"/>
  <c r="AK76" i="52"/>
  <c r="AI119" i="52"/>
  <c r="AO76" i="55"/>
  <c r="AO112" i="54"/>
  <c r="AN92" i="49"/>
  <c r="AK112" i="15"/>
  <c r="AI76" i="51"/>
  <c r="AN89" i="50"/>
  <c r="AM110" i="56"/>
  <c r="AJ99" i="52"/>
  <c r="AR121" i="15"/>
  <c r="AM85" i="49"/>
  <c r="AK112" i="53"/>
  <c r="AO92" i="51"/>
  <c r="AM120" i="50"/>
  <c r="AK111" i="54"/>
  <c r="AL117" i="51"/>
  <c r="AK76" i="54"/>
  <c r="AJ111" i="15"/>
  <c r="AR90" i="54"/>
  <c r="AO102" i="55"/>
  <c r="AO112" i="55" s="1"/>
  <c r="AO121" i="55"/>
  <c r="AP102" i="54"/>
  <c r="AM121" i="50"/>
  <c r="AN102" i="50"/>
  <c r="AL85" i="15"/>
  <c r="AL100" i="15"/>
  <c r="AL103" i="15" s="1"/>
  <c r="AK100" i="56"/>
  <c r="AK110" i="56" s="1"/>
  <c r="AK119" i="56"/>
  <c r="AK89" i="54"/>
  <c r="AK108" i="54" s="1"/>
  <c r="AK117" i="54"/>
  <c r="AQ101" i="49"/>
  <c r="AP101" i="49"/>
  <c r="AO92" i="54"/>
  <c r="AO111" i="54" s="1"/>
  <c r="AO120" i="54"/>
  <c r="AI121" i="50"/>
  <c r="AK89" i="53"/>
  <c r="AK108" i="53" s="1"/>
  <c r="AK117" i="53"/>
  <c r="AM76" i="49"/>
  <c r="AJ89" i="51"/>
  <c r="AI117" i="51"/>
  <c r="AI89" i="56"/>
  <c r="AI94" i="56" s="1"/>
  <c r="AI117" i="56"/>
  <c r="AQ121" i="50"/>
  <c r="AM93" i="48"/>
  <c r="AM112" i="48" s="1"/>
  <c r="AM121" i="48"/>
  <c r="AN76" i="15"/>
  <c r="AR93" i="49"/>
  <c r="AQ93" i="49"/>
  <c r="AI120" i="53"/>
  <c r="AI85" i="53"/>
  <c r="AQ120" i="15"/>
  <c r="AQ92" i="15"/>
  <c r="AQ111" i="15" s="1"/>
  <c r="AK89" i="48"/>
  <c r="AK108" i="48" s="1"/>
  <c r="AK117" i="48"/>
  <c r="AO119" i="55"/>
  <c r="AL85" i="55"/>
  <c r="AS92" i="52"/>
  <c r="AL93" i="51"/>
  <c r="AK93" i="51"/>
  <c r="AK92" i="51"/>
  <c r="AJ92" i="51"/>
  <c r="AN120" i="50"/>
  <c r="AJ99" i="15"/>
  <c r="AJ109" i="15" s="1"/>
  <c r="AJ85" i="15"/>
  <c r="AP120" i="54"/>
  <c r="AK93" i="50"/>
  <c r="AL118" i="50"/>
  <c r="AL85" i="50"/>
  <c r="AL90" i="48"/>
  <c r="AL118" i="48"/>
  <c r="AP102" i="49"/>
  <c r="AO85" i="49"/>
  <c r="AN99" i="15"/>
  <c r="AN109" i="15" s="1"/>
  <c r="AN85" i="15"/>
  <c r="AH85" i="53"/>
  <c r="AI91" i="49"/>
  <c r="AI98" i="52"/>
  <c r="AI93" i="50"/>
  <c r="AI93" i="49"/>
  <c r="AO120" i="53"/>
  <c r="AN93" i="49"/>
  <c r="AL121" i="15"/>
  <c r="AK120" i="55"/>
  <c r="AO92" i="50"/>
  <c r="AM120" i="55"/>
  <c r="AL117" i="54"/>
  <c r="AJ85" i="54"/>
  <c r="AO93" i="53"/>
  <c r="AO112" i="53" s="1"/>
  <c r="AK121" i="51"/>
  <c r="AR120" i="50"/>
  <c r="AN117" i="15"/>
  <c r="AM117" i="56"/>
  <c r="AM90" i="48"/>
  <c r="AM109" i="48" s="1"/>
  <c r="AJ93" i="56"/>
  <c r="AJ112" i="56" s="1"/>
  <c r="AN89" i="49"/>
  <c r="AL89" i="15"/>
  <c r="AL108" i="15" s="1"/>
  <c r="AN117" i="56"/>
  <c r="AM121" i="54"/>
  <c r="AK85" i="50"/>
  <c r="AR93" i="50"/>
  <c r="AM121" i="56"/>
  <c r="AN117" i="52"/>
  <c r="AN118" i="53"/>
  <c r="AN90" i="53"/>
  <c r="AN109" i="53" s="1"/>
  <c r="AI100" i="49"/>
  <c r="AI102" i="50"/>
  <c r="AI89" i="51"/>
  <c r="AN76" i="55"/>
  <c r="AQ90" i="48"/>
  <c r="AP120" i="55"/>
  <c r="AN85" i="51"/>
  <c r="AL117" i="52"/>
  <c r="AK120" i="15"/>
  <c r="AJ117" i="53"/>
  <c r="AM119" i="56"/>
  <c r="AL98" i="56"/>
  <c r="AL108" i="56" s="1"/>
  <c r="AR93" i="15"/>
  <c r="AR112" i="15" s="1"/>
  <c r="AL85" i="52"/>
  <c r="AL92" i="15"/>
  <c r="AL111" i="15" s="1"/>
  <c r="AJ120" i="51"/>
  <c r="AL99" i="48"/>
  <c r="AN92" i="51"/>
  <c r="AN89" i="15"/>
  <c r="AN108" i="15" s="1"/>
  <c r="AJ76" i="49"/>
  <c r="AR102" i="51"/>
  <c r="AM121" i="55"/>
  <c r="AL93" i="50"/>
  <c r="AK76" i="49"/>
  <c r="AP100" i="51"/>
  <c r="AN111" i="48"/>
  <c r="AL76" i="56"/>
  <c r="AJ103" i="55"/>
  <c r="AJ76" i="15"/>
  <c r="AM85" i="52"/>
  <c r="AL76" i="15"/>
  <c r="AN76" i="56"/>
  <c r="AJ76" i="56"/>
  <c r="AJ76" i="51"/>
  <c r="AK99" i="50"/>
  <c r="AI118" i="15"/>
  <c r="AL119" i="53"/>
  <c r="AJ110" i="54"/>
  <c r="AI109" i="15"/>
  <c r="AI85" i="50"/>
  <c r="AI76" i="54"/>
  <c r="AJ100" i="49"/>
  <c r="AN85" i="52"/>
  <c r="AI85" i="54"/>
  <c r="AM101" i="50"/>
  <c r="AJ102" i="50"/>
  <c r="AK85" i="55"/>
  <c r="AI118" i="49"/>
  <c r="AO119" i="51"/>
  <c r="AM112" i="56"/>
  <c r="AO121" i="54"/>
  <c r="AP101" i="50"/>
  <c r="AO101" i="52"/>
  <c r="AM111" i="54"/>
  <c r="AK121" i="15"/>
  <c r="AM98" i="51"/>
  <c r="AJ93" i="51"/>
  <c r="AP99" i="52"/>
  <c r="AL118" i="52"/>
  <c r="AM89" i="52"/>
  <c r="AK120" i="54"/>
  <c r="AJ121" i="48"/>
  <c r="AM76" i="15"/>
  <c r="AJ76" i="54"/>
  <c r="AQ121" i="49"/>
  <c r="AJ117" i="15"/>
  <c r="AI120" i="55"/>
  <c r="AQ91" i="53"/>
  <c r="AQ110" i="53" s="1"/>
  <c r="AO90" i="55"/>
  <c r="AM117" i="52"/>
  <c r="AR121" i="55"/>
  <c r="AN117" i="50"/>
  <c r="AN121" i="52"/>
  <c r="AM117" i="15"/>
  <c r="AK76" i="15"/>
  <c r="AJ89" i="54"/>
  <c r="AJ76" i="53"/>
  <c r="AP99" i="49"/>
  <c r="AL85" i="56"/>
  <c r="AK112" i="56"/>
  <c r="AN85" i="54"/>
  <c r="AO76" i="49"/>
  <c r="AM76" i="56"/>
  <c r="AK85" i="53"/>
  <c r="AI120" i="54"/>
  <c r="AP121" i="53"/>
  <c r="AN89" i="52"/>
  <c r="AN103" i="48"/>
  <c r="AI121" i="51"/>
  <c r="AJ120" i="15"/>
  <c r="AQ99" i="49"/>
  <c r="AN91" i="50"/>
  <c r="AM117" i="54"/>
  <c r="AI91" i="52"/>
  <c r="AI99" i="49"/>
  <c r="AK119" i="51"/>
  <c r="AR101" i="52"/>
  <c r="AN76" i="50"/>
  <c r="AN76" i="53"/>
  <c r="AO121" i="49"/>
  <c r="AM76" i="54"/>
  <c r="AJ85" i="48"/>
  <c r="AK103" i="53"/>
  <c r="AJ121" i="50"/>
  <c r="AK85" i="48"/>
  <c r="AN118" i="15"/>
  <c r="AN120" i="49"/>
  <c r="AM120" i="54"/>
  <c r="AN85" i="48"/>
  <c r="AO100" i="51"/>
  <c r="AY75" i="15"/>
  <c r="AY93" i="15" s="1"/>
  <c r="AI93" i="51"/>
  <c r="AP101" i="52"/>
  <c r="AM102" i="51"/>
  <c r="AK91" i="51"/>
  <c r="AN120" i="48"/>
  <c r="AK121" i="53"/>
  <c r="AN76" i="49"/>
  <c r="AM121" i="52"/>
  <c r="AK76" i="55"/>
  <c r="AO121" i="15"/>
  <c r="AJ103" i="48"/>
  <c r="AO92" i="49"/>
  <c r="AK103" i="48"/>
  <c r="AO102" i="49"/>
  <c r="AN120" i="54"/>
  <c r="AK109" i="48"/>
  <c r="AJ120" i="55"/>
  <c r="AN102" i="49"/>
  <c r="AI85" i="15"/>
  <c r="AJ99" i="49"/>
  <c r="AN99" i="52"/>
  <c r="AM76" i="53"/>
  <c r="AK76" i="51"/>
  <c r="AI111" i="53"/>
  <c r="AQ120" i="53"/>
  <c r="AJ121" i="54"/>
  <c r="AJ93" i="50"/>
  <c r="AM76" i="52"/>
  <c r="AM102" i="50"/>
  <c r="AP92" i="50"/>
  <c r="AY75" i="51"/>
  <c r="AY93" i="51" s="1"/>
  <c r="AL100" i="51"/>
  <c r="AO76" i="53"/>
  <c r="AI85" i="51"/>
  <c r="AJ121" i="55"/>
  <c r="AN93" i="51"/>
  <c r="AQ93" i="50"/>
  <c r="AL85" i="54"/>
  <c r="AL111" i="48"/>
  <c r="AO100" i="49"/>
  <c r="AK76" i="56"/>
  <c r="AK90" i="56"/>
  <c r="AK109" i="56" s="1"/>
  <c r="AP90" i="15"/>
  <c r="AP109" i="15" s="1"/>
  <c r="AO90" i="54"/>
  <c r="AO109" i="54" s="1"/>
  <c r="AP90" i="48"/>
  <c r="AM100" i="50"/>
  <c r="AM85" i="50"/>
  <c r="AK91" i="52"/>
  <c r="AJ91" i="52"/>
  <c r="AP91" i="51"/>
  <c r="AM101" i="48"/>
  <c r="AM111" i="48" s="1"/>
  <c r="AM120" i="48"/>
  <c r="AM85" i="48"/>
  <c r="AK98" i="49"/>
  <c r="AJ98" i="49"/>
  <c r="AJ117" i="49"/>
  <c r="AO92" i="52"/>
  <c r="AP92" i="52"/>
  <c r="AL120" i="52"/>
  <c r="AJ101" i="56"/>
  <c r="AJ111" i="56" s="1"/>
  <c r="AJ120" i="56"/>
  <c r="AR102" i="53"/>
  <c r="AR112" i="53" s="1"/>
  <c r="AR121" i="53"/>
  <c r="AO102" i="48"/>
  <c r="AK102" i="55"/>
  <c r="AK112" i="55" s="1"/>
  <c r="AK121" i="55"/>
  <c r="AM102" i="53"/>
  <c r="AM85" i="53"/>
  <c r="AQ102" i="54"/>
  <c r="AN102" i="55"/>
  <c r="AN103" i="55" s="1"/>
  <c r="AN121" i="55"/>
  <c r="AQ102" i="53"/>
  <c r="AQ121" i="53"/>
  <c r="AO100" i="55"/>
  <c r="AO110" i="55" s="1"/>
  <c r="AK102" i="50"/>
  <c r="AK121" i="50"/>
  <c r="AP92" i="53"/>
  <c r="AP111" i="53" s="1"/>
  <c r="AM92" i="49"/>
  <c r="AL92" i="49"/>
  <c r="AK89" i="55"/>
  <c r="AK108" i="55" s="1"/>
  <c r="AK117" i="55"/>
  <c r="AO121" i="50"/>
  <c r="AP93" i="50"/>
  <c r="AO93" i="50"/>
  <c r="AN120" i="52"/>
  <c r="AN92" i="52"/>
  <c r="AL92" i="50"/>
  <c r="AL120" i="50"/>
  <c r="AM92" i="50"/>
  <c r="AJ99" i="53"/>
  <c r="AJ103" i="53" s="1"/>
  <c r="AJ85" i="53"/>
  <c r="AN93" i="53"/>
  <c r="AN112" i="53" s="1"/>
  <c r="AN121" i="53"/>
  <c r="AM89" i="53"/>
  <c r="AM108" i="53" s="1"/>
  <c r="AM117" i="53"/>
  <c r="AJ93" i="49"/>
  <c r="AI121" i="49"/>
  <c r="AM92" i="52"/>
  <c r="AM120" i="52"/>
  <c r="AQ99" i="52"/>
  <c r="AM101" i="56"/>
  <c r="AM103" i="56" s="1"/>
  <c r="AM120" i="56"/>
  <c r="AR92" i="52"/>
  <c r="AQ120" i="52"/>
  <c r="AN117" i="51"/>
  <c r="AO98" i="51"/>
  <c r="AM89" i="51"/>
  <c r="AN89" i="51"/>
  <c r="AR101" i="54"/>
  <c r="AR120" i="54"/>
  <c r="AJ76" i="52"/>
  <c r="AK89" i="52"/>
  <c r="AJ89" i="52"/>
  <c r="AR101" i="15"/>
  <c r="AR111" i="15" s="1"/>
  <c r="AR120" i="15"/>
  <c r="AQ92" i="55"/>
  <c r="AN85" i="49"/>
  <c r="AN99" i="49"/>
  <c r="AO99" i="49"/>
  <c r="AK92" i="50"/>
  <c r="AK120" i="50"/>
  <c r="AK76" i="50"/>
  <c r="AK98" i="50"/>
  <c r="AJ117" i="50"/>
  <c r="AP120" i="15"/>
  <c r="AP92" i="15"/>
  <c r="AP111" i="15" s="1"/>
  <c r="AJ93" i="52"/>
  <c r="AK93" i="52"/>
  <c r="AJ121" i="52"/>
  <c r="AP93" i="15"/>
  <c r="AP112" i="15" s="1"/>
  <c r="AP121" i="15"/>
  <c r="AN85" i="55"/>
  <c r="AL76" i="48"/>
  <c r="AL89" i="48"/>
  <c r="AL108" i="48" s="1"/>
  <c r="AJ120" i="49"/>
  <c r="AK92" i="49"/>
  <c r="AI76" i="56"/>
  <c r="AL76" i="53"/>
  <c r="AL93" i="53"/>
  <c r="AL112" i="53" s="1"/>
  <c r="AI76" i="15"/>
  <c r="AI93" i="15"/>
  <c r="AI112" i="15" s="1"/>
  <c r="AI117" i="52"/>
  <c r="AJ98" i="52"/>
  <c r="AR89" i="55"/>
  <c r="AK92" i="52"/>
  <c r="AJ120" i="52"/>
  <c r="AN121" i="49"/>
  <c r="AO85" i="15"/>
  <c r="AM121" i="53"/>
  <c r="AK85" i="49"/>
  <c r="AJ85" i="49"/>
  <c r="AJ120" i="48"/>
  <c r="AO120" i="52"/>
  <c r="AP120" i="50"/>
  <c r="AP120" i="53"/>
  <c r="AO118" i="54"/>
  <c r="AJ117" i="55"/>
  <c r="AP100" i="55"/>
  <c r="AP118" i="15"/>
  <c r="AR92" i="55"/>
  <c r="AL93" i="52"/>
  <c r="AJ93" i="54"/>
  <c r="AJ112" i="54" s="1"/>
  <c r="AM119" i="50"/>
  <c r="AI76" i="50"/>
  <c r="AM120" i="51"/>
  <c r="AL102" i="56"/>
  <c r="AL112" i="56" s="1"/>
  <c r="AL121" i="56"/>
  <c r="AL102" i="50"/>
  <c r="AL76" i="52"/>
  <c r="AO103" i="15"/>
  <c r="AI76" i="49"/>
  <c r="AQ92" i="50"/>
  <c r="AL76" i="49"/>
  <c r="AJ76" i="48"/>
  <c r="AP119" i="15"/>
  <c r="AP85" i="15"/>
  <c r="AN76" i="51"/>
  <c r="AJ98" i="50"/>
  <c r="AO118" i="15"/>
  <c r="AI119" i="55"/>
  <c r="AI100" i="55"/>
  <c r="AI103" i="55" s="1"/>
  <c r="AI85" i="55"/>
  <c r="AJ76" i="50"/>
  <c r="AO112" i="15"/>
  <c r="AP100" i="49"/>
  <c r="AM100" i="51"/>
  <c r="AR100" i="50"/>
  <c r="AN111" i="54"/>
  <c r="AQ90" i="51"/>
  <c r="AM76" i="51"/>
  <c r="AK76" i="48"/>
  <c r="AK76" i="53"/>
  <c r="AI119" i="56"/>
  <c r="AR100" i="51"/>
  <c r="AI76" i="48"/>
  <c r="AI103" i="53"/>
  <c r="AN103" i="54"/>
  <c r="AJ76" i="55"/>
  <c r="AN100" i="50"/>
  <c r="AP103" i="15"/>
  <c r="AM91" i="52"/>
  <c r="V9" i="5"/>
  <c r="T9" i="5"/>
  <c r="H9" i="5"/>
  <c r="X20" i="5"/>
  <c r="J24" i="5"/>
  <c r="L22" i="5"/>
  <c r="L7" i="5"/>
  <c r="K24" i="5"/>
  <c r="L4" i="5"/>
  <c r="G9" i="5"/>
  <c r="X19" i="5"/>
  <c r="S24" i="5"/>
  <c r="K9" i="5"/>
  <c r="U9" i="5"/>
  <c r="X22" i="5"/>
  <c r="L19" i="5"/>
  <c r="G24" i="5"/>
  <c r="X8" i="5"/>
  <c r="W24" i="5"/>
  <c r="J9" i="5"/>
  <c r="X4" i="5"/>
  <c r="S9" i="5"/>
  <c r="V24" i="5"/>
  <c r="I9" i="5"/>
  <c r="W9" i="5"/>
  <c r="L8" i="5"/>
  <c r="U24" i="5"/>
  <c r="H24" i="5"/>
  <c r="L20" i="5"/>
  <c r="T24" i="5"/>
  <c r="I24" i="5"/>
  <c r="AN85" i="50"/>
  <c r="AM85" i="54"/>
  <c r="AL85" i="51"/>
  <c r="AM91" i="51"/>
  <c r="AR102" i="50"/>
  <c r="AJ85" i="52"/>
  <c r="AK85" i="51"/>
  <c r="AM103" i="54"/>
  <c r="AL103" i="55"/>
  <c r="AM101" i="52"/>
  <c r="AK85" i="54"/>
  <c r="AL76" i="50"/>
  <c r="AM85" i="56"/>
  <c r="AJ85" i="50"/>
  <c r="AI85" i="56"/>
  <c r="AM85" i="51"/>
  <c r="AK85" i="52"/>
  <c r="AQ101" i="50"/>
  <c r="AM99" i="52"/>
  <c r="AK103" i="54"/>
  <c r="AM85" i="55"/>
  <c r="AK85" i="56"/>
  <c r="AL85" i="53"/>
  <c r="AJ85" i="56"/>
  <c r="L21" i="5"/>
  <c r="X23" i="5"/>
  <c r="L23" i="5"/>
  <c r="AM102" i="49"/>
  <c r="AK90" i="52"/>
  <c r="AK100" i="49"/>
  <c r="AJ118" i="15"/>
  <c r="AQ119" i="50"/>
  <c r="AK118" i="48"/>
  <c r="AN119" i="55"/>
  <c r="AQ110" i="15"/>
  <c r="AJ100" i="51"/>
  <c r="AN91" i="51"/>
  <c r="AQ91" i="50"/>
  <c r="AI118" i="56"/>
  <c r="AO119" i="15"/>
  <c r="AM119" i="15"/>
  <c r="AL100" i="50"/>
  <c r="AM118" i="56"/>
  <c r="AJ90" i="52"/>
  <c r="AJ110" i="48"/>
  <c r="AK90" i="15"/>
  <c r="AK109" i="15" s="1"/>
  <c r="AQ119" i="15"/>
  <c r="AJ119" i="48"/>
  <c r="AR121" i="51"/>
  <c r="AM90" i="52"/>
  <c r="AI119" i="51"/>
  <c r="AK119" i="52"/>
  <c r="AR120" i="53"/>
  <c r="AX93" i="51"/>
  <c r="AN119" i="15"/>
  <c r="AQ111" i="53"/>
  <c r="AM120" i="53"/>
  <c r="AP119" i="53"/>
  <c r="AQ91" i="49"/>
  <c r="AN90" i="50"/>
  <c r="AI118" i="50"/>
  <c r="AQ119" i="51"/>
  <c r="AI90" i="49"/>
  <c r="AL99" i="52"/>
  <c r="AJ119" i="55"/>
  <c r="AN119" i="56"/>
  <c r="AN118" i="50"/>
  <c r="AO110" i="15"/>
  <c r="AJ119" i="54"/>
  <c r="AR119" i="51"/>
  <c r="AI112" i="56"/>
  <c r="AI91" i="51"/>
  <c r="AO90" i="15"/>
  <c r="AO109" i="15" s="1"/>
  <c r="AN101" i="51"/>
  <c r="AR91" i="51"/>
  <c r="AQ91" i="51"/>
  <c r="AM100" i="52"/>
  <c r="AK118" i="52"/>
  <c r="AK119" i="15"/>
  <c r="AL90" i="53"/>
  <c r="AL109" i="53" s="1"/>
  <c r="AM118" i="52"/>
  <c r="AL118" i="56"/>
  <c r="AQ119" i="49"/>
  <c r="AR91" i="49"/>
  <c r="AK90" i="49"/>
  <c r="AP100" i="50"/>
  <c r="AK110" i="15"/>
  <c r="AN99" i="50"/>
  <c r="AR111" i="53"/>
  <c r="L5" i="5"/>
  <c r="X5" i="5"/>
  <c r="AK120" i="56"/>
  <c r="AR119" i="49"/>
  <c r="AO100" i="50"/>
  <c r="AQ100" i="49"/>
  <c r="AI111" i="15"/>
  <c r="X21" i="5"/>
  <c r="X7" i="5"/>
  <c r="L6" i="5"/>
  <c r="X6" i="5"/>
  <c r="AL91" i="56"/>
  <c r="AL110" i="56" s="1"/>
  <c r="AL119" i="56"/>
  <c r="AL100" i="53"/>
  <c r="AL103" i="53" s="1"/>
  <c r="AM121" i="51"/>
  <c r="AJ91" i="15"/>
  <c r="AJ110" i="15" s="1"/>
  <c r="AJ119" i="15"/>
  <c r="AO111" i="56"/>
  <c r="AM91" i="48"/>
  <c r="AM110" i="48" s="1"/>
  <c r="AM119" i="48"/>
  <c r="AL101" i="51"/>
  <c r="AK119" i="54"/>
  <c r="AJ90" i="50"/>
  <c r="AJ118" i="50"/>
  <c r="AO119" i="49"/>
  <c r="AO91" i="49"/>
  <c r="AN100" i="51"/>
  <c r="AM90" i="51"/>
  <c r="AM118" i="51"/>
  <c r="AM90" i="49"/>
  <c r="AM118" i="49"/>
  <c r="AI112" i="55"/>
  <c r="AM110" i="15"/>
  <c r="AJ90" i="56"/>
  <c r="AJ109" i="56" s="1"/>
  <c r="AJ118" i="56"/>
  <c r="AJ91" i="49"/>
  <c r="AJ119" i="49"/>
  <c r="AN108" i="56"/>
  <c r="AL109" i="56"/>
  <c r="AI108" i="55"/>
  <c r="AI109" i="48"/>
  <c r="AP119" i="51"/>
  <c r="AI109" i="53"/>
  <c r="AK118" i="51"/>
  <c r="AK90" i="51"/>
  <c r="AI100" i="48"/>
  <c r="AI103" i="48" s="1"/>
  <c r="AQ90" i="54"/>
  <c r="AQ109" i="54" s="1"/>
  <c r="AQ118" i="54"/>
  <c r="AO90" i="49"/>
  <c r="AO118" i="49"/>
  <c r="AN100" i="52"/>
  <c r="AL91" i="54"/>
  <c r="AL119" i="54"/>
  <c r="AN111" i="53"/>
  <c r="AQ100" i="51"/>
  <c r="AP91" i="50"/>
  <c r="AP119" i="50"/>
  <c r="AN90" i="51"/>
  <c r="AN118" i="51"/>
  <c r="AM99" i="50"/>
  <c r="AI118" i="51"/>
  <c r="AI119" i="49"/>
  <c r="AL108" i="55"/>
  <c r="AL100" i="54"/>
  <c r="AL108" i="54"/>
  <c r="AJ108" i="53"/>
  <c r="AI118" i="52"/>
  <c r="AN119" i="49"/>
  <c r="AN91" i="49"/>
  <c r="AL119" i="49"/>
  <c r="AL91" i="49"/>
  <c r="AJ108" i="48"/>
  <c r="AN90" i="52"/>
  <c r="AN118" i="52"/>
  <c r="AM108" i="55"/>
  <c r="AN91" i="53"/>
  <c r="AN110" i="53" s="1"/>
  <c r="AN119" i="53"/>
  <c r="AM108" i="56"/>
  <c r="AM94" i="56"/>
  <c r="AI108" i="54"/>
  <c r="AO108" i="48"/>
  <c r="AL91" i="55"/>
  <c r="AL110" i="55" s="1"/>
  <c r="AL119" i="55"/>
  <c r="AL108" i="53"/>
  <c r="AK119" i="48"/>
  <c r="AK91" i="48"/>
  <c r="AK110" i="48" s="1"/>
  <c r="AK90" i="53"/>
  <c r="AK109" i="53" s="1"/>
  <c r="AK118" i="53"/>
  <c r="AO110" i="53"/>
  <c r="AM91" i="54"/>
  <c r="AM110" i="54" s="1"/>
  <c r="AM119" i="54"/>
  <c r="AI92" i="48"/>
  <c r="AI111" i="48" s="1"/>
  <c r="AI120" i="48"/>
  <c r="AJ119" i="52"/>
  <c r="AR91" i="53"/>
  <c r="AR110" i="53" s="1"/>
  <c r="AR119" i="53"/>
  <c r="AQ100" i="50"/>
  <c r="AL109" i="55"/>
  <c r="AK91" i="53"/>
  <c r="AK110" i="53" s="1"/>
  <c r="AK119" i="53"/>
  <c r="AN118" i="49"/>
  <c r="AN90" i="49"/>
  <c r="AK118" i="54"/>
  <c r="AK90" i="54"/>
  <c r="AK109" i="54" s="1"/>
  <c r="AJ119" i="50"/>
  <c r="AJ91" i="50"/>
  <c r="AJ110" i="50" s="1"/>
  <c r="AJ90" i="48"/>
  <c r="AJ109" i="48" s="1"/>
  <c r="AJ118" i="48"/>
  <c r="AJ91" i="51"/>
  <c r="AJ119" i="51"/>
  <c r="AO91" i="50"/>
  <c r="AO119" i="50"/>
  <c r="AN90" i="48"/>
  <c r="AN109" i="48" s="1"/>
  <c r="AN118" i="48"/>
  <c r="AL99" i="50"/>
  <c r="AL91" i="52"/>
  <c r="AL119" i="52"/>
  <c r="AK100" i="51"/>
  <c r="AR90" i="51"/>
  <c r="AN120" i="53"/>
  <c r="AP119" i="49"/>
  <c r="AP91" i="49"/>
  <c r="AI93" i="54"/>
  <c r="AI112" i="54" s="1"/>
  <c r="AI121" i="54"/>
  <c r="AL91" i="48"/>
  <c r="AL110" i="48" s="1"/>
  <c r="AL119" i="48"/>
  <c r="AK90" i="50"/>
  <c r="AK118" i="50"/>
  <c r="AI100" i="54"/>
  <c r="AI91" i="15"/>
  <c r="AI110" i="15" s="1"/>
  <c r="AI119" i="15"/>
  <c r="AI112" i="53"/>
  <c r="AK108" i="56"/>
  <c r="AL102" i="54"/>
  <c r="AL112" i="54" s="1"/>
  <c r="AL119" i="50"/>
  <c r="AL91" i="50"/>
  <c r="AN108" i="53"/>
  <c r="AM91" i="49"/>
  <c r="AK111" i="56"/>
  <c r="AL102" i="52"/>
  <c r="AN91" i="54"/>
  <c r="AN110" i="54" s="1"/>
  <c r="AN119" i="54"/>
  <c r="AL90" i="15"/>
  <c r="AL109" i="15" s="1"/>
  <c r="AL118" i="15"/>
  <c r="AK91" i="55"/>
  <c r="AK110" i="55" s="1"/>
  <c r="AK119" i="55"/>
  <c r="AK120" i="51"/>
  <c r="AJ90" i="55"/>
  <c r="AJ109" i="55" s="1"/>
  <c r="AJ118" i="55"/>
  <c r="AM118" i="54"/>
  <c r="AM90" i="54"/>
  <c r="AM109" i="54" s="1"/>
  <c r="AL90" i="54"/>
  <c r="AL118" i="54"/>
  <c r="AJ90" i="53"/>
  <c r="AJ118" i="53"/>
  <c r="AN120" i="51"/>
  <c r="AM118" i="53"/>
  <c r="AM90" i="53"/>
  <c r="AM109" i="53" s="1"/>
  <c r="AI90" i="54"/>
  <c r="AI109" i="54" s="1"/>
  <c r="AI118" i="54"/>
  <c r="AM108" i="48"/>
  <c r="AK119" i="50"/>
  <c r="AK91" i="50"/>
  <c r="AI100" i="56"/>
  <c r="AI110" i="56" s="1"/>
  <c r="AO119" i="53"/>
  <c r="AN90" i="55"/>
  <c r="AN109" i="55" s="1"/>
  <c r="AN118" i="55"/>
  <c r="AJ90" i="51"/>
  <c r="AJ118" i="51"/>
  <c r="AK91" i="49"/>
  <c r="AK119" i="49"/>
  <c r="AK100" i="52"/>
  <c r="AJ99" i="50"/>
  <c r="AI111" i="56"/>
  <c r="AI112" i="48"/>
  <c r="AO90" i="53"/>
  <c r="AL100" i="52"/>
  <c r="AM101" i="51"/>
  <c r="AM90" i="55"/>
  <c r="AM109" i="55" s="1"/>
  <c r="AM118" i="55"/>
  <c r="AM90" i="15"/>
  <c r="AM109" i="15" s="1"/>
  <c r="AM118" i="15"/>
  <c r="AL121" i="52"/>
  <c r="AL121" i="54"/>
  <c r="AI91" i="54"/>
  <c r="AI119" i="54"/>
  <c r="AI108" i="48"/>
  <c r="AR91" i="15"/>
  <c r="AR110" i="15" s="1"/>
  <c r="AR119" i="15"/>
  <c r="AP121" i="51"/>
  <c r="AJ119" i="56"/>
  <c r="AJ91" i="56"/>
  <c r="AJ110" i="56" s="1"/>
  <c r="AN108" i="48"/>
  <c r="AN102" i="51"/>
  <c r="AQ90" i="15"/>
  <c r="AO120" i="56"/>
  <c r="AK110" i="54"/>
  <c r="AN90" i="56"/>
  <c r="AN109" i="56" s="1"/>
  <c r="AN118" i="56"/>
  <c r="AM108" i="54"/>
  <c r="AL101" i="56"/>
  <c r="AL111" i="56" s="1"/>
  <c r="AI90" i="55"/>
  <c r="AI109" i="55" s="1"/>
  <c r="AI118" i="55"/>
  <c r="AM119" i="53"/>
  <c r="AM91" i="53"/>
  <c r="AM110" i="53" s="1"/>
  <c r="AL112" i="15"/>
  <c r="AJ108" i="55"/>
  <c r="AN119" i="50"/>
  <c r="AQ102" i="51"/>
  <c r="AM119" i="51"/>
  <c r="AM102" i="52"/>
  <c r="AL112" i="55"/>
  <c r="AJ108" i="56"/>
  <c r="AI109" i="56"/>
  <c r="AO90" i="51"/>
  <c r="AL118" i="49"/>
  <c r="AL90" i="49"/>
  <c r="AL91" i="15"/>
  <c r="AL119" i="15"/>
  <c r="AM119" i="55"/>
  <c r="AM91" i="55"/>
  <c r="AM110" i="55" s="1"/>
  <c r="AJ90" i="54"/>
  <c r="AJ109" i="54" s="1"/>
  <c r="AJ118" i="54"/>
  <c r="AJ119" i="53"/>
  <c r="AJ91" i="53"/>
  <c r="AJ110" i="53" s="1"/>
  <c r="AI111" i="55"/>
  <c r="AI119" i="48"/>
  <c r="AI91" i="48"/>
  <c r="AP90" i="51"/>
  <c r="AK121" i="52"/>
  <c r="AI101" i="54"/>
  <c r="AI111" i="54" s="1"/>
  <c r="AJ118" i="49"/>
  <c r="AJ90" i="49"/>
  <c r="AZ46" i="15"/>
  <c r="AZ46" i="53"/>
  <c r="AY75" i="53"/>
  <c r="AY121" i="53" s="1"/>
  <c r="AZ49" i="15"/>
  <c r="AZ83" i="15" s="1"/>
  <c r="AZ10" i="55"/>
  <c r="AZ7" i="49"/>
  <c r="AZ38" i="15"/>
  <c r="AZ40" i="15"/>
  <c r="AZ29" i="49"/>
  <c r="AZ20" i="15"/>
  <c r="AZ27" i="49"/>
  <c r="AZ56" i="51"/>
  <c r="AX100" i="51"/>
  <c r="AZ48" i="49"/>
  <c r="AZ9" i="15"/>
  <c r="AZ48" i="51"/>
  <c r="AZ37" i="49"/>
  <c r="AZ39" i="49"/>
  <c r="AZ47" i="51"/>
  <c r="AY82" i="49"/>
  <c r="AY100" i="49" s="1"/>
  <c r="AZ49" i="49"/>
  <c r="AZ57" i="51"/>
  <c r="AZ38" i="53"/>
  <c r="AW120" i="50"/>
  <c r="AZ27" i="51"/>
  <c r="AZ60" i="49"/>
  <c r="AZ29" i="51"/>
  <c r="AZ58" i="53"/>
  <c r="AZ84" i="53" s="1"/>
  <c r="AZ59" i="53"/>
  <c r="AZ30" i="51"/>
  <c r="AZ28" i="15"/>
  <c r="AZ29" i="15"/>
  <c r="AZ18" i="49"/>
  <c r="AZ47" i="55"/>
  <c r="AZ49" i="55"/>
  <c r="AZ17" i="49"/>
  <c r="AZ57" i="55"/>
  <c r="AZ40" i="53"/>
  <c r="AZ38" i="51"/>
  <c r="AZ28" i="53"/>
  <c r="AW101" i="49"/>
  <c r="AH76" i="55"/>
  <c r="AX100" i="50"/>
  <c r="AH85" i="56"/>
  <c r="AH85" i="49"/>
  <c r="AX102" i="50"/>
  <c r="AH85" i="51"/>
  <c r="AH76" i="52"/>
  <c r="AH76" i="50"/>
  <c r="AH76" i="51"/>
  <c r="AH76" i="54"/>
  <c r="AH85" i="52"/>
  <c r="AH85" i="50"/>
  <c r="AH76" i="49"/>
  <c r="AH85" i="15"/>
  <c r="AH76" i="15"/>
  <c r="AI89" i="50"/>
  <c r="AH76" i="56"/>
  <c r="AH85" i="54"/>
  <c r="AH85" i="55"/>
  <c r="AH76" i="48"/>
  <c r="AH85" i="48"/>
  <c r="AH76" i="53"/>
  <c r="AX101" i="50"/>
  <c r="AW111" i="56"/>
  <c r="AW120" i="56"/>
  <c r="AX101" i="52"/>
  <c r="AW112" i="53"/>
  <c r="AV46" i="14"/>
  <c r="AW121" i="53"/>
  <c r="AW101" i="52"/>
  <c r="AW120" i="52"/>
  <c r="AX100" i="49"/>
  <c r="AW92" i="52"/>
  <c r="AX112" i="53"/>
  <c r="AX121" i="15"/>
  <c r="AV101" i="49"/>
  <c r="AW100" i="49"/>
  <c r="AU100" i="49"/>
  <c r="AX121" i="53"/>
  <c r="AY83" i="48"/>
  <c r="AY101" i="48" s="1"/>
  <c r="AV100" i="49"/>
  <c r="AV102" i="49"/>
  <c r="AA55" i="49"/>
  <c r="AX55" i="49"/>
  <c r="AA5" i="55"/>
  <c r="AX5" i="55"/>
  <c r="AW120" i="15"/>
  <c r="AU102" i="49"/>
  <c r="Z55" i="50"/>
  <c r="AW55" i="50"/>
  <c r="AX8" i="14"/>
  <c r="AX42" i="14" s="1"/>
  <c r="AB8" i="14"/>
  <c r="AW15" i="50"/>
  <c r="Z15" i="50"/>
  <c r="AY31" i="14"/>
  <c r="AC31" i="14"/>
  <c r="AZ31" i="14" s="1"/>
  <c r="Z35" i="56"/>
  <c r="AW35" i="56"/>
  <c r="AW45" i="48"/>
  <c r="Z45" i="48"/>
  <c r="AX5" i="56"/>
  <c r="AA5" i="56"/>
  <c r="Z15" i="48"/>
  <c r="AW15" i="48"/>
  <c r="AW25" i="54"/>
  <c r="Z25" i="54"/>
  <c r="AX39" i="15"/>
  <c r="AX74" i="15" s="1"/>
  <c r="AX92" i="15" s="1"/>
  <c r="AX111" i="15" s="1"/>
  <c r="AA39" i="15"/>
  <c r="AX15" i="55"/>
  <c r="AA15" i="55"/>
  <c r="Z5" i="52"/>
  <c r="AW5" i="52"/>
  <c r="AX25" i="14"/>
  <c r="AB25" i="14"/>
  <c r="AX9" i="14"/>
  <c r="AX43" i="14" s="1"/>
  <c r="AB9" i="14"/>
  <c r="AX32" i="14"/>
  <c r="AX50" i="14" s="1"/>
  <c r="AB32" i="14"/>
  <c r="Z55" i="52"/>
  <c r="AW55" i="52"/>
  <c r="AX35" i="53"/>
  <c r="AA35" i="53"/>
  <c r="AX25" i="53"/>
  <c r="AA25" i="53"/>
  <c r="Z35" i="54"/>
  <c r="AW35" i="54"/>
  <c r="Z55" i="56"/>
  <c r="AW55" i="56"/>
  <c r="AA25" i="15"/>
  <c r="AX25" i="15"/>
  <c r="Z31" i="15"/>
  <c r="AA55" i="51"/>
  <c r="AX55" i="51"/>
  <c r="AW25" i="48"/>
  <c r="Z25" i="48"/>
  <c r="AX49" i="14"/>
  <c r="AX35" i="14"/>
  <c r="AX53" i="14" s="1"/>
  <c r="Z25" i="52"/>
  <c r="AW25" i="52"/>
  <c r="AX15" i="14"/>
  <c r="AX19" i="14" s="1"/>
  <c r="AB15" i="14"/>
  <c r="AW15" i="56"/>
  <c r="Z15" i="56"/>
  <c r="AV120" i="52"/>
  <c r="AX5" i="49"/>
  <c r="AA5" i="49"/>
  <c r="AY34" i="14"/>
  <c r="AY52" i="14" s="1"/>
  <c r="AC34" i="14"/>
  <c r="AZ34" i="14" s="1"/>
  <c r="AZ52" i="14" s="1"/>
  <c r="AX17" i="14"/>
  <c r="AB17" i="14"/>
  <c r="AX18" i="14"/>
  <c r="AB18" i="14"/>
  <c r="AA15" i="49"/>
  <c r="AX15" i="49"/>
  <c r="AX33" i="14"/>
  <c r="AX51" i="14" s="1"/>
  <c r="AB33" i="14"/>
  <c r="AW11" i="14"/>
  <c r="AW45" i="14" s="1"/>
  <c r="AW41" i="14"/>
  <c r="AX25" i="51"/>
  <c r="AA25" i="51"/>
  <c r="AA15" i="15"/>
  <c r="AX15" i="15"/>
  <c r="AX24" i="14"/>
  <c r="AB24" i="14"/>
  <c r="AW54" i="14"/>
  <c r="AX50" i="49"/>
  <c r="AA50" i="49"/>
  <c r="AX15" i="53"/>
  <c r="AA15" i="53"/>
  <c r="Z5" i="50"/>
  <c r="AW5" i="50"/>
  <c r="AX16" i="14"/>
  <c r="AB16" i="14"/>
  <c r="AX7" i="14"/>
  <c r="AB7" i="14"/>
  <c r="AW92" i="50"/>
  <c r="Z35" i="48"/>
  <c r="AW35" i="48"/>
  <c r="AW35" i="52"/>
  <c r="Z35" i="52"/>
  <c r="AX23" i="14"/>
  <c r="AX27" i="14" s="1"/>
  <c r="AB23" i="14"/>
  <c r="AX10" i="14"/>
  <c r="AX44" i="14" s="1"/>
  <c r="AB10" i="14"/>
  <c r="AX26" i="14"/>
  <c r="AB26" i="14"/>
  <c r="AA35" i="51"/>
  <c r="AX35" i="51"/>
  <c r="AU57" i="50"/>
  <c r="AU59" i="50"/>
  <c r="AU83" i="50" s="1"/>
  <c r="AU60" i="50"/>
  <c r="AU58" i="50"/>
  <c r="AU84" i="50" s="1"/>
  <c r="AU55" i="50"/>
  <c r="AU10" i="49"/>
  <c r="AU7" i="49"/>
  <c r="AU9" i="49"/>
  <c r="AU8" i="49"/>
  <c r="AU5" i="49"/>
  <c r="AU38" i="15"/>
  <c r="AU36" i="15"/>
  <c r="AU40" i="15"/>
  <c r="AU37" i="15"/>
  <c r="AU39" i="15"/>
  <c r="AV48" i="48"/>
  <c r="AV47" i="48"/>
  <c r="AV50" i="48"/>
  <c r="AV45" i="48"/>
  <c r="AV49" i="48"/>
  <c r="AV83" i="48" s="1"/>
  <c r="AV101" i="48" s="1"/>
  <c r="AV9" i="53"/>
  <c r="AV6" i="53"/>
  <c r="AV8" i="53"/>
  <c r="AV75" i="53" s="1"/>
  <c r="AV10" i="53"/>
  <c r="AV7" i="53"/>
  <c r="AV59" i="15"/>
  <c r="AV83" i="15" s="1"/>
  <c r="AV58" i="15"/>
  <c r="AV84" i="15" s="1"/>
  <c r="AV102" i="15" s="1"/>
  <c r="AV60" i="15"/>
  <c r="AV57" i="15"/>
  <c r="AV55" i="15"/>
  <c r="AU19" i="48"/>
  <c r="AU20" i="48"/>
  <c r="AU15" i="48"/>
  <c r="AU18" i="48"/>
  <c r="AU26" i="52"/>
  <c r="AU25" i="52"/>
  <c r="AU30" i="52"/>
  <c r="AU29" i="52"/>
  <c r="AU74" i="52" s="1"/>
  <c r="AU27" i="52"/>
  <c r="AU48" i="51"/>
  <c r="AU45" i="51"/>
  <c r="AU80" i="51" s="1"/>
  <c r="AU49" i="51"/>
  <c r="AU47" i="51"/>
  <c r="AU50" i="51"/>
  <c r="AU9" i="50"/>
  <c r="AU74" i="50" s="1"/>
  <c r="AV92" i="50" s="1"/>
  <c r="AU7" i="50"/>
  <c r="AU10" i="50"/>
  <c r="AU8" i="50"/>
  <c r="AU5" i="50"/>
  <c r="AT48" i="52"/>
  <c r="AT49" i="52"/>
  <c r="AT83" i="52" s="1"/>
  <c r="AT46" i="52"/>
  <c r="AT47" i="52"/>
  <c r="AT50" i="52"/>
  <c r="AT30" i="49"/>
  <c r="AT28" i="49"/>
  <c r="AT27" i="49"/>
  <c r="AT29" i="49"/>
  <c r="AT26" i="49"/>
  <c r="AT9" i="53"/>
  <c r="AT10" i="53"/>
  <c r="AT6" i="53"/>
  <c r="AT8" i="53"/>
  <c r="AT7" i="53"/>
  <c r="AS6" i="51"/>
  <c r="AS8" i="51"/>
  <c r="AS10" i="51"/>
  <c r="AS9" i="51"/>
  <c r="AS7" i="51"/>
  <c r="AT9" i="50"/>
  <c r="AT7" i="50"/>
  <c r="AT10" i="50"/>
  <c r="AT8" i="50"/>
  <c r="AT5" i="50"/>
  <c r="AS47" i="55"/>
  <c r="AS49" i="55"/>
  <c r="AS45" i="55"/>
  <c r="AS48" i="55"/>
  <c r="AS50" i="55"/>
  <c r="AS60" i="53"/>
  <c r="AS58" i="53"/>
  <c r="AS84" i="53" s="1"/>
  <c r="AS102" i="53" s="1"/>
  <c r="AS56" i="53"/>
  <c r="AS59" i="53"/>
  <c r="AS83" i="53" s="1"/>
  <c r="AS57" i="53"/>
  <c r="AT9" i="15"/>
  <c r="AT7" i="15"/>
  <c r="AT6" i="15"/>
  <c r="AT8" i="15"/>
  <c r="AT10" i="15"/>
  <c r="AT59" i="15"/>
  <c r="AT57" i="15"/>
  <c r="AT55" i="15"/>
  <c r="AT58" i="15"/>
  <c r="AT60" i="15"/>
  <c r="AS60" i="51"/>
  <c r="AS55" i="51"/>
  <c r="AS57" i="51"/>
  <c r="AS56" i="51"/>
  <c r="AS58" i="51"/>
  <c r="AS18" i="53"/>
  <c r="AS17" i="53"/>
  <c r="AS15" i="53"/>
  <c r="AS20" i="53"/>
  <c r="AS19" i="53"/>
  <c r="AT48" i="15"/>
  <c r="AT46" i="15"/>
  <c r="AT49" i="15"/>
  <c r="AT47" i="15"/>
  <c r="AT50" i="15"/>
  <c r="AS10" i="56"/>
  <c r="AS7" i="56"/>
  <c r="AS5" i="56"/>
  <c r="AS9" i="56"/>
  <c r="AS8" i="56"/>
  <c r="AT20" i="50"/>
  <c r="AT19" i="50"/>
  <c r="AT18" i="50"/>
  <c r="AT15" i="50"/>
  <c r="AT25" i="54"/>
  <c r="AT27" i="54"/>
  <c r="AT30" i="54"/>
  <c r="AT29" i="54"/>
  <c r="AT26" i="54"/>
  <c r="AS35" i="56"/>
  <c r="AS37" i="56"/>
  <c r="AS39" i="56"/>
  <c r="AS38" i="56"/>
  <c r="AS40" i="56"/>
  <c r="AW100" i="51"/>
  <c r="AV38" i="51"/>
  <c r="AV75" i="51" s="1"/>
  <c r="AV39" i="51"/>
  <c r="AV74" i="51" s="1"/>
  <c r="AV37" i="51"/>
  <c r="AV40" i="51"/>
  <c r="AV35" i="51"/>
  <c r="AV5" i="55"/>
  <c r="AV10" i="55"/>
  <c r="AV8" i="55"/>
  <c r="AV9" i="55"/>
  <c r="AV7" i="55"/>
  <c r="AV19" i="55"/>
  <c r="AV15" i="55"/>
  <c r="AV20" i="55"/>
  <c r="AV18" i="55"/>
  <c r="AV17" i="55"/>
  <c r="AU60" i="48"/>
  <c r="AU58" i="48"/>
  <c r="AU84" i="48" s="1"/>
  <c r="AU102" i="48" s="1"/>
  <c r="AU56" i="48"/>
  <c r="AU59" i="48"/>
  <c r="AU83" i="48" s="1"/>
  <c r="AV40" i="48"/>
  <c r="AV35" i="48"/>
  <c r="AV36" i="48"/>
  <c r="AV38" i="48"/>
  <c r="AU40" i="49"/>
  <c r="AU37" i="49"/>
  <c r="AU39" i="49"/>
  <c r="AU38" i="49"/>
  <c r="AU27" i="49"/>
  <c r="AU28" i="49"/>
  <c r="AU29" i="49"/>
  <c r="AU30" i="49"/>
  <c r="AU26" i="49"/>
  <c r="AV17" i="49"/>
  <c r="AV19" i="49"/>
  <c r="AV20" i="49"/>
  <c r="AV18" i="49"/>
  <c r="AV15" i="49"/>
  <c r="AU49" i="56"/>
  <c r="AU83" i="56" s="1"/>
  <c r="AU101" i="56" s="1"/>
  <c r="AU47" i="56"/>
  <c r="AU46" i="56"/>
  <c r="AU50" i="56"/>
  <c r="AT20" i="49"/>
  <c r="AT18" i="49"/>
  <c r="AT19" i="49"/>
  <c r="AT17" i="49"/>
  <c r="AT15" i="49"/>
  <c r="AU9" i="54"/>
  <c r="AU10" i="54"/>
  <c r="AU6" i="54"/>
  <c r="AU7" i="54"/>
  <c r="AU8" i="54"/>
  <c r="AU30" i="15"/>
  <c r="AU28" i="15"/>
  <c r="AU25" i="15"/>
  <c r="AU29" i="15"/>
  <c r="AU26" i="15"/>
  <c r="AU27" i="15"/>
  <c r="AT45" i="48"/>
  <c r="AT50" i="48"/>
  <c r="AT47" i="48"/>
  <c r="AT48" i="48"/>
  <c r="AT49" i="48"/>
  <c r="AT83" i="48" s="1"/>
  <c r="AT101" i="48" s="1"/>
  <c r="AS30" i="50"/>
  <c r="AS27" i="50"/>
  <c r="AS29" i="50"/>
  <c r="AS28" i="50"/>
  <c r="AT36" i="15"/>
  <c r="AT40" i="15"/>
  <c r="AT37" i="15"/>
  <c r="AT38" i="15"/>
  <c r="AT39" i="15"/>
  <c r="AT20" i="56"/>
  <c r="AT15" i="56"/>
  <c r="AT19" i="56"/>
  <c r="AT18" i="56"/>
  <c r="AS15" i="56"/>
  <c r="AS19" i="56"/>
  <c r="AS20" i="56"/>
  <c r="AS18" i="56"/>
  <c r="AS60" i="55"/>
  <c r="AS57" i="55"/>
  <c r="AS56" i="55"/>
  <c r="AS58" i="55"/>
  <c r="AS55" i="49"/>
  <c r="AS60" i="49"/>
  <c r="AS57" i="49"/>
  <c r="AS58" i="49"/>
  <c r="AS59" i="49"/>
  <c r="AS83" i="49" s="1"/>
  <c r="AS9" i="50"/>
  <c r="AS7" i="50"/>
  <c r="AS10" i="50"/>
  <c r="AS8" i="50"/>
  <c r="AS5" i="50"/>
  <c r="AS25" i="53"/>
  <c r="AS27" i="53"/>
  <c r="AS28" i="53"/>
  <c r="AS30" i="53"/>
  <c r="AS29" i="53"/>
  <c r="AS26" i="53"/>
  <c r="AS25" i="55"/>
  <c r="AS30" i="55"/>
  <c r="AS28" i="55"/>
  <c r="AS26" i="55"/>
  <c r="AS29" i="55"/>
  <c r="AS17" i="54"/>
  <c r="AS20" i="54"/>
  <c r="AS19" i="54"/>
  <c r="AS74" i="54" s="1"/>
  <c r="AS16" i="54"/>
  <c r="AS18" i="54"/>
  <c r="AT15" i="55"/>
  <c r="AT19" i="55"/>
  <c r="AT17" i="55"/>
  <c r="AT16" i="55"/>
  <c r="AT18" i="55"/>
  <c r="AT20" i="55"/>
  <c r="AS48" i="50"/>
  <c r="AS47" i="50"/>
  <c r="AS49" i="50"/>
  <c r="AS50" i="50"/>
  <c r="AS46" i="50"/>
  <c r="AR16" i="56"/>
  <c r="AR15" i="56"/>
  <c r="AR71" i="56" s="1"/>
  <c r="AR19" i="56"/>
  <c r="AR74" i="56" s="1"/>
  <c r="AR20" i="56"/>
  <c r="AR18" i="56"/>
  <c r="AR75" i="56" s="1"/>
  <c r="AV7" i="15"/>
  <c r="AV9" i="15"/>
  <c r="AV74" i="15" s="1"/>
  <c r="AV92" i="15" s="1"/>
  <c r="AV6" i="15"/>
  <c r="AV10" i="15"/>
  <c r="AV8" i="15"/>
  <c r="AV75" i="15" s="1"/>
  <c r="AU59" i="52"/>
  <c r="AU57" i="52"/>
  <c r="AU56" i="52"/>
  <c r="AU55" i="52"/>
  <c r="AU60" i="52"/>
  <c r="AU38" i="53"/>
  <c r="AU39" i="53"/>
  <c r="AU40" i="53"/>
  <c r="AU37" i="53"/>
  <c r="AU35" i="53"/>
  <c r="AU40" i="54"/>
  <c r="AU39" i="54"/>
  <c r="AU35" i="54"/>
  <c r="AU38" i="54"/>
  <c r="AU36" i="54"/>
  <c r="AV25" i="54"/>
  <c r="AV30" i="54"/>
  <c r="AV27" i="54"/>
  <c r="AV29" i="54"/>
  <c r="AV40" i="49"/>
  <c r="AV37" i="49"/>
  <c r="AV39" i="49"/>
  <c r="AV38" i="49"/>
  <c r="AV59" i="50"/>
  <c r="AV83" i="50" s="1"/>
  <c r="AV60" i="50"/>
  <c r="AV58" i="50"/>
  <c r="AV84" i="50" s="1"/>
  <c r="AV57" i="50"/>
  <c r="AV55" i="50"/>
  <c r="AU9" i="56"/>
  <c r="AU8" i="56"/>
  <c r="AU5" i="56"/>
  <c r="AU10" i="56"/>
  <c r="AU7" i="56"/>
  <c r="AT39" i="53"/>
  <c r="AT38" i="53"/>
  <c r="AT40" i="53"/>
  <c r="AT37" i="53"/>
  <c r="AT35" i="53"/>
  <c r="AT9" i="54"/>
  <c r="AT10" i="54"/>
  <c r="AT6" i="54"/>
  <c r="AT8" i="54"/>
  <c r="AT7" i="54"/>
  <c r="AT55" i="56"/>
  <c r="AT56" i="56"/>
  <c r="AT58" i="56"/>
  <c r="AT59" i="56"/>
  <c r="AT83" i="56" s="1"/>
  <c r="AU25" i="56"/>
  <c r="AU30" i="56"/>
  <c r="AU29" i="56"/>
  <c r="AU28" i="56"/>
  <c r="AU26" i="56"/>
  <c r="AS30" i="56"/>
  <c r="AS25" i="56"/>
  <c r="AS29" i="56"/>
  <c r="AS28" i="56"/>
  <c r="AS26" i="56"/>
  <c r="AT19" i="52"/>
  <c r="AT20" i="52"/>
  <c r="AT17" i="52"/>
  <c r="AT16" i="52"/>
  <c r="AT18" i="52"/>
  <c r="AS46" i="15"/>
  <c r="AS48" i="15"/>
  <c r="AS45" i="15"/>
  <c r="AS49" i="15"/>
  <c r="AS50" i="15"/>
  <c r="AS47" i="15"/>
  <c r="AS19" i="50"/>
  <c r="AS20" i="50"/>
  <c r="AS15" i="50"/>
  <c r="AS18" i="50"/>
  <c r="AT9" i="48"/>
  <c r="AT10" i="48"/>
  <c r="AT6" i="48"/>
  <c r="AT8" i="48"/>
  <c r="AT7" i="48"/>
  <c r="AT8" i="51"/>
  <c r="AT6" i="51"/>
  <c r="AT7" i="51"/>
  <c r="AT9" i="51"/>
  <c r="AT10" i="51"/>
  <c r="AS28" i="15"/>
  <c r="AS75" i="15" s="1"/>
  <c r="AS93" i="15" s="1"/>
  <c r="AS25" i="15"/>
  <c r="AS29" i="15"/>
  <c r="AS74" i="15" s="1"/>
  <c r="AS92" i="15" s="1"/>
  <c r="AS30" i="15"/>
  <c r="AS27" i="15"/>
  <c r="AS26" i="15"/>
  <c r="AS27" i="49"/>
  <c r="AS30" i="49"/>
  <c r="AS28" i="49"/>
  <c r="AS29" i="49"/>
  <c r="AS26" i="49"/>
  <c r="AS37" i="55"/>
  <c r="AS38" i="55"/>
  <c r="AS35" i="55"/>
  <c r="AS39" i="55"/>
  <c r="AS40" i="55"/>
  <c r="AS19" i="49"/>
  <c r="AS20" i="49"/>
  <c r="AS17" i="49"/>
  <c r="AS18" i="49"/>
  <c r="AS15" i="49"/>
  <c r="AS57" i="50"/>
  <c r="AS58" i="50"/>
  <c r="AS60" i="50"/>
  <c r="AS59" i="50"/>
  <c r="AS55" i="50"/>
  <c r="AS59" i="48"/>
  <c r="AS83" i="48" s="1"/>
  <c r="AS60" i="48"/>
  <c r="AS56" i="48"/>
  <c r="AS58" i="48"/>
  <c r="AS84" i="48" s="1"/>
  <c r="AS45" i="51"/>
  <c r="AS49" i="51"/>
  <c r="AS48" i="51"/>
  <c r="AS47" i="51"/>
  <c r="AS50" i="51"/>
  <c r="AW102" i="15"/>
  <c r="AW121" i="15"/>
  <c r="AU18" i="53"/>
  <c r="AU17" i="53"/>
  <c r="AU20" i="53"/>
  <c r="AU15" i="53"/>
  <c r="AU19" i="53"/>
  <c r="AU30" i="54"/>
  <c r="AU27" i="54"/>
  <c r="AU29" i="54"/>
  <c r="AU25" i="54"/>
  <c r="AU26" i="54"/>
  <c r="AU17" i="54"/>
  <c r="AU20" i="54"/>
  <c r="AU19" i="54"/>
  <c r="AU16" i="54"/>
  <c r="AU18" i="54"/>
  <c r="AV29" i="49"/>
  <c r="AV30" i="49"/>
  <c r="AV27" i="49"/>
  <c r="AV28" i="49"/>
  <c r="AV26" i="49"/>
  <c r="AU9" i="53"/>
  <c r="AU6" i="53"/>
  <c r="AU8" i="53"/>
  <c r="AU10" i="53"/>
  <c r="AU7" i="53"/>
  <c r="AU19" i="56"/>
  <c r="AU20" i="56"/>
  <c r="AU15" i="56"/>
  <c r="AU18" i="56"/>
  <c r="AU46" i="52"/>
  <c r="AU49" i="52"/>
  <c r="AU47" i="52"/>
  <c r="AU48" i="52"/>
  <c r="AU50" i="52"/>
  <c r="AV29" i="56"/>
  <c r="AV74" i="56" s="1"/>
  <c r="AV30" i="56"/>
  <c r="AV26" i="56"/>
  <c r="AV28" i="56"/>
  <c r="AV75" i="56" s="1"/>
  <c r="AT29" i="56"/>
  <c r="AT30" i="56"/>
  <c r="AT25" i="56"/>
  <c r="AT28" i="56"/>
  <c r="AT26" i="56"/>
  <c r="AT37" i="55"/>
  <c r="AT38" i="55"/>
  <c r="AT35" i="55"/>
  <c r="AT40" i="55"/>
  <c r="AT39" i="55"/>
  <c r="AT48" i="50"/>
  <c r="AT50" i="50"/>
  <c r="AT49" i="50"/>
  <c r="AT83" i="50" s="1"/>
  <c r="AT47" i="50"/>
  <c r="AT30" i="48"/>
  <c r="AT29" i="48"/>
  <c r="AT25" i="48"/>
  <c r="AT27" i="48"/>
  <c r="AT26" i="48"/>
  <c r="AT8" i="56"/>
  <c r="AT5" i="56"/>
  <c r="AT9" i="56"/>
  <c r="AT10" i="56"/>
  <c r="AT7" i="56"/>
  <c r="AT38" i="51"/>
  <c r="AT36" i="51"/>
  <c r="AT37" i="51"/>
  <c r="AT39" i="51"/>
  <c r="AT35" i="51"/>
  <c r="AT40" i="51"/>
  <c r="AT48" i="54"/>
  <c r="AT47" i="54"/>
  <c r="AT49" i="54"/>
  <c r="AT83" i="54" s="1"/>
  <c r="AT101" i="54" s="1"/>
  <c r="AT50" i="54"/>
  <c r="AT19" i="48"/>
  <c r="AT20" i="48"/>
  <c r="AT15" i="48"/>
  <c r="AT18" i="48"/>
  <c r="AT10" i="55"/>
  <c r="AT5" i="55"/>
  <c r="AT8" i="55"/>
  <c r="AT9" i="55"/>
  <c r="AT7" i="55"/>
  <c r="AS7" i="49"/>
  <c r="AS10" i="49"/>
  <c r="AS9" i="49"/>
  <c r="AS5" i="49"/>
  <c r="AS8" i="49"/>
  <c r="AS28" i="51"/>
  <c r="AS29" i="51"/>
  <c r="AS30" i="51"/>
  <c r="AS27" i="51"/>
  <c r="AS25" i="51"/>
  <c r="AS26" i="51"/>
  <c r="AS17" i="51"/>
  <c r="AS18" i="51"/>
  <c r="AS15" i="51"/>
  <c r="AS16" i="51"/>
  <c r="AS19" i="51"/>
  <c r="AS20" i="51"/>
  <c r="AT10" i="49"/>
  <c r="AT7" i="49"/>
  <c r="AT5" i="49"/>
  <c r="AT8" i="49"/>
  <c r="AT9" i="49"/>
  <c r="AS57" i="52"/>
  <c r="AS56" i="52"/>
  <c r="AS59" i="52"/>
  <c r="AS83" i="52" s="1"/>
  <c r="AS55" i="52"/>
  <c r="AS60" i="52"/>
  <c r="AT56" i="51"/>
  <c r="AT57" i="51"/>
  <c r="AT55" i="51"/>
  <c r="AT80" i="51" s="1"/>
  <c r="AT58" i="51"/>
  <c r="AT30" i="52"/>
  <c r="AT26" i="52"/>
  <c r="AT25" i="52"/>
  <c r="AT27" i="52"/>
  <c r="AT29" i="52"/>
  <c r="AS59" i="15"/>
  <c r="AS55" i="15"/>
  <c r="AS57" i="15"/>
  <c r="AS58" i="15"/>
  <c r="AS60" i="15"/>
  <c r="AX92" i="51"/>
  <c r="AX120" i="50"/>
  <c r="AX92" i="50"/>
  <c r="AX120" i="52"/>
  <c r="AX92" i="52"/>
  <c r="AX75" i="56"/>
  <c r="AX93" i="56" s="1"/>
  <c r="AY74" i="51"/>
  <c r="AY92" i="51" s="1"/>
  <c r="AY83" i="50"/>
  <c r="AY101" i="50" s="1"/>
  <c r="AY84" i="54"/>
  <c r="AY102" i="54" s="1"/>
  <c r="AB60" i="53"/>
  <c r="AY84" i="48"/>
  <c r="AY102" i="48" s="1"/>
  <c r="AW93" i="56"/>
  <c r="AY74" i="50"/>
  <c r="AY82" i="50"/>
  <c r="AY100" i="50" s="1"/>
  <c r="AX93" i="55"/>
  <c r="AY82" i="15"/>
  <c r="AY100" i="15" s="1"/>
  <c r="AY75" i="55"/>
  <c r="AY93" i="55" s="1"/>
  <c r="AY83" i="52"/>
  <c r="AY101" i="52" s="1"/>
  <c r="AX120" i="56"/>
  <c r="AY102" i="51"/>
  <c r="AY84" i="50"/>
  <c r="AY102" i="50" s="1"/>
  <c r="AY82" i="51"/>
  <c r="AY100" i="51" s="1"/>
  <c r="AX102" i="51"/>
  <c r="AX121" i="51"/>
  <c r="AY74" i="52"/>
  <c r="AY92" i="52" s="1"/>
  <c r="AX111" i="56"/>
  <c r="AY84" i="49"/>
  <c r="AY102" i="49" s="1"/>
  <c r="AY83" i="54"/>
  <c r="AY101" i="54" s="1"/>
  <c r="AY74" i="56"/>
  <c r="AY92" i="56" s="1"/>
  <c r="BA19" i="55"/>
  <c r="AD19" i="55"/>
  <c r="BB19" i="55" s="1"/>
  <c r="AC58" i="15"/>
  <c r="AZ58" i="15"/>
  <c r="AZ84" i="15" s="1"/>
  <c r="AC19" i="54"/>
  <c r="AZ19" i="54"/>
  <c r="AZ10" i="53"/>
  <c r="AC10" i="53"/>
  <c r="AY38" i="50"/>
  <c r="AB38" i="50"/>
  <c r="AD38" i="15"/>
  <c r="BB38" i="15" s="1"/>
  <c r="BA38" i="15"/>
  <c r="BA49" i="15"/>
  <c r="AD49" i="15"/>
  <c r="BB49" i="15" s="1"/>
  <c r="BA18" i="51"/>
  <c r="AD18" i="51"/>
  <c r="BB18" i="51" s="1"/>
  <c r="AY38" i="56"/>
  <c r="AB38" i="56"/>
  <c r="AB18" i="48"/>
  <c r="AY18" i="48"/>
  <c r="AZ26" i="55"/>
  <c r="AC26" i="55"/>
  <c r="AZ36" i="48"/>
  <c r="AC36" i="48"/>
  <c r="AC26" i="15"/>
  <c r="AZ26" i="15"/>
  <c r="BA49" i="51"/>
  <c r="AD49" i="51"/>
  <c r="BB49" i="51" s="1"/>
  <c r="AZ57" i="15"/>
  <c r="AC57" i="15"/>
  <c r="AZ20" i="56"/>
  <c r="AC20" i="56"/>
  <c r="AC47" i="48"/>
  <c r="AZ47" i="48"/>
  <c r="AZ39" i="51"/>
  <c r="AC39" i="51"/>
  <c r="AZ40" i="55"/>
  <c r="AC40" i="55"/>
  <c r="BA17" i="49"/>
  <c r="AD17" i="49"/>
  <c r="BB17" i="49" s="1"/>
  <c r="AZ29" i="56"/>
  <c r="AC29" i="56"/>
  <c r="AB47" i="56"/>
  <c r="AY47" i="56"/>
  <c r="AC40" i="50"/>
  <c r="AZ40" i="50"/>
  <c r="AB38" i="48"/>
  <c r="AY38" i="48"/>
  <c r="BA40" i="15"/>
  <c r="AD40" i="15"/>
  <c r="BB40" i="15" s="1"/>
  <c r="BA28" i="53"/>
  <c r="AD28" i="53"/>
  <c r="BB28" i="53" s="1"/>
  <c r="AC58" i="50"/>
  <c r="AZ58" i="50"/>
  <c r="AD27" i="51"/>
  <c r="BB27" i="51" s="1"/>
  <c r="BA27" i="51"/>
  <c r="AD18" i="53"/>
  <c r="BB18" i="53" s="1"/>
  <c r="BA18" i="53"/>
  <c r="AD38" i="55"/>
  <c r="BB38" i="55" s="1"/>
  <c r="BA38" i="55"/>
  <c r="AY40" i="56"/>
  <c r="AB40" i="56"/>
  <c r="AC59" i="50"/>
  <c r="AZ59" i="50"/>
  <c r="AD49" i="49"/>
  <c r="BB49" i="49" s="1"/>
  <c r="BA49" i="49"/>
  <c r="BA38" i="51"/>
  <c r="AD38" i="51"/>
  <c r="BB38" i="51" s="1"/>
  <c r="AC19" i="52"/>
  <c r="AZ19" i="52"/>
  <c r="AB36" i="54"/>
  <c r="AY36" i="54"/>
  <c r="AC47" i="54"/>
  <c r="AZ47" i="54"/>
  <c r="AC47" i="15"/>
  <c r="AZ47" i="15"/>
  <c r="AC10" i="52"/>
  <c r="AZ10" i="52"/>
  <c r="AY38" i="54"/>
  <c r="AB38" i="54"/>
  <c r="AD48" i="49"/>
  <c r="BB48" i="49" s="1"/>
  <c r="BA48" i="49"/>
  <c r="BA28" i="51"/>
  <c r="AD28" i="51"/>
  <c r="BB28" i="51" s="1"/>
  <c r="AD59" i="15"/>
  <c r="BB59" i="15" s="1"/>
  <c r="BA59" i="15"/>
  <c r="AC9" i="48"/>
  <c r="AZ9" i="48"/>
  <c r="AC30" i="50"/>
  <c r="AZ30" i="50"/>
  <c r="AC39" i="50"/>
  <c r="AZ39" i="50"/>
  <c r="AB8" i="54"/>
  <c r="AY8" i="54"/>
  <c r="AZ30" i="56"/>
  <c r="AC30" i="56"/>
  <c r="BA47" i="55"/>
  <c r="AD47" i="55"/>
  <c r="BB47" i="55" s="1"/>
  <c r="AC48" i="50"/>
  <c r="AZ48" i="50"/>
  <c r="AC59" i="52"/>
  <c r="AZ59" i="52"/>
  <c r="AD7" i="49"/>
  <c r="BB7" i="49" s="1"/>
  <c r="BA7" i="49"/>
  <c r="AZ37" i="51"/>
  <c r="AC37" i="51"/>
  <c r="AZ8" i="48"/>
  <c r="AC8" i="48"/>
  <c r="AB28" i="56"/>
  <c r="AY28" i="56"/>
  <c r="AY16" i="54"/>
  <c r="AB16" i="54"/>
  <c r="AC10" i="48"/>
  <c r="AZ10" i="48"/>
  <c r="AZ20" i="55"/>
  <c r="AC20" i="55"/>
  <c r="AB18" i="52"/>
  <c r="AY18" i="52"/>
  <c r="AZ27" i="15"/>
  <c r="AC27" i="15"/>
  <c r="BA60" i="49"/>
  <c r="AD60" i="49"/>
  <c r="BB60" i="49" s="1"/>
  <c r="AD40" i="49"/>
  <c r="BB40" i="49" s="1"/>
  <c r="BA40" i="49"/>
  <c r="AD8" i="51"/>
  <c r="BB8" i="51" s="1"/>
  <c r="BA8" i="51"/>
  <c r="AC48" i="54"/>
  <c r="AZ48" i="54"/>
  <c r="AZ56" i="55"/>
  <c r="AC56" i="55"/>
  <c r="AZ50" i="50"/>
  <c r="AC50" i="50"/>
  <c r="AC19" i="50"/>
  <c r="AZ19" i="50"/>
  <c r="AD59" i="53"/>
  <c r="BB59" i="53" s="1"/>
  <c r="BA59" i="53"/>
  <c r="AC29" i="52"/>
  <c r="AZ29" i="52"/>
  <c r="BA37" i="49"/>
  <c r="AD37" i="49"/>
  <c r="BB37" i="49" s="1"/>
  <c r="AZ20" i="54"/>
  <c r="AC20" i="54"/>
  <c r="BA7" i="15"/>
  <c r="AD7" i="15"/>
  <c r="BB7" i="15" s="1"/>
  <c r="AY26" i="48"/>
  <c r="AB26" i="48"/>
  <c r="AD18" i="15"/>
  <c r="BB18" i="15" s="1"/>
  <c r="BA18" i="15"/>
  <c r="AZ20" i="52"/>
  <c r="AC20" i="52"/>
  <c r="AD27" i="53"/>
  <c r="BB27" i="53" s="1"/>
  <c r="BA27" i="53"/>
  <c r="AC56" i="56"/>
  <c r="AZ56" i="56"/>
  <c r="AC18" i="55"/>
  <c r="AZ18" i="55"/>
  <c r="AD9" i="15"/>
  <c r="BB9" i="15" s="1"/>
  <c r="BA9" i="15"/>
  <c r="AY16" i="52"/>
  <c r="AB16" i="52"/>
  <c r="AC26" i="49"/>
  <c r="AZ26" i="49"/>
  <c r="AZ19" i="53"/>
  <c r="AC19" i="53"/>
  <c r="BA29" i="51"/>
  <c r="AD29" i="51"/>
  <c r="BB29" i="51" s="1"/>
  <c r="AZ57" i="50"/>
  <c r="AC57" i="50"/>
  <c r="AZ48" i="52"/>
  <c r="AC48" i="52"/>
  <c r="AZ49" i="50"/>
  <c r="AC49" i="50"/>
  <c r="BA30" i="51"/>
  <c r="AD30" i="51"/>
  <c r="BB30" i="51" s="1"/>
  <c r="AC60" i="15"/>
  <c r="AZ60" i="15"/>
  <c r="AB60" i="52"/>
  <c r="AY60" i="52"/>
  <c r="AC30" i="48"/>
  <c r="AZ30" i="48"/>
  <c r="AY40" i="52"/>
  <c r="AB40" i="52"/>
  <c r="AD18" i="49"/>
  <c r="BB18" i="49" s="1"/>
  <c r="BA18" i="49"/>
  <c r="AC27" i="54"/>
  <c r="AZ27" i="54"/>
  <c r="AZ29" i="55"/>
  <c r="AC29" i="55"/>
  <c r="AZ20" i="53"/>
  <c r="AC20" i="53"/>
  <c r="AC7" i="50"/>
  <c r="AZ7" i="50"/>
  <c r="AC50" i="15"/>
  <c r="AZ50" i="15"/>
  <c r="AC29" i="48"/>
  <c r="AZ29" i="48"/>
  <c r="AZ9" i="54"/>
  <c r="AC9" i="54"/>
  <c r="AD8" i="55"/>
  <c r="BB8" i="55" s="1"/>
  <c r="BA8" i="55"/>
  <c r="AY59" i="56"/>
  <c r="AY83" i="56" s="1"/>
  <c r="AY101" i="56" s="1"/>
  <c r="AB59" i="56"/>
  <c r="BA28" i="15"/>
  <c r="AD28" i="15"/>
  <c r="BB28" i="15" s="1"/>
  <c r="BA57" i="55"/>
  <c r="AD57" i="55"/>
  <c r="BB57" i="55" s="1"/>
  <c r="AC37" i="50"/>
  <c r="AZ37" i="50"/>
  <c r="AZ16" i="51"/>
  <c r="AC16" i="51"/>
  <c r="AZ59" i="48"/>
  <c r="AC59" i="48"/>
  <c r="AC40" i="51"/>
  <c r="AZ40" i="51"/>
  <c r="AC19" i="51"/>
  <c r="AZ19" i="51"/>
  <c r="BA39" i="49"/>
  <c r="AD39" i="49"/>
  <c r="BB39" i="49" s="1"/>
  <c r="AZ50" i="48"/>
  <c r="AC50" i="48"/>
  <c r="BA46" i="15"/>
  <c r="AD46" i="15"/>
  <c r="BB46" i="15" s="1"/>
  <c r="BA29" i="49"/>
  <c r="AD29" i="49"/>
  <c r="BB29" i="49" s="1"/>
  <c r="AC9" i="51"/>
  <c r="AZ9" i="51"/>
  <c r="AC49" i="54"/>
  <c r="AZ49" i="54"/>
  <c r="AZ48" i="55"/>
  <c r="AC48" i="55"/>
  <c r="BA20" i="15"/>
  <c r="AD20" i="15"/>
  <c r="BB20" i="15" s="1"/>
  <c r="AC27" i="52"/>
  <c r="AZ27" i="52"/>
  <c r="BA48" i="51"/>
  <c r="AD48" i="51"/>
  <c r="BB48" i="51" s="1"/>
  <c r="AC56" i="54"/>
  <c r="AZ56" i="54"/>
  <c r="AC50" i="54"/>
  <c r="AZ50" i="54"/>
  <c r="AC10" i="54"/>
  <c r="AZ10" i="54"/>
  <c r="AC19" i="15"/>
  <c r="AZ19" i="15"/>
  <c r="AC60" i="54"/>
  <c r="AZ60" i="54"/>
  <c r="AC30" i="54"/>
  <c r="AZ30" i="54"/>
  <c r="AZ9" i="52"/>
  <c r="AC9" i="52"/>
  <c r="AC48" i="48"/>
  <c r="AZ48" i="48"/>
  <c r="AC49" i="52"/>
  <c r="AZ49" i="52"/>
  <c r="AZ29" i="53"/>
  <c r="AC29" i="53"/>
  <c r="AC40" i="48"/>
  <c r="AZ40" i="48"/>
  <c r="AB7" i="54"/>
  <c r="AY7" i="54"/>
  <c r="AB18" i="56"/>
  <c r="AY18" i="56"/>
  <c r="AZ20" i="51"/>
  <c r="AC20" i="51"/>
  <c r="AD9" i="53"/>
  <c r="BB9" i="53" s="1"/>
  <c r="BA9" i="53"/>
  <c r="AC10" i="51"/>
  <c r="AZ10" i="51"/>
  <c r="AZ39" i="55"/>
  <c r="AC39" i="55"/>
  <c r="AZ29" i="50"/>
  <c r="AC29" i="50"/>
  <c r="AC8" i="53"/>
  <c r="AZ8" i="53"/>
  <c r="AD58" i="53"/>
  <c r="BB58" i="53" s="1"/>
  <c r="BA58" i="53"/>
  <c r="BA47" i="51"/>
  <c r="AD47" i="51"/>
  <c r="BB47" i="51" s="1"/>
  <c r="AZ47" i="53"/>
  <c r="AC47" i="53"/>
  <c r="AC29" i="54"/>
  <c r="AZ29" i="54"/>
  <c r="AZ60" i="50"/>
  <c r="AC60" i="50"/>
  <c r="AZ30" i="52"/>
  <c r="AC30" i="52"/>
  <c r="AD27" i="49"/>
  <c r="BB27" i="49" s="1"/>
  <c r="BA27" i="49"/>
  <c r="AZ38" i="49"/>
  <c r="AC38" i="49"/>
  <c r="AZ58" i="54"/>
  <c r="AC58" i="54"/>
  <c r="BA30" i="49"/>
  <c r="AD30" i="49"/>
  <c r="BB30" i="49" s="1"/>
  <c r="AZ37" i="52"/>
  <c r="AC37" i="52"/>
  <c r="AD57" i="51"/>
  <c r="BB57" i="51" s="1"/>
  <c r="BA57" i="51"/>
  <c r="AZ60" i="48"/>
  <c r="AC60" i="48"/>
  <c r="AD40" i="53"/>
  <c r="BB40" i="53" s="1"/>
  <c r="BA40" i="53"/>
  <c r="AC28" i="55"/>
  <c r="AZ28" i="55"/>
  <c r="BA49" i="55"/>
  <c r="AD49" i="55"/>
  <c r="BB49" i="55" s="1"/>
  <c r="AZ39" i="52"/>
  <c r="AC39" i="52"/>
  <c r="AY46" i="56"/>
  <c r="AB46" i="56"/>
  <c r="AZ47" i="50"/>
  <c r="AC47" i="50"/>
  <c r="AC58" i="51"/>
  <c r="AZ58" i="51"/>
  <c r="AZ10" i="15"/>
  <c r="AC10" i="15"/>
  <c r="BA30" i="55"/>
  <c r="AD30" i="55"/>
  <c r="BB30" i="55" s="1"/>
  <c r="AD56" i="51"/>
  <c r="BB56" i="51" s="1"/>
  <c r="BA56" i="51"/>
  <c r="AY8" i="50"/>
  <c r="AB8" i="50"/>
  <c r="AD48" i="53"/>
  <c r="BB48" i="53" s="1"/>
  <c r="BA48" i="53"/>
  <c r="AZ19" i="56"/>
  <c r="AC19" i="56"/>
  <c r="AY18" i="54"/>
  <c r="AB18" i="54"/>
  <c r="AB50" i="56"/>
  <c r="AY50" i="56"/>
  <c r="AZ30" i="53"/>
  <c r="AC30" i="53"/>
  <c r="AD29" i="15"/>
  <c r="BB29" i="15" s="1"/>
  <c r="BA29" i="15"/>
  <c r="BA47" i="49"/>
  <c r="AD47" i="49"/>
  <c r="BB47" i="49" s="1"/>
  <c r="AZ56" i="48"/>
  <c r="AC56" i="48"/>
  <c r="AD36" i="15"/>
  <c r="BB36" i="15" s="1"/>
  <c r="BA36" i="15"/>
  <c r="AC7" i="55"/>
  <c r="AZ7" i="55"/>
  <c r="AZ8" i="49"/>
  <c r="AC8" i="49"/>
  <c r="AC58" i="49"/>
  <c r="AZ58" i="49"/>
  <c r="BA30" i="15"/>
  <c r="AD30" i="15"/>
  <c r="BB30" i="15" s="1"/>
  <c r="AC49" i="48"/>
  <c r="AZ49" i="48"/>
  <c r="AY8" i="52"/>
  <c r="AB8" i="52"/>
  <c r="BA10" i="55"/>
  <c r="AD10" i="55"/>
  <c r="BB10" i="55" s="1"/>
  <c r="AC19" i="48"/>
  <c r="AZ19" i="48"/>
  <c r="BA46" i="53"/>
  <c r="AD46" i="53"/>
  <c r="BB46" i="53" s="1"/>
  <c r="AC37" i="53"/>
  <c r="AZ37" i="53"/>
  <c r="AC8" i="15"/>
  <c r="AZ8" i="15"/>
  <c r="AZ7" i="53"/>
  <c r="AC7" i="53"/>
  <c r="AC40" i="54"/>
  <c r="AZ40" i="54"/>
  <c r="AZ27" i="50"/>
  <c r="AC27" i="50"/>
  <c r="AZ58" i="48"/>
  <c r="AC58" i="48"/>
  <c r="AC50" i="51"/>
  <c r="AZ50" i="51"/>
  <c r="AZ7" i="56"/>
  <c r="AC7" i="56"/>
  <c r="AC59" i="54"/>
  <c r="AZ59" i="54"/>
  <c r="AC10" i="50"/>
  <c r="AZ10" i="50"/>
  <c r="AD48" i="15"/>
  <c r="BB48" i="15" s="1"/>
  <c r="BA48" i="15"/>
  <c r="AC8" i="56"/>
  <c r="AZ8" i="56"/>
  <c r="AC9" i="50"/>
  <c r="AZ9" i="50"/>
  <c r="AC7" i="48"/>
  <c r="AZ7" i="48"/>
  <c r="AY50" i="52"/>
  <c r="AB50" i="52"/>
  <c r="AC57" i="52"/>
  <c r="AZ57" i="52"/>
  <c r="BA10" i="49"/>
  <c r="AD10" i="49"/>
  <c r="BB10" i="49" s="1"/>
  <c r="AZ20" i="50"/>
  <c r="AC20" i="50"/>
  <c r="AZ46" i="52"/>
  <c r="AC46" i="52"/>
  <c r="AY26" i="56"/>
  <c r="AB26" i="56"/>
  <c r="AC50" i="55"/>
  <c r="AZ50" i="55"/>
  <c r="AC59" i="49"/>
  <c r="AZ59" i="49"/>
  <c r="AC49" i="56"/>
  <c r="AZ49" i="56"/>
  <c r="AD20" i="49"/>
  <c r="BB20" i="49" s="1"/>
  <c r="BA20" i="49"/>
  <c r="AZ47" i="52"/>
  <c r="AC47" i="52"/>
  <c r="AC49" i="53"/>
  <c r="AZ49" i="53"/>
  <c r="AC9" i="49"/>
  <c r="AZ9" i="49"/>
  <c r="AZ39" i="56"/>
  <c r="AC39" i="56"/>
  <c r="AZ58" i="56"/>
  <c r="AC58" i="56"/>
  <c r="AZ9" i="56"/>
  <c r="AC9" i="56"/>
  <c r="AD57" i="49"/>
  <c r="BB57" i="49" s="1"/>
  <c r="BA57" i="49"/>
  <c r="AZ10" i="56"/>
  <c r="AC10" i="56"/>
  <c r="BA38" i="53"/>
  <c r="AD38" i="53"/>
  <c r="BB38" i="53" s="1"/>
  <c r="AC20" i="48"/>
  <c r="AZ20" i="48"/>
  <c r="AH22" i="5"/>
  <c r="BL60" i="5"/>
  <c r="BK27" i="5"/>
  <c r="AN13" i="5"/>
  <c r="AJ9" i="5"/>
  <c r="BJ53" i="5"/>
  <c r="AF48" i="5"/>
  <c r="AJ61" i="5"/>
  <c r="AL46" i="5"/>
  <c r="AG12" i="5"/>
  <c r="AG14" i="5"/>
  <c r="AE19" i="5"/>
  <c r="AK19" i="5"/>
  <c r="AH27" i="5"/>
  <c r="AK12" i="5"/>
  <c r="BG7" i="5"/>
  <c r="AH41" i="5"/>
  <c r="BK22" i="5"/>
  <c r="BL23" i="5"/>
  <c r="AM12" i="5"/>
  <c r="AJ46" i="5"/>
  <c r="BJ27" i="5"/>
  <c r="BG27" i="5"/>
  <c r="AE12" i="5"/>
  <c r="AF47" i="5"/>
  <c r="AL50" i="5"/>
  <c r="BF55" i="5"/>
  <c r="BN28" i="5"/>
  <c r="BF23" i="5"/>
  <c r="BJ56" i="5"/>
  <c r="AE9" i="5"/>
  <c r="BL53" i="5"/>
  <c r="BM28" i="5"/>
  <c r="BL27" i="5"/>
  <c r="AM18" i="5"/>
  <c r="BL55" i="5"/>
  <c r="AH12" i="5"/>
  <c r="AG10" i="5"/>
  <c r="AH9" i="5"/>
  <c r="AI108" i="15" l="1"/>
  <c r="AN119" i="52"/>
  <c r="AN122" i="52" s="1"/>
  <c r="AM108" i="15"/>
  <c r="AM113" i="15" s="1"/>
  <c r="AK108" i="15"/>
  <c r="AK113" i="15" s="1"/>
  <c r="AQ103" i="15"/>
  <c r="AP119" i="55"/>
  <c r="AO118" i="48"/>
  <c r="AN111" i="50"/>
  <c r="AS73" i="15"/>
  <c r="AS91" i="15" s="1"/>
  <c r="AQ109" i="15"/>
  <c r="AO85" i="53"/>
  <c r="AO89" i="15"/>
  <c r="AP85" i="49"/>
  <c r="AQ118" i="15"/>
  <c r="AO117" i="15"/>
  <c r="AO122" i="15" s="1"/>
  <c r="AQ85" i="15"/>
  <c r="AO85" i="51"/>
  <c r="AO101" i="51"/>
  <c r="AO103" i="51" s="1"/>
  <c r="X16" i="55"/>
  <c r="AU16" i="55"/>
  <c r="W21" i="55"/>
  <c r="AO98" i="52"/>
  <c r="AO103" i="52" s="1"/>
  <c r="AO109" i="55"/>
  <c r="AO113" i="55" s="1"/>
  <c r="AO85" i="50"/>
  <c r="AO118" i="55"/>
  <c r="AO72" i="56"/>
  <c r="AO90" i="56" s="1"/>
  <c r="AO109" i="56" s="1"/>
  <c r="AP117" i="49"/>
  <c r="AO117" i="50"/>
  <c r="U56" i="15"/>
  <c r="T61" i="15"/>
  <c r="AR56" i="15"/>
  <c r="AR81" i="15" s="1"/>
  <c r="AO117" i="51"/>
  <c r="AO89" i="51"/>
  <c r="AO108" i="51" s="1"/>
  <c r="AO118" i="51"/>
  <c r="AO109" i="53"/>
  <c r="AO113" i="53" s="1"/>
  <c r="AN91" i="52"/>
  <c r="AN94" i="52" s="1"/>
  <c r="AO98" i="50"/>
  <c r="AO103" i="50" s="1"/>
  <c r="AO118" i="53"/>
  <c r="AO122" i="53" s="1"/>
  <c r="AQ72" i="55"/>
  <c r="AQ90" i="55" s="1"/>
  <c r="S46" i="51"/>
  <c r="R51" i="51"/>
  <c r="AP46" i="51"/>
  <c r="AP81" i="51" s="1"/>
  <c r="S59" i="51"/>
  <c r="R61" i="51"/>
  <c r="AP59" i="51"/>
  <c r="AP83" i="51" s="1"/>
  <c r="AQ120" i="55"/>
  <c r="AO85" i="55"/>
  <c r="AO117" i="55"/>
  <c r="AO119" i="54"/>
  <c r="AO118" i="52"/>
  <c r="AO121" i="52"/>
  <c r="S50" i="53"/>
  <c r="R51" i="53"/>
  <c r="AP50" i="53"/>
  <c r="AP81" i="53" s="1"/>
  <c r="AP99" i="53" s="1"/>
  <c r="S46" i="55"/>
  <c r="R51" i="55"/>
  <c r="AP46" i="55"/>
  <c r="AP81" i="55" s="1"/>
  <c r="AO118" i="56"/>
  <c r="R28" i="48"/>
  <c r="Q31" i="48"/>
  <c r="AO28" i="48"/>
  <c r="AO75" i="48" s="1"/>
  <c r="S5" i="51"/>
  <c r="R11" i="51"/>
  <c r="AP5" i="51"/>
  <c r="AP71" i="51" s="1"/>
  <c r="S35" i="15"/>
  <c r="R41" i="15"/>
  <c r="AP35" i="15"/>
  <c r="AP71" i="15" s="1"/>
  <c r="AO103" i="56"/>
  <c r="R15" i="54"/>
  <c r="Q21" i="54"/>
  <c r="AO15" i="54"/>
  <c r="AO71" i="54" s="1"/>
  <c r="AO76" i="54" s="1"/>
  <c r="AN117" i="54"/>
  <c r="AN122" i="54" s="1"/>
  <c r="AN76" i="54"/>
  <c r="AN75" i="48"/>
  <c r="AN73" i="48"/>
  <c r="S55" i="55"/>
  <c r="AP55" i="55"/>
  <c r="AP80" i="55" s="1"/>
  <c r="R61" i="55"/>
  <c r="AQ111" i="55"/>
  <c r="AO85" i="54"/>
  <c r="AO117" i="56"/>
  <c r="AP72" i="49"/>
  <c r="AP90" i="49" s="1"/>
  <c r="AP108" i="53"/>
  <c r="AO73" i="52"/>
  <c r="AO76" i="52" s="1"/>
  <c r="AO72" i="50"/>
  <c r="AO76" i="50" s="1"/>
  <c r="AO117" i="52"/>
  <c r="V56" i="49"/>
  <c r="U61" i="49"/>
  <c r="AP76" i="55"/>
  <c r="AO89" i="52"/>
  <c r="AP117" i="48"/>
  <c r="AP117" i="53"/>
  <c r="AP110" i="55"/>
  <c r="AO85" i="48"/>
  <c r="AP72" i="53"/>
  <c r="AP90" i="53" s="1"/>
  <c r="AP94" i="53" s="1"/>
  <c r="U59" i="55"/>
  <c r="AR59" i="55"/>
  <c r="AR83" i="55" s="1"/>
  <c r="T57" i="48"/>
  <c r="AQ57" i="48"/>
  <c r="AQ82" i="48" s="1"/>
  <c r="AQ100" i="48" s="1"/>
  <c r="S61" i="48"/>
  <c r="S45" i="56"/>
  <c r="R51" i="56"/>
  <c r="AP45" i="56"/>
  <c r="AP80" i="56" s="1"/>
  <c r="S25" i="50"/>
  <c r="AP25" i="50"/>
  <c r="AP71" i="50" s="1"/>
  <c r="R31" i="50"/>
  <c r="T45" i="49"/>
  <c r="S51" i="49"/>
  <c r="AQ45" i="49"/>
  <c r="AQ80" i="49" s="1"/>
  <c r="T25" i="49"/>
  <c r="S31" i="49"/>
  <c r="AQ25" i="49"/>
  <c r="AQ71" i="49" s="1"/>
  <c r="X7" i="51"/>
  <c r="AU7" i="51"/>
  <c r="AU73" i="51" s="1"/>
  <c r="R61" i="50"/>
  <c r="S56" i="50"/>
  <c r="AP56" i="50"/>
  <c r="AP81" i="50" s="1"/>
  <c r="AP99" i="50" s="1"/>
  <c r="S7" i="52"/>
  <c r="R11" i="52"/>
  <c r="AP7" i="52"/>
  <c r="S46" i="48"/>
  <c r="R51" i="48"/>
  <c r="AP46" i="48"/>
  <c r="AP81" i="48" s="1"/>
  <c r="AP82" i="52"/>
  <c r="AP100" i="52" s="1"/>
  <c r="AP84" i="52"/>
  <c r="AP102" i="52" s="1"/>
  <c r="S36" i="50"/>
  <c r="R41" i="50"/>
  <c r="AP36" i="50"/>
  <c r="T16" i="53"/>
  <c r="S21" i="53"/>
  <c r="AQ16" i="53"/>
  <c r="S45" i="50"/>
  <c r="R51" i="50"/>
  <c r="AP45" i="50"/>
  <c r="AP80" i="50" s="1"/>
  <c r="U6" i="55"/>
  <c r="T11" i="55"/>
  <c r="AR6" i="55"/>
  <c r="AO73" i="56"/>
  <c r="S28" i="52"/>
  <c r="R31" i="52"/>
  <c r="AP28" i="52"/>
  <c r="AP75" i="52" s="1"/>
  <c r="T27" i="55"/>
  <c r="S31" i="55"/>
  <c r="AQ27" i="55"/>
  <c r="AQ73" i="55" s="1"/>
  <c r="AQ5" i="48"/>
  <c r="AQ71" i="48" s="1"/>
  <c r="T5" i="48"/>
  <c r="S11" i="48"/>
  <c r="S36" i="56"/>
  <c r="R41" i="56"/>
  <c r="AP36" i="56"/>
  <c r="S60" i="56"/>
  <c r="R61" i="56"/>
  <c r="AP60" i="56"/>
  <c r="AP81" i="56" s="1"/>
  <c r="AP99" i="56" s="1"/>
  <c r="T36" i="53"/>
  <c r="S41" i="53"/>
  <c r="AQ36" i="53"/>
  <c r="S15" i="52"/>
  <c r="R21" i="52"/>
  <c r="AP15" i="52"/>
  <c r="AP71" i="52" s="1"/>
  <c r="Y36" i="51"/>
  <c r="X41" i="51"/>
  <c r="R51" i="52"/>
  <c r="S45" i="52"/>
  <c r="AP45" i="52"/>
  <c r="AP80" i="52" s="1"/>
  <c r="S36" i="52"/>
  <c r="AP36" i="52"/>
  <c r="AP72" i="52" s="1"/>
  <c r="R41" i="52"/>
  <c r="AQ55" i="54"/>
  <c r="T55" i="54"/>
  <c r="S61" i="54"/>
  <c r="S5" i="54"/>
  <c r="R11" i="54"/>
  <c r="AP5" i="54"/>
  <c r="AO85" i="56"/>
  <c r="AO92" i="48"/>
  <c r="AO111" i="48" s="1"/>
  <c r="U36" i="55"/>
  <c r="T41" i="55"/>
  <c r="AR36" i="55"/>
  <c r="T36" i="49"/>
  <c r="S41" i="49"/>
  <c r="AQ36" i="49"/>
  <c r="T58" i="52"/>
  <c r="S61" i="52"/>
  <c r="AQ58" i="52"/>
  <c r="T55" i="53"/>
  <c r="S61" i="53"/>
  <c r="AQ55" i="53"/>
  <c r="AQ80" i="53" s="1"/>
  <c r="S37" i="54"/>
  <c r="R41" i="54"/>
  <c r="AP37" i="54"/>
  <c r="AP73" i="54" s="1"/>
  <c r="T5" i="15"/>
  <c r="S11" i="15"/>
  <c r="AQ5" i="15"/>
  <c r="T6" i="49"/>
  <c r="S11" i="49"/>
  <c r="AQ6" i="49"/>
  <c r="S39" i="48"/>
  <c r="R41" i="48"/>
  <c r="AP39" i="48"/>
  <c r="AP74" i="48" s="1"/>
  <c r="S17" i="48"/>
  <c r="AP17" i="48"/>
  <c r="R21" i="48"/>
  <c r="R11" i="50"/>
  <c r="S6" i="50"/>
  <c r="AP6" i="50"/>
  <c r="S17" i="56"/>
  <c r="AP17" i="56"/>
  <c r="R21" i="56"/>
  <c r="S27" i="56"/>
  <c r="R31" i="56"/>
  <c r="AP27" i="56"/>
  <c r="T16" i="49"/>
  <c r="S21" i="49"/>
  <c r="AQ16" i="49"/>
  <c r="R11" i="56"/>
  <c r="S6" i="56"/>
  <c r="AP6" i="56"/>
  <c r="X45" i="53"/>
  <c r="AU45" i="53"/>
  <c r="S45" i="54"/>
  <c r="AP45" i="54"/>
  <c r="AP80" i="54" s="1"/>
  <c r="R51" i="54"/>
  <c r="T5" i="53"/>
  <c r="S11" i="53"/>
  <c r="AQ5" i="53"/>
  <c r="AQ71" i="53" s="1"/>
  <c r="S16" i="50"/>
  <c r="AP16" i="50"/>
  <c r="R21" i="50"/>
  <c r="AL112" i="49"/>
  <c r="AP75" i="54"/>
  <c r="T28" i="54"/>
  <c r="S31" i="54"/>
  <c r="AQ28" i="54"/>
  <c r="AR111" i="49"/>
  <c r="AK109" i="51"/>
  <c r="AJ111" i="49"/>
  <c r="AR90" i="48"/>
  <c r="W57" i="56"/>
  <c r="W45" i="15"/>
  <c r="V51" i="15"/>
  <c r="W58" i="55"/>
  <c r="AT58" i="55"/>
  <c r="AR99" i="54"/>
  <c r="V46" i="54"/>
  <c r="AS46" i="54"/>
  <c r="AS81" i="54" s="1"/>
  <c r="AS99" i="54" s="1"/>
  <c r="V16" i="56"/>
  <c r="W35" i="49"/>
  <c r="AT35" i="49"/>
  <c r="V55" i="48"/>
  <c r="AR119" i="50"/>
  <c r="V17" i="50"/>
  <c r="W56" i="53"/>
  <c r="AT56" i="53"/>
  <c r="V16" i="48"/>
  <c r="AS16" i="48"/>
  <c r="AS72" i="48" s="1"/>
  <c r="V26" i="50"/>
  <c r="W16" i="15"/>
  <c r="V21" i="15"/>
  <c r="AT16" i="15"/>
  <c r="AT72" i="15" s="1"/>
  <c r="AT90" i="15" s="1"/>
  <c r="W60" i="51"/>
  <c r="D23" i="34"/>
  <c r="AR112" i="49"/>
  <c r="X15" i="51"/>
  <c r="AU15" i="51"/>
  <c r="W21" i="51"/>
  <c r="AL111" i="52"/>
  <c r="X35" i="55"/>
  <c r="AU35" i="55"/>
  <c r="AU71" i="55" s="1"/>
  <c r="AS84" i="56"/>
  <c r="AS102" i="56" s="1"/>
  <c r="AS82" i="56"/>
  <c r="W46" i="50"/>
  <c r="W48" i="56"/>
  <c r="AT48" i="56"/>
  <c r="AT84" i="56" s="1"/>
  <c r="AT102" i="56" s="1"/>
  <c r="AP112" i="50"/>
  <c r="AL111" i="49"/>
  <c r="AI108" i="49"/>
  <c r="AM112" i="52"/>
  <c r="D11" i="34"/>
  <c r="AQ112" i="50"/>
  <c r="AJ112" i="51"/>
  <c r="AO111" i="49"/>
  <c r="AJ111" i="52"/>
  <c r="AL108" i="49"/>
  <c r="Z9" i="55"/>
  <c r="AW9" i="55"/>
  <c r="AW74" i="55" s="1"/>
  <c r="AO111" i="50"/>
  <c r="AK112" i="51"/>
  <c r="AZ102" i="15"/>
  <c r="AZ102" i="53"/>
  <c r="AZ101" i="15"/>
  <c r="AM109" i="51"/>
  <c r="AJ108" i="50"/>
  <c r="AK109" i="49"/>
  <c r="AM110" i="49"/>
  <c r="AP112" i="51"/>
  <c r="AO112" i="51"/>
  <c r="AU75" i="50"/>
  <c r="AU121" i="50" s="1"/>
  <c r="AV74" i="53"/>
  <c r="AV120" i="53" s="1"/>
  <c r="AM108" i="50"/>
  <c r="BB84" i="53"/>
  <c r="BB102" i="53" s="1"/>
  <c r="Y18" i="50"/>
  <c r="AV18" i="50"/>
  <c r="AN112" i="52"/>
  <c r="AI111" i="49"/>
  <c r="Y39" i="54"/>
  <c r="AV39" i="54"/>
  <c r="AV74" i="54" s="1"/>
  <c r="Z39" i="53"/>
  <c r="AW39" i="53"/>
  <c r="AW74" i="53" s="1"/>
  <c r="Y37" i="56"/>
  <c r="AV37" i="56"/>
  <c r="Y56" i="52"/>
  <c r="AV56" i="52"/>
  <c r="AV81" i="52" s="1"/>
  <c r="Y25" i="56"/>
  <c r="Z26" i="53"/>
  <c r="AW26" i="53"/>
  <c r="Y31" i="53"/>
  <c r="Y17" i="52"/>
  <c r="AV17" i="52"/>
  <c r="Z37" i="55"/>
  <c r="AW37" i="55"/>
  <c r="Z17" i="15"/>
  <c r="AW17" i="15"/>
  <c r="Z6" i="51"/>
  <c r="AW6" i="51"/>
  <c r="Y57" i="54"/>
  <c r="AV57" i="54"/>
  <c r="AV82" i="54" s="1"/>
  <c r="Z26" i="51"/>
  <c r="AW26" i="51"/>
  <c r="Y31" i="51"/>
  <c r="AV35" i="50"/>
  <c r="Y35" i="50"/>
  <c r="Z6" i="15"/>
  <c r="AW6" i="15"/>
  <c r="Y26" i="52"/>
  <c r="AV26" i="52"/>
  <c r="Y27" i="48"/>
  <c r="AV27" i="48"/>
  <c r="Y6" i="48"/>
  <c r="AV6" i="48"/>
  <c r="Y37" i="48"/>
  <c r="Y6" i="54"/>
  <c r="AV6" i="54"/>
  <c r="AV72" i="54" s="1"/>
  <c r="Z57" i="53"/>
  <c r="AW57" i="53"/>
  <c r="AW82" i="53" s="1"/>
  <c r="Z28" i="49"/>
  <c r="AW28" i="49"/>
  <c r="Y28" i="50"/>
  <c r="AV28" i="50"/>
  <c r="AW45" i="55"/>
  <c r="Z45" i="55"/>
  <c r="Z19" i="49"/>
  <c r="AW19" i="49"/>
  <c r="AW74" i="49" s="1"/>
  <c r="AW120" i="49" s="1"/>
  <c r="Y6" i="52"/>
  <c r="AV6" i="52"/>
  <c r="Z17" i="53"/>
  <c r="AW17" i="53"/>
  <c r="AW73" i="53" s="1"/>
  <c r="AV25" i="56"/>
  <c r="AV71" i="56" s="1"/>
  <c r="AV89" i="56" s="1"/>
  <c r="Z17" i="51"/>
  <c r="AW17" i="51"/>
  <c r="Y17" i="54"/>
  <c r="AV17" i="54"/>
  <c r="Z17" i="55"/>
  <c r="AW17" i="55"/>
  <c r="AW55" i="15"/>
  <c r="Z55" i="15"/>
  <c r="Y38" i="52"/>
  <c r="AV38" i="52"/>
  <c r="Z60" i="55"/>
  <c r="AW60" i="55"/>
  <c r="AW25" i="55"/>
  <c r="Z25" i="55"/>
  <c r="Z37" i="15"/>
  <c r="AW37" i="15"/>
  <c r="Y26" i="54"/>
  <c r="Z6" i="53"/>
  <c r="AW6" i="53"/>
  <c r="Z46" i="49"/>
  <c r="AW46" i="49"/>
  <c r="AW45" i="51"/>
  <c r="AW80" i="51" s="1"/>
  <c r="Z45" i="51"/>
  <c r="AN108" i="51"/>
  <c r="AY112" i="15"/>
  <c r="AQ111" i="49"/>
  <c r="AI111" i="52"/>
  <c r="AM111" i="49"/>
  <c r="AO112" i="52"/>
  <c r="AK111" i="51"/>
  <c r="D14" i="34"/>
  <c r="AK111" i="49"/>
  <c r="AN111" i="49"/>
  <c r="AK112" i="52"/>
  <c r="AJ111" i="51"/>
  <c r="AM111" i="55"/>
  <c r="AM113" i="55" s="1"/>
  <c r="AM103" i="53"/>
  <c r="AI112" i="52"/>
  <c r="AJ112" i="52"/>
  <c r="AQ112" i="51"/>
  <c r="AR112" i="51"/>
  <c r="AM111" i="51"/>
  <c r="AK111" i="50"/>
  <c r="AP108" i="49"/>
  <c r="AL111" i="51"/>
  <c r="AL108" i="52"/>
  <c r="AN108" i="52"/>
  <c r="AJ110" i="52"/>
  <c r="AI108" i="51"/>
  <c r="AI111" i="51"/>
  <c r="AM112" i="49"/>
  <c r="AM112" i="51"/>
  <c r="AK108" i="51"/>
  <c r="AL108" i="51"/>
  <c r="AN108" i="49"/>
  <c r="AO108" i="49"/>
  <c r="AK94" i="56"/>
  <c r="AN109" i="49"/>
  <c r="AN112" i="50"/>
  <c r="AK110" i="50"/>
  <c r="AR110" i="50"/>
  <c r="AP110" i="49"/>
  <c r="AM108" i="49"/>
  <c r="AI111" i="50"/>
  <c r="AI109" i="50"/>
  <c r="AP111" i="49"/>
  <c r="AI109" i="52"/>
  <c r="AL109" i="49"/>
  <c r="AN109" i="52"/>
  <c r="AN109" i="51"/>
  <c r="AM110" i="50"/>
  <c r="AL122" i="51"/>
  <c r="AL103" i="48"/>
  <c r="AL103" i="49"/>
  <c r="AI109" i="51"/>
  <c r="AZ75" i="51"/>
  <c r="AJ112" i="49"/>
  <c r="AI110" i="49"/>
  <c r="AL110" i="49"/>
  <c r="AN103" i="52"/>
  <c r="AI94" i="53"/>
  <c r="AO112" i="50"/>
  <c r="AJ108" i="54"/>
  <c r="AJ113" i="54" s="1"/>
  <c r="AN111" i="52"/>
  <c r="AL110" i="51"/>
  <c r="AI103" i="51"/>
  <c r="AK112" i="49"/>
  <c r="AI109" i="49"/>
  <c r="AO109" i="52"/>
  <c r="AK122" i="56"/>
  <c r="AL111" i="50"/>
  <c r="AJ111" i="50"/>
  <c r="AY121" i="15"/>
  <c r="AI110" i="51"/>
  <c r="AI122" i="50"/>
  <c r="AK103" i="56"/>
  <c r="AO109" i="51"/>
  <c r="AJ109" i="51"/>
  <c r="AI112" i="51"/>
  <c r="AJ103" i="50"/>
  <c r="AI122" i="49"/>
  <c r="AL109" i="51"/>
  <c r="AJ108" i="51"/>
  <c r="AK108" i="52"/>
  <c r="AJ108" i="49"/>
  <c r="AK109" i="52"/>
  <c r="AK109" i="50"/>
  <c r="AI94" i="52"/>
  <c r="AL112" i="51"/>
  <c r="AM109" i="49"/>
  <c r="AJ103" i="51"/>
  <c r="AK111" i="52"/>
  <c r="AJ112" i="50"/>
  <c r="AN108" i="50"/>
  <c r="AM110" i="52"/>
  <c r="AN111" i="51"/>
  <c r="AI112" i="50"/>
  <c r="AL110" i="15"/>
  <c r="AL113" i="15" s="1"/>
  <c r="AL109" i="50"/>
  <c r="AJ103" i="56"/>
  <c r="AI103" i="52"/>
  <c r="AN122" i="55"/>
  <c r="AL94" i="51"/>
  <c r="AL94" i="50"/>
  <c r="AN122" i="15"/>
  <c r="AI94" i="50"/>
  <c r="AI122" i="52"/>
  <c r="AN94" i="15"/>
  <c r="AK108" i="49"/>
  <c r="AL112" i="52"/>
  <c r="AI94" i="49"/>
  <c r="AM122" i="50"/>
  <c r="AN110" i="50"/>
  <c r="AM108" i="51"/>
  <c r="AO110" i="51"/>
  <c r="AN103" i="49"/>
  <c r="AJ122" i="56"/>
  <c r="AK110" i="49"/>
  <c r="AI103" i="49"/>
  <c r="AL122" i="49"/>
  <c r="AN110" i="49"/>
  <c r="AJ110" i="49"/>
  <c r="AM122" i="49"/>
  <c r="AL112" i="50"/>
  <c r="AN94" i="50"/>
  <c r="AO112" i="49"/>
  <c r="AZ83" i="49"/>
  <c r="AI94" i="51"/>
  <c r="AK122" i="52"/>
  <c r="AK122" i="55"/>
  <c r="AM122" i="48"/>
  <c r="AM111" i="50"/>
  <c r="AR111" i="50"/>
  <c r="AP111" i="50"/>
  <c r="AJ94" i="15"/>
  <c r="AJ122" i="50"/>
  <c r="AP110" i="51"/>
  <c r="AN103" i="15"/>
  <c r="AQ111" i="52"/>
  <c r="AN110" i="51"/>
  <c r="AO103" i="49"/>
  <c r="AP111" i="52"/>
  <c r="AR111" i="52"/>
  <c r="AK94" i="51"/>
  <c r="AI110" i="52"/>
  <c r="AI122" i="53"/>
  <c r="AP112" i="49"/>
  <c r="AM122" i="15"/>
  <c r="AK122" i="51"/>
  <c r="AI122" i="51"/>
  <c r="AO122" i="49"/>
  <c r="AN103" i="50"/>
  <c r="AM112" i="53"/>
  <c r="AM113" i="53" s="1"/>
  <c r="AY112" i="51"/>
  <c r="AM122" i="52"/>
  <c r="AN112" i="55"/>
  <c r="AN113" i="55" s="1"/>
  <c r="AK122" i="49"/>
  <c r="AI122" i="15"/>
  <c r="AQ110" i="51"/>
  <c r="AR110" i="49"/>
  <c r="AO103" i="48"/>
  <c r="AQ112" i="49"/>
  <c r="AJ122" i="51"/>
  <c r="AJ103" i="15"/>
  <c r="AN112" i="49"/>
  <c r="AK94" i="54"/>
  <c r="AI103" i="50"/>
  <c r="AM108" i="52"/>
  <c r="AL122" i="55"/>
  <c r="AL122" i="53"/>
  <c r="AM112" i="50"/>
  <c r="AP103" i="49"/>
  <c r="AI112" i="49"/>
  <c r="AK108" i="50"/>
  <c r="AX112" i="51"/>
  <c r="AI108" i="52"/>
  <c r="AI110" i="50"/>
  <c r="AN122" i="50"/>
  <c r="AN122" i="56"/>
  <c r="AI108" i="56"/>
  <c r="AI113" i="56" s="1"/>
  <c r="AL122" i="52"/>
  <c r="AQ110" i="49"/>
  <c r="AM94" i="50"/>
  <c r="AL122" i="48"/>
  <c r="AK110" i="51"/>
  <c r="AO110" i="49"/>
  <c r="AO94" i="55"/>
  <c r="AJ122" i="49"/>
  <c r="AK110" i="52"/>
  <c r="AL122" i="50"/>
  <c r="AM94" i="51"/>
  <c r="AK122" i="54"/>
  <c r="AL109" i="48"/>
  <c r="AL113" i="48" s="1"/>
  <c r="AJ122" i="15"/>
  <c r="AK122" i="15"/>
  <c r="AM103" i="48"/>
  <c r="AJ103" i="52"/>
  <c r="AK112" i="50"/>
  <c r="AO111" i="52"/>
  <c r="AY121" i="51"/>
  <c r="AM122" i="55"/>
  <c r="AM122" i="51"/>
  <c r="AI122" i="55"/>
  <c r="AK94" i="15"/>
  <c r="AO109" i="49"/>
  <c r="AL109" i="52"/>
  <c r="AJ109" i="52"/>
  <c r="AR112" i="50"/>
  <c r="AI122" i="56"/>
  <c r="AL94" i="56"/>
  <c r="AM122" i="56"/>
  <c r="AO94" i="53"/>
  <c r="AQ112" i="53"/>
  <c r="AM110" i="51"/>
  <c r="AR110" i="51"/>
  <c r="AO103" i="55"/>
  <c r="AK122" i="48"/>
  <c r="AM122" i="53"/>
  <c r="AI122" i="48"/>
  <c r="AJ94" i="52"/>
  <c r="AN94" i="55"/>
  <c r="AL94" i="53"/>
  <c r="AK103" i="50"/>
  <c r="AJ108" i="52"/>
  <c r="AK94" i="52"/>
  <c r="AK122" i="50"/>
  <c r="AJ110" i="51"/>
  <c r="AK103" i="55"/>
  <c r="AJ103" i="49"/>
  <c r="AJ109" i="49"/>
  <c r="AN112" i="51"/>
  <c r="AK94" i="49"/>
  <c r="AJ109" i="53"/>
  <c r="AJ113" i="53" s="1"/>
  <c r="AJ122" i="52"/>
  <c r="AM103" i="50"/>
  <c r="AP110" i="50"/>
  <c r="AM111" i="52"/>
  <c r="AJ122" i="53"/>
  <c r="AM94" i="54"/>
  <c r="AJ94" i="56"/>
  <c r="AM94" i="48"/>
  <c r="AN94" i="51"/>
  <c r="AQ111" i="50"/>
  <c r="AM109" i="52"/>
  <c r="AN122" i="49"/>
  <c r="AK122" i="53"/>
  <c r="AI122" i="54"/>
  <c r="AL122" i="54"/>
  <c r="AL122" i="15"/>
  <c r="AL110" i="53"/>
  <c r="AL113" i="53" s="1"/>
  <c r="AL122" i="56"/>
  <c r="AJ94" i="50"/>
  <c r="AJ94" i="55"/>
  <c r="AL94" i="54"/>
  <c r="AN94" i="53"/>
  <c r="AI103" i="54"/>
  <c r="AJ122" i="48"/>
  <c r="AM109" i="50"/>
  <c r="AL103" i="54"/>
  <c r="AN122" i="51"/>
  <c r="AI110" i="55"/>
  <c r="AI113" i="55" s="1"/>
  <c r="AM111" i="56"/>
  <c r="AM113" i="56" s="1"/>
  <c r="AI94" i="48"/>
  <c r="AO94" i="49"/>
  <c r="AM122" i="54"/>
  <c r="AL94" i="52"/>
  <c r="AR111" i="54"/>
  <c r="AJ122" i="54"/>
  <c r="AM94" i="52"/>
  <c r="AL109" i="54"/>
  <c r="AJ122" i="55"/>
  <c r="AN122" i="53"/>
  <c r="AN103" i="51"/>
  <c r="AK103" i="49"/>
  <c r="AM103" i="49"/>
  <c r="AL94" i="49"/>
  <c r="AJ94" i="53"/>
  <c r="AK94" i="53"/>
  <c r="AL94" i="48"/>
  <c r="AJ94" i="49"/>
  <c r="AK103" i="52"/>
  <c r="AL103" i="50"/>
  <c r="AL103" i="52"/>
  <c r="L24" i="5"/>
  <c r="AL94" i="15"/>
  <c r="AJ94" i="54"/>
  <c r="AN94" i="54"/>
  <c r="AN94" i="49"/>
  <c r="AI94" i="15"/>
  <c r="AM94" i="55"/>
  <c r="AM94" i="53"/>
  <c r="AN94" i="56"/>
  <c r="AK94" i="55"/>
  <c r="AM94" i="49"/>
  <c r="AI94" i="54"/>
  <c r="AJ94" i="51"/>
  <c r="AM103" i="51"/>
  <c r="AL103" i="56"/>
  <c r="X9" i="5"/>
  <c r="AM94" i="15"/>
  <c r="AJ94" i="48"/>
  <c r="AK94" i="48"/>
  <c r="AL94" i="55"/>
  <c r="AI94" i="55"/>
  <c r="AK94" i="50"/>
  <c r="AI103" i="56"/>
  <c r="AM103" i="52"/>
  <c r="AK103" i="51"/>
  <c r="AL103" i="51"/>
  <c r="X24" i="5"/>
  <c r="L9" i="5"/>
  <c r="AI110" i="48"/>
  <c r="AI113" i="48" s="1"/>
  <c r="AL110" i="50"/>
  <c r="AQ110" i="50"/>
  <c r="AZ83" i="53"/>
  <c r="AN109" i="50"/>
  <c r="AO110" i="50"/>
  <c r="AI110" i="54"/>
  <c r="AI113" i="54" s="1"/>
  <c r="AM113" i="54"/>
  <c r="AK113" i="56"/>
  <c r="AL110" i="54"/>
  <c r="AI113" i="53"/>
  <c r="AJ109" i="50"/>
  <c r="AJ113" i="15"/>
  <c r="AK113" i="54"/>
  <c r="AK113" i="48"/>
  <c r="AL113" i="55"/>
  <c r="AJ113" i="56"/>
  <c r="AN113" i="15"/>
  <c r="AL113" i="56"/>
  <c r="AL110" i="52"/>
  <c r="AK113" i="53"/>
  <c r="AI113" i="15"/>
  <c r="AJ113" i="48"/>
  <c r="AN113" i="56"/>
  <c r="AK113" i="55"/>
  <c r="AJ113" i="55"/>
  <c r="AM113" i="48"/>
  <c r="AN113" i="53"/>
  <c r="AN113" i="54"/>
  <c r="AY93" i="53"/>
  <c r="AY112" i="53" s="1"/>
  <c r="AZ75" i="53"/>
  <c r="AZ75" i="15"/>
  <c r="AX111" i="50"/>
  <c r="AI108" i="50"/>
  <c r="AX111" i="52"/>
  <c r="BB83" i="15"/>
  <c r="BB101" i="15" s="1"/>
  <c r="BB75" i="51"/>
  <c r="AX54" i="14"/>
  <c r="AW46" i="14"/>
  <c r="AW111" i="52"/>
  <c r="AT74" i="53"/>
  <c r="AT120" i="53" s="1"/>
  <c r="AV73" i="53"/>
  <c r="AV91" i="53" s="1"/>
  <c r="AV110" i="53" s="1"/>
  <c r="AS83" i="15"/>
  <c r="AS101" i="15" s="1"/>
  <c r="AS111" i="15" s="1"/>
  <c r="AV75" i="55"/>
  <c r="AS82" i="15"/>
  <c r="AS75" i="53"/>
  <c r="AS93" i="53" s="1"/>
  <c r="AS112" i="53" s="1"/>
  <c r="AT74" i="50"/>
  <c r="AT120" i="50" s="1"/>
  <c r="AT74" i="52"/>
  <c r="AU92" i="52" s="1"/>
  <c r="AT75" i="51"/>
  <c r="AU93" i="51" s="1"/>
  <c r="AS74" i="55"/>
  <c r="AS92" i="55" s="1"/>
  <c r="AS80" i="15"/>
  <c r="AT74" i="49"/>
  <c r="AT120" i="49" s="1"/>
  <c r="AV82" i="50"/>
  <c r="AS72" i="54"/>
  <c r="AS90" i="54" s="1"/>
  <c r="AS81" i="49"/>
  <c r="AS75" i="55"/>
  <c r="AS93" i="55" s="1"/>
  <c r="AV74" i="55"/>
  <c r="AV92" i="55" s="1"/>
  <c r="AX120" i="15"/>
  <c r="AS74" i="51"/>
  <c r="AS92" i="51" s="1"/>
  <c r="AS74" i="49"/>
  <c r="AS92" i="49" s="1"/>
  <c r="AT74" i="51"/>
  <c r="AS82" i="50"/>
  <c r="AS100" i="50" s="1"/>
  <c r="AS75" i="49"/>
  <c r="AS93" i="49" s="1"/>
  <c r="AV73" i="15"/>
  <c r="AV91" i="15" s="1"/>
  <c r="AT74" i="15"/>
  <c r="AT92" i="15" s="1"/>
  <c r="AS74" i="56"/>
  <c r="AS92" i="56" s="1"/>
  <c r="AS111" i="56" s="1"/>
  <c r="AS82" i="53"/>
  <c r="AS100" i="53" s="1"/>
  <c r="AU74" i="15"/>
  <c r="AU120" i="15" s="1"/>
  <c r="AS75" i="51"/>
  <c r="AS93" i="51" s="1"/>
  <c r="AT75" i="55"/>
  <c r="AT74" i="56"/>
  <c r="AT92" i="56" s="1"/>
  <c r="AS83" i="50"/>
  <c r="AS101" i="50" s="1"/>
  <c r="AS71" i="55"/>
  <c r="AT74" i="54"/>
  <c r="AT120" i="54" s="1"/>
  <c r="AS84" i="15"/>
  <c r="AS102" i="15" s="1"/>
  <c r="AS112" i="15" s="1"/>
  <c r="AT73" i="15"/>
  <c r="AT91" i="15" s="1"/>
  <c r="AU75" i="49"/>
  <c r="AT82" i="51"/>
  <c r="AT84" i="51"/>
  <c r="AS72" i="51"/>
  <c r="AS90" i="51" s="1"/>
  <c r="AT71" i="55"/>
  <c r="AT89" i="55" s="1"/>
  <c r="AU73" i="53"/>
  <c r="AU119" i="53" s="1"/>
  <c r="AU81" i="52"/>
  <c r="AR121" i="56"/>
  <c r="AR93" i="56"/>
  <c r="AR112" i="56" s="1"/>
  <c r="AR89" i="56"/>
  <c r="AS82" i="55"/>
  <c r="AS100" i="55" s="1"/>
  <c r="AS73" i="50"/>
  <c r="AT72" i="54"/>
  <c r="AV98" i="51"/>
  <c r="AY26" i="14"/>
  <c r="AC26" i="14"/>
  <c r="AZ26" i="14" s="1"/>
  <c r="AY23" i="14"/>
  <c r="AY27" i="14" s="1"/>
  <c r="AC23" i="14"/>
  <c r="AZ23" i="14" s="1"/>
  <c r="AZ27" i="14" s="1"/>
  <c r="AY15" i="53"/>
  <c r="AB15" i="53"/>
  <c r="AY15" i="14"/>
  <c r="AY19" i="14" s="1"/>
  <c r="AC15" i="14"/>
  <c r="AZ15" i="14" s="1"/>
  <c r="AZ19" i="14" s="1"/>
  <c r="AX25" i="52"/>
  <c r="AA25" i="52"/>
  <c r="AX25" i="48"/>
  <c r="AA25" i="48"/>
  <c r="AA35" i="54"/>
  <c r="AX35" i="54"/>
  <c r="AY25" i="14"/>
  <c r="AC25" i="14"/>
  <c r="AZ25" i="14" s="1"/>
  <c r="AY39" i="15"/>
  <c r="AY74" i="15" s="1"/>
  <c r="AY120" i="15" s="1"/>
  <c r="AB39" i="15"/>
  <c r="AA15" i="48"/>
  <c r="AX15" i="48"/>
  <c r="AB5" i="56"/>
  <c r="AY5" i="56"/>
  <c r="AZ35" i="14"/>
  <c r="AZ53" i="14" s="1"/>
  <c r="AZ49" i="14"/>
  <c r="AB5" i="55"/>
  <c r="AY5" i="55"/>
  <c r="AT73" i="51"/>
  <c r="AT75" i="56"/>
  <c r="AW112" i="15"/>
  <c r="AS102" i="48"/>
  <c r="AU74" i="54"/>
  <c r="AU92" i="54" s="1"/>
  <c r="AU111" i="54" s="1"/>
  <c r="AS92" i="54"/>
  <c r="AS111" i="54" s="1"/>
  <c r="AS120" i="54"/>
  <c r="AS75" i="50"/>
  <c r="AS93" i="50" s="1"/>
  <c r="AS80" i="51"/>
  <c r="AT98" i="51" s="1"/>
  <c r="AT83" i="15"/>
  <c r="AT101" i="15" s="1"/>
  <c r="AT73" i="49"/>
  <c r="AU73" i="15"/>
  <c r="AU119" i="15" s="1"/>
  <c r="AU75" i="15"/>
  <c r="AU93" i="15" s="1"/>
  <c r="AU112" i="15" s="1"/>
  <c r="AU82" i="50"/>
  <c r="AX35" i="52"/>
  <c r="AA35" i="52"/>
  <c r="AY24" i="14"/>
  <c r="AC24" i="14"/>
  <c r="AZ24" i="14" s="1"/>
  <c r="AB15" i="15"/>
  <c r="AY15" i="15"/>
  <c r="AY17" i="14"/>
  <c r="AC17" i="14"/>
  <c r="AZ17" i="14" s="1"/>
  <c r="AX55" i="56"/>
  <c r="AA55" i="56"/>
  <c r="AY9" i="14"/>
  <c r="AY43" i="14" s="1"/>
  <c r="AC9" i="14"/>
  <c r="AZ9" i="14" s="1"/>
  <c r="AZ43" i="14" s="1"/>
  <c r="AX45" i="48"/>
  <c r="AA45" i="48"/>
  <c r="AY35" i="14"/>
  <c r="AY53" i="14" s="1"/>
  <c r="AY49" i="14"/>
  <c r="AS81" i="52"/>
  <c r="AS99" i="52" s="1"/>
  <c r="AS73" i="51"/>
  <c r="AS91" i="51" s="1"/>
  <c r="AT74" i="55"/>
  <c r="AT71" i="56"/>
  <c r="AV93" i="56"/>
  <c r="AV92" i="56"/>
  <c r="AV111" i="56" s="1"/>
  <c r="AV120" i="56"/>
  <c r="AS73" i="49"/>
  <c r="AS91" i="49" s="1"/>
  <c r="AU75" i="56"/>
  <c r="AU93" i="56" s="1"/>
  <c r="AU71" i="56"/>
  <c r="AV102" i="50"/>
  <c r="AW102" i="50"/>
  <c r="AV75" i="49"/>
  <c r="AU83" i="52"/>
  <c r="AU120" i="52" s="1"/>
  <c r="AS73" i="53"/>
  <c r="AS91" i="53" s="1"/>
  <c r="AS74" i="50"/>
  <c r="AS92" i="50" s="1"/>
  <c r="AT75" i="49"/>
  <c r="AY10" i="14"/>
  <c r="AY44" i="14" s="1"/>
  <c r="AC10" i="14"/>
  <c r="AZ10" i="14" s="1"/>
  <c r="AZ44" i="14" s="1"/>
  <c r="AY7" i="14"/>
  <c r="AC7" i="14"/>
  <c r="AZ7" i="14" s="1"/>
  <c r="AX5" i="50"/>
  <c r="AA5" i="50"/>
  <c r="AB15" i="49"/>
  <c r="AY15" i="49"/>
  <c r="AY5" i="49"/>
  <c r="AB5" i="49"/>
  <c r="AX15" i="56"/>
  <c r="AA15" i="56"/>
  <c r="AB25" i="15"/>
  <c r="AY25" i="15"/>
  <c r="AA31" i="15"/>
  <c r="AB35" i="53"/>
  <c r="AY35" i="53"/>
  <c r="AA55" i="52"/>
  <c r="AX55" i="52"/>
  <c r="AB15" i="55"/>
  <c r="AY15" i="55"/>
  <c r="AX35" i="56"/>
  <c r="AA35" i="56"/>
  <c r="AU75" i="53"/>
  <c r="AU121" i="53" s="1"/>
  <c r="AS72" i="15"/>
  <c r="AS90" i="15" s="1"/>
  <c r="AU74" i="56"/>
  <c r="AV74" i="49"/>
  <c r="AV120" i="49" s="1"/>
  <c r="AU74" i="53"/>
  <c r="AU120" i="53" s="1"/>
  <c r="AR92" i="56"/>
  <c r="AR111" i="56" s="1"/>
  <c r="AR120" i="56"/>
  <c r="AS84" i="50"/>
  <c r="AS102" i="50" s="1"/>
  <c r="AS74" i="53"/>
  <c r="AS92" i="53" s="1"/>
  <c r="AS82" i="49"/>
  <c r="AT100" i="49" s="1"/>
  <c r="AS84" i="49"/>
  <c r="AS75" i="56"/>
  <c r="AS71" i="56"/>
  <c r="AS89" i="56" s="1"/>
  <c r="AT75" i="50"/>
  <c r="AT80" i="15"/>
  <c r="AS84" i="55"/>
  <c r="AS102" i="55" s="1"/>
  <c r="AT81" i="52"/>
  <c r="AV82" i="15"/>
  <c r="AV100" i="15" s="1"/>
  <c r="AB35" i="51"/>
  <c r="AY35" i="51"/>
  <c r="AA35" i="48"/>
  <c r="AX35" i="48"/>
  <c r="AX11" i="14"/>
  <c r="AX45" i="14" s="1"/>
  <c r="AX41" i="14"/>
  <c r="AY16" i="14"/>
  <c r="AC16" i="14"/>
  <c r="AZ16" i="14" s="1"/>
  <c r="AY50" i="49"/>
  <c r="AB50" i="49"/>
  <c r="AY25" i="51"/>
  <c r="AB25" i="51"/>
  <c r="AY33" i="14"/>
  <c r="AY51" i="14" s="1"/>
  <c r="AC33" i="14"/>
  <c r="AZ33" i="14" s="1"/>
  <c r="AZ51" i="14" s="1"/>
  <c r="AY18" i="14"/>
  <c r="AC18" i="14"/>
  <c r="AZ18" i="14" s="1"/>
  <c r="AV92" i="52"/>
  <c r="AY55" i="51"/>
  <c r="AB55" i="51"/>
  <c r="AB25" i="53"/>
  <c r="AY25" i="53"/>
  <c r="AY32" i="14"/>
  <c r="AY50" i="14" s="1"/>
  <c r="AC32" i="14"/>
  <c r="AZ32" i="14" s="1"/>
  <c r="AZ50" i="14" s="1"/>
  <c r="AA5" i="52"/>
  <c r="AX5" i="52"/>
  <c r="AA25" i="54"/>
  <c r="AX25" i="54"/>
  <c r="AA15" i="50"/>
  <c r="AX15" i="50"/>
  <c r="AY8" i="14"/>
  <c r="AY42" i="14" s="1"/>
  <c r="AC8" i="14"/>
  <c r="AZ8" i="14" s="1"/>
  <c r="AZ42" i="14" s="1"/>
  <c r="AA55" i="50"/>
  <c r="AX55" i="50"/>
  <c r="AB55" i="49"/>
  <c r="AY55" i="49"/>
  <c r="AU98" i="51"/>
  <c r="AS101" i="52"/>
  <c r="AS111" i="52" s="1"/>
  <c r="AS120" i="52"/>
  <c r="AT101" i="52"/>
  <c r="AT82" i="54"/>
  <c r="AT84" i="54"/>
  <c r="AT84" i="50"/>
  <c r="AT82" i="50"/>
  <c r="AT73" i="53"/>
  <c r="AV73" i="49"/>
  <c r="AU72" i="54"/>
  <c r="AV92" i="51"/>
  <c r="AW92" i="51"/>
  <c r="AT75" i="15"/>
  <c r="AV101" i="15"/>
  <c r="AV111" i="15" s="1"/>
  <c r="AV120" i="15"/>
  <c r="AV84" i="48"/>
  <c r="AV102" i="48" s="1"/>
  <c r="AT72" i="51"/>
  <c r="AS101" i="48"/>
  <c r="AS101" i="49"/>
  <c r="AT101" i="49"/>
  <c r="AV93" i="51"/>
  <c r="AV121" i="51"/>
  <c r="AW93" i="51"/>
  <c r="AW112" i="51" s="1"/>
  <c r="AS82" i="51"/>
  <c r="AT82" i="15"/>
  <c r="AT100" i="15" s="1"/>
  <c r="AU74" i="49"/>
  <c r="AU101" i="50"/>
  <c r="AU120" i="50"/>
  <c r="AS98" i="48"/>
  <c r="AT101" i="56"/>
  <c r="AV121" i="15"/>
  <c r="AV93" i="15"/>
  <c r="AV112" i="15" s="1"/>
  <c r="AT84" i="48"/>
  <c r="AU73" i="49"/>
  <c r="AV72" i="51"/>
  <c r="AS101" i="53"/>
  <c r="AU82" i="51"/>
  <c r="AU84" i="51"/>
  <c r="AV101" i="50"/>
  <c r="AV111" i="50" s="1"/>
  <c r="AV120" i="50"/>
  <c r="AW101" i="50"/>
  <c r="AW111" i="50" s="1"/>
  <c r="AU101" i="48"/>
  <c r="AS84" i="51"/>
  <c r="AT84" i="15"/>
  <c r="AT102" i="15" s="1"/>
  <c r="AT75" i="53"/>
  <c r="AV93" i="53"/>
  <c r="AV112" i="53" s="1"/>
  <c r="AV121" i="53"/>
  <c r="AY120" i="50"/>
  <c r="AZ75" i="55"/>
  <c r="AY92" i="50"/>
  <c r="AY111" i="50" s="1"/>
  <c r="AC60" i="53"/>
  <c r="AY111" i="52"/>
  <c r="AY120" i="52"/>
  <c r="AZ84" i="50"/>
  <c r="BA83" i="15"/>
  <c r="AY111" i="56"/>
  <c r="AZ83" i="54"/>
  <c r="AY120" i="56"/>
  <c r="AZ82" i="50"/>
  <c r="AZ84" i="51"/>
  <c r="AZ82" i="51"/>
  <c r="AZ82" i="49"/>
  <c r="AZ84" i="49"/>
  <c r="AZ74" i="56"/>
  <c r="AZ74" i="52"/>
  <c r="AZ84" i="48"/>
  <c r="AZ83" i="48"/>
  <c r="AZ74" i="50"/>
  <c r="AZ82" i="15"/>
  <c r="AZ84" i="54"/>
  <c r="AZ83" i="50"/>
  <c r="BA84" i="53"/>
  <c r="AZ83" i="52"/>
  <c r="BA75" i="51"/>
  <c r="AY75" i="56"/>
  <c r="AZ74" i="51"/>
  <c r="AD20" i="48"/>
  <c r="BB20" i="48" s="1"/>
  <c r="BA20" i="48"/>
  <c r="AD10" i="56"/>
  <c r="BB10" i="56" s="1"/>
  <c r="BA10" i="56"/>
  <c r="BA9" i="56"/>
  <c r="AD9" i="56"/>
  <c r="BB9" i="56" s="1"/>
  <c r="BA58" i="56"/>
  <c r="AD58" i="56"/>
  <c r="BB58" i="56" s="1"/>
  <c r="AD39" i="56"/>
  <c r="BB39" i="56" s="1"/>
  <c r="BA39" i="56"/>
  <c r="BA9" i="49"/>
  <c r="AD9" i="49"/>
  <c r="BB9" i="49" s="1"/>
  <c r="BA49" i="53"/>
  <c r="BA83" i="53" s="1"/>
  <c r="BA101" i="53" s="1"/>
  <c r="AD49" i="53"/>
  <c r="BB49" i="53" s="1"/>
  <c r="BB83" i="53" s="1"/>
  <c r="BB101" i="53" s="1"/>
  <c r="AD47" i="52"/>
  <c r="BB47" i="52" s="1"/>
  <c r="BA47" i="52"/>
  <c r="BA49" i="56"/>
  <c r="AD49" i="56"/>
  <c r="BB49" i="56" s="1"/>
  <c r="BA59" i="49"/>
  <c r="BA83" i="49" s="1"/>
  <c r="AD59" i="49"/>
  <c r="BB59" i="49" s="1"/>
  <c r="BB83" i="49" s="1"/>
  <c r="BA50" i="55"/>
  <c r="AD50" i="55"/>
  <c r="BB50" i="55" s="1"/>
  <c r="AZ26" i="56"/>
  <c r="AC26" i="56"/>
  <c r="BA46" i="52"/>
  <c r="AD46" i="52"/>
  <c r="BB46" i="52" s="1"/>
  <c r="AD20" i="50"/>
  <c r="BB20" i="50" s="1"/>
  <c r="BA20" i="50"/>
  <c r="BA57" i="52"/>
  <c r="AD57" i="52"/>
  <c r="BB57" i="52" s="1"/>
  <c r="AZ50" i="52"/>
  <c r="AC50" i="52"/>
  <c r="AD7" i="48"/>
  <c r="BB7" i="48" s="1"/>
  <c r="BA7" i="48"/>
  <c r="BA9" i="50"/>
  <c r="AD9" i="50"/>
  <c r="BB9" i="50" s="1"/>
  <c r="AD8" i="56"/>
  <c r="BB8" i="56" s="1"/>
  <c r="BA8" i="56"/>
  <c r="BA10" i="50"/>
  <c r="AD10" i="50"/>
  <c r="BB10" i="50" s="1"/>
  <c r="AD59" i="54"/>
  <c r="BB59" i="54" s="1"/>
  <c r="BA59" i="54"/>
  <c r="BA7" i="56"/>
  <c r="AD7" i="56"/>
  <c r="BB7" i="56" s="1"/>
  <c r="AD50" i="51"/>
  <c r="BB50" i="51" s="1"/>
  <c r="BB81" i="51" s="1"/>
  <c r="BA50" i="51"/>
  <c r="AD58" i="48"/>
  <c r="BB58" i="48" s="1"/>
  <c r="BA58" i="48"/>
  <c r="BA27" i="50"/>
  <c r="AD27" i="50"/>
  <c r="BB27" i="50" s="1"/>
  <c r="BA40" i="54"/>
  <c r="AD40" i="54"/>
  <c r="BB40" i="54" s="1"/>
  <c r="AD7" i="53"/>
  <c r="BB7" i="53" s="1"/>
  <c r="BA7" i="53"/>
  <c r="BA8" i="15"/>
  <c r="BA75" i="15" s="1"/>
  <c r="AD8" i="15"/>
  <c r="BB8" i="15" s="1"/>
  <c r="BB75" i="15" s="1"/>
  <c r="AD37" i="53"/>
  <c r="BB37" i="53" s="1"/>
  <c r="BA37" i="53"/>
  <c r="BA19" i="48"/>
  <c r="AD19" i="48"/>
  <c r="BB19" i="48" s="1"/>
  <c r="AZ8" i="52"/>
  <c r="AC8" i="52"/>
  <c r="BA49" i="48"/>
  <c r="AD49" i="48"/>
  <c r="BB49" i="48" s="1"/>
  <c r="BA58" i="49"/>
  <c r="BA82" i="49" s="1"/>
  <c r="AD58" i="49"/>
  <c r="BB58" i="49" s="1"/>
  <c r="BB84" i="49" s="1"/>
  <c r="BA8" i="49"/>
  <c r="AD8" i="49"/>
  <c r="BB8" i="49" s="1"/>
  <c r="BA7" i="55"/>
  <c r="AD7" i="55"/>
  <c r="BB7" i="55" s="1"/>
  <c r="BA56" i="48"/>
  <c r="AD56" i="48"/>
  <c r="BB56" i="48" s="1"/>
  <c r="AD30" i="53"/>
  <c r="BB30" i="53" s="1"/>
  <c r="BA30" i="53"/>
  <c r="AC50" i="56"/>
  <c r="AZ50" i="56"/>
  <c r="AC18" i="54"/>
  <c r="AZ18" i="54"/>
  <c r="BA19" i="56"/>
  <c r="AD19" i="56"/>
  <c r="BB19" i="56" s="1"/>
  <c r="AZ8" i="50"/>
  <c r="AC8" i="50"/>
  <c r="BA10" i="15"/>
  <c r="AD10" i="15"/>
  <c r="BB10" i="15" s="1"/>
  <c r="BA58" i="51"/>
  <c r="BA82" i="51" s="1"/>
  <c r="AD58" i="51"/>
  <c r="BB58" i="51" s="1"/>
  <c r="BB84" i="51" s="1"/>
  <c r="BA47" i="50"/>
  <c r="AD47" i="50"/>
  <c r="BB47" i="50" s="1"/>
  <c r="AC46" i="56"/>
  <c r="AZ46" i="56"/>
  <c r="BA39" i="52"/>
  <c r="AD39" i="52"/>
  <c r="BB39" i="52" s="1"/>
  <c r="BA28" i="55"/>
  <c r="AD28" i="55"/>
  <c r="BB28" i="55" s="1"/>
  <c r="AD60" i="48"/>
  <c r="BB60" i="48" s="1"/>
  <c r="BA60" i="48"/>
  <c r="AD37" i="52"/>
  <c r="BB37" i="52" s="1"/>
  <c r="BA37" i="52"/>
  <c r="AD58" i="54"/>
  <c r="BB58" i="54" s="1"/>
  <c r="BA58" i="54"/>
  <c r="BA38" i="49"/>
  <c r="AD38" i="49"/>
  <c r="BB38" i="49" s="1"/>
  <c r="BA30" i="52"/>
  <c r="AD30" i="52"/>
  <c r="BB30" i="52" s="1"/>
  <c r="BA60" i="50"/>
  <c r="AD60" i="50"/>
  <c r="BB60" i="50" s="1"/>
  <c r="AD29" i="54"/>
  <c r="BB29" i="54" s="1"/>
  <c r="BA29" i="54"/>
  <c r="BA47" i="53"/>
  <c r="AD47" i="53"/>
  <c r="BB47" i="53" s="1"/>
  <c r="AD8" i="53"/>
  <c r="BB8" i="53" s="1"/>
  <c r="BB75" i="53" s="1"/>
  <c r="BA8" i="53"/>
  <c r="BA75" i="53" s="1"/>
  <c r="BA29" i="50"/>
  <c r="AD29" i="50"/>
  <c r="BB29" i="50" s="1"/>
  <c r="BA39" i="55"/>
  <c r="AD39" i="55"/>
  <c r="BB39" i="55" s="1"/>
  <c r="AD10" i="51"/>
  <c r="BB10" i="51" s="1"/>
  <c r="BA10" i="51"/>
  <c r="AD20" i="51"/>
  <c r="BB20" i="51" s="1"/>
  <c r="BA20" i="51"/>
  <c r="AC18" i="56"/>
  <c r="AZ18" i="56"/>
  <c r="AC7" i="54"/>
  <c r="AZ7" i="54"/>
  <c r="BA40" i="48"/>
  <c r="AD40" i="48"/>
  <c r="BB40" i="48" s="1"/>
  <c r="BA29" i="53"/>
  <c r="AD29" i="53"/>
  <c r="BB29" i="53" s="1"/>
  <c r="BA49" i="52"/>
  <c r="AD49" i="52"/>
  <c r="BB49" i="52" s="1"/>
  <c r="BA48" i="48"/>
  <c r="AD48" i="48"/>
  <c r="BB48" i="48" s="1"/>
  <c r="AD9" i="52"/>
  <c r="BB9" i="52" s="1"/>
  <c r="BA9" i="52"/>
  <c r="BA30" i="54"/>
  <c r="AD30" i="54"/>
  <c r="BB30" i="54" s="1"/>
  <c r="BA60" i="54"/>
  <c r="AD60" i="54"/>
  <c r="BB60" i="54" s="1"/>
  <c r="BA19" i="15"/>
  <c r="AD19" i="15"/>
  <c r="BB19" i="15" s="1"/>
  <c r="AD10" i="54"/>
  <c r="BB10" i="54" s="1"/>
  <c r="BA10" i="54"/>
  <c r="AD50" i="54"/>
  <c r="BB50" i="54" s="1"/>
  <c r="BA50" i="54"/>
  <c r="AD56" i="54"/>
  <c r="BB56" i="54" s="1"/>
  <c r="BA56" i="54"/>
  <c r="BA27" i="52"/>
  <c r="AD27" i="52"/>
  <c r="BB27" i="52" s="1"/>
  <c r="BA48" i="55"/>
  <c r="AD48" i="55"/>
  <c r="BB48" i="55" s="1"/>
  <c r="AD49" i="54"/>
  <c r="BB49" i="54" s="1"/>
  <c r="BA49" i="54"/>
  <c r="BA9" i="51"/>
  <c r="AD9" i="51"/>
  <c r="BB9" i="51" s="1"/>
  <c r="BA50" i="48"/>
  <c r="AD50" i="48"/>
  <c r="BB50" i="48" s="1"/>
  <c r="AD19" i="51"/>
  <c r="BB19" i="51" s="1"/>
  <c r="BA19" i="51"/>
  <c r="BA40" i="51"/>
  <c r="AD40" i="51"/>
  <c r="BB40" i="51" s="1"/>
  <c r="AD59" i="48"/>
  <c r="BB59" i="48" s="1"/>
  <c r="BA59" i="48"/>
  <c r="BA16" i="51"/>
  <c r="AD16" i="51"/>
  <c r="BB16" i="51" s="1"/>
  <c r="BA37" i="50"/>
  <c r="AD37" i="50"/>
  <c r="BB37" i="50" s="1"/>
  <c r="AC59" i="56"/>
  <c r="AZ59" i="56"/>
  <c r="AZ83" i="56" s="1"/>
  <c r="BA9" i="54"/>
  <c r="AD9" i="54"/>
  <c r="BB9" i="54" s="1"/>
  <c r="BA29" i="48"/>
  <c r="AD29" i="48"/>
  <c r="BB29" i="48" s="1"/>
  <c r="BA50" i="15"/>
  <c r="AD50" i="15"/>
  <c r="BB50" i="15" s="1"/>
  <c r="AD7" i="50"/>
  <c r="BB7" i="50" s="1"/>
  <c r="BA7" i="50"/>
  <c r="BA20" i="53"/>
  <c r="AD20" i="53"/>
  <c r="BB20" i="53" s="1"/>
  <c r="BA29" i="55"/>
  <c r="AD29" i="55"/>
  <c r="BB29" i="55" s="1"/>
  <c r="AD27" i="54"/>
  <c r="BB27" i="54" s="1"/>
  <c r="BA27" i="54"/>
  <c r="AZ40" i="52"/>
  <c r="AC40" i="52"/>
  <c r="AD30" i="48"/>
  <c r="BB30" i="48" s="1"/>
  <c r="BA30" i="48"/>
  <c r="AZ60" i="52"/>
  <c r="AC60" i="52"/>
  <c r="BA60" i="15"/>
  <c r="AD60" i="15"/>
  <c r="BB60" i="15" s="1"/>
  <c r="AD49" i="50"/>
  <c r="BB49" i="50" s="1"/>
  <c r="BA49" i="50"/>
  <c r="BA48" i="52"/>
  <c r="AD48" i="52"/>
  <c r="BB48" i="52" s="1"/>
  <c r="BA57" i="50"/>
  <c r="AD57" i="50"/>
  <c r="BB57" i="50" s="1"/>
  <c r="BA19" i="53"/>
  <c r="AD19" i="53"/>
  <c r="BB19" i="53" s="1"/>
  <c r="AD26" i="49"/>
  <c r="BB26" i="49" s="1"/>
  <c r="BA26" i="49"/>
  <c r="AC16" i="52"/>
  <c r="AZ16" i="52"/>
  <c r="AD18" i="55"/>
  <c r="BB18" i="55" s="1"/>
  <c r="BA18" i="55"/>
  <c r="BA56" i="56"/>
  <c r="AD56" i="56"/>
  <c r="BB56" i="56" s="1"/>
  <c r="BA20" i="52"/>
  <c r="AD20" i="52"/>
  <c r="BB20" i="52" s="1"/>
  <c r="AC26" i="48"/>
  <c r="AZ26" i="48"/>
  <c r="BA20" i="54"/>
  <c r="AD20" i="54"/>
  <c r="BB20" i="54" s="1"/>
  <c r="AD29" i="52"/>
  <c r="BB29" i="52" s="1"/>
  <c r="BA29" i="52"/>
  <c r="AD19" i="50"/>
  <c r="BB19" i="50" s="1"/>
  <c r="BA19" i="50"/>
  <c r="BA50" i="50"/>
  <c r="AD50" i="50"/>
  <c r="BB50" i="50" s="1"/>
  <c r="AD56" i="55"/>
  <c r="BB56" i="55" s="1"/>
  <c r="BA56" i="55"/>
  <c r="BA48" i="54"/>
  <c r="AD48" i="54"/>
  <c r="BB48" i="54" s="1"/>
  <c r="BA27" i="15"/>
  <c r="AD27" i="15"/>
  <c r="BB27" i="15" s="1"/>
  <c r="AC18" i="52"/>
  <c r="AZ18" i="52"/>
  <c r="BA20" i="55"/>
  <c r="AD20" i="55"/>
  <c r="BB20" i="55" s="1"/>
  <c r="AD10" i="48"/>
  <c r="BB10" i="48" s="1"/>
  <c r="BA10" i="48"/>
  <c r="AZ16" i="54"/>
  <c r="AC16" i="54"/>
  <c r="AC28" i="56"/>
  <c r="AZ28" i="56"/>
  <c r="AD8" i="48"/>
  <c r="BB8" i="48" s="1"/>
  <c r="BA8" i="48"/>
  <c r="AD37" i="51"/>
  <c r="BB37" i="51" s="1"/>
  <c r="BA37" i="51"/>
  <c r="AD59" i="52"/>
  <c r="BB59" i="52" s="1"/>
  <c r="BA59" i="52"/>
  <c r="AD48" i="50"/>
  <c r="BB48" i="50" s="1"/>
  <c r="BA48" i="50"/>
  <c r="BA30" i="56"/>
  <c r="AD30" i="56"/>
  <c r="BB30" i="56" s="1"/>
  <c r="AC8" i="54"/>
  <c r="AZ8" i="54"/>
  <c r="AD39" i="50"/>
  <c r="BB39" i="50" s="1"/>
  <c r="BA39" i="50"/>
  <c r="AD30" i="50"/>
  <c r="BB30" i="50" s="1"/>
  <c r="BA30" i="50"/>
  <c r="AD9" i="48"/>
  <c r="BB9" i="48" s="1"/>
  <c r="BA9" i="48"/>
  <c r="AZ38" i="54"/>
  <c r="AC38" i="54"/>
  <c r="AD10" i="52"/>
  <c r="BB10" i="52" s="1"/>
  <c r="BA10" i="52"/>
  <c r="BA47" i="15"/>
  <c r="AD47" i="15"/>
  <c r="BB47" i="15" s="1"/>
  <c r="BA47" i="54"/>
  <c r="AD47" i="54"/>
  <c r="BB47" i="54" s="1"/>
  <c r="AC36" i="54"/>
  <c r="AZ36" i="54"/>
  <c r="AD19" i="52"/>
  <c r="BB19" i="52" s="1"/>
  <c r="BA19" i="52"/>
  <c r="BA59" i="50"/>
  <c r="AD59" i="50"/>
  <c r="BB59" i="50" s="1"/>
  <c r="AZ40" i="56"/>
  <c r="AC40" i="56"/>
  <c r="AD58" i="50"/>
  <c r="BB58" i="50" s="1"/>
  <c r="BA58" i="50"/>
  <c r="AC38" i="48"/>
  <c r="AZ38" i="48"/>
  <c r="AD40" i="50"/>
  <c r="BB40" i="50" s="1"/>
  <c r="BA40" i="50"/>
  <c r="AC47" i="56"/>
  <c r="AZ47" i="56"/>
  <c r="BA29" i="56"/>
  <c r="AD29" i="56"/>
  <c r="BB29" i="56" s="1"/>
  <c r="AD40" i="55"/>
  <c r="BB40" i="55" s="1"/>
  <c r="BA40" i="55"/>
  <c r="AD39" i="51"/>
  <c r="BB39" i="51" s="1"/>
  <c r="BA39" i="51"/>
  <c r="AD47" i="48"/>
  <c r="BB47" i="48" s="1"/>
  <c r="BA47" i="48"/>
  <c r="AD20" i="56"/>
  <c r="BB20" i="56" s="1"/>
  <c r="BA20" i="56"/>
  <c r="BA57" i="15"/>
  <c r="AD57" i="15"/>
  <c r="BB57" i="15" s="1"/>
  <c r="AD26" i="15"/>
  <c r="BB26" i="15" s="1"/>
  <c r="BA26" i="15"/>
  <c r="BA36" i="48"/>
  <c r="AD36" i="48"/>
  <c r="BB36" i="48" s="1"/>
  <c r="BA26" i="55"/>
  <c r="AD26" i="55"/>
  <c r="BB26" i="55" s="1"/>
  <c r="AC18" i="48"/>
  <c r="AZ18" i="48"/>
  <c r="AC38" i="56"/>
  <c r="AZ38" i="56"/>
  <c r="AZ38" i="50"/>
  <c r="AC38" i="50"/>
  <c r="AD10" i="53"/>
  <c r="BB10" i="53" s="1"/>
  <c r="BA10" i="53"/>
  <c r="BA19" i="54"/>
  <c r="AD19" i="54"/>
  <c r="BB19" i="54" s="1"/>
  <c r="AD58" i="15"/>
  <c r="BB58" i="15" s="1"/>
  <c r="BB84" i="15" s="1"/>
  <c r="BB102" i="15" s="1"/>
  <c r="BA58" i="15"/>
  <c r="BA84" i="15" s="1"/>
  <c r="AK51" i="5"/>
  <c r="G29" i="5"/>
  <c r="J29" i="5"/>
  <c r="I28" i="5"/>
  <c r="K28" i="5"/>
  <c r="G28" i="5"/>
  <c r="AT98" i="15" l="1"/>
  <c r="AO108" i="15"/>
  <c r="AO113" i="15" s="1"/>
  <c r="AP73" i="56"/>
  <c r="AP119" i="56" s="1"/>
  <c r="AS119" i="15"/>
  <c r="AO108" i="52"/>
  <c r="AO94" i="15"/>
  <c r="AP109" i="53"/>
  <c r="AP113" i="53" s="1"/>
  <c r="AP103" i="53"/>
  <c r="AO111" i="51"/>
  <c r="AO113" i="51" s="1"/>
  <c r="AO94" i="51"/>
  <c r="AO122" i="51"/>
  <c r="AN110" i="52"/>
  <c r="AN113" i="52" s="1"/>
  <c r="Y16" i="55"/>
  <c r="X21" i="55"/>
  <c r="AV16" i="55"/>
  <c r="AO122" i="55"/>
  <c r="AO108" i="50"/>
  <c r="V56" i="15"/>
  <c r="U61" i="15"/>
  <c r="AS56" i="15"/>
  <c r="AS81" i="15" s="1"/>
  <c r="AS99" i="15" s="1"/>
  <c r="AS109" i="15" s="1"/>
  <c r="AP76" i="53"/>
  <c r="AR99" i="15"/>
  <c r="AR118" i="15"/>
  <c r="AR85" i="15"/>
  <c r="AP101" i="51"/>
  <c r="AP111" i="51" s="1"/>
  <c r="AP120" i="51"/>
  <c r="AP99" i="51"/>
  <c r="AP85" i="51"/>
  <c r="AP118" i="51"/>
  <c r="T59" i="51"/>
  <c r="S61" i="51"/>
  <c r="AQ59" i="51"/>
  <c r="AQ83" i="51" s="1"/>
  <c r="T46" i="51"/>
  <c r="S51" i="51"/>
  <c r="AQ46" i="51"/>
  <c r="AQ81" i="51" s="1"/>
  <c r="AP118" i="53"/>
  <c r="AP122" i="53" s="1"/>
  <c r="AP94" i="49"/>
  <c r="AP109" i="49"/>
  <c r="AP113" i="49" s="1"/>
  <c r="AR72" i="55"/>
  <c r="AR90" i="55" s="1"/>
  <c r="AP85" i="53"/>
  <c r="AP117" i="15"/>
  <c r="AP122" i="15" s="1"/>
  <c r="AP89" i="15"/>
  <c r="AP76" i="15"/>
  <c r="AN91" i="48"/>
  <c r="AN76" i="48"/>
  <c r="AN119" i="48"/>
  <c r="S15" i="54"/>
  <c r="R21" i="54"/>
  <c r="AP15" i="54"/>
  <c r="AP71" i="54" s="1"/>
  <c r="T35" i="15"/>
  <c r="S41" i="15"/>
  <c r="AQ35" i="15"/>
  <c r="AQ71" i="15" s="1"/>
  <c r="AO93" i="48"/>
  <c r="AO112" i="48" s="1"/>
  <c r="AO121" i="48"/>
  <c r="AN93" i="48"/>
  <c r="AN112" i="48" s="1"/>
  <c r="AN121" i="48"/>
  <c r="AO117" i="54"/>
  <c r="AO89" i="54"/>
  <c r="AP89" i="51"/>
  <c r="AP76" i="51"/>
  <c r="AP117" i="51"/>
  <c r="AP99" i="55"/>
  <c r="AP109" i="55" s="1"/>
  <c r="AP118" i="55"/>
  <c r="AP98" i="55"/>
  <c r="AP117" i="55"/>
  <c r="AP85" i="55"/>
  <c r="AO73" i="48"/>
  <c r="S28" i="48"/>
  <c r="R31" i="48"/>
  <c r="AP28" i="48"/>
  <c r="AP75" i="48" s="1"/>
  <c r="T50" i="53"/>
  <c r="S51" i="53"/>
  <c r="AQ50" i="53"/>
  <c r="AQ81" i="53" s="1"/>
  <c r="AQ99" i="53" s="1"/>
  <c r="T55" i="55"/>
  <c r="AQ55" i="55"/>
  <c r="AQ80" i="55" s="1"/>
  <c r="S61" i="55"/>
  <c r="T5" i="51"/>
  <c r="S11" i="51"/>
  <c r="AQ5" i="51"/>
  <c r="AQ71" i="51" s="1"/>
  <c r="T46" i="55"/>
  <c r="S51" i="55"/>
  <c r="AQ46" i="55"/>
  <c r="AQ81" i="55" s="1"/>
  <c r="AO90" i="50"/>
  <c r="AO118" i="50"/>
  <c r="AO122" i="50" s="1"/>
  <c r="AP76" i="49"/>
  <c r="AP118" i="49"/>
  <c r="AP122" i="49" s="1"/>
  <c r="AO119" i="52"/>
  <c r="AO122" i="52" s="1"/>
  <c r="AO91" i="52"/>
  <c r="AR101" i="55"/>
  <c r="AR120" i="55"/>
  <c r="V59" i="55"/>
  <c r="AS59" i="55"/>
  <c r="AS83" i="55" s="1"/>
  <c r="AS101" i="55" s="1"/>
  <c r="AS111" i="55" s="1"/>
  <c r="W56" i="49"/>
  <c r="V61" i="49"/>
  <c r="AT56" i="49"/>
  <c r="AT81" i="49" s="1"/>
  <c r="AT99" i="49" s="1"/>
  <c r="U57" i="48"/>
  <c r="AR57" i="48"/>
  <c r="AR82" i="48" s="1"/>
  <c r="AR100" i="48" s="1"/>
  <c r="T61" i="48"/>
  <c r="AP98" i="54"/>
  <c r="AP103" i="54" s="1"/>
  <c r="AP85" i="54"/>
  <c r="T16" i="50"/>
  <c r="AQ16" i="50"/>
  <c r="S21" i="50"/>
  <c r="T6" i="56"/>
  <c r="S11" i="56"/>
  <c r="AQ6" i="56"/>
  <c r="U16" i="49"/>
  <c r="T21" i="49"/>
  <c r="AR16" i="49"/>
  <c r="T6" i="50"/>
  <c r="S11" i="50"/>
  <c r="AQ6" i="50"/>
  <c r="T17" i="48"/>
  <c r="AQ17" i="48"/>
  <c r="S21" i="48"/>
  <c r="T37" i="54"/>
  <c r="S41" i="54"/>
  <c r="AQ37" i="54"/>
  <c r="AQ73" i="54" s="1"/>
  <c r="AQ82" i="52"/>
  <c r="AQ100" i="52" s="1"/>
  <c r="AQ84" i="52"/>
  <c r="AQ102" i="52" s="1"/>
  <c r="V36" i="55"/>
  <c r="U41" i="55"/>
  <c r="AS36" i="55"/>
  <c r="U55" i="54"/>
  <c r="T61" i="54"/>
  <c r="AR55" i="54"/>
  <c r="AQ36" i="52"/>
  <c r="AQ72" i="52" s="1"/>
  <c r="T36" i="52"/>
  <c r="S41" i="52"/>
  <c r="T15" i="52"/>
  <c r="S21" i="52"/>
  <c r="AQ15" i="52"/>
  <c r="AQ71" i="52" s="1"/>
  <c r="AQ89" i="48"/>
  <c r="AQ117" i="48"/>
  <c r="AP121" i="52"/>
  <c r="AP93" i="52"/>
  <c r="AP112" i="52" s="1"/>
  <c r="U16" i="53"/>
  <c r="T21" i="53"/>
  <c r="AR16" i="53"/>
  <c r="T46" i="48"/>
  <c r="S51" i="48"/>
  <c r="AQ46" i="48"/>
  <c r="AQ81" i="48" s="1"/>
  <c r="U25" i="49"/>
  <c r="T31" i="49"/>
  <c r="AR25" i="49"/>
  <c r="AR71" i="49" s="1"/>
  <c r="AQ117" i="53"/>
  <c r="AQ89" i="53"/>
  <c r="AV45" i="53"/>
  <c r="Y45" i="53"/>
  <c r="AP92" i="48"/>
  <c r="AP111" i="48" s="1"/>
  <c r="AP120" i="48"/>
  <c r="U5" i="15"/>
  <c r="T11" i="15"/>
  <c r="AR5" i="15"/>
  <c r="AQ98" i="53"/>
  <c r="U36" i="49"/>
  <c r="AR36" i="49"/>
  <c r="T41" i="49"/>
  <c r="AP85" i="52"/>
  <c r="AP98" i="52"/>
  <c r="AP103" i="52" s="1"/>
  <c r="Z36" i="51"/>
  <c r="AW36" i="51"/>
  <c r="AW72" i="51" s="1"/>
  <c r="AW90" i="51" s="1"/>
  <c r="Y41" i="51"/>
  <c r="AQ72" i="53"/>
  <c r="AQ76" i="53" s="1"/>
  <c r="T36" i="56"/>
  <c r="S41" i="56"/>
  <c r="AQ36" i="56"/>
  <c r="AQ119" i="55"/>
  <c r="AQ91" i="55"/>
  <c r="T45" i="50"/>
  <c r="S51" i="50"/>
  <c r="AQ45" i="50"/>
  <c r="AQ80" i="50" s="1"/>
  <c r="AP72" i="50"/>
  <c r="AP76" i="50" s="1"/>
  <c r="AP73" i="52"/>
  <c r="AP76" i="52" s="1"/>
  <c r="AQ56" i="50"/>
  <c r="AQ81" i="50" s="1"/>
  <c r="AQ99" i="50" s="1"/>
  <c r="S61" i="50"/>
  <c r="T56" i="50"/>
  <c r="Y7" i="51"/>
  <c r="AV7" i="51"/>
  <c r="AV73" i="51" s="1"/>
  <c r="AV119" i="51" s="1"/>
  <c r="AQ85" i="49"/>
  <c r="AQ98" i="49"/>
  <c r="AQ103" i="49" s="1"/>
  <c r="AP117" i="50"/>
  <c r="AP89" i="50"/>
  <c r="T45" i="56"/>
  <c r="AQ45" i="56"/>
  <c r="AQ80" i="56" s="1"/>
  <c r="S51" i="56"/>
  <c r="T17" i="56"/>
  <c r="AQ17" i="56"/>
  <c r="S21" i="56"/>
  <c r="T11" i="49"/>
  <c r="U6" i="49"/>
  <c r="AR6" i="49"/>
  <c r="U58" i="52"/>
  <c r="T61" i="52"/>
  <c r="AR58" i="52"/>
  <c r="T5" i="54"/>
  <c r="S11" i="54"/>
  <c r="AQ5" i="54"/>
  <c r="S51" i="52"/>
  <c r="T45" i="52"/>
  <c r="AQ45" i="52"/>
  <c r="AQ80" i="52" s="1"/>
  <c r="AP117" i="52"/>
  <c r="AP89" i="52"/>
  <c r="T60" i="56"/>
  <c r="S61" i="56"/>
  <c r="AQ60" i="56"/>
  <c r="AQ81" i="56" s="1"/>
  <c r="AQ99" i="56" s="1"/>
  <c r="AQ28" i="52"/>
  <c r="AQ75" i="52" s="1"/>
  <c r="T28" i="52"/>
  <c r="S31" i="52"/>
  <c r="V6" i="55"/>
  <c r="U11" i="55"/>
  <c r="AS6" i="55"/>
  <c r="AP99" i="48"/>
  <c r="AP85" i="48"/>
  <c r="AP118" i="48"/>
  <c r="AQ89" i="49"/>
  <c r="AQ117" i="49"/>
  <c r="T25" i="50"/>
  <c r="AQ25" i="50"/>
  <c r="AQ71" i="50" s="1"/>
  <c r="S31" i="50"/>
  <c r="U5" i="53"/>
  <c r="T11" i="53"/>
  <c r="AR5" i="53"/>
  <c r="AR71" i="53" s="1"/>
  <c r="T45" i="54"/>
  <c r="AQ45" i="54"/>
  <c r="AQ80" i="54" s="1"/>
  <c r="S51" i="54"/>
  <c r="T27" i="56"/>
  <c r="S31" i="56"/>
  <c r="AQ27" i="56"/>
  <c r="T39" i="48"/>
  <c r="S41" i="48"/>
  <c r="AQ39" i="48"/>
  <c r="AQ74" i="48" s="1"/>
  <c r="U55" i="53"/>
  <c r="AR55" i="53"/>
  <c r="AR80" i="53" s="1"/>
  <c r="T61" i="53"/>
  <c r="AQ72" i="49"/>
  <c r="AP118" i="52"/>
  <c r="AP90" i="52"/>
  <c r="AP109" i="52" s="1"/>
  <c r="U36" i="53"/>
  <c r="T41" i="53"/>
  <c r="AR36" i="53"/>
  <c r="AP72" i="56"/>
  <c r="U5" i="48"/>
  <c r="T11" i="48"/>
  <c r="AR5" i="48"/>
  <c r="AR71" i="48" s="1"/>
  <c r="U27" i="55"/>
  <c r="T31" i="55"/>
  <c r="AR27" i="55"/>
  <c r="AR73" i="55" s="1"/>
  <c r="AO91" i="56"/>
  <c r="AO119" i="56"/>
  <c r="AO122" i="56" s="1"/>
  <c r="AO76" i="56"/>
  <c r="AP98" i="50"/>
  <c r="AP103" i="50" s="1"/>
  <c r="AP85" i="50"/>
  <c r="AQ36" i="50"/>
  <c r="T36" i="50"/>
  <c r="S41" i="50"/>
  <c r="AQ7" i="52"/>
  <c r="T7" i="52"/>
  <c r="S11" i="52"/>
  <c r="U45" i="49"/>
  <c r="T51" i="49"/>
  <c r="AR45" i="49"/>
  <c r="AR80" i="49" s="1"/>
  <c r="AP98" i="56"/>
  <c r="AP117" i="56"/>
  <c r="AP85" i="56"/>
  <c r="AQ76" i="55"/>
  <c r="AQ75" i="54"/>
  <c r="AP93" i="54"/>
  <c r="AP112" i="54" s="1"/>
  <c r="AP121" i="54"/>
  <c r="AP119" i="54"/>
  <c r="AP91" i="54"/>
  <c r="U28" i="54"/>
  <c r="T31" i="54"/>
  <c r="AR28" i="54"/>
  <c r="AR109" i="54"/>
  <c r="AS109" i="54"/>
  <c r="X35" i="49"/>
  <c r="AU35" i="49"/>
  <c r="X58" i="55"/>
  <c r="AU58" i="55"/>
  <c r="X57" i="56"/>
  <c r="AU57" i="56"/>
  <c r="W16" i="56"/>
  <c r="AT16" i="56"/>
  <c r="X45" i="15"/>
  <c r="W51" i="15"/>
  <c r="AU45" i="15"/>
  <c r="AU80" i="15" s="1"/>
  <c r="AT82" i="55"/>
  <c r="AT84" i="55"/>
  <c r="AT102" i="55" s="1"/>
  <c r="AT55" i="48"/>
  <c r="AT80" i="48" s="1"/>
  <c r="AT98" i="48" s="1"/>
  <c r="W55" i="48"/>
  <c r="W46" i="54"/>
  <c r="AT46" i="54"/>
  <c r="AT81" i="54" s="1"/>
  <c r="AT99" i="54" s="1"/>
  <c r="X16" i="15"/>
  <c r="AU16" i="15"/>
  <c r="AU72" i="15" s="1"/>
  <c r="W21" i="15"/>
  <c r="AS90" i="48"/>
  <c r="W16" i="48"/>
  <c r="AT16" i="48"/>
  <c r="AT72" i="48" s="1"/>
  <c r="W17" i="50"/>
  <c r="AT17" i="50"/>
  <c r="AT73" i="50" s="1"/>
  <c r="AT91" i="50" s="1"/>
  <c r="X60" i="51"/>
  <c r="AU60" i="51"/>
  <c r="W26" i="50"/>
  <c r="AT26" i="50"/>
  <c r="X56" i="53"/>
  <c r="AU56" i="53"/>
  <c r="AS121" i="56"/>
  <c r="AT82" i="56"/>
  <c r="AT100" i="56" s="1"/>
  <c r="Y15" i="51"/>
  <c r="AV15" i="51"/>
  <c r="X21" i="51"/>
  <c r="AU89" i="55"/>
  <c r="AV35" i="55"/>
  <c r="AV71" i="55" s="1"/>
  <c r="Y35" i="55"/>
  <c r="X48" i="56"/>
  <c r="AU48" i="56"/>
  <c r="AS100" i="56"/>
  <c r="AU46" i="50"/>
  <c r="X46" i="50"/>
  <c r="AU93" i="50"/>
  <c r="BB83" i="50"/>
  <c r="AW92" i="55"/>
  <c r="AX9" i="55"/>
  <c r="AX74" i="55" s="1"/>
  <c r="AA9" i="55"/>
  <c r="BA102" i="53"/>
  <c r="BA102" i="15"/>
  <c r="BA101" i="15"/>
  <c r="AZ92" i="50"/>
  <c r="AZ92" i="52"/>
  <c r="AZ100" i="49"/>
  <c r="AZ101" i="54"/>
  <c r="AZ93" i="55"/>
  <c r="AZ101" i="49"/>
  <c r="AZ101" i="56"/>
  <c r="AZ102" i="54"/>
  <c r="AZ101" i="53"/>
  <c r="AZ93" i="51"/>
  <c r="AZ100" i="15"/>
  <c r="AZ101" i="48"/>
  <c r="AZ92" i="56"/>
  <c r="AZ100" i="51"/>
  <c r="AZ93" i="15"/>
  <c r="AZ112" i="15" s="1"/>
  <c r="AZ101" i="52"/>
  <c r="AZ101" i="50"/>
  <c r="AZ102" i="48"/>
  <c r="AZ102" i="49"/>
  <c r="AZ100" i="50"/>
  <c r="AZ102" i="50"/>
  <c r="AZ93" i="53"/>
  <c r="AZ112" i="53" s="1"/>
  <c r="AV92" i="53"/>
  <c r="AV111" i="53" s="1"/>
  <c r="AW73" i="15"/>
  <c r="AW119" i="15" s="1"/>
  <c r="BB84" i="54"/>
  <c r="BB102" i="54" s="1"/>
  <c r="BB84" i="48"/>
  <c r="BB102" i="48" s="1"/>
  <c r="Z18" i="50"/>
  <c r="AW18" i="50"/>
  <c r="AV120" i="54"/>
  <c r="AV92" i="54"/>
  <c r="AV111" i="54" s="1"/>
  <c r="AW92" i="53"/>
  <c r="AW111" i="53" s="1"/>
  <c r="AW120" i="53"/>
  <c r="Z39" i="54"/>
  <c r="AW39" i="54"/>
  <c r="AW74" i="54" s="1"/>
  <c r="AA39" i="53"/>
  <c r="AX39" i="53"/>
  <c r="AX74" i="53" s="1"/>
  <c r="AX25" i="55"/>
  <c r="AA25" i="55"/>
  <c r="AA60" i="55"/>
  <c r="AX60" i="55"/>
  <c r="AX17" i="15"/>
  <c r="AA17" i="15"/>
  <c r="AX26" i="53"/>
  <c r="AA26" i="53"/>
  <c r="Z31" i="53"/>
  <c r="AA17" i="53"/>
  <c r="AX17" i="53"/>
  <c r="AX73" i="53" s="1"/>
  <c r="Z28" i="50"/>
  <c r="AW28" i="50"/>
  <c r="AW25" i="56"/>
  <c r="AW71" i="56" s="1"/>
  <c r="AW89" i="56" s="1"/>
  <c r="Z25" i="56"/>
  <c r="Z56" i="52"/>
  <c r="AW56" i="52"/>
  <c r="AW81" i="52" s="1"/>
  <c r="AW99" i="52" s="1"/>
  <c r="AX45" i="55"/>
  <c r="AA45" i="55"/>
  <c r="AA28" i="49"/>
  <c r="AX28" i="49"/>
  <c r="Z6" i="48"/>
  <c r="AW6" i="48"/>
  <c r="AX45" i="51"/>
  <c r="AX80" i="51" s="1"/>
  <c r="AA45" i="51"/>
  <c r="AX6" i="53"/>
  <c r="AA6" i="53"/>
  <c r="AX55" i="15"/>
  <c r="AA55" i="15"/>
  <c r="AA17" i="55"/>
  <c r="AX17" i="55"/>
  <c r="AA17" i="51"/>
  <c r="AX17" i="51"/>
  <c r="AW100" i="53"/>
  <c r="Z6" i="54"/>
  <c r="AW6" i="54"/>
  <c r="Z37" i="48"/>
  <c r="AW37" i="48"/>
  <c r="AV100" i="54"/>
  <c r="AA6" i="51"/>
  <c r="AX6" i="51"/>
  <c r="Z17" i="52"/>
  <c r="AW17" i="52"/>
  <c r="AA46" i="49"/>
  <c r="AX46" i="49"/>
  <c r="AA37" i="15"/>
  <c r="AX37" i="15"/>
  <c r="Z17" i="54"/>
  <c r="AW17" i="54"/>
  <c r="AA19" i="49"/>
  <c r="AX19" i="49"/>
  <c r="AX74" i="49" s="1"/>
  <c r="Z26" i="52"/>
  <c r="AW26" i="52"/>
  <c r="AA6" i="15"/>
  <c r="AX6" i="15"/>
  <c r="Z57" i="54"/>
  <c r="AW57" i="54"/>
  <c r="AW82" i="54" s="1"/>
  <c r="AW100" i="54" s="1"/>
  <c r="AW98" i="51"/>
  <c r="Z26" i="54"/>
  <c r="AW26" i="54"/>
  <c r="AW38" i="52"/>
  <c r="Z38" i="52"/>
  <c r="AW91" i="53"/>
  <c r="AW119" i="53"/>
  <c r="Z6" i="52"/>
  <c r="AW6" i="52"/>
  <c r="AV75" i="50"/>
  <c r="AW73" i="49"/>
  <c r="AW119" i="49" s="1"/>
  <c r="AW75" i="49"/>
  <c r="AW121" i="49" s="1"/>
  <c r="AA57" i="53"/>
  <c r="AX57" i="53"/>
  <c r="AX82" i="53" s="1"/>
  <c r="Z27" i="48"/>
  <c r="AW27" i="48"/>
  <c r="AW35" i="50"/>
  <c r="Z35" i="50"/>
  <c r="AA26" i="51"/>
  <c r="AX26" i="51"/>
  <c r="Z31" i="51"/>
  <c r="AA37" i="55"/>
  <c r="AX37" i="55"/>
  <c r="Z37" i="56"/>
  <c r="AW37" i="56"/>
  <c r="AV93" i="55"/>
  <c r="AS119" i="50"/>
  <c r="AK113" i="51"/>
  <c r="AM113" i="49"/>
  <c r="AL113" i="49"/>
  <c r="AK113" i="52"/>
  <c r="AJ113" i="50"/>
  <c r="AL113" i="52"/>
  <c r="AM113" i="50"/>
  <c r="AM113" i="51"/>
  <c r="AI113" i="49"/>
  <c r="AI113" i="51"/>
  <c r="AK113" i="49"/>
  <c r="AJ113" i="52"/>
  <c r="AL113" i="51"/>
  <c r="AL113" i="50"/>
  <c r="AJ113" i="51"/>
  <c r="AO113" i="49"/>
  <c r="AI113" i="52"/>
  <c r="AN113" i="51"/>
  <c r="AN113" i="49"/>
  <c r="AJ113" i="49"/>
  <c r="AI113" i="50"/>
  <c r="AN113" i="50"/>
  <c r="BA101" i="49"/>
  <c r="AZ121" i="15"/>
  <c r="AK113" i="50"/>
  <c r="AL113" i="54"/>
  <c r="AM113" i="52"/>
  <c r="D25" i="3"/>
  <c r="H25" i="3" s="1"/>
  <c r="AZ121" i="53"/>
  <c r="BB121" i="51"/>
  <c r="BB93" i="51"/>
  <c r="AS100" i="15"/>
  <c r="AS110" i="15" s="1"/>
  <c r="BB74" i="50"/>
  <c r="BB75" i="55"/>
  <c r="BB93" i="55" s="1"/>
  <c r="BB74" i="51"/>
  <c r="BB83" i="52"/>
  <c r="BB121" i="53"/>
  <c r="BB93" i="53"/>
  <c r="BB112" i="53" s="1"/>
  <c r="BB93" i="15"/>
  <c r="BB112" i="15" s="1"/>
  <c r="BB121" i="15"/>
  <c r="BB82" i="15"/>
  <c r="BB100" i="15" s="1"/>
  <c r="BB74" i="56"/>
  <c r="BB92" i="56" s="1"/>
  <c r="BB82" i="51"/>
  <c r="BB100" i="51" s="1"/>
  <c r="BB82" i="49"/>
  <c r="BB100" i="49" s="1"/>
  <c r="BB84" i="50"/>
  <c r="BB74" i="52"/>
  <c r="BB83" i="48"/>
  <c r="BB101" i="48" s="1"/>
  <c r="BB84" i="55"/>
  <c r="BB102" i="55" s="1"/>
  <c r="BB83" i="54"/>
  <c r="BB101" i="54" s="1"/>
  <c r="BB81" i="54"/>
  <c r="BB99" i="54" s="1"/>
  <c r="AU91" i="15"/>
  <c r="AU110" i="15" s="1"/>
  <c r="AS98" i="51"/>
  <c r="AT92" i="53"/>
  <c r="AT111" i="53" s="1"/>
  <c r="AU92" i="50"/>
  <c r="AU111" i="50" s="1"/>
  <c r="AS120" i="49"/>
  <c r="AT120" i="56"/>
  <c r="AU92" i="15"/>
  <c r="AU111" i="15" s="1"/>
  <c r="AT100" i="51"/>
  <c r="AS120" i="15"/>
  <c r="AS121" i="53"/>
  <c r="AS99" i="49"/>
  <c r="AV90" i="54"/>
  <c r="AT111" i="15"/>
  <c r="AS120" i="56"/>
  <c r="AU101" i="52"/>
  <c r="AU111" i="52" s="1"/>
  <c r="AU120" i="54"/>
  <c r="AU92" i="51"/>
  <c r="AS118" i="54"/>
  <c r="AZ120" i="50"/>
  <c r="AX46" i="14"/>
  <c r="AT119" i="51"/>
  <c r="AT92" i="52"/>
  <c r="AT111" i="52" s="1"/>
  <c r="AV101" i="52"/>
  <c r="AV111" i="52" s="1"/>
  <c r="AT91" i="51"/>
  <c r="AV119" i="53"/>
  <c r="AW92" i="49"/>
  <c r="AW111" i="49" s="1"/>
  <c r="AS111" i="50"/>
  <c r="AV100" i="50"/>
  <c r="AS98" i="15"/>
  <c r="AW100" i="50"/>
  <c r="AY93" i="56"/>
  <c r="AS121" i="15"/>
  <c r="AT120" i="52"/>
  <c r="AU93" i="53"/>
  <c r="AU112" i="53" s="1"/>
  <c r="AT120" i="15"/>
  <c r="AV121" i="49"/>
  <c r="AU91" i="51"/>
  <c r="BA100" i="51"/>
  <c r="AS100" i="49"/>
  <c r="AS110" i="49" s="1"/>
  <c r="AT111" i="56"/>
  <c r="AU100" i="50"/>
  <c r="AT93" i="50"/>
  <c r="AT121" i="51"/>
  <c r="AU121" i="15"/>
  <c r="AS93" i="56"/>
  <c r="AS112" i="56" s="1"/>
  <c r="AT93" i="55"/>
  <c r="AT92" i="54"/>
  <c r="AT111" i="54" s="1"/>
  <c r="AY92" i="15"/>
  <c r="AY111" i="15" s="1"/>
  <c r="AU92" i="53"/>
  <c r="AU111" i="53" s="1"/>
  <c r="AU93" i="49"/>
  <c r="AU112" i="49" s="1"/>
  <c r="AS120" i="50"/>
  <c r="AT92" i="49"/>
  <c r="AT111" i="49" s="1"/>
  <c r="AU91" i="53"/>
  <c r="AU110" i="53" s="1"/>
  <c r="AS120" i="53"/>
  <c r="AV93" i="49"/>
  <c r="AV112" i="49" s="1"/>
  <c r="AT92" i="55"/>
  <c r="AS121" i="50"/>
  <c r="AU121" i="49"/>
  <c r="AS111" i="53"/>
  <c r="AS112" i="50"/>
  <c r="AS121" i="55"/>
  <c r="AT101" i="50"/>
  <c r="AT99" i="52"/>
  <c r="AS112" i="55"/>
  <c r="AU99" i="52"/>
  <c r="AS110" i="53"/>
  <c r="AV99" i="52"/>
  <c r="AS111" i="49"/>
  <c r="AS119" i="49"/>
  <c r="AS89" i="55"/>
  <c r="AT93" i="51"/>
  <c r="AS119" i="53"/>
  <c r="AV119" i="15"/>
  <c r="BA83" i="48"/>
  <c r="BA101" i="48" s="1"/>
  <c r="AT92" i="51"/>
  <c r="AV110" i="15"/>
  <c r="AT110" i="15"/>
  <c r="AC25" i="53"/>
  <c r="AZ25" i="53"/>
  <c r="AY35" i="48"/>
  <c r="AB35" i="48"/>
  <c r="AC15" i="49"/>
  <c r="AZ15" i="49"/>
  <c r="AY5" i="50"/>
  <c r="AB5" i="50"/>
  <c r="AY41" i="14"/>
  <c r="AY11" i="14"/>
  <c r="AY45" i="14" s="1"/>
  <c r="AT93" i="49"/>
  <c r="AT121" i="49"/>
  <c r="AY54" i="14"/>
  <c r="AY55" i="56"/>
  <c r="AB55" i="56"/>
  <c r="AZ54" i="14"/>
  <c r="AC5" i="56"/>
  <c r="AZ5" i="56"/>
  <c r="AC39" i="15"/>
  <c r="AZ39" i="15"/>
  <c r="AZ74" i="15" s="1"/>
  <c r="AT90" i="54"/>
  <c r="AS91" i="50"/>
  <c r="AS110" i="50" s="1"/>
  <c r="AY25" i="54"/>
  <c r="AB25" i="54"/>
  <c r="AZ25" i="51"/>
  <c r="AC25" i="51"/>
  <c r="AU92" i="56"/>
  <c r="AU111" i="56" s="1"/>
  <c r="AU120" i="56"/>
  <c r="AB55" i="52"/>
  <c r="AY55" i="52"/>
  <c r="AY15" i="56"/>
  <c r="AB15" i="56"/>
  <c r="AT89" i="56"/>
  <c r="AY45" i="48"/>
  <c r="AB45" i="48"/>
  <c r="AB25" i="52"/>
  <c r="AY25" i="52"/>
  <c r="AC55" i="49"/>
  <c r="AZ55" i="49"/>
  <c r="AZ80" i="49" s="1"/>
  <c r="AC55" i="51"/>
  <c r="AZ55" i="51"/>
  <c r="AS102" i="49"/>
  <c r="AS112" i="49" s="1"/>
  <c r="AT102" i="49"/>
  <c r="AB35" i="56"/>
  <c r="AY35" i="56"/>
  <c r="AC15" i="55"/>
  <c r="AZ15" i="55"/>
  <c r="AC25" i="15"/>
  <c r="AZ25" i="15"/>
  <c r="AB31" i="15"/>
  <c r="AU89" i="56"/>
  <c r="AC15" i="15"/>
  <c r="AZ15" i="15"/>
  <c r="AB35" i="52"/>
  <c r="AY35" i="52"/>
  <c r="AT91" i="49"/>
  <c r="AT110" i="49" s="1"/>
  <c r="AT119" i="49"/>
  <c r="AT93" i="56"/>
  <c r="AT112" i="56" s="1"/>
  <c r="AT121" i="56"/>
  <c r="AC5" i="55"/>
  <c r="AZ5" i="55"/>
  <c r="AT119" i="15"/>
  <c r="AB55" i="50"/>
  <c r="AY55" i="50"/>
  <c r="AB15" i="50"/>
  <c r="AY15" i="50"/>
  <c r="AY5" i="52"/>
  <c r="AB5" i="52"/>
  <c r="AZ50" i="49"/>
  <c r="AC50" i="49"/>
  <c r="AZ35" i="51"/>
  <c r="AC35" i="51"/>
  <c r="AZ35" i="53"/>
  <c r="AC35" i="53"/>
  <c r="AZ5" i="49"/>
  <c r="AC5" i="49"/>
  <c r="AZ41" i="14"/>
  <c r="AZ11" i="14"/>
  <c r="AZ45" i="14" s="1"/>
  <c r="AY15" i="48"/>
  <c r="AB15" i="48"/>
  <c r="AY35" i="54"/>
  <c r="AB35" i="54"/>
  <c r="AY25" i="48"/>
  <c r="AB25" i="48"/>
  <c r="AC15" i="53"/>
  <c r="AZ15" i="53"/>
  <c r="AT92" i="50"/>
  <c r="AS121" i="49"/>
  <c r="AU92" i="49"/>
  <c r="AU111" i="49" s="1"/>
  <c r="AU120" i="49"/>
  <c r="AS100" i="51"/>
  <c r="AS110" i="51" s="1"/>
  <c r="AS119" i="51"/>
  <c r="AT102" i="50"/>
  <c r="AT121" i="50"/>
  <c r="AU102" i="50"/>
  <c r="AU102" i="51"/>
  <c r="AU112" i="51" s="1"/>
  <c r="AV102" i="51"/>
  <c r="AV112" i="51" s="1"/>
  <c r="AU121" i="51"/>
  <c r="AT102" i="48"/>
  <c r="AV92" i="49"/>
  <c r="AV111" i="49" s="1"/>
  <c r="AT102" i="54"/>
  <c r="AU100" i="51"/>
  <c r="AU119" i="51"/>
  <c r="AV100" i="51"/>
  <c r="AV90" i="51"/>
  <c r="AU119" i="49"/>
  <c r="AU91" i="49"/>
  <c r="AU110" i="49" s="1"/>
  <c r="AU90" i="54"/>
  <c r="AT100" i="54"/>
  <c r="AT121" i="53"/>
  <c r="AT93" i="53"/>
  <c r="AT112" i="53" s="1"/>
  <c r="AS102" i="51"/>
  <c r="AS112" i="51" s="1"/>
  <c r="AS121" i="51"/>
  <c r="AT102" i="51"/>
  <c r="AT90" i="51"/>
  <c r="AU90" i="51"/>
  <c r="AT121" i="15"/>
  <c r="AT93" i="15"/>
  <c r="AT112" i="15" s="1"/>
  <c r="AV119" i="49"/>
  <c r="AV91" i="49"/>
  <c r="AV110" i="49" s="1"/>
  <c r="AT119" i="53"/>
  <c r="AT91" i="53"/>
  <c r="AT110" i="53" s="1"/>
  <c r="AT100" i="50"/>
  <c r="AZ92" i="51"/>
  <c r="BA83" i="50"/>
  <c r="BA101" i="50" s="1"/>
  <c r="AZ120" i="52"/>
  <c r="AD60" i="53"/>
  <c r="BA74" i="50"/>
  <c r="BA74" i="51"/>
  <c r="BA92" i="51" s="1"/>
  <c r="AZ75" i="56"/>
  <c r="BA84" i="54"/>
  <c r="BA102" i="54" s="1"/>
  <c r="BA93" i="51"/>
  <c r="BA83" i="52"/>
  <c r="BA101" i="52" s="1"/>
  <c r="BA84" i="48"/>
  <c r="BA102" i="48" s="1"/>
  <c r="BA75" i="55"/>
  <c r="BA93" i="55" s="1"/>
  <c r="BA84" i="49"/>
  <c r="BA102" i="49" s="1"/>
  <c r="BA100" i="49"/>
  <c r="BA121" i="15"/>
  <c r="BA93" i="15"/>
  <c r="BA121" i="53"/>
  <c r="BA93" i="53"/>
  <c r="BB101" i="49"/>
  <c r="BB82" i="55"/>
  <c r="AZ82" i="52"/>
  <c r="AZ102" i="51"/>
  <c r="AZ121" i="51"/>
  <c r="BA74" i="52"/>
  <c r="BA92" i="52" s="1"/>
  <c r="BA84" i="50"/>
  <c r="BA102" i="50" s="1"/>
  <c r="BA82" i="15"/>
  <c r="BA100" i="15" s="1"/>
  <c r="AZ75" i="48"/>
  <c r="AZ75" i="54"/>
  <c r="BB82" i="50"/>
  <c r="BA83" i="54"/>
  <c r="BA101" i="54" s="1"/>
  <c r="AZ120" i="56"/>
  <c r="BA84" i="51"/>
  <c r="BA82" i="50"/>
  <c r="BA100" i="50" s="1"/>
  <c r="BA74" i="56"/>
  <c r="BA92" i="56" s="1"/>
  <c r="BA38" i="50"/>
  <c r="AD38" i="50"/>
  <c r="BB38" i="50" s="1"/>
  <c r="AD38" i="56"/>
  <c r="BB38" i="56" s="1"/>
  <c r="BA38" i="56"/>
  <c r="BA18" i="48"/>
  <c r="AD18" i="48"/>
  <c r="BB18" i="48" s="1"/>
  <c r="AD47" i="56"/>
  <c r="BB47" i="56" s="1"/>
  <c r="BA47" i="56"/>
  <c r="BA38" i="48"/>
  <c r="AD38" i="48"/>
  <c r="BB38" i="48" s="1"/>
  <c r="AD40" i="56"/>
  <c r="BB40" i="56" s="1"/>
  <c r="BA40" i="56"/>
  <c r="BA36" i="54"/>
  <c r="AD36" i="54"/>
  <c r="BB36" i="54" s="1"/>
  <c r="BA38" i="54"/>
  <c r="AD38" i="54"/>
  <c r="BB38" i="54" s="1"/>
  <c r="BA8" i="54"/>
  <c r="AD8" i="54"/>
  <c r="BB8" i="54" s="1"/>
  <c r="AD28" i="56"/>
  <c r="BB28" i="56" s="1"/>
  <c r="BA28" i="56"/>
  <c r="BA16" i="54"/>
  <c r="AD16" i="54"/>
  <c r="BB16" i="54" s="1"/>
  <c r="AD18" i="52"/>
  <c r="BB18" i="52" s="1"/>
  <c r="BA18" i="52"/>
  <c r="AD26" i="48"/>
  <c r="BB26" i="48" s="1"/>
  <c r="BA26" i="48"/>
  <c r="BA16" i="52"/>
  <c r="AD16" i="52"/>
  <c r="BB16" i="52" s="1"/>
  <c r="BA60" i="52"/>
  <c r="AD60" i="52"/>
  <c r="BB60" i="52" s="1"/>
  <c r="BA40" i="52"/>
  <c r="AD40" i="52"/>
  <c r="BB40" i="52" s="1"/>
  <c r="BA59" i="56"/>
  <c r="BA83" i="56" s="1"/>
  <c r="BA101" i="56" s="1"/>
  <c r="AD59" i="56"/>
  <c r="BB59" i="56" s="1"/>
  <c r="BB83" i="56" s="1"/>
  <c r="BB101" i="56" s="1"/>
  <c r="BA7" i="54"/>
  <c r="AD7" i="54"/>
  <c r="BB7" i="54" s="1"/>
  <c r="AD18" i="56"/>
  <c r="BB18" i="56" s="1"/>
  <c r="BA18" i="56"/>
  <c r="AD46" i="56"/>
  <c r="BB46" i="56" s="1"/>
  <c r="BA46" i="56"/>
  <c r="BA8" i="50"/>
  <c r="AD8" i="50"/>
  <c r="BB8" i="50" s="1"/>
  <c r="AD18" i="54"/>
  <c r="BB18" i="54" s="1"/>
  <c r="BA18" i="54"/>
  <c r="AD50" i="56"/>
  <c r="BB50" i="56" s="1"/>
  <c r="BA50" i="56"/>
  <c r="AD8" i="52"/>
  <c r="BB8" i="52" s="1"/>
  <c r="BA8" i="52"/>
  <c r="BA50" i="52"/>
  <c r="AD50" i="52"/>
  <c r="BB50" i="52" s="1"/>
  <c r="BA26" i="56"/>
  <c r="AD26" i="56"/>
  <c r="BB26" i="56" s="1"/>
  <c r="AK52" i="5"/>
  <c r="AM37" i="5"/>
  <c r="AM19" i="5"/>
  <c r="AM9" i="5"/>
  <c r="AP91" i="56" l="1"/>
  <c r="AP110" i="56" s="1"/>
  <c r="AS118" i="15"/>
  <c r="AS120" i="55"/>
  <c r="AS85" i="15"/>
  <c r="Z16" i="55"/>
  <c r="AW16" i="55"/>
  <c r="Y21" i="55"/>
  <c r="AP122" i="51"/>
  <c r="AR109" i="15"/>
  <c r="AR103" i="15"/>
  <c r="W56" i="15"/>
  <c r="V61" i="15"/>
  <c r="AT56" i="15"/>
  <c r="AT81" i="15" s="1"/>
  <c r="AQ103" i="53"/>
  <c r="U59" i="51"/>
  <c r="AR59" i="51"/>
  <c r="AR83" i="51" s="1"/>
  <c r="T61" i="51"/>
  <c r="AP109" i="51"/>
  <c r="AP103" i="51"/>
  <c r="U46" i="51"/>
  <c r="T51" i="51"/>
  <c r="AR46" i="51"/>
  <c r="AR81" i="51" s="1"/>
  <c r="AQ101" i="51"/>
  <c r="AQ111" i="51" s="1"/>
  <c r="AQ120" i="51"/>
  <c r="AQ85" i="51"/>
  <c r="AQ99" i="51"/>
  <c r="AQ118" i="51"/>
  <c r="AQ72" i="50"/>
  <c r="AQ90" i="50" s="1"/>
  <c r="AQ109" i="50" s="1"/>
  <c r="AP122" i="55"/>
  <c r="AR72" i="53"/>
  <c r="AR76" i="53" s="1"/>
  <c r="AP89" i="54"/>
  <c r="AP108" i="54" s="1"/>
  <c r="AP117" i="54"/>
  <c r="AP122" i="54" s="1"/>
  <c r="AP76" i="54"/>
  <c r="AP73" i="48"/>
  <c r="AQ85" i="53"/>
  <c r="AN122" i="48"/>
  <c r="AQ117" i="15"/>
  <c r="AQ122" i="15" s="1"/>
  <c r="AQ76" i="15"/>
  <c r="AQ89" i="15"/>
  <c r="U5" i="51"/>
  <c r="T11" i="51"/>
  <c r="AR5" i="51"/>
  <c r="AR71" i="51" s="1"/>
  <c r="U50" i="53"/>
  <c r="T51" i="53"/>
  <c r="AR50" i="53"/>
  <c r="AR81" i="53" s="1"/>
  <c r="AR99" i="53" s="1"/>
  <c r="AO119" i="48"/>
  <c r="AO122" i="48" s="1"/>
  <c r="AO91" i="48"/>
  <c r="AO76" i="48"/>
  <c r="AO122" i="54"/>
  <c r="U35" i="15"/>
  <c r="T41" i="15"/>
  <c r="AR35" i="15"/>
  <c r="AR71" i="15" s="1"/>
  <c r="AQ72" i="56"/>
  <c r="AQ90" i="56" s="1"/>
  <c r="U46" i="55"/>
  <c r="T51" i="55"/>
  <c r="AR46" i="55"/>
  <c r="AR81" i="55" s="1"/>
  <c r="AP93" i="48"/>
  <c r="AP112" i="48" s="1"/>
  <c r="AP121" i="48"/>
  <c r="AQ117" i="51"/>
  <c r="AQ89" i="51"/>
  <c r="AQ76" i="51"/>
  <c r="AQ98" i="55"/>
  <c r="AQ85" i="55"/>
  <c r="AQ117" i="55"/>
  <c r="AP108" i="51"/>
  <c r="AP94" i="51"/>
  <c r="AN110" i="48"/>
  <c r="AN113" i="48" s="1"/>
  <c r="AN94" i="48"/>
  <c r="AP108" i="15"/>
  <c r="AP113" i="15" s="1"/>
  <c r="AP94" i="15"/>
  <c r="AQ99" i="55"/>
  <c r="AQ109" i="55" s="1"/>
  <c r="AQ118" i="55"/>
  <c r="U55" i="55"/>
  <c r="AR55" i="55"/>
  <c r="AR80" i="55" s="1"/>
  <c r="T61" i="55"/>
  <c r="T28" i="48"/>
  <c r="S31" i="48"/>
  <c r="AQ28" i="48"/>
  <c r="AQ75" i="48" s="1"/>
  <c r="AP108" i="55"/>
  <c r="AP113" i="55" s="1"/>
  <c r="AP103" i="55"/>
  <c r="AO94" i="54"/>
  <c r="AO108" i="54"/>
  <c r="AO113" i="54" s="1"/>
  <c r="T15" i="54"/>
  <c r="S21" i="54"/>
  <c r="AQ15" i="54"/>
  <c r="AQ71" i="54" s="1"/>
  <c r="AO110" i="52"/>
  <c r="AO113" i="52" s="1"/>
  <c r="AO94" i="52"/>
  <c r="AO109" i="50"/>
  <c r="AO113" i="50" s="1"/>
  <c r="AO94" i="50"/>
  <c r="AS72" i="55"/>
  <c r="AS90" i="55" s="1"/>
  <c r="AQ73" i="56"/>
  <c r="AQ119" i="56" s="1"/>
  <c r="AR111" i="55"/>
  <c r="W59" i="55"/>
  <c r="AT59" i="55"/>
  <c r="AT83" i="55" s="1"/>
  <c r="AQ73" i="52"/>
  <c r="AQ76" i="52" s="1"/>
  <c r="AR72" i="49"/>
  <c r="AR90" i="49" s="1"/>
  <c r="AR109" i="49" s="1"/>
  <c r="V57" i="48"/>
  <c r="AS57" i="48"/>
  <c r="AS82" i="48" s="1"/>
  <c r="AS100" i="48" s="1"/>
  <c r="U61" i="48"/>
  <c r="AU56" i="49"/>
  <c r="AU81" i="49" s="1"/>
  <c r="AU99" i="49" s="1"/>
  <c r="W61" i="49"/>
  <c r="X56" i="49"/>
  <c r="AQ98" i="54"/>
  <c r="AQ103" i="54" s="1"/>
  <c r="AQ85" i="54"/>
  <c r="AQ90" i="49"/>
  <c r="AQ109" i="49" s="1"/>
  <c r="AQ118" i="49"/>
  <c r="AQ122" i="49" s="1"/>
  <c r="AP108" i="52"/>
  <c r="V36" i="49"/>
  <c r="AS36" i="49"/>
  <c r="U41" i="49"/>
  <c r="AP103" i="56"/>
  <c r="AP108" i="56"/>
  <c r="AR36" i="50"/>
  <c r="U36" i="50"/>
  <c r="T41" i="50"/>
  <c r="U11" i="48"/>
  <c r="V5" i="48"/>
  <c r="AS5" i="48"/>
  <c r="AS71" i="48" s="1"/>
  <c r="V36" i="53"/>
  <c r="U41" i="53"/>
  <c r="AS36" i="53"/>
  <c r="U39" i="48"/>
  <c r="T41" i="48"/>
  <c r="AR39" i="48"/>
  <c r="AR74" i="48" s="1"/>
  <c r="V5" i="53"/>
  <c r="U11" i="53"/>
  <c r="AS5" i="53"/>
  <c r="AS71" i="53" s="1"/>
  <c r="AQ76" i="49"/>
  <c r="AP103" i="48"/>
  <c r="AP109" i="48"/>
  <c r="V58" i="52"/>
  <c r="U61" i="52"/>
  <c r="AS58" i="52"/>
  <c r="U45" i="56"/>
  <c r="AR45" i="56"/>
  <c r="AR80" i="56" s="1"/>
  <c r="T51" i="56"/>
  <c r="Z7" i="51"/>
  <c r="AW7" i="51"/>
  <c r="AW73" i="51" s="1"/>
  <c r="AP91" i="52"/>
  <c r="AP110" i="52" s="1"/>
  <c r="AP119" i="52"/>
  <c r="AP122" i="52" s="1"/>
  <c r="U45" i="50"/>
  <c r="AR45" i="50"/>
  <c r="AR80" i="50" s="1"/>
  <c r="T51" i="50"/>
  <c r="V5" i="15"/>
  <c r="U11" i="15"/>
  <c r="AS5" i="15"/>
  <c r="V25" i="49"/>
  <c r="U31" i="49"/>
  <c r="AS25" i="49"/>
  <c r="AS71" i="49" s="1"/>
  <c r="AQ89" i="52"/>
  <c r="AQ117" i="52"/>
  <c r="T41" i="52"/>
  <c r="AR36" i="52"/>
  <c r="AR72" i="52" s="1"/>
  <c r="U36" i="52"/>
  <c r="V55" i="54"/>
  <c r="U61" i="54"/>
  <c r="AS55" i="54"/>
  <c r="U6" i="50"/>
  <c r="T11" i="50"/>
  <c r="AR6" i="50"/>
  <c r="V45" i="49"/>
  <c r="U51" i="49"/>
  <c r="AS45" i="49"/>
  <c r="AS80" i="49" s="1"/>
  <c r="T51" i="48"/>
  <c r="U46" i="48"/>
  <c r="AR46" i="48"/>
  <c r="AR81" i="48" s="1"/>
  <c r="V16" i="49"/>
  <c r="U21" i="49"/>
  <c r="AS16" i="49"/>
  <c r="AR98" i="49"/>
  <c r="AR103" i="49" s="1"/>
  <c r="AR85" i="49"/>
  <c r="T11" i="52"/>
  <c r="U7" i="52"/>
  <c r="AR7" i="52"/>
  <c r="V27" i="55"/>
  <c r="U31" i="55"/>
  <c r="AS27" i="55"/>
  <c r="AS73" i="55" s="1"/>
  <c r="AP118" i="56"/>
  <c r="AP122" i="56" s="1"/>
  <c r="AP76" i="56"/>
  <c r="AP90" i="56"/>
  <c r="AR98" i="53"/>
  <c r="U45" i="54"/>
  <c r="AR45" i="54"/>
  <c r="AR80" i="54" s="1"/>
  <c r="T51" i="54"/>
  <c r="AQ117" i="50"/>
  <c r="AQ89" i="50"/>
  <c r="AQ108" i="49"/>
  <c r="U28" i="52"/>
  <c r="T31" i="52"/>
  <c r="AR28" i="52"/>
  <c r="AR75" i="52" s="1"/>
  <c r="U60" i="56"/>
  <c r="AR60" i="56"/>
  <c r="AR81" i="56" s="1"/>
  <c r="AR99" i="56" s="1"/>
  <c r="T61" i="56"/>
  <c r="AQ98" i="52"/>
  <c r="AQ103" i="52" s="1"/>
  <c r="AQ85" i="52"/>
  <c r="AP108" i="50"/>
  <c r="AR56" i="50"/>
  <c r="AR81" i="50" s="1"/>
  <c r="AR99" i="50" s="1"/>
  <c r="U56" i="50"/>
  <c r="T61" i="50"/>
  <c r="AP118" i="50"/>
  <c r="AP122" i="50" s="1"/>
  <c r="AP90" i="50"/>
  <c r="AP109" i="50" s="1"/>
  <c r="AQ110" i="55"/>
  <c r="AQ94" i="55"/>
  <c r="U36" i="56"/>
  <c r="T41" i="56"/>
  <c r="AR36" i="56"/>
  <c r="AA36" i="51"/>
  <c r="AX36" i="51"/>
  <c r="AX72" i="51" s="1"/>
  <c r="Z41" i="51"/>
  <c r="AW45" i="53"/>
  <c r="Z45" i="53"/>
  <c r="AQ108" i="53"/>
  <c r="AQ99" i="48"/>
  <c r="AQ118" i="48"/>
  <c r="AQ85" i="48"/>
  <c r="AQ118" i="52"/>
  <c r="AQ90" i="52"/>
  <c r="AQ109" i="52" s="1"/>
  <c r="W36" i="55"/>
  <c r="V41" i="55"/>
  <c r="AT36" i="55"/>
  <c r="U17" i="48"/>
  <c r="AR17" i="48"/>
  <c r="T21" i="48"/>
  <c r="U16" i="50"/>
  <c r="AR16" i="50"/>
  <c r="T21" i="50"/>
  <c r="AR91" i="55"/>
  <c r="AR110" i="55" s="1"/>
  <c r="AR119" i="55"/>
  <c r="W6" i="55"/>
  <c r="V11" i="55"/>
  <c r="AT6" i="55"/>
  <c r="AR76" i="55"/>
  <c r="AQ85" i="56"/>
  <c r="AQ117" i="56"/>
  <c r="AQ98" i="56"/>
  <c r="AV91" i="51"/>
  <c r="AV110" i="51" s="1"/>
  <c r="AO110" i="56"/>
  <c r="AO113" i="56" s="1"/>
  <c r="AO94" i="56"/>
  <c r="AR89" i="48"/>
  <c r="AR117" i="48"/>
  <c r="V55" i="53"/>
  <c r="AS55" i="53"/>
  <c r="AS80" i="53" s="1"/>
  <c r="U61" i="53"/>
  <c r="AQ92" i="48"/>
  <c r="AQ111" i="48" s="1"/>
  <c r="AQ120" i="48"/>
  <c r="U27" i="56"/>
  <c r="T31" i="56"/>
  <c r="AR27" i="56"/>
  <c r="AR89" i="53"/>
  <c r="AR117" i="53"/>
  <c r="U25" i="50"/>
  <c r="AR25" i="50"/>
  <c r="AR71" i="50" s="1"/>
  <c r="T31" i="50"/>
  <c r="AQ121" i="52"/>
  <c r="AQ93" i="52"/>
  <c r="AQ112" i="52" s="1"/>
  <c r="U45" i="52"/>
  <c r="T51" i="52"/>
  <c r="AR45" i="52"/>
  <c r="AR80" i="52" s="1"/>
  <c r="U5" i="54"/>
  <c r="T11" i="54"/>
  <c r="AR5" i="54"/>
  <c r="AR84" i="52"/>
  <c r="AR102" i="52" s="1"/>
  <c r="AR82" i="52"/>
  <c r="AR100" i="52" s="1"/>
  <c r="V6" i="49"/>
  <c r="U11" i="49"/>
  <c r="AS6" i="49"/>
  <c r="U17" i="56"/>
  <c r="T21" i="56"/>
  <c r="AR17" i="56"/>
  <c r="AQ98" i="50"/>
  <c r="AQ103" i="50" s="1"/>
  <c r="AQ85" i="50"/>
  <c r="AQ90" i="53"/>
  <c r="AQ109" i="53" s="1"/>
  <c r="AQ118" i="53"/>
  <c r="AQ122" i="53" s="1"/>
  <c r="AR117" i="49"/>
  <c r="AR89" i="49"/>
  <c r="V16" i="53"/>
  <c r="U21" i="53"/>
  <c r="AS16" i="53"/>
  <c r="AQ108" i="48"/>
  <c r="U15" i="52"/>
  <c r="T21" i="52"/>
  <c r="AR15" i="52"/>
  <c r="AR71" i="52" s="1"/>
  <c r="U37" i="54"/>
  <c r="T41" i="54"/>
  <c r="AR37" i="54"/>
  <c r="AR73" i="54" s="1"/>
  <c r="U6" i="56"/>
  <c r="T11" i="56"/>
  <c r="AR6" i="56"/>
  <c r="AR75" i="54"/>
  <c r="AP110" i="54"/>
  <c r="AQ93" i="54"/>
  <c r="AQ112" i="54" s="1"/>
  <c r="AQ121" i="54"/>
  <c r="V28" i="54"/>
  <c r="U31" i="54"/>
  <c r="AS28" i="54"/>
  <c r="AQ91" i="54"/>
  <c r="AQ119" i="54"/>
  <c r="AU90" i="15"/>
  <c r="AT119" i="50"/>
  <c r="AT109" i="54"/>
  <c r="Y35" i="49"/>
  <c r="AV35" i="49"/>
  <c r="AT100" i="55"/>
  <c r="AV45" i="15"/>
  <c r="AV80" i="15" s="1"/>
  <c r="X51" i="15"/>
  <c r="Y45" i="15"/>
  <c r="AU82" i="55"/>
  <c r="AU84" i="55"/>
  <c r="AT112" i="55"/>
  <c r="AT90" i="48"/>
  <c r="Y58" i="55"/>
  <c r="AV58" i="55"/>
  <c r="AT121" i="55"/>
  <c r="AU55" i="48"/>
  <c r="AU80" i="48" s="1"/>
  <c r="X55" i="48"/>
  <c r="X16" i="56"/>
  <c r="AU16" i="56"/>
  <c r="AT118" i="54"/>
  <c r="X46" i="54"/>
  <c r="AU46" i="54"/>
  <c r="AU81" i="54" s="1"/>
  <c r="AU98" i="15"/>
  <c r="Y57" i="56"/>
  <c r="AV57" i="56"/>
  <c r="X16" i="48"/>
  <c r="AU16" i="48"/>
  <c r="AU72" i="48" s="1"/>
  <c r="Y60" i="51"/>
  <c r="AV60" i="51"/>
  <c r="X26" i="50"/>
  <c r="AU26" i="50"/>
  <c r="X17" i="50"/>
  <c r="AU17" i="50"/>
  <c r="AU73" i="50" s="1"/>
  <c r="Y16" i="15"/>
  <c r="AV16" i="15"/>
  <c r="AV72" i="15" s="1"/>
  <c r="X21" i="15"/>
  <c r="Y56" i="53"/>
  <c r="AV56" i="53"/>
  <c r="AV89" i="55"/>
  <c r="BB120" i="50"/>
  <c r="AW15" i="51"/>
  <c r="Z15" i="51"/>
  <c r="Y21" i="51"/>
  <c r="AW35" i="55"/>
  <c r="AW71" i="55" s="1"/>
  <c r="Z35" i="55"/>
  <c r="Y46" i="50"/>
  <c r="AV46" i="50"/>
  <c r="Y48" i="56"/>
  <c r="AV48" i="56"/>
  <c r="AU112" i="50"/>
  <c r="AU84" i="56"/>
  <c r="AU82" i="56"/>
  <c r="AZ111" i="50"/>
  <c r="AZ112" i="51"/>
  <c r="AZ111" i="52"/>
  <c r="AZ111" i="56"/>
  <c r="BA112" i="53"/>
  <c r="BA112" i="15"/>
  <c r="AB9" i="55"/>
  <c r="AY9" i="55"/>
  <c r="AY74" i="55" s="1"/>
  <c r="AX92" i="55"/>
  <c r="AW91" i="49"/>
  <c r="AW110" i="49" s="1"/>
  <c r="AZ93" i="56"/>
  <c r="AZ92" i="15"/>
  <c r="AZ111" i="15" s="1"/>
  <c r="AZ121" i="54"/>
  <c r="AZ121" i="48"/>
  <c r="AX73" i="15"/>
  <c r="AX98" i="51"/>
  <c r="AW91" i="15"/>
  <c r="AW110" i="15" s="1"/>
  <c r="AW110" i="53"/>
  <c r="AW72" i="54"/>
  <c r="AX18" i="50"/>
  <c r="AA18" i="50"/>
  <c r="AX92" i="53"/>
  <c r="AX111" i="53" s="1"/>
  <c r="AX120" i="53"/>
  <c r="AW92" i="54"/>
  <c r="AW111" i="54" s="1"/>
  <c r="AW120" i="54"/>
  <c r="AB39" i="53"/>
  <c r="AY39" i="53"/>
  <c r="AY74" i="53" s="1"/>
  <c r="AX39" i="54"/>
  <c r="AX74" i="54" s="1"/>
  <c r="AA39" i="54"/>
  <c r="AB26" i="51"/>
  <c r="AY26" i="51"/>
  <c r="AA31" i="51"/>
  <c r="AX35" i="50"/>
  <c r="AA35" i="50"/>
  <c r="AA27" i="48"/>
  <c r="AX27" i="48"/>
  <c r="AB57" i="53"/>
  <c r="AY57" i="53"/>
  <c r="AY82" i="53" s="1"/>
  <c r="AA26" i="54"/>
  <c r="AX26" i="54"/>
  <c r="AA57" i="54"/>
  <c r="AX57" i="54"/>
  <c r="AX82" i="54" s="1"/>
  <c r="AX100" i="54" s="1"/>
  <c r="AB6" i="15"/>
  <c r="AY6" i="15"/>
  <c r="AB37" i="15"/>
  <c r="AY37" i="15"/>
  <c r="AA17" i="52"/>
  <c r="AX17" i="52"/>
  <c r="AX37" i="48"/>
  <c r="AA37" i="48"/>
  <c r="AY17" i="55"/>
  <c r="AB17" i="55"/>
  <c r="AY45" i="51"/>
  <c r="AY80" i="51" s="1"/>
  <c r="AB45" i="51"/>
  <c r="AA6" i="48"/>
  <c r="AX6" i="48"/>
  <c r="AW75" i="50"/>
  <c r="AB17" i="53"/>
  <c r="AY17" i="53"/>
  <c r="AY73" i="53" s="1"/>
  <c r="AB25" i="55"/>
  <c r="AY25" i="55"/>
  <c r="AX37" i="56"/>
  <c r="AA37" i="56"/>
  <c r="AB37" i="55"/>
  <c r="AY37" i="55"/>
  <c r="AW93" i="49"/>
  <c r="AW112" i="49" s="1"/>
  <c r="AB17" i="51"/>
  <c r="AY17" i="51"/>
  <c r="AB55" i="15"/>
  <c r="AY55" i="15"/>
  <c r="AX73" i="49"/>
  <c r="AX75" i="49"/>
  <c r="AA28" i="50"/>
  <c r="AX28" i="50"/>
  <c r="AB17" i="15"/>
  <c r="AY17" i="15"/>
  <c r="AX38" i="52"/>
  <c r="AA38" i="52"/>
  <c r="AX92" i="49"/>
  <c r="AX111" i="49" s="1"/>
  <c r="AX120" i="49"/>
  <c r="AA17" i="54"/>
  <c r="AX17" i="54"/>
  <c r="AA6" i="54"/>
  <c r="AX6" i="54"/>
  <c r="AB6" i="53"/>
  <c r="AY6" i="53"/>
  <c r="AB28" i="49"/>
  <c r="AY28" i="49"/>
  <c r="AA56" i="52"/>
  <c r="AX56" i="52"/>
  <c r="AX81" i="52" s="1"/>
  <c r="AX99" i="52" s="1"/>
  <c r="AB26" i="53"/>
  <c r="AY26" i="53"/>
  <c r="AA31" i="53"/>
  <c r="AX100" i="53"/>
  <c r="AV93" i="50"/>
  <c r="AV112" i="50" s="1"/>
  <c r="AV121" i="50"/>
  <c r="AA6" i="52"/>
  <c r="AX6" i="52"/>
  <c r="AX26" i="52"/>
  <c r="AA26" i="52"/>
  <c r="AB19" i="49"/>
  <c r="AY19" i="49"/>
  <c r="AY74" i="49" s="1"/>
  <c r="AB46" i="49"/>
  <c r="AY46" i="49"/>
  <c r="AB6" i="51"/>
  <c r="AY6" i="51"/>
  <c r="AB45" i="55"/>
  <c r="AY45" i="55"/>
  <c r="AX25" i="56"/>
  <c r="AX71" i="56" s="1"/>
  <c r="AX89" i="56" s="1"/>
  <c r="AA25" i="56"/>
  <c r="AX91" i="53"/>
  <c r="AX119" i="53"/>
  <c r="AB60" i="55"/>
  <c r="AY60" i="55"/>
  <c r="BB120" i="52"/>
  <c r="BB92" i="50"/>
  <c r="AS103" i="15"/>
  <c r="BB112" i="55"/>
  <c r="BB121" i="55"/>
  <c r="BB82" i="52"/>
  <c r="BB75" i="54"/>
  <c r="BB93" i="54" s="1"/>
  <c r="BB112" i="54" s="1"/>
  <c r="BB75" i="48"/>
  <c r="BB121" i="48" s="1"/>
  <c r="BB75" i="56"/>
  <c r="BB93" i="56" s="1"/>
  <c r="AU110" i="51"/>
  <c r="AT110" i="51"/>
  <c r="AT112" i="50"/>
  <c r="AT111" i="50"/>
  <c r="AT110" i="50"/>
  <c r="AT112" i="49"/>
  <c r="AT112" i="51"/>
  <c r="BA111" i="52"/>
  <c r="AZ120" i="15"/>
  <c r="AZ35" i="54"/>
  <c r="AC35" i="54"/>
  <c r="AZ46" i="14"/>
  <c r="AD5" i="55"/>
  <c r="BA5" i="55"/>
  <c r="AC35" i="56"/>
  <c r="AZ35" i="56"/>
  <c r="AC55" i="56"/>
  <c r="AZ55" i="56"/>
  <c r="BA15" i="49"/>
  <c r="AD15" i="49"/>
  <c r="AC35" i="48"/>
  <c r="AZ35" i="48"/>
  <c r="AC25" i="48"/>
  <c r="AZ25" i="48"/>
  <c r="BA35" i="53"/>
  <c r="AD35" i="53"/>
  <c r="AZ5" i="52"/>
  <c r="AC5" i="52"/>
  <c r="AZ15" i="50"/>
  <c r="AC15" i="50"/>
  <c r="AC55" i="50"/>
  <c r="AZ55" i="50"/>
  <c r="AC35" i="52"/>
  <c r="AZ35" i="52"/>
  <c r="AD15" i="15"/>
  <c r="BA15" i="15"/>
  <c r="BA25" i="15"/>
  <c r="AD25" i="15"/>
  <c r="AC31" i="15"/>
  <c r="AD15" i="55"/>
  <c r="BA15" i="55"/>
  <c r="BA55" i="51"/>
  <c r="AD55" i="51"/>
  <c r="AC25" i="54"/>
  <c r="AZ25" i="54"/>
  <c r="BA5" i="49"/>
  <c r="AD5" i="49"/>
  <c r="AZ71" i="53"/>
  <c r="AD50" i="49"/>
  <c r="BA50" i="49"/>
  <c r="AC45" i="48"/>
  <c r="AZ45" i="48"/>
  <c r="AZ15" i="56"/>
  <c r="AC15" i="56"/>
  <c r="AZ55" i="52"/>
  <c r="AC55" i="52"/>
  <c r="BA25" i="51"/>
  <c r="AD25" i="51"/>
  <c r="AY46" i="14"/>
  <c r="AD15" i="53"/>
  <c r="BA15" i="53"/>
  <c r="AC15" i="48"/>
  <c r="AZ15" i="48"/>
  <c r="AD35" i="51"/>
  <c r="BA35" i="51"/>
  <c r="BA55" i="49"/>
  <c r="BA80" i="49" s="1"/>
  <c r="AD55" i="49"/>
  <c r="AZ25" i="52"/>
  <c r="AC25" i="52"/>
  <c r="BA39" i="15"/>
  <c r="BA74" i="15" s="1"/>
  <c r="AD39" i="15"/>
  <c r="AD5" i="56"/>
  <c r="BA5" i="56"/>
  <c r="AC5" i="50"/>
  <c r="AZ5" i="50"/>
  <c r="BA25" i="53"/>
  <c r="AD25" i="53"/>
  <c r="BA92" i="50"/>
  <c r="BA111" i="50" s="1"/>
  <c r="BB101" i="50"/>
  <c r="BA120" i="50"/>
  <c r="BA120" i="52"/>
  <c r="BB102" i="49"/>
  <c r="BB101" i="52"/>
  <c r="BB111" i="56"/>
  <c r="BB92" i="51"/>
  <c r="BB92" i="52"/>
  <c r="BA111" i="56"/>
  <c r="BA120" i="56"/>
  <c r="AZ93" i="48"/>
  <c r="AZ112" i="48" s="1"/>
  <c r="BA82" i="52"/>
  <c r="BA75" i="54"/>
  <c r="BB100" i="50"/>
  <c r="BB102" i="50"/>
  <c r="BA75" i="56"/>
  <c r="BA102" i="51"/>
  <c r="BA112" i="51" s="1"/>
  <c r="BB102" i="51"/>
  <c r="BB112" i="51" s="1"/>
  <c r="BA121" i="51"/>
  <c r="BB100" i="55"/>
  <c r="BB120" i="56"/>
  <c r="AZ93" i="54"/>
  <c r="BA75" i="48"/>
  <c r="AM42" i="5"/>
  <c r="AL52" i="5"/>
  <c r="AQ108" i="15" l="1"/>
  <c r="AQ113" i="15" s="1"/>
  <c r="AX16" i="55"/>
  <c r="AA16" i="55"/>
  <c r="Z21" i="55"/>
  <c r="AQ76" i="50"/>
  <c r="AQ118" i="50"/>
  <c r="AQ122" i="51"/>
  <c r="AT118" i="15"/>
  <c r="AT99" i="15"/>
  <c r="AT85" i="15"/>
  <c r="X56" i="15"/>
  <c r="AU56" i="15"/>
  <c r="AU81" i="15" s="1"/>
  <c r="W61" i="15"/>
  <c r="AQ94" i="15"/>
  <c r="AR90" i="53"/>
  <c r="AR109" i="53" s="1"/>
  <c r="AP113" i="51"/>
  <c r="AS76" i="55"/>
  <c r="AQ109" i="51"/>
  <c r="AQ103" i="51"/>
  <c r="AR118" i="51"/>
  <c r="AR85" i="51"/>
  <c r="AR99" i="51"/>
  <c r="AR101" i="51"/>
  <c r="AR111" i="51" s="1"/>
  <c r="AR120" i="51"/>
  <c r="V59" i="51"/>
  <c r="U61" i="51"/>
  <c r="AS59" i="51"/>
  <c r="AS83" i="51" s="1"/>
  <c r="V46" i="51"/>
  <c r="U51" i="51"/>
  <c r="AS46" i="51"/>
  <c r="AS81" i="51" s="1"/>
  <c r="AQ91" i="56"/>
  <c r="AQ110" i="56" s="1"/>
  <c r="AP94" i="54"/>
  <c r="AQ91" i="52"/>
  <c r="AQ110" i="52" s="1"/>
  <c r="AR117" i="15"/>
  <c r="AR122" i="15" s="1"/>
  <c r="AR76" i="15"/>
  <c r="AR89" i="15"/>
  <c r="AQ119" i="52"/>
  <c r="AQ122" i="52" s="1"/>
  <c r="AQ76" i="56"/>
  <c r="AP113" i="54"/>
  <c r="AR118" i="53"/>
  <c r="AR122" i="53" s="1"/>
  <c r="AQ118" i="56"/>
  <c r="AQ122" i="56" s="1"/>
  <c r="AR76" i="49"/>
  <c r="AR118" i="49"/>
  <c r="AR122" i="49" s="1"/>
  <c r="AQ122" i="55"/>
  <c r="AP91" i="48"/>
  <c r="AP76" i="48"/>
  <c r="AP119" i="48"/>
  <c r="AP122" i="48" s="1"/>
  <c r="AQ76" i="54"/>
  <c r="AQ89" i="54"/>
  <c r="AQ94" i="54" s="1"/>
  <c r="AQ117" i="54"/>
  <c r="AQ122" i="54" s="1"/>
  <c r="V55" i="55"/>
  <c r="AS55" i="55"/>
  <c r="AS80" i="55" s="1"/>
  <c r="U61" i="55"/>
  <c r="AQ108" i="55"/>
  <c r="AQ113" i="55" s="1"/>
  <c r="AQ103" i="55"/>
  <c r="U28" i="48"/>
  <c r="T31" i="48"/>
  <c r="AR28" i="48"/>
  <c r="AR75" i="48" s="1"/>
  <c r="V46" i="55"/>
  <c r="U51" i="55"/>
  <c r="AS46" i="55"/>
  <c r="AS81" i="55" s="1"/>
  <c r="V5" i="51"/>
  <c r="U11" i="51"/>
  <c r="AS5" i="51"/>
  <c r="AS71" i="51" s="1"/>
  <c r="AR85" i="53"/>
  <c r="U15" i="54"/>
  <c r="T21" i="54"/>
  <c r="AR15" i="54"/>
  <c r="AR71" i="54" s="1"/>
  <c r="AQ108" i="51"/>
  <c r="AQ94" i="51"/>
  <c r="AO110" i="48"/>
  <c r="AO113" i="48" s="1"/>
  <c r="AO94" i="48"/>
  <c r="V50" i="53"/>
  <c r="AS50" i="53"/>
  <c r="AS81" i="53" s="1"/>
  <c r="AS99" i="53" s="1"/>
  <c r="U51" i="53"/>
  <c r="AQ73" i="48"/>
  <c r="AQ93" i="48"/>
  <c r="AQ112" i="48" s="1"/>
  <c r="AQ121" i="48"/>
  <c r="AR117" i="55"/>
  <c r="AR98" i="55"/>
  <c r="AR85" i="55"/>
  <c r="AR99" i="55"/>
  <c r="AR109" i="55" s="1"/>
  <c r="AR118" i="55"/>
  <c r="V35" i="15"/>
  <c r="U41" i="15"/>
  <c r="AS35" i="15"/>
  <c r="AS71" i="15" s="1"/>
  <c r="AR117" i="51"/>
  <c r="AR76" i="51"/>
  <c r="AR89" i="51"/>
  <c r="AP113" i="50"/>
  <c r="W57" i="48"/>
  <c r="AT57" i="48"/>
  <c r="AT82" i="48" s="1"/>
  <c r="AT100" i="48" s="1"/>
  <c r="V61" i="48"/>
  <c r="AR73" i="52"/>
  <c r="AR119" i="52" s="1"/>
  <c r="AT101" i="55"/>
  <c r="AT111" i="55" s="1"/>
  <c r="AT120" i="55"/>
  <c r="AQ113" i="49"/>
  <c r="AS72" i="53"/>
  <c r="AS76" i="53" s="1"/>
  <c r="AP113" i="52"/>
  <c r="X59" i="55"/>
  <c r="AU59" i="55"/>
  <c r="AU83" i="55" s="1"/>
  <c r="X61" i="49"/>
  <c r="AV56" i="49"/>
  <c r="AV81" i="49" s="1"/>
  <c r="AV99" i="49" s="1"/>
  <c r="Y56" i="49"/>
  <c r="V15" i="52"/>
  <c r="U21" i="52"/>
  <c r="AS15" i="52"/>
  <c r="AS71" i="52" s="1"/>
  <c r="V27" i="56"/>
  <c r="U31" i="56"/>
  <c r="AS27" i="56"/>
  <c r="V17" i="48"/>
  <c r="AS17" i="48"/>
  <c r="U21" i="48"/>
  <c r="V60" i="56"/>
  <c r="AS60" i="56"/>
  <c r="AS81" i="56" s="1"/>
  <c r="AS99" i="56" s="1"/>
  <c r="U61" i="56"/>
  <c r="AQ108" i="52"/>
  <c r="AR98" i="56"/>
  <c r="AR85" i="56"/>
  <c r="AR117" i="56"/>
  <c r="AS117" i="53"/>
  <c r="AS89" i="53"/>
  <c r="AR72" i="50"/>
  <c r="U11" i="56"/>
  <c r="V6" i="56"/>
  <c r="AS6" i="56"/>
  <c r="AR98" i="54"/>
  <c r="AR103" i="54" s="1"/>
  <c r="AR85" i="54"/>
  <c r="W16" i="53"/>
  <c r="V21" i="53"/>
  <c r="AT16" i="53"/>
  <c r="W6" i="49"/>
  <c r="V11" i="49"/>
  <c r="AT6" i="49"/>
  <c r="U51" i="52"/>
  <c r="AS45" i="52"/>
  <c r="AS80" i="52" s="1"/>
  <c r="V45" i="52"/>
  <c r="AR89" i="50"/>
  <c r="AR117" i="50"/>
  <c r="W55" i="53"/>
  <c r="AT55" i="53"/>
  <c r="AT80" i="53" s="1"/>
  <c r="V61" i="53"/>
  <c r="AQ108" i="56"/>
  <c r="AQ103" i="56"/>
  <c r="V16" i="50"/>
  <c r="AS16" i="50"/>
  <c r="U21" i="50"/>
  <c r="AT72" i="55"/>
  <c r="AQ103" i="48"/>
  <c r="AQ109" i="48"/>
  <c r="AA45" i="53"/>
  <c r="AX45" i="53"/>
  <c r="AB36" i="51"/>
  <c r="AY36" i="51"/>
  <c r="AY72" i="51" s="1"/>
  <c r="AA41" i="51"/>
  <c r="AP94" i="50"/>
  <c r="AR121" i="52"/>
  <c r="AR93" i="52"/>
  <c r="AR112" i="52" s="1"/>
  <c r="AQ94" i="49"/>
  <c r="W27" i="55"/>
  <c r="V31" i="55"/>
  <c r="AT27" i="55"/>
  <c r="AT73" i="55" s="1"/>
  <c r="AS7" i="52"/>
  <c r="V7" i="52"/>
  <c r="U11" i="52"/>
  <c r="AR99" i="48"/>
  <c r="AR118" i="48"/>
  <c r="AR85" i="48"/>
  <c r="U11" i="50"/>
  <c r="V6" i="50"/>
  <c r="AS6" i="50"/>
  <c r="AS117" i="49"/>
  <c r="AS89" i="49"/>
  <c r="V45" i="50"/>
  <c r="AS45" i="50"/>
  <c r="AS80" i="50" s="1"/>
  <c r="U51" i="50"/>
  <c r="AW119" i="51"/>
  <c r="AW91" i="51"/>
  <c r="AW110" i="51" s="1"/>
  <c r="V45" i="56"/>
  <c r="AS45" i="56"/>
  <c r="AS80" i="56" s="1"/>
  <c r="U51" i="56"/>
  <c r="AR120" i="48"/>
  <c r="AR92" i="48"/>
  <c r="AR111" i="48" s="1"/>
  <c r="AP94" i="52"/>
  <c r="V36" i="56"/>
  <c r="U41" i="56"/>
  <c r="AS36" i="56"/>
  <c r="AP109" i="56"/>
  <c r="AP113" i="56" s="1"/>
  <c r="AP94" i="56"/>
  <c r="W45" i="49"/>
  <c r="AT45" i="49"/>
  <c r="AT80" i="49" s="1"/>
  <c r="V51" i="49"/>
  <c r="W58" i="52"/>
  <c r="AT58" i="52"/>
  <c r="V61" i="52"/>
  <c r="V11" i="48"/>
  <c r="AT5" i="48"/>
  <c r="AT71" i="48" s="1"/>
  <c r="W5" i="48"/>
  <c r="AR89" i="52"/>
  <c r="AR117" i="52"/>
  <c r="AR108" i="49"/>
  <c r="AR113" i="49" s="1"/>
  <c r="AR94" i="49"/>
  <c r="V17" i="56"/>
  <c r="AS17" i="56"/>
  <c r="U21" i="56"/>
  <c r="V5" i="54"/>
  <c r="U11" i="54"/>
  <c r="AS5" i="54"/>
  <c r="V25" i="50"/>
  <c r="AS25" i="50"/>
  <c r="AS71" i="50" s="1"/>
  <c r="U31" i="50"/>
  <c r="AR73" i="56"/>
  <c r="AR108" i="48"/>
  <c r="AQ94" i="53"/>
  <c r="AR72" i="56"/>
  <c r="V56" i="50"/>
  <c r="AS56" i="50"/>
  <c r="AS81" i="50" s="1"/>
  <c r="AS99" i="50" s="1"/>
  <c r="U61" i="50"/>
  <c r="AR94" i="55"/>
  <c r="U51" i="48"/>
  <c r="AS46" i="48"/>
  <c r="AS81" i="48" s="1"/>
  <c r="V46" i="48"/>
  <c r="AS98" i="49"/>
  <c r="AS103" i="49" s="1"/>
  <c r="AS85" i="49"/>
  <c r="W55" i="54"/>
  <c r="AT55" i="54"/>
  <c r="V61" i="54"/>
  <c r="W5" i="15"/>
  <c r="V11" i="15"/>
  <c r="AT5" i="15"/>
  <c r="AA7" i="51"/>
  <c r="AX7" i="51"/>
  <c r="AX73" i="51" s="1"/>
  <c r="AS82" i="52"/>
  <c r="AS100" i="52" s="1"/>
  <c r="AS84" i="52"/>
  <c r="AS102" i="52" s="1"/>
  <c r="W5" i="53"/>
  <c r="V11" i="53"/>
  <c r="AT5" i="53"/>
  <c r="AT71" i="53" s="1"/>
  <c r="W36" i="53"/>
  <c r="V41" i="53"/>
  <c r="AT36" i="53"/>
  <c r="AS72" i="49"/>
  <c r="AS76" i="49" s="1"/>
  <c r="V37" i="54"/>
  <c r="AS37" i="54"/>
  <c r="AS73" i="54" s="1"/>
  <c r="U41" i="54"/>
  <c r="AS98" i="53"/>
  <c r="AQ122" i="50"/>
  <c r="W16" i="49"/>
  <c r="V21" i="49"/>
  <c r="AT16" i="49"/>
  <c r="AR90" i="52"/>
  <c r="AR109" i="52" s="1"/>
  <c r="AR118" i="52"/>
  <c r="AR98" i="50"/>
  <c r="AR103" i="50" s="1"/>
  <c r="AR85" i="50"/>
  <c r="AR85" i="52"/>
  <c r="AR98" i="52"/>
  <c r="AR103" i="52" s="1"/>
  <c r="AQ109" i="56"/>
  <c r="X6" i="55"/>
  <c r="AU6" i="55"/>
  <c r="W11" i="55"/>
  <c r="X36" i="55"/>
  <c r="AU36" i="55"/>
  <c r="W41" i="55"/>
  <c r="AQ113" i="53"/>
  <c r="U31" i="52"/>
  <c r="V28" i="52"/>
  <c r="AS28" i="52"/>
  <c r="AS75" i="52" s="1"/>
  <c r="AQ108" i="50"/>
  <c r="AQ113" i="50" s="1"/>
  <c r="AQ94" i="50"/>
  <c r="V45" i="54"/>
  <c r="AS45" i="54"/>
  <c r="AS80" i="54" s="1"/>
  <c r="U51" i="54"/>
  <c r="AR108" i="53"/>
  <c r="AR103" i="53"/>
  <c r="AS91" i="55"/>
  <c r="AS119" i="55"/>
  <c r="U41" i="52"/>
  <c r="AS36" i="52"/>
  <c r="AS72" i="52" s="1"/>
  <c r="V36" i="52"/>
  <c r="W25" i="49"/>
  <c r="V31" i="49"/>
  <c r="AT25" i="49"/>
  <c r="AT71" i="49" s="1"/>
  <c r="V39" i="48"/>
  <c r="AS39" i="48"/>
  <c r="AS74" i="48" s="1"/>
  <c r="U41" i="48"/>
  <c r="AS89" i="48"/>
  <c r="AS117" i="48"/>
  <c r="V36" i="50"/>
  <c r="U41" i="50"/>
  <c r="AS36" i="50"/>
  <c r="W36" i="49"/>
  <c r="AT36" i="49"/>
  <c r="V41" i="49"/>
  <c r="W28" i="54"/>
  <c r="V31" i="54"/>
  <c r="AT28" i="54"/>
  <c r="AQ110" i="54"/>
  <c r="AR91" i="54"/>
  <c r="AR119" i="54"/>
  <c r="AS75" i="54"/>
  <c r="AR121" i="54"/>
  <c r="AR93" i="54"/>
  <c r="AR112" i="54" s="1"/>
  <c r="Y46" i="54"/>
  <c r="AV46" i="54"/>
  <c r="AV81" i="54" s="1"/>
  <c r="AV55" i="48"/>
  <c r="AV80" i="48" s="1"/>
  <c r="Y55" i="48"/>
  <c r="AU102" i="55"/>
  <c r="AU112" i="55" s="1"/>
  <c r="AU121" i="55"/>
  <c r="AU98" i="48"/>
  <c r="AU100" i="55"/>
  <c r="Z35" i="49"/>
  <c r="AW35" i="49"/>
  <c r="Z57" i="56"/>
  <c r="AW57" i="56"/>
  <c r="AU99" i="54"/>
  <c r="AU109" i="54" s="1"/>
  <c r="AU118" i="54"/>
  <c r="Y16" i="56"/>
  <c r="AV16" i="56"/>
  <c r="AW45" i="15"/>
  <c r="AW80" i="15" s="1"/>
  <c r="Z45" i="15"/>
  <c r="Y51" i="15"/>
  <c r="Z58" i="55"/>
  <c r="AW58" i="55"/>
  <c r="AV98" i="15"/>
  <c r="AV84" i="55"/>
  <c r="AV82" i="55"/>
  <c r="Z16" i="15"/>
  <c r="AW16" i="15"/>
  <c r="AW72" i="15" s="1"/>
  <c r="Y21" i="15"/>
  <c r="Y17" i="50"/>
  <c r="AV17" i="50"/>
  <c r="AV73" i="50" s="1"/>
  <c r="Z60" i="51"/>
  <c r="AW60" i="51"/>
  <c r="AU90" i="48"/>
  <c r="AV90" i="15"/>
  <c r="Y16" i="48"/>
  <c r="AV16" i="48"/>
  <c r="AV72" i="48" s="1"/>
  <c r="Z56" i="53"/>
  <c r="AW56" i="53"/>
  <c r="AU91" i="50"/>
  <c r="AU110" i="50" s="1"/>
  <c r="AU119" i="50"/>
  <c r="Y26" i="50"/>
  <c r="AV26" i="50"/>
  <c r="AX15" i="51"/>
  <c r="AA15" i="51"/>
  <c r="Z21" i="51"/>
  <c r="AW89" i="55"/>
  <c r="AX35" i="55"/>
  <c r="AX71" i="55" s="1"/>
  <c r="AA35" i="55"/>
  <c r="AV82" i="56"/>
  <c r="AV84" i="56"/>
  <c r="AU100" i="56"/>
  <c r="Z48" i="56"/>
  <c r="AW48" i="56"/>
  <c r="AW46" i="50"/>
  <c r="Z46" i="50"/>
  <c r="AU102" i="56"/>
  <c r="AU112" i="56" s="1"/>
  <c r="AU121" i="56"/>
  <c r="AY98" i="51"/>
  <c r="AX91" i="15"/>
  <c r="AX110" i="15" s="1"/>
  <c r="AX90" i="51"/>
  <c r="AY92" i="55"/>
  <c r="AC9" i="55"/>
  <c r="AZ9" i="55"/>
  <c r="AZ74" i="55" s="1"/>
  <c r="BA100" i="52"/>
  <c r="BA92" i="15"/>
  <c r="BA111" i="15" s="1"/>
  <c r="BA121" i="54"/>
  <c r="BA98" i="49"/>
  <c r="AX119" i="15"/>
  <c r="AW90" i="54"/>
  <c r="AY18" i="50"/>
  <c r="AB18" i="50"/>
  <c r="AY120" i="53"/>
  <c r="AY92" i="53"/>
  <c r="AY111" i="53" s="1"/>
  <c r="AY39" i="54"/>
  <c r="AY74" i="54" s="1"/>
  <c r="AB39" i="54"/>
  <c r="AC39" i="53"/>
  <c r="AZ39" i="53"/>
  <c r="AZ74" i="53" s="1"/>
  <c r="AX92" i="54"/>
  <c r="AX111" i="54" s="1"/>
  <c r="AX120" i="54"/>
  <c r="AC19" i="49"/>
  <c r="AZ19" i="49"/>
  <c r="AZ74" i="49" s="1"/>
  <c r="AB6" i="52"/>
  <c r="AY6" i="52"/>
  <c r="AC28" i="49"/>
  <c r="AZ28" i="49"/>
  <c r="AC37" i="55"/>
  <c r="AZ37" i="55"/>
  <c r="AC17" i="55"/>
  <c r="AZ17" i="55"/>
  <c r="AY56" i="52"/>
  <c r="AY81" i="52" s="1"/>
  <c r="AY99" i="52" s="1"/>
  <c r="AB56" i="52"/>
  <c r="AX75" i="50"/>
  <c r="AX91" i="49"/>
  <c r="AX119" i="49"/>
  <c r="AZ25" i="55"/>
  <c r="AC25" i="55"/>
  <c r="AW93" i="50"/>
  <c r="AW112" i="50" s="1"/>
  <c r="AW121" i="50"/>
  <c r="AB6" i="48"/>
  <c r="AY6" i="48"/>
  <c r="AB37" i="48"/>
  <c r="AY37" i="48"/>
  <c r="AY73" i="15"/>
  <c r="AB57" i="54"/>
  <c r="AY57" i="54"/>
  <c r="AY82" i="54" s="1"/>
  <c r="AY100" i="54" s="1"/>
  <c r="AC57" i="53"/>
  <c r="AZ57" i="53"/>
  <c r="AZ82" i="53" s="1"/>
  <c r="AY25" i="56"/>
  <c r="AY71" i="56" s="1"/>
  <c r="AY89" i="56" s="1"/>
  <c r="AB25" i="56"/>
  <c r="AZ6" i="53"/>
  <c r="AC6" i="53"/>
  <c r="AC55" i="15"/>
  <c r="AZ55" i="15"/>
  <c r="AB27" i="48"/>
  <c r="AY27" i="48"/>
  <c r="AY35" i="50"/>
  <c r="AB35" i="50"/>
  <c r="AC26" i="51"/>
  <c r="AZ26" i="51"/>
  <c r="AB31" i="51"/>
  <c r="AX110" i="53"/>
  <c r="AC6" i="51"/>
  <c r="AZ6" i="51"/>
  <c r="AC46" i="49"/>
  <c r="AZ46" i="49"/>
  <c r="AB26" i="52"/>
  <c r="AY26" i="52"/>
  <c r="AC26" i="53"/>
  <c r="AZ26" i="53"/>
  <c r="AB31" i="53"/>
  <c r="AY17" i="54"/>
  <c r="AB17" i="54"/>
  <c r="AY28" i="50"/>
  <c r="AB28" i="50"/>
  <c r="AY37" i="56"/>
  <c r="AB37" i="56"/>
  <c r="AZ45" i="51"/>
  <c r="AZ80" i="51" s="1"/>
  <c r="AC45" i="51"/>
  <c r="AC37" i="15"/>
  <c r="AZ37" i="15"/>
  <c r="AC6" i="15"/>
  <c r="AZ6" i="15"/>
  <c r="AX72" i="54"/>
  <c r="AZ45" i="55"/>
  <c r="AC45" i="55"/>
  <c r="AX93" i="49"/>
  <c r="AX112" i="49" s="1"/>
  <c r="AX121" i="49"/>
  <c r="AC17" i="51"/>
  <c r="AZ17" i="51"/>
  <c r="AZ73" i="51" s="1"/>
  <c r="AC17" i="53"/>
  <c r="AZ17" i="53"/>
  <c r="AZ73" i="53" s="1"/>
  <c r="AY100" i="53"/>
  <c r="AC60" i="55"/>
  <c r="AZ60" i="55"/>
  <c r="AZ81" i="55" s="1"/>
  <c r="AY92" i="49"/>
  <c r="AY111" i="49" s="1"/>
  <c r="AY120" i="49"/>
  <c r="AY73" i="49"/>
  <c r="AY75" i="49"/>
  <c r="AB6" i="54"/>
  <c r="AY6" i="54"/>
  <c r="AB38" i="52"/>
  <c r="AY38" i="52"/>
  <c r="AC17" i="15"/>
  <c r="AZ17" i="15"/>
  <c r="AY119" i="53"/>
  <c r="AY91" i="53"/>
  <c r="AY17" i="52"/>
  <c r="AB17" i="52"/>
  <c r="AB26" i="54"/>
  <c r="AY26" i="54"/>
  <c r="BB111" i="50"/>
  <c r="BB93" i="48"/>
  <c r="BB112" i="48" s="1"/>
  <c r="BB121" i="54"/>
  <c r="BA120" i="15"/>
  <c r="AZ71" i="54"/>
  <c r="BB111" i="52"/>
  <c r="BB55" i="49"/>
  <c r="BB80" i="49" s="1"/>
  <c r="AZ89" i="53"/>
  <c r="BB55" i="51"/>
  <c r="AD5" i="52"/>
  <c r="BA5" i="52"/>
  <c r="AD55" i="56"/>
  <c r="BA55" i="56"/>
  <c r="BA35" i="56"/>
  <c r="AD35" i="56"/>
  <c r="BB25" i="53"/>
  <c r="BB5" i="56"/>
  <c r="BA25" i="52"/>
  <c r="AD25" i="52"/>
  <c r="BB35" i="51"/>
  <c r="BB15" i="53"/>
  <c r="AD15" i="56"/>
  <c r="BA15" i="56"/>
  <c r="BB5" i="49"/>
  <c r="BB25" i="15"/>
  <c r="AD31" i="15"/>
  <c r="AZ71" i="52"/>
  <c r="BA71" i="53"/>
  <c r="BB39" i="15"/>
  <c r="BB74" i="15" s="1"/>
  <c r="AD15" i="48"/>
  <c r="BA15" i="48"/>
  <c r="BB25" i="51"/>
  <c r="AD55" i="52"/>
  <c r="BA55" i="52"/>
  <c r="AD45" i="48"/>
  <c r="BA45" i="48"/>
  <c r="BA25" i="54"/>
  <c r="AD25" i="54"/>
  <c r="AD35" i="52"/>
  <c r="BA35" i="52"/>
  <c r="AZ80" i="50"/>
  <c r="BA15" i="50"/>
  <c r="AD15" i="50"/>
  <c r="BA25" i="48"/>
  <c r="AD25" i="48"/>
  <c r="AD35" i="48"/>
  <c r="BA35" i="48"/>
  <c r="BB5" i="55"/>
  <c r="AD5" i="50"/>
  <c r="BA5" i="50"/>
  <c r="BB50" i="49"/>
  <c r="BB15" i="55"/>
  <c r="BB15" i="15"/>
  <c r="BA55" i="50"/>
  <c r="AD55" i="50"/>
  <c r="BB35" i="53"/>
  <c r="BB15" i="49"/>
  <c r="AD35" i="54"/>
  <c r="BA35" i="54"/>
  <c r="BA93" i="56"/>
  <c r="BB100" i="52"/>
  <c r="BA93" i="54"/>
  <c r="BA112" i="54" s="1"/>
  <c r="BA93" i="48"/>
  <c r="BA112" i="48" s="1"/>
  <c r="BA121" i="48"/>
  <c r="AZ112" i="54"/>
  <c r="AN56" i="5"/>
  <c r="AN51" i="5"/>
  <c r="AR108" i="15" l="1"/>
  <c r="AR113" i="15" s="1"/>
  <c r="AQ113" i="52"/>
  <c r="AB16" i="55"/>
  <c r="AY16" i="55"/>
  <c r="AA21" i="55"/>
  <c r="AQ94" i="52"/>
  <c r="AQ94" i="56"/>
  <c r="AR94" i="15"/>
  <c r="AU99" i="15"/>
  <c r="AU118" i="15"/>
  <c r="AU85" i="15"/>
  <c r="AT109" i="15"/>
  <c r="AT103" i="15"/>
  <c r="AR122" i="51"/>
  <c r="Y56" i="15"/>
  <c r="X61" i="15"/>
  <c r="AV56" i="15"/>
  <c r="AV81" i="15" s="1"/>
  <c r="AS90" i="53"/>
  <c r="AS109" i="53" s="1"/>
  <c r="AS85" i="53"/>
  <c r="AR94" i="53"/>
  <c r="AQ113" i="51"/>
  <c r="AT72" i="49"/>
  <c r="AT90" i="49" s="1"/>
  <c r="AT109" i="49" s="1"/>
  <c r="AS101" i="51"/>
  <c r="AS111" i="51" s="1"/>
  <c r="AS120" i="51"/>
  <c r="AS99" i="51"/>
  <c r="AS118" i="51"/>
  <c r="AS85" i="51"/>
  <c r="W59" i="51"/>
  <c r="AT59" i="51"/>
  <c r="AT83" i="51" s="1"/>
  <c r="V61" i="51"/>
  <c r="AR109" i="51"/>
  <c r="AR103" i="51"/>
  <c r="W46" i="51"/>
  <c r="V51" i="51"/>
  <c r="AT46" i="51"/>
  <c r="AT81" i="51" s="1"/>
  <c r="AQ108" i="54"/>
  <c r="AQ113" i="54" s="1"/>
  <c r="AR113" i="53"/>
  <c r="AS103" i="53"/>
  <c r="AR122" i="55"/>
  <c r="AS118" i="53"/>
  <c r="AS122" i="53" s="1"/>
  <c r="AP94" i="48"/>
  <c r="AP110" i="48"/>
  <c r="AP113" i="48" s="1"/>
  <c r="AS76" i="15"/>
  <c r="AS89" i="15"/>
  <c r="AS117" i="15"/>
  <c r="AS122" i="15" s="1"/>
  <c r="AR89" i="54"/>
  <c r="AR94" i="54" s="1"/>
  <c r="AR117" i="54"/>
  <c r="AR122" i="54" s="1"/>
  <c r="AR76" i="54"/>
  <c r="V15" i="54"/>
  <c r="U21" i="54"/>
  <c r="AS15" i="54"/>
  <c r="W46" i="55"/>
  <c r="AT46" i="55"/>
  <c r="AT81" i="55" s="1"/>
  <c r="AT99" i="55" s="1"/>
  <c r="V51" i="55"/>
  <c r="AS71" i="54"/>
  <c r="AS89" i="54" s="1"/>
  <c r="W50" i="53"/>
  <c r="AT50" i="53"/>
  <c r="AT81" i="53" s="1"/>
  <c r="AT99" i="53" s="1"/>
  <c r="V51" i="53"/>
  <c r="W5" i="51"/>
  <c r="V11" i="51"/>
  <c r="AT5" i="51"/>
  <c r="AT71" i="51" s="1"/>
  <c r="AR93" i="48"/>
  <c r="AR112" i="48" s="1"/>
  <c r="AR121" i="48"/>
  <c r="AR73" i="48"/>
  <c r="AR108" i="51"/>
  <c r="AR94" i="51"/>
  <c r="AQ76" i="48"/>
  <c r="AQ119" i="48"/>
  <c r="AQ122" i="48" s="1"/>
  <c r="AQ91" i="48"/>
  <c r="AS99" i="55"/>
  <c r="AS109" i="55" s="1"/>
  <c r="AS118" i="55"/>
  <c r="AS98" i="55"/>
  <c r="AS117" i="55"/>
  <c r="AS85" i="55"/>
  <c r="W35" i="15"/>
  <c r="V41" i="15"/>
  <c r="AT35" i="15"/>
  <c r="AT71" i="15" s="1"/>
  <c r="AR108" i="55"/>
  <c r="AR113" i="55" s="1"/>
  <c r="AR103" i="55"/>
  <c r="AS117" i="51"/>
  <c r="AS89" i="51"/>
  <c r="AS76" i="51"/>
  <c r="V28" i="48"/>
  <c r="U31" i="48"/>
  <c r="AS28" i="48"/>
  <c r="AS75" i="48" s="1"/>
  <c r="W55" i="55"/>
  <c r="AT55" i="55"/>
  <c r="AT80" i="55" s="1"/>
  <c r="V61" i="55"/>
  <c r="AS72" i="50"/>
  <c r="AS76" i="50" s="1"/>
  <c r="AR76" i="52"/>
  <c r="AU72" i="55"/>
  <c r="AU90" i="55" s="1"/>
  <c r="AR91" i="52"/>
  <c r="AR110" i="52" s="1"/>
  <c r="AT72" i="53"/>
  <c r="AS73" i="56"/>
  <c r="AS119" i="56" s="1"/>
  <c r="Y61" i="49"/>
  <c r="Z56" i="49"/>
  <c r="AW56" i="49"/>
  <c r="AW81" i="49" s="1"/>
  <c r="AW99" i="49" s="1"/>
  <c r="Y59" i="55"/>
  <c r="AV59" i="55"/>
  <c r="AV83" i="55" s="1"/>
  <c r="AS72" i="56"/>
  <c r="AS90" i="56" s="1"/>
  <c r="AU101" i="55"/>
  <c r="AU111" i="55" s="1"/>
  <c r="AU120" i="55"/>
  <c r="X57" i="48"/>
  <c r="AU57" i="48"/>
  <c r="AU82" i="48" s="1"/>
  <c r="AU100" i="48" s="1"/>
  <c r="W61" i="48"/>
  <c r="AS85" i="54"/>
  <c r="AS98" i="54"/>
  <c r="AS103" i="54" s="1"/>
  <c r="V41" i="50"/>
  <c r="AT36" i="50"/>
  <c r="W36" i="50"/>
  <c r="X55" i="54"/>
  <c r="AU55" i="54"/>
  <c r="W61" i="54"/>
  <c r="AS98" i="50"/>
  <c r="AS103" i="50" s="1"/>
  <c r="AS85" i="50"/>
  <c r="X27" i="55"/>
  <c r="AU27" i="55"/>
  <c r="AU73" i="55" s="1"/>
  <c r="W31" i="55"/>
  <c r="X36" i="49"/>
  <c r="AU36" i="49"/>
  <c r="W41" i="49"/>
  <c r="AS92" i="48"/>
  <c r="AS111" i="48" s="1"/>
  <c r="AS120" i="48"/>
  <c r="X25" i="49"/>
  <c r="W31" i="49"/>
  <c r="AU25" i="49"/>
  <c r="AU71" i="49" s="1"/>
  <c r="Y36" i="55"/>
  <c r="AV36" i="55"/>
  <c r="X41" i="55"/>
  <c r="X5" i="53"/>
  <c r="W11" i="53"/>
  <c r="AU5" i="53"/>
  <c r="AU71" i="53" s="1"/>
  <c r="AX119" i="51"/>
  <c r="AX91" i="51"/>
  <c r="AX110" i="51" s="1"/>
  <c r="X5" i="15"/>
  <c r="AU5" i="15"/>
  <c r="W11" i="15"/>
  <c r="V61" i="50"/>
  <c r="W56" i="50"/>
  <c r="AT56" i="50"/>
  <c r="AT81" i="50" s="1"/>
  <c r="AT99" i="50" s="1"/>
  <c r="AS89" i="50"/>
  <c r="AS117" i="50"/>
  <c r="W5" i="54"/>
  <c r="V11" i="54"/>
  <c r="AT5" i="54"/>
  <c r="AR122" i="52"/>
  <c r="AU5" i="48"/>
  <c r="AU71" i="48" s="1"/>
  <c r="X5" i="48"/>
  <c r="W11" i="48"/>
  <c r="AT85" i="49"/>
  <c r="AT98" i="49"/>
  <c r="AT103" i="49" s="1"/>
  <c r="W45" i="50"/>
  <c r="AT45" i="50"/>
  <c r="AT80" i="50" s="1"/>
  <c r="V51" i="50"/>
  <c r="AS73" i="52"/>
  <c r="AT90" i="55"/>
  <c r="AT76" i="55"/>
  <c r="X55" i="53"/>
  <c r="AU55" i="53"/>
  <c r="AU80" i="53" s="1"/>
  <c r="W61" i="53"/>
  <c r="AR108" i="50"/>
  <c r="AS89" i="52"/>
  <c r="AS117" i="52"/>
  <c r="X16" i="49"/>
  <c r="AU16" i="49"/>
  <c r="W21" i="49"/>
  <c r="W17" i="56"/>
  <c r="AT17" i="56"/>
  <c r="V21" i="56"/>
  <c r="AT98" i="53"/>
  <c r="W60" i="56"/>
  <c r="AT60" i="56"/>
  <c r="AT81" i="56" s="1"/>
  <c r="AT99" i="56" s="1"/>
  <c r="V61" i="56"/>
  <c r="W39" i="48"/>
  <c r="AT39" i="48"/>
  <c r="AT74" i="48" s="1"/>
  <c r="V41" i="48"/>
  <c r="Y6" i="55"/>
  <c r="X11" i="55"/>
  <c r="AV6" i="55"/>
  <c r="X36" i="53"/>
  <c r="W41" i="53"/>
  <c r="AU36" i="53"/>
  <c r="AY7" i="51"/>
  <c r="AY73" i="51" s="1"/>
  <c r="AZ91" i="51" s="1"/>
  <c r="AZ110" i="51" s="1"/>
  <c r="AB7" i="51"/>
  <c r="AR90" i="56"/>
  <c r="AR76" i="56"/>
  <c r="AR118" i="56"/>
  <c r="W25" i="50"/>
  <c r="AT25" i="50"/>
  <c r="AT71" i="50" s="1"/>
  <c r="V31" i="50"/>
  <c r="AR108" i="52"/>
  <c r="AT89" i="48"/>
  <c r="AT117" i="48"/>
  <c r="X45" i="49"/>
  <c r="AU45" i="49"/>
  <c r="AU80" i="49" s="1"/>
  <c r="W51" i="49"/>
  <c r="W6" i="50"/>
  <c r="V11" i="50"/>
  <c r="AT6" i="50"/>
  <c r="AR103" i="48"/>
  <c r="AR109" i="48"/>
  <c r="AT91" i="55"/>
  <c r="AT110" i="55" s="1"/>
  <c r="AT119" i="55"/>
  <c r="AB45" i="53"/>
  <c r="AY45" i="53"/>
  <c r="AQ113" i="56"/>
  <c r="W45" i="52"/>
  <c r="V51" i="52"/>
  <c r="AT45" i="52"/>
  <c r="AT80" i="52" s="1"/>
  <c r="X16" i="53"/>
  <c r="W21" i="53"/>
  <c r="AU16" i="53"/>
  <c r="W6" i="56"/>
  <c r="V11" i="56"/>
  <c r="AT6" i="56"/>
  <c r="AS108" i="53"/>
  <c r="AR103" i="56"/>
  <c r="AR108" i="56"/>
  <c r="W27" i="56"/>
  <c r="V31" i="56"/>
  <c r="AT27" i="56"/>
  <c r="AS118" i="52"/>
  <c r="AS90" i="52"/>
  <c r="AS109" i="52" s="1"/>
  <c r="W45" i="54"/>
  <c r="AT45" i="54"/>
  <c r="AT80" i="54" s="1"/>
  <c r="V51" i="54"/>
  <c r="AT28" i="52"/>
  <c r="AT75" i="52" s="1"/>
  <c r="W28" i="52"/>
  <c r="V31" i="52"/>
  <c r="W37" i="54"/>
  <c r="AT37" i="54"/>
  <c r="AT73" i="54" s="1"/>
  <c r="V41" i="54"/>
  <c r="AS99" i="48"/>
  <c r="AS85" i="48"/>
  <c r="AS118" i="48"/>
  <c r="X58" i="52"/>
  <c r="W61" i="52"/>
  <c r="AU58" i="52"/>
  <c r="AT45" i="56"/>
  <c r="AT80" i="56" s="1"/>
  <c r="W45" i="56"/>
  <c r="V51" i="56"/>
  <c r="V11" i="52"/>
  <c r="W7" i="52"/>
  <c r="AT7" i="52"/>
  <c r="W16" i="50"/>
  <c r="AT16" i="50"/>
  <c r="V21" i="50"/>
  <c r="AR90" i="50"/>
  <c r="AR109" i="50" s="1"/>
  <c r="AR118" i="50"/>
  <c r="AR122" i="50" s="1"/>
  <c r="AS108" i="48"/>
  <c r="AT117" i="49"/>
  <c r="AT89" i="49"/>
  <c r="V41" i="52"/>
  <c r="W36" i="52"/>
  <c r="AT36" i="52"/>
  <c r="AT72" i="52" s="1"/>
  <c r="AS110" i="55"/>
  <c r="AS94" i="55"/>
  <c r="AS93" i="52"/>
  <c r="AS112" i="52" s="1"/>
  <c r="AS121" i="52"/>
  <c r="AS90" i="49"/>
  <c r="AS109" i="49" s="1"/>
  <c r="AS118" i="49"/>
  <c r="AS122" i="49" s="1"/>
  <c r="AT89" i="53"/>
  <c r="AT117" i="53"/>
  <c r="W46" i="48"/>
  <c r="V51" i="48"/>
  <c r="AT46" i="48"/>
  <c r="AT81" i="48" s="1"/>
  <c r="AR119" i="56"/>
  <c r="AR91" i="56"/>
  <c r="AR110" i="56" s="1"/>
  <c r="AT82" i="52"/>
  <c r="AT100" i="52" s="1"/>
  <c r="AT84" i="52"/>
  <c r="AT102" i="52" s="1"/>
  <c r="W36" i="56"/>
  <c r="AT36" i="56"/>
  <c r="V41" i="56"/>
  <c r="AS98" i="56"/>
  <c r="AS117" i="56"/>
  <c r="AS85" i="56"/>
  <c r="AS108" i="49"/>
  <c r="AC36" i="51"/>
  <c r="AZ36" i="51"/>
  <c r="AZ72" i="51" s="1"/>
  <c r="AB41" i="51"/>
  <c r="AR76" i="50"/>
  <c r="AS98" i="52"/>
  <c r="AS103" i="52" s="1"/>
  <c r="AS85" i="52"/>
  <c r="X6" i="49"/>
  <c r="W11" i="49"/>
  <c r="AU6" i="49"/>
  <c r="W17" i="48"/>
  <c r="AT17" i="48"/>
  <c r="V21" i="48"/>
  <c r="W15" i="52"/>
  <c r="V21" i="52"/>
  <c r="AT15" i="52"/>
  <c r="AT71" i="52" s="1"/>
  <c r="AR110" i="54"/>
  <c r="AT75" i="54"/>
  <c r="AS119" i="54"/>
  <c r="AS91" i="54"/>
  <c r="AS93" i="54"/>
  <c r="AS112" i="54" s="1"/>
  <c r="AS121" i="54"/>
  <c r="X28" i="54"/>
  <c r="W31" i="54"/>
  <c r="AU28" i="54"/>
  <c r="AW84" i="55"/>
  <c r="AW82" i="55"/>
  <c r="AV100" i="55"/>
  <c r="AA58" i="55"/>
  <c r="AX58" i="55"/>
  <c r="AV99" i="54"/>
  <c r="AV109" i="54" s="1"/>
  <c r="AV118" i="54"/>
  <c r="AX45" i="15"/>
  <c r="AX80" i="15" s="1"/>
  <c r="AA45" i="15"/>
  <c r="Z51" i="15"/>
  <c r="Z16" i="56"/>
  <c r="AW16" i="56"/>
  <c r="AX57" i="56"/>
  <c r="AA57" i="56"/>
  <c r="AV98" i="48"/>
  <c r="AW98" i="15"/>
  <c r="AX35" i="49"/>
  <c r="AA35" i="49"/>
  <c r="AV102" i="55"/>
  <c r="AV112" i="55" s="1"/>
  <c r="AV121" i="55"/>
  <c r="Z55" i="48"/>
  <c r="AW55" i="48"/>
  <c r="AW80" i="48" s="1"/>
  <c r="Z46" i="54"/>
  <c r="AW46" i="54"/>
  <c r="AW81" i="54" s="1"/>
  <c r="AV119" i="50"/>
  <c r="AV91" i="50"/>
  <c r="AV110" i="50" s="1"/>
  <c r="AA16" i="15"/>
  <c r="AX16" i="15"/>
  <c r="AX72" i="15" s="1"/>
  <c r="Z21" i="15"/>
  <c r="AV90" i="48"/>
  <c r="AA60" i="51"/>
  <c r="AX60" i="51"/>
  <c r="Z26" i="50"/>
  <c r="AW26" i="50"/>
  <c r="Z16" i="48"/>
  <c r="AW16" i="48"/>
  <c r="AW72" i="48" s="1"/>
  <c r="AW90" i="15"/>
  <c r="AA56" i="53"/>
  <c r="AX56" i="53"/>
  <c r="Z17" i="50"/>
  <c r="AW17" i="50"/>
  <c r="AW73" i="50" s="1"/>
  <c r="AY15" i="51"/>
  <c r="AB15" i="51"/>
  <c r="AA21" i="51"/>
  <c r="AY35" i="55"/>
  <c r="AY71" i="55" s="1"/>
  <c r="AB35" i="55"/>
  <c r="AX89" i="55"/>
  <c r="AA46" i="50"/>
  <c r="AX46" i="50"/>
  <c r="AV100" i="56"/>
  <c r="AW84" i="56"/>
  <c r="AW82" i="56"/>
  <c r="AV102" i="56"/>
  <c r="AV112" i="56" s="1"/>
  <c r="AV121" i="56"/>
  <c r="AA48" i="56"/>
  <c r="AX48" i="56"/>
  <c r="AZ92" i="55"/>
  <c r="AD9" i="55"/>
  <c r="BA9" i="55"/>
  <c r="BA74" i="55" s="1"/>
  <c r="AZ89" i="54"/>
  <c r="AZ98" i="51"/>
  <c r="AY72" i="54"/>
  <c r="AC18" i="50"/>
  <c r="AZ18" i="50"/>
  <c r="AZ73" i="55"/>
  <c r="AZ92" i="53"/>
  <c r="AZ111" i="53" s="1"/>
  <c r="AZ120" i="53"/>
  <c r="AY92" i="54"/>
  <c r="AY111" i="54" s="1"/>
  <c r="AY120" i="54"/>
  <c r="AZ39" i="54"/>
  <c r="AZ74" i="54" s="1"/>
  <c r="AC39" i="54"/>
  <c r="BA39" i="53"/>
  <c r="BA74" i="53" s="1"/>
  <c r="AD39" i="53"/>
  <c r="AC26" i="54"/>
  <c r="AZ26" i="54"/>
  <c r="AC17" i="52"/>
  <c r="AZ17" i="52"/>
  <c r="AZ73" i="15"/>
  <c r="AY75" i="50"/>
  <c r="AZ57" i="54"/>
  <c r="AZ82" i="54" s="1"/>
  <c r="AC57" i="54"/>
  <c r="AX110" i="49"/>
  <c r="AD17" i="55"/>
  <c r="BA17" i="55"/>
  <c r="BA19" i="49"/>
  <c r="BA74" i="49" s="1"/>
  <c r="AD19" i="49"/>
  <c r="AY90" i="51"/>
  <c r="BA17" i="15"/>
  <c r="AD17" i="15"/>
  <c r="AZ99" i="55"/>
  <c r="AD17" i="51"/>
  <c r="BA17" i="51"/>
  <c r="BA73" i="51" s="1"/>
  <c r="AD45" i="55"/>
  <c r="BA45" i="55"/>
  <c r="BA37" i="15"/>
  <c r="AD37" i="15"/>
  <c r="AD6" i="51"/>
  <c r="BA6" i="51"/>
  <c r="BA26" i="51"/>
  <c r="AD26" i="51"/>
  <c r="AC31" i="51"/>
  <c r="AZ100" i="53"/>
  <c r="AD25" i="55"/>
  <c r="BA25" i="55"/>
  <c r="AZ73" i="49"/>
  <c r="AZ75" i="49"/>
  <c r="AC6" i="52"/>
  <c r="AZ6" i="52"/>
  <c r="AY110" i="53"/>
  <c r="AZ6" i="54"/>
  <c r="AC6" i="54"/>
  <c r="AD60" i="55"/>
  <c r="BA60" i="55"/>
  <c r="BA81" i="55" s="1"/>
  <c r="AZ91" i="53"/>
  <c r="AZ119" i="53"/>
  <c r="BA6" i="15"/>
  <c r="AD6" i="15"/>
  <c r="AD45" i="51"/>
  <c r="BA45" i="51"/>
  <c r="BA80" i="51" s="1"/>
  <c r="AC37" i="56"/>
  <c r="AZ37" i="56"/>
  <c r="AD46" i="49"/>
  <c r="BA46" i="49"/>
  <c r="BA55" i="15"/>
  <c r="AD55" i="15"/>
  <c r="BA6" i="53"/>
  <c r="AD6" i="53"/>
  <c r="AD57" i="53"/>
  <c r="BA57" i="53"/>
  <c r="BA82" i="53" s="1"/>
  <c r="AZ37" i="48"/>
  <c r="AC37" i="48"/>
  <c r="AC6" i="48"/>
  <c r="AZ6" i="48"/>
  <c r="AX121" i="50"/>
  <c r="AX93" i="50"/>
  <c r="AX112" i="50" s="1"/>
  <c r="AC56" i="52"/>
  <c r="AZ56" i="52"/>
  <c r="AZ81" i="52" s="1"/>
  <c r="BA28" i="49"/>
  <c r="AD28" i="49"/>
  <c r="AY119" i="49"/>
  <c r="AY91" i="49"/>
  <c r="AZ119" i="51"/>
  <c r="AZ25" i="56"/>
  <c r="AZ71" i="56" s="1"/>
  <c r="AC25" i="56"/>
  <c r="AZ38" i="52"/>
  <c r="AC38" i="52"/>
  <c r="AY93" i="49"/>
  <c r="AY112" i="49" s="1"/>
  <c r="AY121" i="49"/>
  <c r="AD17" i="53"/>
  <c r="BA17" i="53"/>
  <c r="BA73" i="53" s="1"/>
  <c r="AX90" i="54"/>
  <c r="AZ28" i="50"/>
  <c r="AC28" i="50"/>
  <c r="AZ17" i="54"/>
  <c r="AC17" i="54"/>
  <c r="BA26" i="53"/>
  <c r="AD26" i="53"/>
  <c r="AC31" i="53"/>
  <c r="AZ26" i="52"/>
  <c r="AC26" i="52"/>
  <c r="AC35" i="50"/>
  <c r="AZ35" i="50"/>
  <c r="AZ71" i="50" s="1"/>
  <c r="AZ27" i="48"/>
  <c r="AC27" i="48"/>
  <c r="AY91" i="15"/>
  <c r="AY119" i="15"/>
  <c r="BA37" i="55"/>
  <c r="AD37" i="55"/>
  <c r="AZ120" i="49"/>
  <c r="AZ92" i="49"/>
  <c r="AZ111" i="49" s="1"/>
  <c r="BB71" i="53"/>
  <c r="BB71" i="51"/>
  <c r="BA80" i="50"/>
  <c r="BA71" i="52"/>
  <c r="BB35" i="48"/>
  <c r="BB15" i="50"/>
  <c r="BB55" i="52"/>
  <c r="BB92" i="15"/>
  <c r="BB111" i="15" s="1"/>
  <c r="BB120" i="15"/>
  <c r="BB5" i="50"/>
  <c r="BB35" i="52"/>
  <c r="BB25" i="54"/>
  <c r="BA89" i="53"/>
  <c r="BB5" i="52"/>
  <c r="BB25" i="48"/>
  <c r="BB45" i="48"/>
  <c r="BB15" i="56"/>
  <c r="BB35" i="56"/>
  <c r="BB55" i="56"/>
  <c r="BB98" i="49"/>
  <c r="BB35" i="54"/>
  <c r="BB55" i="50"/>
  <c r="BA71" i="54"/>
  <c r="BB15" i="48"/>
  <c r="BB25" i="52"/>
  <c r="AS118" i="56" l="1"/>
  <c r="AS108" i="15"/>
  <c r="AS113" i="15" s="1"/>
  <c r="AT118" i="53"/>
  <c r="AT122" i="53" s="1"/>
  <c r="AT118" i="49"/>
  <c r="AT122" i="49" s="1"/>
  <c r="AS76" i="54"/>
  <c r="AS113" i="53"/>
  <c r="AZ16" i="55"/>
  <c r="AC16" i="55"/>
  <c r="AB21" i="55"/>
  <c r="AT76" i="49"/>
  <c r="AR108" i="54"/>
  <c r="AR113" i="54" s="1"/>
  <c r="Z56" i="15"/>
  <c r="AW56" i="15"/>
  <c r="AW81" i="15" s="1"/>
  <c r="Y61" i="15"/>
  <c r="AV99" i="15"/>
  <c r="AV85" i="15"/>
  <c r="AV118" i="15"/>
  <c r="AU109" i="15"/>
  <c r="AU103" i="15"/>
  <c r="AT103" i="53"/>
  <c r="AS94" i="53"/>
  <c r="AR113" i="51"/>
  <c r="AS122" i="51"/>
  <c r="AS94" i="15"/>
  <c r="X46" i="51"/>
  <c r="W51" i="51"/>
  <c r="AU46" i="51"/>
  <c r="AU81" i="51" s="1"/>
  <c r="AT120" i="51"/>
  <c r="AT101" i="51"/>
  <c r="AT111" i="51" s="1"/>
  <c r="AS109" i="51"/>
  <c r="AS103" i="51"/>
  <c r="AT99" i="51"/>
  <c r="AT118" i="51"/>
  <c r="AT85" i="51"/>
  <c r="X59" i="51"/>
  <c r="AU59" i="51"/>
  <c r="AU83" i="51" s="1"/>
  <c r="W61" i="51"/>
  <c r="AS122" i="55"/>
  <c r="AT90" i="53"/>
  <c r="AT109" i="53" s="1"/>
  <c r="AS117" i="54"/>
  <c r="AS122" i="54" s="1"/>
  <c r="AT76" i="53"/>
  <c r="AT118" i="55"/>
  <c r="AT72" i="56"/>
  <c r="AT118" i="56" s="1"/>
  <c r="AS118" i="50"/>
  <c r="AS122" i="50" s="1"/>
  <c r="AS90" i="50"/>
  <c r="AS109" i="50" s="1"/>
  <c r="AT85" i="53"/>
  <c r="AR113" i="52"/>
  <c r="AS108" i="54"/>
  <c r="AS76" i="56"/>
  <c r="AT89" i="15"/>
  <c r="AT117" i="15"/>
  <c r="AT122" i="15" s="1"/>
  <c r="AT76" i="15"/>
  <c r="AS103" i="55"/>
  <c r="AS108" i="55"/>
  <c r="AS113" i="55" s="1"/>
  <c r="X5" i="51"/>
  <c r="AU5" i="51"/>
  <c r="AU71" i="51" s="1"/>
  <c r="W11" i="51"/>
  <c r="W15" i="54"/>
  <c r="AT15" i="54"/>
  <c r="AT71" i="54" s="1"/>
  <c r="AT89" i="54" s="1"/>
  <c r="V21" i="54"/>
  <c r="AS94" i="51"/>
  <c r="AS108" i="51"/>
  <c r="AR76" i="48"/>
  <c r="AR119" i="48"/>
  <c r="AR122" i="48" s="1"/>
  <c r="AR91" i="48"/>
  <c r="AT98" i="55"/>
  <c r="AT117" i="55"/>
  <c r="AT85" i="55"/>
  <c r="W28" i="48"/>
  <c r="V31" i="48"/>
  <c r="AT28" i="48"/>
  <c r="AT75" i="48" s="1"/>
  <c r="X35" i="15"/>
  <c r="W41" i="15"/>
  <c r="AU35" i="15"/>
  <c r="AU71" i="15" s="1"/>
  <c r="X46" i="55"/>
  <c r="AU46" i="55"/>
  <c r="AU81" i="55" s="1"/>
  <c r="W51" i="55"/>
  <c r="AS93" i="48"/>
  <c r="AS112" i="48" s="1"/>
  <c r="AS121" i="48"/>
  <c r="AQ110" i="48"/>
  <c r="AQ113" i="48" s="1"/>
  <c r="AQ94" i="48"/>
  <c r="X50" i="53"/>
  <c r="AU50" i="53"/>
  <c r="AU81" i="53" s="1"/>
  <c r="AU99" i="53" s="1"/>
  <c r="W51" i="53"/>
  <c r="AR94" i="52"/>
  <c r="X55" i="55"/>
  <c r="AU55" i="55"/>
  <c r="AU80" i="55" s="1"/>
  <c r="W61" i="55"/>
  <c r="AS73" i="48"/>
  <c r="AT117" i="51"/>
  <c r="AT89" i="51"/>
  <c r="AT76" i="51"/>
  <c r="AS91" i="56"/>
  <c r="AS110" i="56" s="1"/>
  <c r="AT73" i="56"/>
  <c r="AT119" i="56" s="1"/>
  <c r="AX56" i="49"/>
  <c r="AX81" i="49" s="1"/>
  <c r="AX99" i="49" s="1"/>
  <c r="Z61" i="49"/>
  <c r="AA56" i="49"/>
  <c r="AT73" i="52"/>
  <c r="AT119" i="52" s="1"/>
  <c r="AV101" i="55"/>
  <c r="AV111" i="55" s="1"/>
  <c r="AV120" i="55"/>
  <c r="Z59" i="55"/>
  <c r="AW59" i="55"/>
  <c r="AW83" i="55" s="1"/>
  <c r="AS122" i="56"/>
  <c r="AR122" i="56"/>
  <c r="Y57" i="48"/>
  <c r="AV57" i="48"/>
  <c r="AV82" i="48" s="1"/>
  <c r="AV100" i="48" s="1"/>
  <c r="X61" i="48"/>
  <c r="X16" i="50"/>
  <c r="AU16" i="50"/>
  <c r="W21" i="50"/>
  <c r="AS109" i="48"/>
  <c r="AS103" i="48"/>
  <c r="X6" i="56"/>
  <c r="W11" i="56"/>
  <c r="AU6" i="56"/>
  <c r="AT98" i="52"/>
  <c r="AT103" i="52" s="1"/>
  <c r="AT85" i="52"/>
  <c r="Y45" i="49"/>
  <c r="AV45" i="49"/>
  <c r="AV80" i="49" s="1"/>
  <c r="X51" i="49"/>
  <c r="AU25" i="50"/>
  <c r="AU71" i="50" s="1"/>
  <c r="X25" i="50"/>
  <c r="W31" i="50"/>
  <c r="AR109" i="56"/>
  <c r="AR113" i="56" s="1"/>
  <c r="AR94" i="56"/>
  <c r="AT120" i="48"/>
  <c r="AT92" i="48"/>
  <c r="AT111" i="48" s="1"/>
  <c r="AR94" i="50"/>
  <c r="Y55" i="53"/>
  <c r="AV55" i="53"/>
  <c r="AV80" i="53" s="1"/>
  <c r="X61" i="53"/>
  <c r="AS91" i="52"/>
  <c r="AS110" i="52" s="1"/>
  <c r="AS119" i="52"/>
  <c r="AS122" i="52" s="1"/>
  <c r="AU89" i="53"/>
  <c r="AU117" i="53"/>
  <c r="X61" i="54"/>
  <c r="Y55" i="54"/>
  <c r="AV55" i="54"/>
  <c r="AD36" i="51"/>
  <c r="BA36" i="51"/>
  <c r="BA72" i="51" s="1"/>
  <c r="AC41" i="51"/>
  <c r="X36" i="56"/>
  <c r="AU36" i="56"/>
  <c r="W41" i="56"/>
  <c r="AT99" i="48"/>
  <c r="AT118" i="48"/>
  <c r="AT85" i="48"/>
  <c r="AT90" i="52"/>
  <c r="AT109" i="52" s="1"/>
  <c r="AT118" i="52"/>
  <c r="AT108" i="49"/>
  <c r="AT113" i="49" s="1"/>
  <c r="AT94" i="49"/>
  <c r="X45" i="56"/>
  <c r="AU45" i="56"/>
  <c r="AU80" i="56" s="1"/>
  <c r="W51" i="56"/>
  <c r="Y58" i="52"/>
  <c r="AV58" i="52"/>
  <c r="X61" i="52"/>
  <c r="X28" i="52"/>
  <c r="W31" i="52"/>
  <c r="AU28" i="52"/>
  <c r="AU75" i="52" s="1"/>
  <c r="X45" i="54"/>
  <c r="AU45" i="54"/>
  <c r="AU80" i="54" s="1"/>
  <c r="W51" i="54"/>
  <c r="W11" i="50"/>
  <c r="AU6" i="50"/>
  <c r="X6" i="50"/>
  <c r="AU72" i="53"/>
  <c r="X39" i="48"/>
  <c r="AU39" i="48"/>
  <c r="AU74" i="48" s="1"/>
  <c r="W41" i="48"/>
  <c r="AS76" i="52"/>
  <c r="AR113" i="50"/>
  <c r="X56" i="50"/>
  <c r="W61" i="50"/>
  <c r="AU56" i="50"/>
  <c r="AU81" i="50" s="1"/>
  <c r="AU99" i="50" s="1"/>
  <c r="Y5" i="15"/>
  <c r="X11" i="15"/>
  <c r="AV5" i="15"/>
  <c r="AV72" i="55"/>
  <c r="Y25" i="49"/>
  <c r="X31" i="49"/>
  <c r="AV25" i="49"/>
  <c r="AV71" i="49" s="1"/>
  <c r="AU72" i="49"/>
  <c r="AU76" i="49" s="1"/>
  <c r="AT98" i="54"/>
  <c r="AT85" i="54"/>
  <c r="AT117" i="52"/>
  <c r="AT89" i="52"/>
  <c r="AS113" i="49"/>
  <c r="AS108" i="56"/>
  <c r="AS103" i="56"/>
  <c r="AT108" i="53"/>
  <c r="W41" i="52"/>
  <c r="AU36" i="52"/>
  <c r="AU72" i="52" s="1"/>
  <c r="X36" i="52"/>
  <c r="W11" i="52"/>
  <c r="AU7" i="52"/>
  <c r="X7" i="52"/>
  <c r="AT98" i="56"/>
  <c r="AT117" i="56"/>
  <c r="AT85" i="56"/>
  <c r="AT93" i="52"/>
  <c r="AT112" i="52" s="1"/>
  <c r="AT121" i="52"/>
  <c r="W51" i="52"/>
  <c r="AU45" i="52"/>
  <c r="AU80" i="52" s="1"/>
  <c r="X45" i="52"/>
  <c r="AC45" i="53"/>
  <c r="AZ45" i="53"/>
  <c r="AZ7" i="51"/>
  <c r="AC7" i="51"/>
  <c r="Z6" i="55"/>
  <c r="AW6" i="55"/>
  <c r="Y11" i="55"/>
  <c r="AU60" i="56"/>
  <c r="AU81" i="56" s="1"/>
  <c r="AU99" i="56" s="1"/>
  <c r="X60" i="56"/>
  <c r="W61" i="56"/>
  <c r="X17" i="56"/>
  <c r="AU17" i="56"/>
  <c r="W21" i="56"/>
  <c r="Y16" i="49"/>
  <c r="X21" i="49"/>
  <c r="AV16" i="49"/>
  <c r="AT109" i="55"/>
  <c r="AT94" i="55"/>
  <c r="AT98" i="50"/>
  <c r="AT103" i="50" s="1"/>
  <c r="AT85" i="50"/>
  <c r="AS109" i="56"/>
  <c r="Y5" i="48"/>
  <c r="AV5" i="48"/>
  <c r="AV71" i="48" s="1"/>
  <c r="X11" i="48"/>
  <c r="AS108" i="50"/>
  <c r="Y5" i="53"/>
  <c r="AV5" i="53"/>
  <c r="AV71" i="53" s="1"/>
  <c r="X11" i="53"/>
  <c r="Z36" i="55"/>
  <c r="AW36" i="55"/>
  <c r="Y41" i="55"/>
  <c r="Y36" i="49"/>
  <c r="AV36" i="49"/>
  <c r="X41" i="49"/>
  <c r="AU91" i="55"/>
  <c r="AU110" i="55" s="1"/>
  <c r="AU119" i="55"/>
  <c r="X36" i="50"/>
  <c r="W41" i="50"/>
  <c r="AU36" i="50"/>
  <c r="AU15" i="52"/>
  <c r="AU71" i="52" s="1"/>
  <c r="X15" i="52"/>
  <c r="W21" i="52"/>
  <c r="X17" i="48"/>
  <c r="AU17" i="48"/>
  <c r="W21" i="48"/>
  <c r="Y6" i="49"/>
  <c r="AV6" i="49"/>
  <c r="X11" i="49"/>
  <c r="AS94" i="49"/>
  <c r="X46" i="48"/>
  <c r="W51" i="48"/>
  <c r="AU46" i="48"/>
  <c r="AU81" i="48" s="1"/>
  <c r="AU82" i="52"/>
  <c r="AU100" i="52" s="1"/>
  <c r="AU84" i="52"/>
  <c r="AU102" i="52" s="1"/>
  <c r="X37" i="54"/>
  <c r="AU37" i="54"/>
  <c r="AU73" i="54" s="1"/>
  <c r="W41" i="54"/>
  <c r="X27" i="56"/>
  <c r="W31" i="56"/>
  <c r="AU27" i="56"/>
  <c r="Y16" i="53"/>
  <c r="AV16" i="53"/>
  <c r="X21" i="53"/>
  <c r="AU98" i="49"/>
  <c r="AU103" i="49" s="1"/>
  <c r="AU85" i="49"/>
  <c r="AT108" i="48"/>
  <c r="AT89" i="50"/>
  <c r="AT117" i="50"/>
  <c r="AY119" i="51"/>
  <c r="AY91" i="51"/>
  <c r="AY110" i="51" s="1"/>
  <c r="Y36" i="53"/>
  <c r="AV36" i="53"/>
  <c r="X41" i="53"/>
  <c r="AS108" i="52"/>
  <c r="AU98" i="53"/>
  <c r="X45" i="50"/>
  <c r="AU45" i="50"/>
  <c r="AU80" i="50" s="1"/>
  <c r="W51" i="50"/>
  <c r="AU117" i="48"/>
  <c r="AU89" i="48"/>
  <c r="X5" i="54"/>
  <c r="AU5" i="54"/>
  <c r="W11" i="54"/>
  <c r="AU117" i="49"/>
  <c r="AU89" i="49"/>
  <c r="Y27" i="55"/>
  <c r="AV27" i="55"/>
  <c r="AV73" i="55" s="1"/>
  <c r="X31" i="55"/>
  <c r="AU76" i="55"/>
  <c r="AT72" i="50"/>
  <c r="AT76" i="50" s="1"/>
  <c r="AT93" i="54"/>
  <c r="AT112" i="54" s="1"/>
  <c r="AT121" i="54"/>
  <c r="Y28" i="54"/>
  <c r="AV28" i="54"/>
  <c r="X31" i="54"/>
  <c r="AT91" i="54"/>
  <c r="AT119" i="54"/>
  <c r="AS110" i="54"/>
  <c r="AS94" i="54"/>
  <c r="AU75" i="54"/>
  <c r="AW99" i="54"/>
  <c r="AW109" i="54" s="1"/>
  <c r="AW118" i="54"/>
  <c r="AY57" i="56"/>
  <c r="AB57" i="56"/>
  <c r="AX82" i="55"/>
  <c r="AX84" i="55"/>
  <c r="AA55" i="48"/>
  <c r="AX55" i="48"/>
  <c r="AX80" i="48" s="1"/>
  <c r="AA16" i="56"/>
  <c r="AX16" i="56"/>
  <c r="AY58" i="55"/>
  <c r="AB58" i="55"/>
  <c r="AA46" i="54"/>
  <c r="AX46" i="54"/>
  <c r="AX81" i="54" s="1"/>
  <c r="AA51" i="15"/>
  <c r="AY45" i="15"/>
  <c r="AY80" i="15" s="1"/>
  <c r="AB45" i="15"/>
  <c r="AW100" i="55"/>
  <c r="AW98" i="48"/>
  <c r="AY35" i="49"/>
  <c r="AB35" i="49"/>
  <c r="AX98" i="15"/>
  <c r="AW102" i="55"/>
  <c r="AW112" i="55" s="1"/>
  <c r="AW121" i="55"/>
  <c r="AW91" i="50"/>
  <c r="AW110" i="50" s="1"/>
  <c r="AW119" i="50"/>
  <c r="AB56" i="53"/>
  <c r="AY56" i="53"/>
  <c r="AA16" i="48"/>
  <c r="AX16" i="48"/>
  <c r="AX72" i="48" s="1"/>
  <c r="AB60" i="51"/>
  <c r="AY60" i="51"/>
  <c r="AB16" i="15"/>
  <c r="AY16" i="15"/>
  <c r="AY72" i="15" s="1"/>
  <c r="AA21" i="15"/>
  <c r="AA26" i="50"/>
  <c r="AX26" i="50"/>
  <c r="AA17" i="50"/>
  <c r="AX17" i="50"/>
  <c r="AX73" i="50" s="1"/>
  <c r="AW90" i="48"/>
  <c r="AX90" i="15"/>
  <c r="AZ15" i="51"/>
  <c r="AZ71" i="51" s="1"/>
  <c r="AZ76" i="51" s="1"/>
  <c r="AC15" i="51"/>
  <c r="AB21" i="51"/>
  <c r="AC35" i="55"/>
  <c r="AZ35" i="55"/>
  <c r="AZ71" i="55" s="1"/>
  <c r="AZ76" i="55" s="1"/>
  <c r="AY89" i="55"/>
  <c r="AW102" i="56"/>
  <c r="AW112" i="56" s="1"/>
  <c r="AW121" i="56"/>
  <c r="AX84" i="56"/>
  <c r="AX82" i="56"/>
  <c r="AY48" i="56"/>
  <c r="AB48" i="56"/>
  <c r="AB46" i="50"/>
  <c r="AY46" i="50"/>
  <c r="AW100" i="56"/>
  <c r="BB89" i="53"/>
  <c r="AY90" i="54"/>
  <c r="BB9" i="55"/>
  <c r="BB74" i="55" s="1"/>
  <c r="BA92" i="55"/>
  <c r="BA98" i="50"/>
  <c r="AZ89" i="56"/>
  <c r="AZ76" i="53"/>
  <c r="AZ99" i="52"/>
  <c r="AZ100" i="54"/>
  <c r="BA98" i="51"/>
  <c r="AZ117" i="50"/>
  <c r="AZ91" i="55"/>
  <c r="AZ73" i="56"/>
  <c r="BA73" i="55"/>
  <c r="AZ110" i="53"/>
  <c r="BA73" i="15"/>
  <c r="BA18" i="50"/>
  <c r="AD18" i="50"/>
  <c r="BB39" i="53"/>
  <c r="BB74" i="53" s="1"/>
  <c r="BA120" i="53"/>
  <c r="BA92" i="53"/>
  <c r="BA111" i="53" s="1"/>
  <c r="BA39" i="54"/>
  <c r="BA74" i="54" s="1"/>
  <c r="AD39" i="54"/>
  <c r="AZ92" i="54"/>
  <c r="AZ111" i="54" s="1"/>
  <c r="AZ120" i="54"/>
  <c r="BB37" i="55"/>
  <c r="AD27" i="48"/>
  <c r="BA27" i="48"/>
  <c r="BA35" i="50"/>
  <c r="BA71" i="50" s="1"/>
  <c r="AD35" i="50"/>
  <c r="AD17" i="54"/>
  <c r="BA17" i="54"/>
  <c r="AZ75" i="50"/>
  <c r="BA91" i="53"/>
  <c r="BA119" i="53"/>
  <c r="BA25" i="56"/>
  <c r="BA71" i="56" s="1"/>
  <c r="AD25" i="56"/>
  <c r="BB28" i="49"/>
  <c r="AZ73" i="48"/>
  <c r="BB46" i="49"/>
  <c r="BB60" i="55"/>
  <c r="BB81" i="55" s="1"/>
  <c r="BB37" i="15"/>
  <c r="BA57" i="54"/>
  <c r="BA82" i="54" s="1"/>
  <c r="AD57" i="54"/>
  <c r="AZ90" i="51"/>
  <c r="AZ91" i="15"/>
  <c r="AZ110" i="15" s="1"/>
  <c r="AZ119" i="15"/>
  <c r="AY110" i="15"/>
  <c r="BB26" i="53"/>
  <c r="AD31" i="53"/>
  <c r="BB17" i="53"/>
  <c r="BB73" i="53" s="1"/>
  <c r="BA73" i="49"/>
  <c r="BA75" i="49"/>
  <c r="BA6" i="48"/>
  <c r="AD6" i="48"/>
  <c r="BB6" i="53"/>
  <c r="BB6" i="15"/>
  <c r="BB72" i="15" s="1"/>
  <c r="BA6" i="54"/>
  <c r="AD6" i="54"/>
  <c r="BA6" i="52"/>
  <c r="AD6" i="52"/>
  <c r="BB25" i="55"/>
  <c r="BA119" i="51"/>
  <c r="BA91" i="51"/>
  <c r="BA110" i="51" s="1"/>
  <c r="BB17" i="15"/>
  <c r="BB19" i="49"/>
  <c r="BB74" i="49" s="1"/>
  <c r="BB17" i="55"/>
  <c r="AY121" i="50"/>
  <c r="AY93" i="50"/>
  <c r="AY112" i="50" s="1"/>
  <c r="AZ72" i="54"/>
  <c r="BA26" i="52"/>
  <c r="AD26" i="52"/>
  <c r="BA38" i="52"/>
  <c r="AD38" i="52"/>
  <c r="AY110" i="49"/>
  <c r="AZ85" i="49"/>
  <c r="BA56" i="52"/>
  <c r="BA81" i="52" s="1"/>
  <c r="AD56" i="52"/>
  <c r="BA100" i="53"/>
  <c r="AD37" i="56"/>
  <c r="BA37" i="56"/>
  <c r="AZ93" i="49"/>
  <c r="AZ112" i="49" s="1"/>
  <c r="AZ121" i="49"/>
  <c r="BB17" i="51"/>
  <c r="BB73" i="51" s="1"/>
  <c r="BA120" i="49"/>
  <c r="BA92" i="49"/>
  <c r="BA111" i="49" s="1"/>
  <c r="BA26" i="54"/>
  <c r="AD26" i="54"/>
  <c r="AD28" i="50"/>
  <c r="BA28" i="50"/>
  <c r="BA37" i="48"/>
  <c r="AD37" i="48"/>
  <c r="BB57" i="53"/>
  <c r="BB82" i="53" s="1"/>
  <c r="BB55" i="15"/>
  <c r="BB80" i="15" s="1"/>
  <c r="BB45" i="51"/>
  <c r="BB80" i="51" s="1"/>
  <c r="BA99" i="55"/>
  <c r="AZ119" i="49"/>
  <c r="AZ91" i="49"/>
  <c r="BB26" i="51"/>
  <c r="AD31" i="51"/>
  <c r="BB6" i="51"/>
  <c r="BB45" i="55"/>
  <c r="BA17" i="52"/>
  <c r="AD17" i="52"/>
  <c r="BB71" i="54"/>
  <c r="BB71" i="48"/>
  <c r="BB80" i="50"/>
  <c r="BB71" i="52"/>
  <c r="BA89" i="52"/>
  <c r="BA89" i="54"/>
  <c r="AS94" i="50" l="1"/>
  <c r="AT108" i="15"/>
  <c r="AT113" i="15" s="1"/>
  <c r="AU85" i="53"/>
  <c r="AT113" i="53"/>
  <c r="AT90" i="56"/>
  <c r="AU103" i="53"/>
  <c r="AT122" i="51"/>
  <c r="AT94" i="15"/>
  <c r="BA16" i="55"/>
  <c r="AD16" i="55"/>
  <c r="AC21" i="55"/>
  <c r="AS113" i="51"/>
  <c r="AT122" i="55"/>
  <c r="AV109" i="15"/>
  <c r="AV103" i="15"/>
  <c r="AW99" i="15"/>
  <c r="AW85" i="15"/>
  <c r="AW118" i="15"/>
  <c r="AA56" i="15"/>
  <c r="AX56" i="15"/>
  <c r="AX81" i="15" s="1"/>
  <c r="Z61" i="15"/>
  <c r="AV72" i="53"/>
  <c r="AV76" i="53" s="1"/>
  <c r="AT94" i="53"/>
  <c r="AT76" i="56"/>
  <c r="AT76" i="52"/>
  <c r="Y59" i="51"/>
  <c r="AV59" i="51"/>
  <c r="AV83" i="51" s="1"/>
  <c r="X61" i="51"/>
  <c r="AU85" i="51"/>
  <c r="AU99" i="51"/>
  <c r="AU118" i="51"/>
  <c r="AT91" i="56"/>
  <c r="AT110" i="56" s="1"/>
  <c r="AU120" i="51"/>
  <c r="AU101" i="51"/>
  <c r="AU111" i="51" s="1"/>
  <c r="AT109" i="51"/>
  <c r="AT103" i="51"/>
  <c r="Y46" i="51"/>
  <c r="AV46" i="51"/>
  <c r="AV81" i="51" s="1"/>
  <c r="X51" i="51"/>
  <c r="AS113" i="50"/>
  <c r="AS113" i="54"/>
  <c r="AU73" i="56"/>
  <c r="AU91" i="56" s="1"/>
  <c r="AU110" i="56" s="1"/>
  <c r="AW72" i="55"/>
  <c r="AW90" i="55" s="1"/>
  <c r="AT73" i="48"/>
  <c r="AT76" i="54"/>
  <c r="AT117" i="54"/>
  <c r="AT122" i="54" s="1"/>
  <c r="AT91" i="52"/>
  <c r="AT110" i="52" s="1"/>
  <c r="AU117" i="15"/>
  <c r="AU122" i="15" s="1"/>
  <c r="AU89" i="15"/>
  <c r="AU76" i="15"/>
  <c r="AS76" i="48"/>
  <c r="AS119" i="48"/>
  <c r="AS122" i="48" s="1"/>
  <c r="AS91" i="48"/>
  <c r="AU73" i="52"/>
  <c r="AU76" i="52" s="1"/>
  <c r="AT108" i="55"/>
  <c r="AT113" i="55" s="1"/>
  <c r="AT103" i="55"/>
  <c r="X15" i="54"/>
  <c r="AU15" i="54"/>
  <c r="AU71" i="54" s="1"/>
  <c r="AU117" i="54" s="1"/>
  <c r="W21" i="54"/>
  <c r="AT93" i="48"/>
  <c r="AT112" i="48" s="1"/>
  <c r="AT121" i="48"/>
  <c r="AS94" i="52"/>
  <c r="AV72" i="49"/>
  <c r="AV90" i="49" s="1"/>
  <c r="AV109" i="49" s="1"/>
  <c r="AT108" i="51"/>
  <c r="AT94" i="51"/>
  <c r="AU98" i="55"/>
  <c r="AU117" i="55"/>
  <c r="AU85" i="55"/>
  <c r="Y50" i="53"/>
  <c r="AV50" i="53"/>
  <c r="AV81" i="53" s="1"/>
  <c r="AV99" i="53" s="1"/>
  <c r="X51" i="53"/>
  <c r="X28" i="48"/>
  <c r="AU28" i="48"/>
  <c r="AU75" i="48" s="1"/>
  <c r="W31" i="48"/>
  <c r="AR110" i="48"/>
  <c r="AR113" i="48" s="1"/>
  <c r="AR94" i="48"/>
  <c r="Y46" i="55"/>
  <c r="AV46" i="55"/>
  <c r="AV81" i="55" s="1"/>
  <c r="AV99" i="55" s="1"/>
  <c r="X51" i="55"/>
  <c r="Y5" i="51"/>
  <c r="AV5" i="51"/>
  <c r="AV71" i="51" s="1"/>
  <c r="X11" i="51"/>
  <c r="AS94" i="56"/>
  <c r="AV55" i="55"/>
  <c r="AV80" i="55" s="1"/>
  <c r="Y55" i="55"/>
  <c r="X61" i="55"/>
  <c r="AU99" i="55"/>
  <c r="AU109" i="55" s="1"/>
  <c r="AU118" i="55"/>
  <c r="Y35" i="15"/>
  <c r="AV35" i="15"/>
  <c r="AV71" i="15" s="1"/>
  <c r="AV89" i="15" s="1"/>
  <c r="X41" i="15"/>
  <c r="AU89" i="51"/>
  <c r="AU76" i="51"/>
  <c r="AU117" i="51"/>
  <c r="AU72" i="56"/>
  <c r="AU118" i="56" s="1"/>
  <c r="AS113" i="52"/>
  <c r="AS113" i="56"/>
  <c r="AA59" i="55"/>
  <c r="AX59" i="55"/>
  <c r="AX83" i="55" s="1"/>
  <c r="AB56" i="49"/>
  <c r="AY56" i="49"/>
  <c r="AY81" i="49" s="1"/>
  <c r="AY99" i="49" s="1"/>
  <c r="AA61" i="49"/>
  <c r="AW101" i="55"/>
  <c r="AW111" i="55" s="1"/>
  <c r="AW120" i="55"/>
  <c r="Z57" i="48"/>
  <c r="AW57" i="48"/>
  <c r="AW82" i="48" s="1"/>
  <c r="AW100" i="48" s="1"/>
  <c r="Y61" i="48"/>
  <c r="AV91" i="55"/>
  <c r="AV110" i="55" s="1"/>
  <c r="AV119" i="55"/>
  <c r="AU98" i="50"/>
  <c r="AU103" i="50" s="1"/>
  <c r="AU85" i="50"/>
  <c r="AU117" i="52"/>
  <c r="AU89" i="52"/>
  <c r="AA36" i="55"/>
  <c r="AX36" i="55"/>
  <c r="Z41" i="55"/>
  <c r="Y17" i="56"/>
  <c r="AV17" i="56"/>
  <c r="X21" i="56"/>
  <c r="BA45" i="53"/>
  <c r="AD45" i="53"/>
  <c r="AU121" i="52"/>
  <c r="AU93" i="52"/>
  <c r="AU112" i="52" s="1"/>
  <c r="AU117" i="50"/>
  <c r="AU89" i="50"/>
  <c r="Z27" i="55"/>
  <c r="AW27" i="55"/>
  <c r="AW73" i="55" s="1"/>
  <c r="Y31" i="55"/>
  <c r="AV45" i="50"/>
  <c r="AV80" i="50" s="1"/>
  <c r="Y45" i="50"/>
  <c r="X51" i="50"/>
  <c r="Z36" i="53"/>
  <c r="AW36" i="53"/>
  <c r="Y41" i="53"/>
  <c r="Z16" i="53"/>
  <c r="AW16" i="53"/>
  <c r="Y21" i="53"/>
  <c r="Y17" i="48"/>
  <c r="AV17" i="48"/>
  <c r="X21" i="48"/>
  <c r="Z36" i="49"/>
  <c r="AW36" i="49"/>
  <c r="Y41" i="49"/>
  <c r="Z16" i="49"/>
  <c r="AW16" i="49"/>
  <c r="Y21" i="49"/>
  <c r="AT122" i="56"/>
  <c r="AW25" i="49"/>
  <c r="AW71" i="49" s="1"/>
  <c r="Z25" i="49"/>
  <c r="Y31" i="49"/>
  <c r="AW5" i="15"/>
  <c r="Z5" i="15"/>
  <c r="Y11" i="15"/>
  <c r="AU90" i="53"/>
  <c r="AU109" i="53" s="1"/>
  <c r="AU118" i="53"/>
  <c r="AU122" i="53" s="1"/>
  <c r="Z58" i="52"/>
  <c r="AW58" i="52"/>
  <c r="Y61" i="52"/>
  <c r="AT122" i="52"/>
  <c r="AT103" i="48"/>
  <c r="AT109" i="48"/>
  <c r="Y6" i="56"/>
  <c r="X11" i="56"/>
  <c r="AV6" i="56"/>
  <c r="AT109" i="56"/>
  <c r="AT90" i="50"/>
  <c r="AT109" i="50" s="1"/>
  <c r="AT118" i="50"/>
  <c r="AT122" i="50" s="1"/>
  <c r="AU108" i="48"/>
  <c r="AV36" i="50"/>
  <c r="Y36" i="50"/>
  <c r="X41" i="50"/>
  <c r="AW5" i="48"/>
  <c r="AW71" i="48" s="1"/>
  <c r="Y11" i="48"/>
  <c r="Z5" i="48"/>
  <c r="AV45" i="56"/>
  <c r="AV80" i="56" s="1"/>
  <c r="Y45" i="56"/>
  <c r="X51" i="56"/>
  <c r="AU108" i="53"/>
  <c r="Z55" i="53"/>
  <c r="AW55" i="53"/>
  <c r="AW80" i="53" s="1"/>
  <c r="Y61" i="53"/>
  <c r="AU85" i="54"/>
  <c r="AU98" i="54"/>
  <c r="AU103" i="54" s="1"/>
  <c r="AT108" i="50"/>
  <c r="Y46" i="48"/>
  <c r="X51" i="48"/>
  <c r="AV46" i="48"/>
  <c r="AV81" i="48" s="1"/>
  <c r="Z6" i="49"/>
  <c r="AW6" i="49"/>
  <c r="Y11" i="49"/>
  <c r="AU72" i="50"/>
  <c r="AV117" i="53"/>
  <c r="AV89" i="53"/>
  <c r="Y60" i="56"/>
  <c r="AV60" i="56"/>
  <c r="AV81" i="56" s="1"/>
  <c r="AV99" i="56" s="1"/>
  <c r="X61" i="56"/>
  <c r="AX6" i="55"/>
  <c r="AA6" i="55"/>
  <c r="Z11" i="55"/>
  <c r="X51" i="52"/>
  <c r="AV45" i="52"/>
  <c r="AV80" i="52" s="1"/>
  <c r="Y45" i="52"/>
  <c r="AT103" i="56"/>
  <c r="AT108" i="56"/>
  <c r="AT108" i="52"/>
  <c r="AT108" i="54"/>
  <c r="AT103" i="54"/>
  <c r="AU118" i="49"/>
  <c r="AU122" i="49" s="1"/>
  <c r="AU90" i="49"/>
  <c r="AU109" i="49" s="1"/>
  <c r="AV90" i="55"/>
  <c r="AV76" i="55"/>
  <c r="AV28" i="52"/>
  <c r="AV75" i="52" s="1"/>
  <c r="X31" i="52"/>
  <c r="Y28" i="52"/>
  <c r="AU76" i="53"/>
  <c r="AV98" i="49"/>
  <c r="AV103" i="49" s="1"/>
  <c r="AV85" i="49"/>
  <c r="Y16" i="50"/>
  <c r="AV16" i="50"/>
  <c r="X21" i="50"/>
  <c r="Y27" i="56"/>
  <c r="AV27" i="56"/>
  <c r="X31" i="56"/>
  <c r="AU99" i="48"/>
  <c r="AU85" i="48"/>
  <c r="AU118" i="48"/>
  <c r="BA7" i="51"/>
  <c r="AD7" i="51"/>
  <c r="AU118" i="52"/>
  <c r="AU90" i="52"/>
  <c r="AU109" i="52" s="1"/>
  <c r="Y56" i="50"/>
  <c r="AV56" i="50"/>
  <c r="AV81" i="50" s="1"/>
  <c r="AV99" i="50" s="1"/>
  <c r="X61" i="50"/>
  <c r="Y39" i="48"/>
  <c r="AV39" i="48"/>
  <c r="AV74" i="48" s="1"/>
  <c r="X41" i="48"/>
  <c r="AV84" i="52"/>
  <c r="AV102" i="52" s="1"/>
  <c r="AV82" i="52"/>
  <c r="AV100" i="52" s="1"/>
  <c r="Y36" i="56"/>
  <c r="AV36" i="56"/>
  <c r="X41" i="56"/>
  <c r="AU108" i="49"/>
  <c r="Y5" i="54"/>
  <c r="AV5" i="54"/>
  <c r="X11" i="54"/>
  <c r="Y37" i="54"/>
  <c r="AV37" i="54"/>
  <c r="AV73" i="54" s="1"/>
  <c r="X41" i="54"/>
  <c r="AV15" i="52"/>
  <c r="AV71" i="52" s="1"/>
  <c r="Y15" i="52"/>
  <c r="X21" i="52"/>
  <c r="AW5" i="53"/>
  <c r="AW71" i="53" s="1"/>
  <c r="Z5" i="53"/>
  <c r="Y11" i="53"/>
  <c r="AV89" i="48"/>
  <c r="AV117" i="48"/>
  <c r="AU98" i="52"/>
  <c r="AU103" i="52" s="1"/>
  <c r="AU85" i="52"/>
  <c r="X11" i="52"/>
  <c r="Y7" i="52"/>
  <c r="AV7" i="52"/>
  <c r="Y36" i="52"/>
  <c r="AV36" i="52"/>
  <c r="AV72" i="52" s="1"/>
  <c r="X41" i="52"/>
  <c r="AU94" i="55"/>
  <c r="AV89" i="49"/>
  <c r="AV117" i="49"/>
  <c r="AU92" i="48"/>
  <c r="AU111" i="48" s="1"/>
  <c r="AU120" i="48"/>
  <c r="AV6" i="50"/>
  <c r="X11" i="50"/>
  <c r="Y6" i="50"/>
  <c r="AV45" i="54"/>
  <c r="AV80" i="54" s="1"/>
  <c r="Y45" i="54"/>
  <c r="X51" i="54"/>
  <c r="AU98" i="56"/>
  <c r="AU117" i="56"/>
  <c r="AU85" i="56"/>
  <c r="BB36" i="51"/>
  <c r="BB72" i="51" s="1"/>
  <c r="AD41" i="51"/>
  <c r="AW55" i="54"/>
  <c r="Z55" i="54"/>
  <c r="Y61" i="54"/>
  <c r="AV98" i="53"/>
  <c r="AV25" i="50"/>
  <c r="AV71" i="50" s="1"/>
  <c r="Y25" i="50"/>
  <c r="X31" i="50"/>
  <c r="Z45" i="49"/>
  <c r="AW45" i="49"/>
  <c r="AW80" i="49" s="1"/>
  <c r="Y51" i="49"/>
  <c r="Z28" i="54"/>
  <c r="AW28" i="54"/>
  <c r="Y31" i="54"/>
  <c r="AT110" i="54"/>
  <c r="AT94" i="54"/>
  <c r="AU93" i="54"/>
  <c r="AU112" i="54" s="1"/>
  <c r="AU121" i="54"/>
  <c r="AU119" i="54"/>
  <c r="AU91" i="54"/>
  <c r="AV75" i="54"/>
  <c r="AY84" i="55"/>
  <c r="AY82" i="55"/>
  <c r="AB51" i="15"/>
  <c r="AZ45" i="15"/>
  <c r="AZ80" i="15" s="1"/>
  <c r="AC45" i="15"/>
  <c r="AX98" i="48"/>
  <c r="AX102" i="55"/>
  <c r="AX112" i="55" s="1"/>
  <c r="AX121" i="55"/>
  <c r="AY98" i="15"/>
  <c r="AX99" i="54"/>
  <c r="AX109" i="54" s="1"/>
  <c r="AX118" i="54"/>
  <c r="AB55" i="48"/>
  <c r="AY55" i="48"/>
  <c r="AY80" i="48" s="1"/>
  <c r="AX100" i="55"/>
  <c r="AC57" i="56"/>
  <c r="AZ57" i="56"/>
  <c r="AZ35" i="49"/>
  <c r="AZ71" i="49" s="1"/>
  <c r="AC35" i="49"/>
  <c r="AB46" i="54"/>
  <c r="AY46" i="54"/>
  <c r="AY81" i="54" s="1"/>
  <c r="AZ58" i="55"/>
  <c r="AC58" i="55"/>
  <c r="AY16" i="56"/>
  <c r="AB16" i="56"/>
  <c r="AC16" i="15"/>
  <c r="AZ16" i="15"/>
  <c r="AZ72" i="15" s="1"/>
  <c r="AB21" i="15"/>
  <c r="AY16" i="48"/>
  <c r="AY72" i="48" s="1"/>
  <c r="AB16" i="48"/>
  <c r="AB17" i="50"/>
  <c r="AY17" i="50"/>
  <c r="AY73" i="50" s="1"/>
  <c r="AY26" i="50"/>
  <c r="AB26" i="50"/>
  <c r="AY90" i="15"/>
  <c r="AC60" i="51"/>
  <c r="AZ60" i="51"/>
  <c r="AZ81" i="51" s="1"/>
  <c r="AX90" i="48"/>
  <c r="AX119" i="50"/>
  <c r="AX91" i="50"/>
  <c r="AX110" i="50" s="1"/>
  <c r="AC56" i="53"/>
  <c r="AZ56" i="53"/>
  <c r="AZ81" i="53" s="1"/>
  <c r="AZ117" i="51"/>
  <c r="BA15" i="51"/>
  <c r="BA71" i="51" s="1"/>
  <c r="BA76" i="51" s="1"/>
  <c r="AD15" i="51"/>
  <c r="AC21" i="51"/>
  <c r="AZ89" i="55"/>
  <c r="BA35" i="55"/>
  <c r="BA71" i="55" s="1"/>
  <c r="BA76" i="55" s="1"/>
  <c r="AD35" i="55"/>
  <c r="AX102" i="56"/>
  <c r="AX112" i="56" s="1"/>
  <c r="AX121" i="56"/>
  <c r="AX100" i="56"/>
  <c r="AZ46" i="50"/>
  <c r="AC46" i="50"/>
  <c r="AC48" i="56"/>
  <c r="AZ48" i="56"/>
  <c r="AY84" i="56"/>
  <c r="AY82" i="56"/>
  <c r="BB89" i="54"/>
  <c r="BB98" i="50"/>
  <c r="BB98" i="15"/>
  <c r="BB103" i="15" s="1"/>
  <c r="BB120" i="49"/>
  <c r="BB85" i="51"/>
  <c r="BB119" i="51"/>
  <c r="BB91" i="53"/>
  <c r="BB92" i="55"/>
  <c r="BA89" i="56"/>
  <c r="BA76" i="53"/>
  <c r="BA100" i="54"/>
  <c r="BA89" i="50"/>
  <c r="BA108" i="50" s="1"/>
  <c r="BA99" i="52"/>
  <c r="AZ91" i="56"/>
  <c r="BA119" i="15"/>
  <c r="BA91" i="15"/>
  <c r="BA110" i="15" s="1"/>
  <c r="AZ94" i="53"/>
  <c r="BA117" i="50"/>
  <c r="BA91" i="55"/>
  <c r="BB117" i="51"/>
  <c r="BB85" i="15"/>
  <c r="BA73" i="48"/>
  <c r="BB98" i="51"/>
  <c r="BB103" i="51" s="1"/>
  <c r="BA85" i="49"/>
  <c r="BB73" i="15"/>
  <c r="BB91" i="51"/>
  <c r="BB110" i="51" s="1"/>
  <c r="BB92" i="49"/>
  <c r="BB111" i="49" s="1"/>
  <c r="BB90" i="15"/>
  <c r="BB99" i="55"/>
  <c r="BB73" i="49"/>
  <c r="BB75" i="49"/>
  <c r="BB73" i="55"/>
  <c r="BB18" i="50"/>
  <c r="BB39" i="54"/>
  <c r="BB74" i="54" s="1"/>
  <c r="BA92" i="54"/>
  <c r="BA111" i="54" s="1"/>
  <c r="BA120" i="54"/>
  <c r="BB92" i="53"/>
  <c r="BB111" i="53" s="1"/>
  <c r="BB120" i="53"/>
  <c r="BB17" i="52"/>
  <c r="AZ110" i="49"/>
  <c r="BB100" i="53"/>
  <c r="BB119" i="53"/>
  <c r="BB28" i="50"/>
  <c r="BB6" i="54"/>
  <c r="BB6" i="48"/>
  <c r="BB72" i="48" s="1"/>
  <c r="BB25" i="56"/>
  <c r="BB71" i="56" s="1"/>
  <c r="BB17" i="54"/>
  <c r="BB26" i="54"/>
  <c r="AZ91" i="48"/>
  <c r="AZ93" i="50"/>
  <c r="AZ112" i="50" s="1"/>
  <c r="AZ121" i="50"/>
  <c r="BB35" i="50"/>
  <c r="BB71" i="50" s="1"/>
  <c r="BB37" i="48"/>
  <c r="BA72" i="54"/>
  <c r="BA73" i="56"/>
  <c r="BB26" i="52"/>
  <c r="AZ90" i="54"/>
  <c r="AZ76" i="54"/>
  <c r="BB6" i="52"/>
  <c r="BA121" i="49"/>
  <c r="BA93" i="49"/>
  <c r="BA112" i="49" s="1"/>
  <c r="BA90" i="51"/>
  <c r="BB27" i="48"/>
  <c r="BA75" i="50"/>
  <c r="BB37" i="56"/>
  <c r="BB56" i="52"/>
  <c r="BB81" i="52" s="1"/>
  <c r="BB38" i="52"/>
  <c r="BA119" i="49"/>
  <c r="BA91" i="49"/>
  <c r="BB57" i="54"/>
  <c r="BB82" i="54" s="1"/>
  <c r="BA110" i="53"/>
  <c r="BB89" i="48"/>
  <c r="BB89" i="52"/>
  <c r="AU108" i="15" l="1"/>
  <c r="AU113" i="15" s="1"/>
  <c r="AU94" i="15"/>
  <c r="AU119" i="56"/>
  <c r="AU122" i="56" s="1"/>
  <c r="AV90" i="53"/>
  <c r="AV109" i="53" s="1"/>
  <c r="AU76" i="56"/>
  <c r="AU119" i="52"/>
  <c r="AU122" i="52" s="1"/>
  <c r="AU122" i="51"/>
  <c r="AU73" i="48"/>
  <c r="AU91" i="48" s="1"/>
  <c r="AU110" i="48" s="1"/>
  <c r="AU90" i="56"/>
  <c r="AU94" i="56" s="1"/>
  <c r="AT94" i="56"/>
  <c r="BB16" i="55"/>
  <c r="AD21" i="55"/>
  <c r="AT113" i="51"/>
  <c r="AX99" i="15"/>
  <c r="AX85" i="15"/>
  <c r="AX118" i="15"/>
  <c r="AW103" i="15"/>
  <c r="AW109" i="15"/>
  <c r="AY56" i="15"/>
  <c r="AY81" i="15" s="1"/>
  <c r="AB56" i="15"/>
  <c r="AA61" i="15"/>
  <c r="AV101" i="51"/>
  <c r="AV111" i="51" s="1"/>
  <c r="AV120" i="51"/>
  <c r="AV99" i="51"/>
  <c r="AV85" i="51"/>
  <c r="AV118" i="51"/>
  <c r="AU109" i="51"/>
  <c r="AU103" i="51"/>
  <c r="Z59" i="51"/>
  <c r="AW59" i="51"/>
  <c r="AW83" i="51" s="1"/>
  <c r="Y61" i="51"/>
  <c r="Z46" i="51"/>
  <c r="AW46" i="51"/>
  <c r="AW81" i="51" s="1"/>
  <c r="Y51" i="51"/>
  <c r="AT94" i="52"/>
  <c r="AT113" i="52"/>
  <c r="AW76" i="55"/>
  <c r="AT91" i="48"/>
  <c r="AT76" i="48"/>
  <c r="AT119" i="48"/>
  <c r="AT122" i="48" s="1"/>
  <c r="AU76" i="54"/>
  <c r="AV72" i="56"/>
  <c r="AV90" i="56" s="1"/>
  <c r="AV118" i="53"/>
  <c r="AV122" i="53" s="1"/>
  <c r="AV73" i="52"/>
  <c r="AV91" i="52" s="1"/>
  <c r="AV110" i="52" s="1"/>
  <c r="AV118" i="49"/>
  <c r="AV122" i="49" s="1"/>
  <c r="AU91" i="52"/>
  <c r="AU110" i="52" s="1"/>
  <c r="AV85" i="53"/>
  <c r="AV76" i="49"/>
  <c r="AV118" i="55"/>
  <c r="AU89" i="54"/>
  <c r="AU94" i="54" s="1"/>
  <c r="AU122" i="55"/>
  <c r="AV103" i="53"/>
  <c r="AU108" i="51"/>
  <c r="AU94" i="51"/>
  <c r="AV117" i="15"/>
  <c r="AV122" i="15" s="1"/>
  <c r="AV98" i="55"/>
  <c r="AV117" i="55"/>
  <c r="AV122" i="55" s="1"/>
  <c r="AV85" i="55"/>
  <c r="Y28" i="48"/>
  <c r="AV28" i="48"/>
  <c r="AV75" i="48" s="1"/>
  <c r="X31" i="48"/>
  <c r="AV76" i="15"/>
  <c r="AU94" i="49"/>
  <c r="AU94" i="53"/>
  <c r="AW72" i="53"/>
  <c r="AW90" i="53" s="1"/>
  <c r="AU108" i="55"/>
  <c r="AU113" i="55" s="1"/>
  <c r="AU103" i="55"/>
  <c r="AS110" i="48"/>
  <c r="AS113" i="48" s="1"/>
  <c r="AS94" i="48"/>
  <c r="AW5" i="51"/>
  <c r="AW71" i="51" s="1"/>
  <c r="Z5" i="51"/>
  <c r="Y11" i="51"/>
  <c r="AV15" i="54"/>
  <c r="AV71" i="54" s="1"/>
  <c r="Y15" i="54"/>
  <c r="X21" i="54"/>
  <c r="Z35" i="15"/>
  <c r="AW35" i="15"/>
  <c r="AW71" i="15" s="1"/>
  <c r="Y41" i="15"/>
  <c r="AW55" i="55"/>
  <c r="AW80" i="55" s="1"/>
  <c r="Z55" i="55"/>
  <c r="Y61" i="55"/>
  <c r="AV76" i="51"/>
  <c r="AV117" i="51"/>
  <c r="AV89" i="51"/>
  <c r="Z46" i="55"/>
  <c r="AW46" i="55"/>
  <c r="AW81" i="55" s="1"/>
  <c r="Y51" i="55"/>
  <c r="AU121" i="48"/>
  <c r="AU93" i="48"/>
  <c r="AU112" i="48" s="1"/>
  <c r="Z50" i="53"/>
  <c r="AW50" i="53"/>
  <c r="AW81" i="53" s="1"/>
  <c r="AW99" i="53" s="1"/>
  <c r="Y51" i="53"/>
  <c r="AV72" i="50"/>
  <c r="AV90" i="50" s="1"/>
  <c r="AV109" i="50" s="1"/>
  <c r="AB59" i="55"/>
  <c r="AY59" i="55"/>
  <c r="AY83" i="55" s="1"/>
  <c r="AU113" i="49"/>
  <c r="AC56" i="49"/>
  <c r="AZ56" i="49"/>
  <c r="AZ81" i="49" s="1"/>
  <c r="AZ99" i="49" s="1"/>
  <c r="AB61" i="49"/>
  <c r="AA57" i="48"/>
  <c r="AX57" i="48"/>
  <c r="AX82" i="48" s="1"/>
  <c r="AX100" i="48" s="1"/>
  <c r="Z61" i="48"/>
  <c r="AX101" i="55"/>
  <c r="AX111" i="55" s="1"/>
  <c r="AX120" i="55"/>
  <c r="AV85" i="54"/>
  <c r="AV98" i="54"/>
  <c r="AV103" i="54" s="1"/>
  <c r="AA45" i="49"/>
  <c r="AX45" i="49"/>
  <c r="AX80" i="49" s="1"/>
  <c r="Z51" i="49"/>
  <c r="AV90" i="52"/>
  <c r="AV109" i="52" s="1"/>
  <c r="AV118" i="52"/>
  <c r="AA5" i="53"/>
  <c r="AX5" i="53"/>
  <c r="AX71" i="53" s="1"/>
  <c r="Z11" i="53"/>
  <c r="Z25" i="50"/>
  <c r="AW25" i="50"/>
  <c r="AW71" i="50" s="1"/>
  <c r="Y31" i="50"/>
  <c r="AX55" i="54"/>
  <c r="Z61" i="54"/>
  <c r="AA55" i="54"/>
  <c r="AV108" i="15"/>
  <c r="AV113" i="15" s="1"/>
  <c r="AV94" i="15"/>
  <c r="AV108" i="48"/>
  <c r="AW15" i="52"/>
  <c r="AW71" i="52" s="1"/>
  <c r="Z15" i="52"/>
  <c r="Y21" i="52"/>
  <c r="Z37" i="54"/>
  <c r="AW37" i="54"/>
  <c r="AW73" i="54" s="1"/>
  <c r="Y41" i="54"/>
  <c r="AW5" i="54"/>
  <c r="Z5" i="54"/>
  <c r="Y11" i="54"/>
  <c r="AV121" i="52"/>
  <c r="AV93" i="52"/>
  <c r="AV112" i="52" s="1"/>
  <c r="AV109" i="55"/>
  <c r="AV94" i="55"/>
  <c r="Z46" i="48"/>
  <c r="Y51" i="48"/>
  <c r="AW46" i="48"/>
  <c r="AW81" i="48" s="1"/>
  <c r="AW98" i="53"/>
  <c r="AT113" i="50"/>
  <c r="AX16" i="53"/>
  <c r="AA16" i="53"/>
  <c r="Z21" i="53"/>
  <c r="AW91" i="55"/>
  <c r="AW110" i="55" s="1"/>
  <c r="AW119" i="55"/>
  <c r="AU108" i="50"/>
  <c r="AB36" i="55"/>
  <c r="AY36" i="55"/>
  <c r="AA41" i="55"/>
  <c r="AW98" i="49"/>
  <c r="AW103" i="49" s="1"/>
  <c r="AW85" i="49"/>
  <c r="AV117" i="50"/>
  <c r="AV89" i="50"/>
  <c r="AU108" i="56"/>
  <c r="AU103" i="56"/>
  <c r="AW6" i="50"/>
  <c r="Z6" i="50"/>
  <c r="Y11" i="50"/>
  <c r="Z7" i="52"/>
  <c r="Y11" i="52"/>
  <c r="AW7" i="52"/>
  <c r="AV89" i="52"/>
  <c r="Z36" i="56"/>
  <c r="AW36" i="56"/>
  <c r="Y41" i="56"/>
  <c r="AV120" i="48"/>
  <c r="AV92" i="48"/>
  <c r="AV111" i="48" s="1"/>
  <c r="Y61" i="50"/>
  <c r="Z56" i="50"/>
  <c r="AW56" i="50"/>
  <c r="AW81" i="50" s="1"/>
  <c r="AW99" i="50" s="1"/>
  <c r="BB7" i="51"/>
  <c r="AV73" i="56"/>
  <c r="Z16" i="50"/>
  <c r="AW16" i="50"/>
  <c r="Y21" i="50"/>
  <c r="Z45" i="52"/>
  <c r="Y51" i="52"/>
  <c r="AW45" i="52"/>
  <c r="AW80" i="52" s="1"/>
  <c r="AB6" i="55"/>
  <c r="AY6" i="55"/>
  <c r="AA11" i="55"/>
  <c r="Z60" i="56"/>
  <c r="AW60" i="56"/>
  <c r="AW81" i="56" s="1"/>
  <c r="AW99" i="56" s="1"/>
  <c r="Y61" i="56"/>
  <c r="AA6" i="49"/>
  <c r="AX6" i="49"/>
  <c r="Z11" i="49"/>
  <c r="AA55" i="53"/>
  <c r="AX55" i="53"/>
  <c r="AX80" i="53" s="1"/>
  <c r="Z61" i="53"/>
  <c r="AW45" i="56"/>
  <c r="AW80" i="56" s="1"/>
  <c r="Z45" i="56"/>
  <c r="Y51" i="56"/>
  <c r="AA5" i="48"/>
  <c r="AX5" i="48"/>
  <c r="AX71" i="48" s="1"/>
  <c r="Z11" i="48"/>
  <c r="Y41" i="50"/>
  <c r="AW36" i="50"/>
  <c r="Z36" i="50"/>
  <c r="Y11" i="56"/>
  <c r="AW6" i="56"/>
  <c r="Z6" i="56"/>
  <c r="AU113" i="53"/>
  <c r="AW72" i="49"/>
  <c r="AW76" i="49" s="1"/>
  <c r="AW17" i="48"/>
  <c r="Z17" i="48"/>
  <c r="Y21" i="48"/>
  <c r="AW45" i="50"/>
  <c r="AW80" i="50" s="1"/>
  <c r="Z45" i="50"/>
  <c r="Y51" i="50"/>
  <c r="AA27" i="55"/>
  <c r="AX27" i="55"/>
  <c r="AX73" i="55" s="1"/>
  <c r="Z31" i="55"/>
  <c r="BB45" i="53"/>
  <c r="Z17" i="56"/>
  <c r="AW17" i="56"/>
  <c r="Y21" i="56"/>
  <c r="Z39" i="48"/>
  <c r="AW39" i="48"/>
  <c r="AW74" i="48" s="1"/>
  <c r="Y41" i="48"/>
  <c r="Z27" i="56"/>
  <c r="AW27" i="56"/>
  <c r="Y31" i="56"/>
  <c r="Y31" i="52"/>
  <c r="AW28" i="52"/>
  <c r="AW75" i="52" s="1"/>
  <c r="Z28" i="52"/>
  <c r="AV117" i="52"/>
  <c r="AV98" i="52"/>
  <c r="AV85" i="52"/>
  <c r="AU118" i="50"/>
  <c r="AU122" i="50" s="1"/>
  <c r="AU90" i="50"/>
  <c r="AU109" i="50" s="1"/>
  <c r="AV99" i="48"/>
  <c r="AV85" i="48"/>
  <c r="AV118" i="48"/>
  <c r="AV117" i="56"/>
  <c r="AV98" i="56"/>
  <c r="AV85" i="56"/>
  <c r="AW84" i="52"/>
  <c r="AW102" i="52" s="1"/>
  <c r="AW82" i="52"/>
  <c r="AW100" i="52" s="1"/>
  <c r="AA25" i="49"/>
  <c r="AX25" i="49"/>
  <c r="AX71" i="49" s="1"/>
  <c r="Z31" i="49"/>
  <c r="AA36" i="49"/>
  <c r="AX36" i="49"/>
  <c r="Z41" i="49"/>
  <c r="AV98" i="50"/>
  <c r="AV103" i="50" s="1"/>
  <c r="AV85" i="50"/>
  <c r="AU108" i="52"/>
  <c r="AT113" i="54"/>
  <c r="AW45" i="54"/>
  <c r="AW80" i="54" s="1"/>
  <c r="Z45" i="54"/>
  <c r="Y51" i="54"/>
  <c r="AV108" i="49"/>
  <c r="AV113" i="49" s="1"/>
  <c r="AV94" i="49"/>
  <c r="Z36" i="52"/>
  <c r="AW36" i="52"/>
  <c r="AW72" i="52" s="1"/>
  <c r="Y41" i="52"/>
  <c r="AW117" i="53"/>
  <c r="AW89" i="53"/>
  <c r="AU109" i="48"/>
  <c r="AU103" i="48"/>
  <c r="AT113" i="56"/>
  <c r="AV108" i="53"/>
  <c r="AT94" i="50"/>
  <c r="AW89" i="48"/>
  <c r="AW117" i="48"/>
  <c r="AX58" i="52"/>
  <c r="AA58" i="52"/>
  <c r="Z61" i="52"/>
  <c r="AX5" i="15"/>
  <c r="AA5" i="15"/>
  <c r="Z11" i="15"/>
  <c r="AW89" i="49"/>
  <c r="AW117" i="49"/>
  <c r="AA16" i="49"/>
  <c r="AX16" i="49"/>
  <c r="Z21" i="49"/>
  <c r="AX36" i="53"/>
  <c r="AA36" i="53"/>
  <c r="Z41" i="53"/>
  <c r="AU76" i="50"/>
  <c r="AX72" i="55"/>
  <c r="AV93" i="54"/>
  <c r="AV112" i="54" s="1"/>
  <c r="AV121" i="54"/>
  <c r="AU110" i="54"/>
  <c r="AW75" i="54"/>
  <c r="AV91" i="54"/>
  <c r="AV119" i="54"/>
  <c r="AU122" i="54"/>
  <c r="AA28" i="54"/>
  <c r="AX28" i="54"/>
  <c r="Z31" i="54"/>
  <c r="AY99" i="54"/>
  <c r="AY109" i="54" s="1"/>
  <c r="AY118" i="54"/>
  <c r="AY100" i="55"/>
  <c r="AZ16" i="56"/>
  <c r="AC16" i="56"/>
  <c r="AZ82" i="55"/>
  <c r="AZ84" i="55"/>
  <c r="AD57" i="56"/>
  <c r="BA57" i="56"/>
  <c r="AZ98" i="15"/>
  <c r="AZ85" i="15"/>
  <c r="AD35" i="49"/>
  <c r="BA35" i="49"/>
  <c r="BA71" i="49" s="1"/>
  <c r="AZ117" i="49"/>
  <c r="AZ76" i="49"/>
  <c r="AY98" i="48"/>
  <c r="BA58" i="55"/>
  <c r="AD58" i="55"/>
  <c r="AZ46" i="54"/>
  <c r="AZ81" i="54" s="1"/>
  <c r="AC46" i="54"/>
  <c r="AC55" i="48"/>
  <c r="AZ55" i="48"/>
  <c r="AZ80" i="48" s="1"/>
  <c r="BA45" i="15"/>
  <c r="BA80" i="15" s="1"/>
  <c r="AC51" i="15"/>
  <c r="AD45" i="15"/>
  <c r="AY102" i="55"/>
  <c r="AY112" i="55" s="1"/>
  <c r="AY121" i="55"/>
  <c r="AC17" i="50"/>
  <c r="AZ17" i="50"/>
  <c r="AZ73" i="50" s="1"/>
  <c r="AD56" i="53"/>
  <c r="BA56" i="53"/>
  <c r="BA81" i="53" s="1"/>
  <c r="AZ90" i="15"/>
  <c r="BA60" i="51"/>
  <c r="BA81" i="51" s="1"/>
  <c r="AD60" i="51"/>
  <c r="AY90" i="48"/>
  <c r="AZ99" i="53"/>
  <c r="AZ26" i="50"/>
  <c r="AC26" i="50"/>
  <c r="AY119" i="50"/>
  <c r="AY91" i="50"/>
  <c r="AY110" i="50" s="1"/>
  <c r="AZ85" i="51"/>
  <c r="AZ118" i="51"/>
  <c r="AZ16" i="48"/>
  <c r="AZ72" i="48" s="1"/>
  <c r="AC16" i="48"/>
  <c r="BA16" i="15"/>
  <c r="BA72" i="15" s="1"/>
  <c r="AD16" i="15"/>
  <c r="AC21" i="15"/>
  <c r="AZ94" i="55"/>
  <c r="BA89" i="51"/>
  <c r="BA108" i="51" s="1"/>
  <c r="BB89" i="51"/>
  <c r="BB108" i="51" s="1"/>
  <c r="BA117" i="51"/>
  <c r="BB15" i="51"/>
  <c r="AD21" i="51"/>
  <c r="BB35" i="55"/>
  <c r="BB71" i="55" s="1"/>
  <c r="BB76" i="55" s="1"/>
  <c r="BA89" i="55"/>
  <c r="BA94" i="53"/>
  <c r="AY102" i="56"/>
  <c r="AY112" i="56" s="1"/>
  <c r="AY121" i="56"/>
  <c r="AZ84" i="56"/>
  <c r="AZ82" i="56"/>
  <c r="BA48" i="56"/>
  <c r="AD48" i="56"/>
  <c r="AY100" i="56"/>
  <c r="BA46" i="50"/>
  <c r="AD46" i="50"/>
  <c r="BB89" i="56"/>
  <c r="BB121" i="49"/>
  <c r="BB85" i="49"/>
  <c r="BB119" i="49"/>
  <c r="BB90" i="51"/>
  <c r="BB93" i="49"/>
  <c r="BB112" i="49" s="1"/>
  <c r="BB73" i="56"/>
  <c r="BB72" i="54"/>
  <c r="BB91" i="49"/>
  <c r="BB110" i="49" s="1"/>
  <c r="BB91" i="15"/>
  <c r="BB110" i="15" s="1"/>
  <c r="BA91" i="48"/>
  <c r="BB119" i="55"/>
  <c r="BB91" i="55"/>
  <c r="BB110" i="55" s="1"/>
  <c r="BB119" i="15"/>
  <c r="BB73" i="48"/>
  <c r="BB118" i="51"/>
  <c r="BB76" i="51"/>
  <c r="BB110" i="53"/>
  <c r="BB90" i="48"/>
  <c r="BB75" i="50"/>
  <c r="BB73" i="50"/>
  <c r="BB76" i="53"/>
  <c r="BB92" i="54"/>
  <c r="BB111" i="54" s="1"/>
  <c r="BB120" i="54"/>
  <c r="BA110" i="49"/>
  <c r="BA93" i="50"/>
  <c r="BA112" i="50" s="1"/>
  <c r="BA121" i="50"/>
  <c r="AZ94" i="54"/>
  <c r="BB100" i="54"/>
  <c r="BB89" i="50"/>
  <c r="BB108" i="50" s="1"/>
  <c r="BB117" i="50"/>
  <c r="BB99" i="52"/>
  <c r="BA91" i="56"/>
  <c r="BB75" i="52"/>
  <c r="BB73" i="52"/>
  <c r="BA90" i="54"/>
  <c r="BA76" i="54"/>
  <c r="AU108" i="54" l="1"/>
  <c r="AU113" i="54" s="1"/>
  <c r="AV94" i="53"/>
  <c r="AU119" i="48"/>
  <c r="AU122" i="48" s="1"/>
  <c r="AU109" i="56"/>
  <c r="AU113" i="56" s="1"/>
  <c r="AU76" i="48"/>
  <c r="AU94" i="52"/>
  <c r="AV119" i="52"/>
  <c r="AV122" i="52" s="1"/>
  <c r="AV113" i="53"/>
  <c r="AU113" i="52"/>
  <c r="AV76" i="52"/>
  <c r="AU113" i="51"/>
  <c r="AC56" i="15"/>
  <c r="AZ56" i="15"/>
  <c r="AZ81" i="15" s="1"/>
  <c r="AB61" i="15"/>
  <c r="AY99" i="15"/>
  <c r="AY85" i="15"/>
  <c r="AY118" i="15"/>
  <c r="AV122" i="51"/>
  <c r="AX109" i="15"/>
  <c r="AX103" i="15"/>
  <c r="AW76" i="53"/>
  <c r="AW85" i="51"/>
  <c r="AW118" i="51"/>
  <c r="AW99" i="51"/>
  <c r="AA59" i="51"/>
  <c r="AX59" i="51"/>
  <c r="AX83" i="51" s="1"/>
  <c r="Z61" i="51"/>
  <c r="AA46" i="51"/>
  <c r="AX46" i="51"/>
  <c r="AX81" i="51" s="1"/>
  <c r="Z51" i="51"/>
  <c r="AV109" i="51"/>
  <c r="AV103" i="51"/>
  <c r="AW120" i="51"/>
  <c r="AW101" i="51"/>
  <c r="AW111" i="51" s="1"/>
  <c r="AW103" i="53"/>
  <c r="AV118" i="56"/>
  <c r="AW118" i="53"/>
  <c r="AW122" i="53" s="1"/>
  <c r="AV76" i="56"/>
  <c r="AW109" i="53"/>
  <c r="AW94" i="55"/>
  <c r="AW85" i="53"/>
  <c r="AV73" i="48"/>
  <c r="AV91" i="48" s="1"/>
  <c r="AT110" i="48"/>
  <c r="AT113" i="48" s="1"/>
  <c r="AT94" i="48"/>
  <c r="AV76" i="50"/>
  <c r="AW76" i="15"/>
  <c r="AW89" i="15"/>
  <c r="AW117" i="15"/>
  <c r="AW122" i="15" s="1"/>
  <c r="AV89" i="54"/>
  <c r="AV94" i="54" s="1"/>
  <c r="AV117" i="54"/>
  <c r="AV122" i="54" s="1"/>
  <c r="AV76" i="54"/>
  <c r="AA46" i="55"/>
  <c r="AX46" i="55"/>
  <c r="AX81" i="55" s="1"/>
  <c r="AX99" i="55" s="1"/>
  <c r="Z51" i="55"/>
  <c r="AU113" i="48"/>
  <c r="AV108" i="51"/>
  <c r="AV94" i="51"/>
  <c r="AX55" i="55"/>
  <c r="AX80" i="55" s="1"/>
  <c r="AA55" i="55"/>
  <c r="Z61" i="55"/>
  <c r="AA35" i="15"/>
  <c r="AX35" i="15"/>
  <c r="AX71" i="15" s="1"/>
  <c r="Z41" i="15"/>
  <c r="AW117" i="51"/>
  <c r="AW76" i="51"/>
  <c r="AW89" i="51"/>
  <c r="AV118" i="50"/>
  <c r="AV122" i="50" s="1"/>
  <c r="AU113" i="50"/>
  <c r="AW98" i="55"/>
  <c r="AW117" i="55"/>
  <c r="AW85" i="55"/>
  <c r="AV93" i="48"/>
  <c r="AV112" i="48" s="1"/>
  <c r="AV121" i="48"/>
  <c r="AV108" i="55"/>
  <c r="AV113" i="55" s="1"/>
  <c r="AV103" i="55"/>
  <c r="Z15" i="54"/>
  <c r="AW15" i="54"/>
  <c r="AW71" i="54" s="1"/>
  <c r="Y21" i="54"/>
  <c r="AU94" i="48"/>
  <c r="AA50" i="53"/>
  <c r="AX50" i="53"/>
  <c r="AX81" i="53" s="1"/>
  <c r="AX99" i="53" s="1"/>
  <c r="Z51" i="53"/>
  <c r="AW99" i="55"/>
  <c r="AW109" i="55" s="1"/>
  <c r="AW118" i="55"/>
  <c r="AA5" i="51"/>
  <c r="AX5" i="51"/>
  <c r="AX71" i="51" s="1"/>
  <c r="Z11" i="51"/>
  <c r="AW28" i="48"/>
  <c r="AW75" i="48" s="1"/>
  <c r="Z28" i="48"/>
  <c r="Y31" i="48"/>
  <c r="AX72" i="53"/>
  <c r="AX76" i="53" s="1"/>
  <c r="AW73" i="56"/>
  <c r="AW91" i="56" s="1"/>
  <c r="AW110" i="56" s="1"/>
  <c r="AV94" i="52"/>
  <c r="AY72" i="55"/>
  <c r="AY90" i="55" s="1"/>
  <c r="AY101" i="55"/>
  <c r="AY111" i="55" s="1"/>
  <c r="AY120" i="55"/>
  <c r="AC61" i="49"/>
  <c r="BA56" i="49"/>
  <c r="BA81" i="49" s="1"/>
  <c r="BA99" i="49" s="1"/>
  <c r="BA103" i="49" s="1"/>
  <c r="AD56" i="49"/>
  <c r="AC59" i="55"/>
  <c r="AZ59" i="55"/>
  <c r="AZ83" i="55" s="1"/>
  <c r="AW72" i="50"/>
  <c r="AW118" i="50" s="1"/>
  <c r="AU94" i="50"/>
  <c r="AB57" i="48"/>
  <c r="AY57" i="48"/>
  <c r="AY82" i="48" s="1"/>
  <c r="AY100" i="48" s="1"/>
  <c r="AA61" i="48"/>
  <c r="AW98" i="54"/>
  <c r="AW103" i="54" s="1"/>
  <c r="AW85" i="54"/>
  <c r="AV108" i="52"/>
  <c r="AV113" i="52" s="1"/>
  <c r="AV103" i="52"/>
  <c r="AA17" i="48"/>
  <c r="AX17" i="48"/>
  <c r="Z21" i="48"/>
  <c r="AW117" i="56"/>
  <c r="AW98" i="56"/>
  <c r="AW85" i="56"/>
  <c r="AZ6" i="55"/>
  <c r="AC6" i="55"/>
  <c r="AB11" i="55"/>
  <c r="Z61" i="50"/>
  <c r="AA56" i="50"/>
  <c r="AX56" i="50"/>
  <c r="AX81" i="50" s="1"/>
  <c r="AB25" i="49"/>
  <c r="AY25" i="49"/>
  <c r="AY71" i="49" s="1"/>
  <c r="AA31" i="49"/>
  <c r="Z31" i="52"/>
  <c r="AA28" i="52"/>
  <c r="AX28" i="52"/>
  <c r="AX75" i="52" s="1"/>
  <c r="AW92" i="48"/>
  <c r="AW111" i="48" s="1"/>
  <c r="AW120" i="48"/>
  <c r="AA17" i="56"/>
  <c r="AX17" i="56"/>
  <c r="Z21" i="56"/>
  <c r="AW98" i="50"/>
  <c r="AW103" i="50" s="1"/>
  <c r="AW85" i="50"/>
  <c r="AX98" i="53"/>
  <c r="AX85" i="53"/>
  <c r="AA5" i="54"/>
  <c r="AX5" i="54"/>
  <c r="Z11" i="54"/>
  <c r="AX37" i="54"/>
  <c r="AX73" i="54" s="1"/>
  <c r="AA37" i="54"/>
  <c r="Z41" i="54"/>
  <c r="AA25" i="50"/>
  <c r="AX25" i="50"/>
  <c r="AX71" i="50" s="1"/>
  <c r="Z31" i="50"/>
  <c r="AB5" i="53"/>
  <c r="AY5" i="53"/>
  <c r="AY71" i="53" s="1"/>
  <c r="AA11" i="53"/>
  <c r="AX98" i="49"/>
  <c r="AX103" i="49" s="1"/>
  <c r="AX85" i="49"/>
  <c r="AX82" i="52"/>
  <c r="AX100" i="52" s="1"/>
  <c r="AX84" i="52"/>
  <c r="AX102" i="52" s="1"/>
  <c r="AW118" i="52"/>
  <c r="AW90" i="52"/>
  <c r="AW109" i="52" s="1"/>
  <c r="AV108" i="56"/>
  <c r="AV103" i="56"/>
  <c r="AV103" i="48"/>
  <c r="AV109" i="48"/>
  <c r="AA36" i="50"/>
  <c r="Z41" i="50"/>
  <c r="AX36" i="50"/>
  <c r="AX89" i="48"/>
  <c r="AX117" i="48"/>
  <c r="AV91" i="56"/>
  <c r="AV110" i="56" s="1"/>
  <c r="AV119" i="56"/>
  <c r="AV108" i="50"/>
  <c r="AV113" i="50" s="1"/>
  <c r="AV94" i="50"/>
  <c r="AW108" i="48"/>
  <c r="AX72" i="49"/>
  <c r="AX76" i="49" s="1"/>
  <c r="AX91" i="55"/>
  <c r="AX110" i="55" s="1"/>
  <c r="AX119" i="55"/>
  <c r="AW90" i="49"/>
  <c r="AW109" i="49" s="1"/>
  <c r="AW118" i="49"/>
  <c r="AW122" i="49" s="1"/>
  <c r="AB6" i="49"/>
  <c r="AY6" i="49"/>
  <c r="AA11" i="49"/>
  <c r="AA16" i="50"/>
  <c r="AX16" i="50"/>
  <c r="Z21" i="50"/>
  <c r="AX36" i="56"/>
  <c r="AA36" i="56"/>
  <c r="Z41" i="56"/>
  <c r="Z11" i="50"/>
  <c r="AX6" i="50"/>
  <c r="AA6" i="50"/>
  <c r="AY36" i="53"/>
  <c r="AB36" i="53"/>
  <c r="AA41" i="53"/>
  <c r="AB16" i="49"/>
  <c r="AY16" i="49"/>
  <c r="AA21" i="49"/>
  <c r="AY58" i="52"/>
  <c r="AB58" i="52"/>
  <c r="AA61" i="52"/>
  <c r="AB36" i="49"/>
  <c r="AY36" i="49"/>
  <c r="AA41" i="49"/>
  <c r="AW93" i="52"/>
  <c r="AW112" i="52" s="1"/>
  <c r="AW121" i="52"/>
  <c r="AX27" i="56"/>
  <c r="AA27" i="56"/>
  <c r="Z31" i="56"/>
  <c r="AA39" i="48"/>
  <c r="AX39" i="48"/>
  <c r="AX74" i="48" s="1"/>
  <c r="Z41" i="48"/>
  <c r="AB27" i="55"/>
  <c r="AY27" i="55"/>
  <c r="AY73" i="55" s="1"/>
  <c r="AA31" i="55"/>
  <c r="AX45" i="56"/>
  <c r="AX80" i="56" s="1"/>
  <c r="AA45" i="56"/>
  <c r="Z51" i="56"/>
  <c r="AY55" i="53"/>
  <c r="AY80" i="53" s="1"/>
  <c r="AB55" i="53"/>
  <c r="AA61" i="53"/>
  <c r="Z51" i="52"/>
  <c r="AA45" i="52"/>
  <c r="AX45" i="52"/>
  <c r="AX80" i="52" s="1"/>
  <c r="Z11" i="52"/>
  <c r="AX7" i="52"/>
  <c r="AA7" i="52"/>
  <c r="AC36" i="55"/>
  <c r="AZ36" i="55"/>
  <c r="AZ72" i="55" s="1"/>
  <c r="AB41" i="55"/>
  <c r="AW99" i="48"/>
  <c r="AW118" i="48"/>
  <c r="AW85" i="48"/>
  <c r="AB45" i="49"/>
  <c r="AY45" i="49"/>
  <c r="AY80" i="49" s="1"/>
  <c r="AA51" i="49"/>
  <c r="AX90" i="55"/>
  <c r="AX76" i="55"/>
  <c r="AB5" i="15"/>
  <c r="AY5" i="15"/>
  <c r="AA11" i="15"/>
  <c r="AW108" i="53"/>
  <c r="AW94" i="53"/>
  <c r="AX6" i="56"/>
  <c r="AA6" i="56"/>
  <c r="Z11" i="56"/>
  <c r="AV109" i="56"/>
  <c r="AX15" i="52"/>
  <c r="AX71" i="52" s="1"/>
  <c r="AA15" i="52"/>
  <c r="Z21" i="52"/>
  <c r="AW108" i="49"/>
  <c r="Z41" i="52"/>
  <c r="AX36" i="52"/>
  <c r="AX72" i="52" s="1"/>
  <c r="AA36" i="52"/>
  <c r="AA45" i="54"/>
  <c r="AX45" i="54"/>
  <c r="AX80" i="54" s="1"/>
  <c r="Z51" i="54"/>
  <c r="AX89" i="49"/>
  <c r="AX117" i="49"/>
  <c r="AA45" i="50"/>
  <c r="AX45" i="50"/>
  <c r="AX80" i="50" s="1"/>
  <c r="AX98" i="50" s="1"/>
  <c r="Z51" i="50"/>
  <c r="AB5" i="48"/>
  <c r="AA11" i="48"/>
  <c r="AY5" i="48"/>
  <c r="AY71" i="48" s="1"/>
  <c r="AX60" i="56"/>
  <c r="AX81" i="56" s="1"/>
  <c r="AX99" i="56" s="1"/>
  <c r="AA60" i="56"/>
  <c r="Z61" i="56"/>
  <c r="AW98" i="52"/>
  <c r="AW103" i="52" s="1"/>
  <c r="AW85" i="52"/>
  <c r="AW72" i="56"/>
  <c r="AW73" i="52"/>
  <c r="AW76" i="52" s="1"/>
  <c r="AB16" i="53"/>
  <c r="AY16" i="53"/>
  <c r="AA21" i="53"/>
  <c r="Z51" i="48"/>
  <c r="AA46" i="48"/>
  <c r="AX46" i="48"/>
  <c r="AX81" i="48" s="1"/>
  <c r="AW89" i="52"/>
  <c r="AW117" i="52"/>
  <c r="AA61" i="54"/>
  <c r="AB55" i="54"/>
  <c r="AY55" i="54"/>
  <c r="AW89" i="50"/>
  <c r="AW117" i="50"/>
  <c r="AX117" i="53"/>
  <c r="AX89" i="53"/>
  <c r="AV110" i="54"/>
  <c r="AW119" i="54"/>
  <c r="AW91" i="54"/>
  <c r="AB28" i="54"/>
  <c r="AY28" i="54"/>
  <c r="AA31" i="54"/>
  <c r="AW121" i="54"/>
  <c r="AW93" i="54"/>
  <c r="AW112" i="54" s="1"/>
  <c r="AX75" i="54"/>
  <c r="AZ73" i="52"/>
  <c r="AZ85" i="50"/>
  <c r="BB94" i="51"/>
  <c r="AD55" i="48"/>
  <c r="BA55" i="48"/>
  <c r="BA80" i="48" s="1"/>
  <c r="AZ122" i="49"/>
  <c r="BB35" i="49"/>
  <c r="BB71" i="49" s="1"/>
  <c r="AZ121" i="55"/>
  <c r="AZ102" i="55"/>
  <c r="AZ112" i="55" s="1"/>
  <c r="AZ76" i="56"/>
  <c r="BB58" i="55"/>
  <c r="AZ100" i="55"/>
  <c r="AZ119" i="55"/>
  <c r="AZ98" i="48"/>
  <c r="AZ103" i="48" s="1"/>
  <c r="AZ85" i="48"/>
  <c r="BA46" i="54"/>
  <c r="BA81" i="54" s="1"/>
  <c r="AD46" i="54"/>
  <c r="BA82" i="55"/>
  <c r="BA84" i="55"/>
  <c r="BA98" i="15"/>
  <c r="BA85" i="15"/>
  <c r="BB45" i="15"/>
  <c r="AD51" i="15"/>
  <c r="AZ99" i="54"/>
  <c r="AZ109" i="54" s="1"/>
  <c r="AZ118" i="54"/>
  <c r="BA117" i="49"/>
  <c r="BA89" i="49"/>
  <c r="BA76" i="49"/>
  <c r="AZ103" i="15"/>
  <c r="BB57" i="56"/>
  <c r="BA16" i="56"/>
  <c r="AD16" i="56"/>
  <c r="BA90" i="15"/>
  <c r="BB60" i="51"/>
  <c r="BB56" i="53"/>
  <c r="BB81" i="53" s="1"/>
  <c r="BB99" i="51"/>
  <c r="BB109" i="51" s="1"/>
  <c r="BA99" i="51"/>
  <c r="BA85" i="51"/>
  <c r="BA118" i="51"/>
  <c r="BA122" i="51" s="1"/>
  <c r="AZ122" i="51"/>
  <c r="AD16" i="48"/>
  <c r="BA16" i="48"/>
  <c r="BA72" i="48" s="1"/>
  <c r="BA26" i="50"/>
  <c r="AD26" i="50"/>
  <c r="AZ91" i="50"/>
  <c r="AZ110" i="50" s="1"/>
  <c r="AZ119" i="50"/>
  <c r="BB16" i="15"/>
  <c r="AD21" i="15"/>
  <c r="AZ90" i="48"/>
  <c r="AZ103" i="51"/>
  <c r="BA99" i="53"/>
  <c r="AD17" i="50"/>
  <c r="BA17" i="50"/>
  <c r="BA73" i="50" s="1"/>
  <c r="BB91" i="50" s="1"/>
  <c r="BB110" i="50" s="1"/>
  <c r="BA94" i="51"/>
  <c r="BA94" i="55"/>
  <c r="BB89" i="55"/>
  <c r="BB46" i="50"/>
  <c r="BA84" i="56"/>
  <c r="BA82" i="56"/>
  <c r="AZ100" i="56"/>
  <c r="AZ119" i="56"/>
  <c r="AZ102" i="56"/>
  <c r="AZ112" i="56" s="1"/>
  <c r="AZ121" i="56"/>
  <c r="BB48" i="56"/>
  <c r="BB113" i="51"/>
  <c r="BB121" i="50"/>
  <c r="BB118" i="54"/>
  <c r="BB76" i="56"/>
  <c r="BB85" i="50"/>
  <c r="BB119" i="50"/>
  <c r="BB76" i="48"/>
  <c r="BB91" i="56"/>
  <c r="BB91" i="48"/>
  <c r="BB90" i="54"/>
  <c r="BB109" i="54" s="1"/>
  <c r="BB76" i="54"/>
  <c r="BB76" i="50"/>
  <c r="BB76" i="52"/>
  <c r="BB94" i="53"/>
  <c r="BB93" i="50"/>
  <c r="BB112" i="50" s="1"/>
  <c r="BB122" i="51"/>
  <c r="BB119" i="52"/>
  <c r="BA94" i="54"/>
  <c r="AW108" i="15" l="1"/>
  <c r="AW113" i="15" s="1"/>
  <c r="AV122" i="56"/>
  <c r="AW113" i="53"/>
  <c r="AW94" i="15"/>
  <c r="AX118" i="53"/>
  <c r="AX122" i="53" s="1"/>
  <c r="AW122" i="51"/>
  <c r="AV113" i="51"/>
  <c r="AW90" i="50"/>
  <c r="AW109" i="50" s="1"/>
  <c r="AZ99" i="15"/>
  <c r="AZ109" i="15" s="1"/>
  <c r="AZ118" i="15"/>
  <c r="BA56" i="15"/>
  <c r="BA81" i="15" s="1"/>
  <c r="AD56" i="15"/>
  <c r="AC61" i="15"/>
  <c r="AY103" i="15"/>
  <c r="AY109" i="15"/>
  <c r="AV94" i="56"/>
  <c r="AX118" i="51"/>
  <c r="AX99" i="51"/>
  <c r="AX85" i="51"/>
  <c r="AB59" i="51"/>
  <c r="AY59" i="51"/>
  <c r="AY83" i="51" s="1"/>
  <c r="AA61" i="51"/>
  <c r="AY46" i="51"/>
  <c r="AY81" i="51" s="1"/>
  <c r="AB46" i="51"/>
  <c r="AA51" i="51"/>
  <c r="AW109" i="51"/>
  <c r="AW103" i="51"/>
  <c r="AX120" i="51"/>
  <c r="AX101" i="51"/>
  <c r="AX111" i="51" s="1"/>
  <c r="AV110" i="48"/>
  <c r="AV113" i="48" s="1"/>
  <c r="AV94" i="48"/>
  <c r="AX103" i="53"/>
  <c r="AV76" i="48"/>
  <c r="AV119" i="48"/>
  <c r="AV122" i="48" s="1"/>
  <c r="AW76" i="50"/>
  <c r="AX90" i="53"/>
  <c r="AX109" i="53" s="1"/>
  <c r="AW122" i="55"/>
  <c r="AW117" i="54"/>
  <c r="AW89" i="54"/>
  <c r="AW108" i="54" s="1"/>
  <c r="AW76" i="54"/>
  <c r="AX89" i="15"/>
  <c r="AX76" i="15"/>
  <c r="AX117" i="15"/>
  <c r="AX122" i="15" s="1"/>
  <c r="AW93" i="48"/>
  <c r="AW112" i="48" s="1"/>
  <c r="AW121" i="48"/>
  <c r="AV108" i="54"/>
  <c r="AX15" i="54"/>
  <c r="AX71" i="54" s="1"/>
  <c r="AX89" i="54" s="1"/>
  <c r="AA15" i="54"/>
  <c r="Z21" i="54"/>
  <c r="AW108" i="55"/>
  <c r="AW113" i="55" s="1"/>
  <c r="AW103" i="55"/>
  <c r="AB35" i="15"/>
  <c r="AY35" i="15"/>
  <c r="AY71" i="15" s="1"/>
  <c r="AA41" i="15"/>
  <c r="AW73" i="48"/>
  <c r="AB46" i="55"/>
  <c r="AY46" i="55"/>
  <c r="AY81" i="55" s="1"/>
  <c r="AA51" i="55"/>
  <c r="AB50" i="53"/>
  <c r="AY50" i="53"/>
  <c r="AY81" i="53" s="1"/>
  <c r="AY99" i="53" s="1"/>
  <c r="AA51" i="53"/>
  <c r="AW94" i="51"/>
  <c r="AW108" i="51"/>
  <c r="AX118" i="55"/>
  <c r="AX76" i="51"/>
  <c r="AX117" i="51"/>
  <c r="AX89" i="51"/>
  <c r="AX98" i="55"/>
  <c r="AX117" i="55"/>
  <c r="AX85" i="55"/>
  <c r="AW119" i="56"/>
  <c r="AA28" i="48"/>
  <c r="AX28" i="48"/>
  <c r="AX75" i="48" s="1"/>
  <c r="Z31" i="48"/>
  <c r="AB5" i="51"/>
  <c r="AY5" i="51"/>
  <c r="AY71" i="51" s="1"/>
  <c r="AA11" i="51"/>
  <c r="AB55" i="55"/>
  <c r="AY55" i="55"/>
  <c r="AY80" i="55" s="1"/>
  <c r="AA61" i="55"/>
  <c r="AY72" i="49"/>
  <c r="AY90" i="49" s="1"/>
  <c r="AY109" i="49" s="1"/>
  <c r="AV113" i="54"/>
  <c r="AX73" i="52"/>
  <c r="AC57" i="48"/>
  <c r="AZ57" i="48"/>
  <c r="AZ82" i="48" s="1"/>
  <c r="AB61" i="48"/>
  <c r="BB56" i="49"/>
  <c r="BB81" i="49" s="1"/>
  <c r="BB99" i="49" s="1"/>
  <c r="BB103" i="49" s="1"/>
  <c r="AD61" i="49"/>
  <c r="AZ101" i="55"/>
  <c r="AZ111" i="55" s="1"/>
  <c r="AZ120" i="55"/>
  <c r="AW122" i="50"/>
  <c r="AX73" i="56"/>
  <c r="AX91" i="56" s="1"/>
  <c r="AX110" i="56" s="1"/>
  <c r="AD59" i="55"/>
  <c r="BA59" i="55"/>
  <c r="BA83" i="55" s="1"/>
  <c r="AW108" i="50"/>
  <c r="AC16" i="53"/>
  <c r="AZ16" i="53"/>
  <c r="AB21" i="53"/>
  <c r="AX98" i="54"/>
  <c r="AX103" i="54" s="1"/>
  <c r="AX85" i="54"/>
  <c r="BA36" i="55"/>
  <c r="BA72" i="55" s="1"/>
  <c r="AD36" i="55"/>
  <c r="AC41" i="55"/>
  <c r="AY45" i="56"/>
  <c r="AY80" i="56" s="1"/>
  <c r="AB45" i="56"/>
  <c r="AA51" i="56"/>
  <c r="AY39" i="48"/>
  <c r="AY74" i="48" s="1"/>
  <c r="AB39" i="48"/>
  <c r="AA41" i="48"/>
  <c r="AC36" i="49"/>
  <c r="AZ36" i="49"/>
  <c r="AZ72" i="49" s="1"/>
  <c r="AB41" i="49"/>
  <c r="AA11" i="50"/>
  <c r="AB6" i="50"/>
  <c r="AY6" i="50"/>
  <c r="AB16" i="50"/>
  <c r="AY16" i="50"/>
  <c r="AA21" i="50"/>
  <c r="AC5" i="53"/>
  <c r="AZ5" i="53"/>
  <c r="AB11" i="53"/>
  <c r="AY17" i="56"/>
  <c r="AB17" i="56"/>
  <c r="AA21" i="56"/>
  <c r="AY28" i="52"/>
  <c r="AY75" i="52" s="1"/>
  <c r="AA31" i="52"/>
  <c r="AB28" i="52"/>
  <c r="AC25" i="49"/>
  <c r="AZ25" i="49"/>
  <c r="AB31" i="49"/>
  <c r="AY17" i="48"/>
  <c r="AB17" i="48"/>
  <c r="AA21" i="48"/>
  <c r="AY117" i="48"/>
  <c r="AY89" i="48"/>
  <c r="AX117" i="52"/>
  <c r="AX85" i="52"/>
  <c r="AX98" i="52"/>
  <c r="AX103" i="52" s="1"/>
  <c r="AX98" i="56"/>
  <c r="AX117" i="56"/>
  <c r="AX85" i="56"/>
  <c r="AX72" i="56"/>
  <c r="AY36" i="50"/>
  <c r="AA41" i="50"/>
  <c r="AB36" i="50"/>
  <c r="AV113" i="56"/>
  <c r="AX85" i="50"/>
  <c r="AX99" i="50"/>
  <c r="AX103" i="50" s="1"/>
  <c r="BA6" i="55"/>
  <c r="AD6" i="55"/>
  <c r="AC11" i="55"/>
  <c r="AB61" i="54"/>
  <c r="AC55" i="54"/>
  <c r="AZ55" i="54"/>
  <c r="AZ80" i="54" s="1"/>
  <c r="AW108" i="52"/>
  <c r="AW119" i="52"/>
  <c r="AW122" i="52" s="1"/>
  <c r="AW91" i="52"/>
  <c r="AW110" i="52" s="1"/>
  <c r="AB45" i="50"/>
  <c r="AY45" i="50"/>
  <c r="AY80" i="50" s="1"/>
  <c r="AA51" i="50"/>
  <c r="AX108" i="49"/>
  <c r="AY45" i="54"/>
  <c r="AY80" i="54" s="1"/>
  <c r="AB45" i="54"/>
  <c r="AA51" i="54"/>
  <c r="AW94" i="49"/>
  <c r="AY15" i="52"/>
  <c r="AY71" i="52" s="1"/>
  <c r="AB15" i="52"/>
  <c r="AA21" i="52"/>
  <c r="AY98" i="49"/>
  <c r="AY103" i="49" s="1"/>
  <c r="AZ98" i="49"/>
  <c r="AZ103" i="49" s="1"/>
  <c r="AY85" i="49"/>
  <c r="AW109" i="48"/>
  <c r="AW103" i="48"/>
  <c r="AY45" i="52"/>
  <c r="AY80" i="52" s="1"/>
  <c r="AA51" i="52"/>
  <c r="AB45" i="52"/>
  <c r="AY98" i="53"/>
  <c r="AY27" i="56"/>
  <c r="AY73" i="56" s="1"/>
  <c r="AB27" i="56"/>
  <c r="AA31" i="56"/>
  <c r="AY72" i="53"/>
  <c r="AX108" i="48"/>
  <c r="AX117" i="50"/>
  <c r="AX89" i="50"/>
  <c r="AY37" i="54"/>
  <c r="AB37" i="54"/>
  <c r="AA41" i="54"/>
  <c r="AB5" i="54"/>
  <c r="AY5" i="54"/>
  <c r="AA11" i="54"/>
  <c r="AB56" i="50"/>
  <c r="AY56" i="50"/>
  <c r="AY81" i="50" s="1"/>
  <c r="AA61" i="50"/>
  <c r="AX108" i="53"/>
  <c r="AA51" i="48"/>
  <c r="AB46" i="48"/>
  <c r="AY46" i="48"/>
  <c r="AY81" i="48" s="1"/>
  <c r="AX118" i="52"/>
  <c r="AX90" i="52"/>
  <c r="AX109" i="52" s="1"/>
  <c r="AX109" i="55"/>
  <c r="AX94" i="55"/>
  <c r="AC27" i="55"/>
  <c r="AZ27" i="55"/>
  <c r="AB31" i="55"/>
  <c r="AY82" i="52"/>
  <c r="AY84" i="52"/>
  <c r="AY102" i="52" s="1"/>
  <c r="AB36" i="56"/>
  <c r="AY36" i="56"/>
  <c r="AA41" i="56"/>
  <c r="AW108" i="56"/>
  <c r="AW103" i="56"/>
  <c r="AC5" i="15"/>
  <c r="AZ5" i="15"/>
  <c r="AB11" i="15"/>
  <c r="AY7" i="52"/>
  <c r="AA11" i="52"/>
  <c r="AB7" i="52"/>
  <c r="AC55" i="53"/>
  <c r="AZ55" i="53"/>
  <c r="AZ80" i="53" s="1"/>
  <c r="AB61" i="53"/>
  <c r="AC36" i="53"/>
  <c r="AZ36" i="53"/>
  <c r="AZ72" i="53" s="1"/>
  <c r="AB41" i="53"/>
  <c r="AX99" i="48"/>
  <c r="AX118" i="48"/>
  <c r="AX85" i="48"/>
  <c r="AW76" i="56"/>
  <c r="AW118" i="56"/>
  <c r="AW90" i="56"/>
  <c r="AY60" i="56"/>
  <c r="AY81" i="56" s="1"/>
  <c r="AY99" i="56" s="1"/>
  <c r="AB60" i="56"/>
  <c r="AA61" i="56"/>
  <c r="AC5" i="48"/>
  <c r="AB11" i="48"/>
  <c r="AZ5" i="48"/>
  <c r="AZ71" i="48" s="1"/>
  <c r="AY36" i="52"/>
  <c r="AY72" i="52" s="1"/>
  <c r="AA41" i="52"/>
  <c r="AB36" i="52"/>
  <c r="AW113" i="49"/>
  <c r="AX89" i="52"/>
  <c r="AY6" i="56"/>
  <c r="AB6" i="56"/>
  <c r="AA11" i="56"/>
  <c r="AC45" i="49"/>
  <c r="AZ45" i="49"/>
  <c r="AB51" i="49"/>
  <c r="AZ90" i="55"/>
  <c r="AZ109" i="55" s="1"/>
  <c r="AZ118" i="55"/>
  <c r="AY91" i="55"/>
  <c r="AY110" i="55" s="1"/>
  <c r="AY119" i="55"/>
  <c r="AX92" i="48"/>
  <c r="AX111" i="48" s="1"/>
  <c r="AX120" i="48"/>
  <c r="AZ58" i="52"/>
  <c r="AZ84" i="52" s="1"/>
  <c r="AC58" i="52"/>
  <c r="AB61" i="52"/>
  <c r="AC16" i="49"/>
  <c r="AZ16" i="49"/>
  <c r="AB21" i="49"/>
  <c r="AC6" i="49"/>
  <c r="AZ6" i="49"/>
  <c r="AB11" i="49"/>
  <c r="AX90" i="49"/>
  <c r="AX118" i="49"/>
  <c r="AX122" i="49" s="1"/>
  <c r="AX72" i="50"/>
  <c r="AY117" i="53"/>
  <c r="AY89" i="53"/>
  <c r="AY25" i="50"/>
  <c r="AY71" i="50" s="1"/>
  <c r="AB25" i="50"/>
  <c r="AA31" i="50"/>
  <c r="AY76" i="55"/>
  <c r="AX93" i="52"/>
  <c r="AX112" i="52" s="1"/>
  <c r="AX121" i="52"/>
  <c r="AY89" i="49"/>
  <c r="AY117" i="49"/>
  <c r="AZ89" i="49"/>
  <c r="AZ76" i="52"/>
  <c r="AZ119" i="52"/>
  <c r="BA73" i="52"/>
  <c r="BA76" i="52" s="1"/>
  <c r="AZ76" i="50"/>
  <c r="E11" i="34"/>
  <c r="BA108" i="49"/>
  <c r="BA94" i="49"/>
  <c r="BA103" i="15"/>
  <c r="AZ94" i="56"/>
  <c r="BB89" i="49"/>
  <c r="BB117" i="49"/>
  <c r="BB76" i="49"/>
  <c r="BA98" i="48"/>
  <c r="BA103" i="48" s="1"/>
  <c r="BA85" i="48"/>
  <c r="BA76" i="56"/>
  <c r="BA102" i="55"/>
  <c r="BA112" i="55" s="1"/>
  <c r="BA121" i="55"/>
  <c r="BA99" i="54"/>
  <c r="BA109" i="54" s="1"/>
  <c r="BA118" i="54"/>
  <c r="BB55" i="48"/>
  <c r="BB80" i="48" s="1"/>
  <c r="BB16" i="56"/>
  <c r="BA122" i="49"/>
  <c r="BB46" i="54"/>
  <c r="BA100" i="55"/>
  <c r="BA119" i="55"/>
  <c r="AZ110" i="55"/>
  <c r="BA90" i="48"/>
  <c r="BA119" i="50"/>
  <c r="BA91" i="50"/>
  <c r="BA110" i="50" s="1"/>
  <c r="BB26" i="50"/>
  <c r="BB16" i="48"/>
  <c r="BA103" i="51"/>
  <c r="BA109" i="51"/>
  <c r="BB17" i="50"/>
  <c r="BB99" i="53"/>
  <c r="BB94" i="55"/>
  <c r="BB84" i="56"/>
  <c r="BB82" i="56"/>
  <c r="BA102" i="56"/>
  <c r="BA112" i="56" s="1"/>
  <c r="BA121" i="56"/>
  <c r="AZ110" i="56"/>
  <c r="BA100" i="56"/>
  <c r="BA119" i="56"/>
  <c r="BB122" i="50"/>
  <c r="BB94" i="56"/>
  <c r="BB94" i="54"/>
  <c r="BB94" i="48"/>
  <c r="BB94" i="50"/>
  <c r="BB94" i="52"/>
  <c r="AW94" i="50" l="1"/>
  <c r="AX94" i="15"/>
  <c r="AZ102" i="52"/>
  <c r="AX122" i="51"/>
  <c r="AX122" i="55"/>
  <c r="AW113" i="50"/>
  <c r="AW113" i="51"/>
  <c r="AX119" i="56"/>
  <c r="AW122" i="56"/>
  <c r="BB56" i="15"/>
  <c r="BB81" i="15" s="1"/>
  <c r="AD61" i="15"/>
  <c r="BA99" i="15"/>
  <c r="BA109" i="15" s="1"/>
  <c r="BA118" i="15"/>
  <c r="AC46" i="51"/>
  <c r="AZ46" i="51"/>
  <c r="AB51" i="51"/>
  <c r="AC59" i="51"/>
  <c r="AZ59" i="51"/>
  <c r="AZ83" i="51" s="1"/>
  <c r="AB61" i="51"/>
  <c r="AY99" i="51"/>
  <c r="AY85" i="51"/>
  <c r="AY118" i="51"/>
  <c r="AZ99" i="51"/>
  <c r="AZ109" i="51" s="1"/>
  <c r="AX103" i="51"/>
  <c r="AX109" i="51"/>
  <c r="AY101" i="51"/>
  <c r="AY111" i="51" s="1"/>
  <c r="AY120" i="51"/>
  <c r="AY103" i="53"/>
  <c r="AX117" i="54"/>
  <c r="AX113" i="53"/>
  <c r="AX94" i="53"/>
  <c r="AY85" i="53"/>
  <c r="AX73" i="48"/>
  <c r="AX91" i="48" s="1"/>
  <c r="AY99" i="55"/>
  <c r="AY109" i="55" s="1"/>
  <c r="AY118" i="55"/>
  <c r="AY76" i="15"/>
  <c r="AY89" i="15"/>
  <c r="AY94" i="15" s="1"/>
  <c r="AY117" i="15"/>
  <c r="AX108" i="55"/>
  <c r="AX103" i="55"/>
  <c r="AX108" i="15"/>
  <c r="AY118" i="49"/>
  <c r="AY122" i="49" s="1"/>
  <c r="AY76" i="49"/>
  <c r="AX121" i="48"/>
  <c r="AX93" i="48"/>
  <c r="AX112" i="48" s="1"/>
  <c r="AX119" i="52"/>
  <c r="AX122" i="52" s="1"/>
  <c r="AX76" i="52"/>
  <c r="AX91" i="52"/>
  <c r="AX110" i="52" s="1"/>
  <c r="AY89" i="51"/>
  <c r="AY117" i="51"/>
  <c r="AY76" i="51"/>
  <c r="AZ89" i="51"/>
  <c r="AB28" i="48"/>
  <c r="AY28" i="48"/>
  <c r="AY75" i="48" s="1"/>
  <c r="AA31" i="48"/>
  <c r="AX108" i="51"/>
  <c r="AX94" i="51"/>
  <c r="AC46" i="55"/>
  <c r="AZ46" i="55"/>
  <c r="AB51" i="55"/>
  <c r="AC35" i="15"/>
  <c r="AZ35" i="15"/>
  <c r="AZ71" i="15" s="1"/>
  <c r="AB41" i="15"/>
  <c r="AY15" i="54"/>
  <c r="AY71" i="54" s="1"/>
  <c r="AB15" i="54"/>
  <c r="AA21" i="54"/>
  <c r="AY98" i="55"/>
  <c r="AY117" i="55"/>
  <c r="AY85" i="55"/>
  <c r="AC5" i="51"/>
  <c r="AZ5" i="51"/>
  <c r="AB11" i="51"/>
  <c r="AC50" i="53"/>
  <c r="AZ50" i="53"/>
  <c r="AB51" i="53"/>
  <c r="AW76" i="48"/>
  <c r="AW91" i="48"/>
  <c r="AW119" i="48"/>
  <c r="AX113" i="55"/>
  <c r="AZ55" i="55"/>
  <c r="AZ80" i="55" s="1"/>
  <c r="AC55" i="55"/>
  <c r="AB61" i="55"/>
  <c r="AZ100" i="48"/>
  <c r="AZ110" i="48" s="1"/>
  <c r="AZ119" i="48"/>
  <c r="AY94" i="55"/>
  <c r="BB59" i="55"/>
  <c r="BB83" i="55" s="1"/>
  <c r="BA101" i="55"/>
  <c r="BA111" i="55" s="1"/>
  <c r="BA120" i="55"/>
  <c r="BA57" i="48"/>
  <c r="BA82" i="48" s="1"/>
  <c r="AD57" i="48"/>
  <c r="AC61" i="48"/>
  <c r="AX118" i="50"/>
  <c r="AX90" i="50"/>
  <c r="AX109" i="50" s="1"/>
  <c r="AD16" i="49"/>
  <c r="BA16" i="49"/>
  <c r="AC21" i="49"/>
  <c r="AD45" i="49"/>
  <c r="BA45" i="49"/>
  <c r="AC51" i="49"/>
  <c r="AD5" i="48"/>
  <c r="AC11" i="48"/>
  <c r="BA5" i="48"/>
  <c r="BA71" i="48" s="1"/>
  <c r="AW94" i="56"/>
  <c r="AW109" i="56"/>
  <c r="AW113" i="56" s="1"/>
  <c r="AD5" i="15"/>
  <c r="BA5" i="15"/>
  <c r="AC11" i="15"/>
  <c r="AY100" i="52"/>
  <c r="AZ100" i="52"/>
  <c r="AY99" i="48"/>
  <c r="AY85" i="48"/>
  <c r="AY118" i="48"/>
  <c r="AC37" i="54"/>
  <c r="AZ37" i="54"/>
  <c r="AZ73" i="54" s="1"/>
  <c r="AB41" i="54"/>
  <c r="AX122" i="50"/>
  <c r="AZ27" i="56"/>
  <c r="AC27" i="56"/>
  <c r="AB31" i="56"/>
  <c r="AB51" i="52"/>
  <c r="AZ45" i="52"/>
  <c r="AZ80" i="52" s="1"/>
  <c r="AC45" i="52"/>
  <c r="AY89" i="52"/>
  <c r="AY117" i="52"/>
  <c r="AZ89" i="52"/>
  <c r="AZ94" i="52" s="1"/>
  <c r="AY98" i="54"/>
  <c r="AY103" i="54" s="1"/>
  <c r="AY85" i="54"/>
  <c r="AX90" i="56"/>
  <c r="AX76" i="56"/>
  <c r="AX118" i="56"/>
  <c r="AY89" i="50"/>
  <c r="AY117" i="50"/>
  <c r="AZ89" i="50"/>
  <c r="AZ98" i="54"/>
  <c r="AZ85" i="54"/>
  <c r="AZ117" i="54"/>
  <c r="AY121" i="52"/>
  <c r="AY93" i="52"/>
  <c r="AY112" i="52" s="1"/>
  <c r="AZ45" i="56"/>
  <c r="AZ80" i="56" s="1"/>
  <c r="AC45" i="56"/>
  <c r="AB51" i="56"/>
  <c r="BA90" i="55"/>
  <c r="BA109" i="55" s="1"/>
  <c r="BA118" i="55"/>
  <c r="BA16" i="53"/>
  <c r="AD16" i="53"/>
  <c r="AC21" i="53"/>
  <c r="AX109" i="49"/>
  <c r="AX113" i="49" s="1"/>
  <c r="AX94" i="49"/>
  <c r="BA58" i="52"/>
  <c r="BA84" i="52" s="1"/>
  <c r="BA102" i="52" s="1"/>
  <c r="AD58" i="52"/>
  <c r="AC61" i="52"/>
  <c r="AC6" i="56"/>
  <c r="AZ6" i="56"/>
  <c r="AB11" i="56"/>
  <c r="AZ76" i="48"/>
  <c r="AZ117" i="48"/>
  <c r="AZ89" i="48"/>
  <c r="AC60" i="56"/>
  <c r="AZ60" i="56"/>
  <c r="AZ81" i="56" s="1"/>
  <c r="AZ99" i="56" s="1"/>
  <c r="AB61" i="56"/>
  <c r="AZ90" i="53"/>
  <c r="AZ109" i="53" s="1"/>
  <c r="AZ118" i="53"/>
  <c r="BA55" i="53"/>
  <c r="BA80" i="53" s="1"/>
  <c r="AD55" i="53"/>
  <c r="AC61" i="53"/>
  <c r="AZ36" i="56"/>
  <c r="AZ72" i="56" s="1"/>
  <c r="AC36" i="56"/>
  <c r="AB41" i="56"/>
  <c r="AY85" i="50"/>
  <c r="AY99" i="50"/>
  <c r="AC5" i="54"/>
  <c r="AZ5" i="54"/>
  <c r="AB11" i="54"/>
  <c r="AX76" i="50"/>
  <c r="AY76" i="53"/>
  <c r="AY90" i="53"/>
  <c r="AY109" i="53" s="1"/>
  <c r="AY118" i="53"/>
  <c r="AY98" i="52"/>
  <c r="AY85" i="52"/>
  <c r="BB6" i="55"/>
  <c r="AD11" i="55"/>
  <c r="AY98" i="50"/>
  <c r="AZ98" i="50"/>
  <c r="AW94" i="52"/>
  <c r="AB31" i="52"/>
  <c r="AZ28" i="52"/>
  <c r="AZ75" i="52" s="1"/>
  <c r="AC28" i="52"/>
  <c r="AZ17" i="56"/>
  <c r="AC17" i="56"/>
  <c r="AB21" i="56"/>
  <c r="BA5" i="53"/>
  <c r="AD5" i="53"/>
  <c r="AC11" i="53"/>
  <c r="AZ90" i="49"/>
  <c r="AZ109" i="49" s="1"/>
  <c r="AZ118" i="49"/>
  <c r="AY120" i="48"/>
  <c r="AY92" i="48"/>
  <c r="AY111" i="48" s="1"/>
  <c r="AZ94" i="49"/>
  <c r="AZ108" i="49"/>
  <c r="AZ25" i="50"/>
  <c r="AC25" i="50"/>
  <c r="AB31" i="50"/>
  <c r="AC36" i="52"/>
  <c r="AB41" i="52"/>
  <c r="AZ36" i="52"/>
  <c r="AZ72" i="52" s="1"/>
  <c r="AX108" i="54"/>
  <c r="AD36" i="53"/>
  <c r="BA36" i="53"/>
  <c r="BA72" i="53" s="1"/>
  <c r="AC41" i="53"/>
  <c r="AC7" i="52"/>
  <c r="AB11" i="52"/>
  <c r="AZ7" i="52"/>
  <c r="AY72" i="56"/>
  <c r="AB51" i="48"/>
  <c r="AZ46" i="48"/>
  <c r="AZ81" i="48" s="1"/>
  <c r="AC46" i="48"/>
  <c r="AY91" i="56"/>
  <c r="AY110" i="56" s="1"/>
  <c r="AY119" i="56"/>
  <c r="AZ45" i="50"/>
  <c r="AC45" i="50"/>
  <c r="AB51" i="50"/>
  <c r="AW113" i="52"/>
  <c r="AY72" i="50"/>
  <c r="AX108" i="56"/>
  <c r="AX103" i="56"/>
  <c r="AC17" i="48"/>
  <c r="AZ17" i="48"/>
  <c r="AB21" i="48"/>
  <c r="AD25" i="49"/>
  <c r="BA25" i="49"/>
  <c r="AC31" i="49"/>
  <c r="AC16" i="50"/>
  <c r="AZ16" i="50"/>
  <c r="AB21" i="50"/>
  <c r="AZ39" i="48"/>
  <c r="AZ74" i="48" s="1"/>
  <c r="AC39" i="48"/>
  <c r="AB41" i="48"/>
  <c r="AY98" i="56"/>
  <c r="AY117" i="56"/>
  <c r="AY85" i="56"/>
  <c r="AY108" i="49"/>
  <c r="AY94" i="49"/>
  <c r="AY108" i="53"/>
  <c r="AD6" i="49"/>
  <c r="BA6" i="49"/>
  <c r="AC11" i="49"/>
  <c r="AX108" i="52"/>
  <c r="AY90" i="52"/>
  <c r="AY109" i="52" s="1"/>
  <c r="AY118" i="52"/>
  <c r="AX103" i="48"/>
  <c r="AX109" i="48"/>
  <c r="AZ98" i="53"/>
  <c r="AZ117" i="53"/>
  <c r="AZ85" i="53"/>
  <c r="AY73" i="52"/>
  <c r="BA27" i="55"/>
  <c r="AD27" i="55"/>
  <c r="AC31" i="55"/>
  <c r="AC56" i="50"/>
  <c r="AB61" i="50"/>
  <c r="AZ56" i="50"/>
  <c r="AZ81" i="50" s="1"/>
  <c r="AZ99" i="50" s="1"/>
  <c r="AX108" i="50"/>
  <c r="AZ15" i="52"/>
  <c r="AC15" i="52"/>
  <c r="AB21" i="52"/>
  <c r="AC45" i="54"/>
  <c r="AZ45" i="54"/>
  <c r="AB51" i="54"/>
  <c r="AD55" i="54"/>
  <c r="AC61" i="54"/>
  <c r="BA55" i="54"/>
  <c r="BA80" i="54" s="1"/>
  <c r="AC36" i="50"/>
  <c r="AZ36" i="50"/>
  <c r="AZ72" i="50" s="1"/>
  <c r="AB41" i="50"/>
  <c r="AY108" i="48"/>
  <c r="AZ6" i="50"/>
  <c r="AC6" i="50"/>
  <c r="AB11" i="50"/>
  <c r="BA36" i="49"/>
  <c r="BA72" i="49" s="1"/>
  <c r="AD36" i="49"/>
  <c r="AC41" i="49"/>
  <c r="BB36" i="55"/>
  <c r="BB72" i="55" s="1"/>
  <c r="AD41" i="55"/>
  <c r="AX119" i="54"/>
  <c r="AX91" i="54"/>
  <c r="AX76" i="54"/>
  <c r="AW110" i="54"/>
  <c r="AW94" i="54"/>
  <c r="AX121" i="54"/>
  <c r="AX93" i="54"/>
  <c r="AX112" i="54" s="1"/>
  <c r="AY75" i="54"/>
  <c r="AY73" i="54"/>
  <c r="AW122" i="54"/>
  <c r="AC28" i="54"/>
  <c r="AZ28" i="54"/>
  <c r="AB31" i="54"/>
  <c r="BA91" i="52"/>
  <c r="BA110" i="52" s="1"/>
  <c r="BA119" i="52"/>
  <c r="BB91" i="52"/>
  <c r="BB110" i="52" s="1"/>
  <c r="BB98" i="48"/>
  <c r="BB85" i="48"/>
  <c r="BB117" i="48"/>
  <c r="BA94" i="56"/>
  <c r="BB108" i="49"/>
  <c r="BB94" i="49"/>
  <c r="BA113" i="49"/>
  <c r="BA110" i="55"/>
  <c r="BB122" i="49"/>
  <c r="BA76" i="50"/>
  <c r="BA113" i="51"/>
  <c r="BA110" i="56"/>
  <c r="BB100" i="56"/>
  <c r="BB110" i="56" s="1"/>
  <c r="BB119" i="56"/>
  <c r="BB102" i="56"/>
  <c r="BB112" i="56" s="1"/>
  <c r="BB121" i="56"/>
  <c r="AY108" i="15" l="1"/>
  <c r="AY113" i="15" s="1"/>
  <c r="AY94" i="53"/>
  <c r="AX94" i="50"/>
  <c r="AZ103" i="50"/>
  <c r="AY122" i="55"/>
  <c r="AY103" i="52"/>
  <c r="AX94" i="52"/>
  <c r="BB99" i="15"/>
  <c r="BB109" i="15" s="1"/>
  <c r="BB118" i="15"/>
  <c r="AD59" i="51"/>
  <c r="BA59" i="51"/>
  <c r="BA83" i="51" s="1"/>
  <c r="AC61" i="51"/>
  <c r="AY109" i="51"/>
  <c r="AY103" i="51"/>
  <c r="AZ101" i="51"/>
  <c r="AZ111" i="51" s="1"/>
  <c r="AZ120" i="51"/>
  <c r="AD46" i="51"/>
  <c r="BA46" i="51"/>
  <c r="AC51" i="51"/>
  <c r="AX110" i="48"/>
  <c r="AX113" i="48" s="1"/>
  <c r="AX94" i="48"/>
  <c r="AY89" i="54"/>
  <c r="AY108" i="54" s="1"/>
  <c r="AY117" i="54"/>
  <c r="AY73" i="48"/>
  <c r="AX76" i="48"/>
  <c r="AX119" i="48"/>
  <c r="AD55" i="55"/>
  <c r="BA55" i="55"/>
  <c r="BA80" i="55" s="1"/>
  <c r="AC61" i="55"/>
  <c r="AW122" i="48"/>
  <c r="BA5" i="51"/>
  <c r="AD5" i="51"/>
  <c r="AC11" i="51"/>
  <c r="AX113" i="51"/>
  <c r="AZ108" i="51"/>
  <c r="AZ94" i="51"/>
  <c r="AY122" i="15"/>
  <c r="AZ98" i="55"/>
  <c r="AZ117" i="55"/>
  <c r="AZ85" i="55"/>
  <c r="AW110" i="48"/>
  <c r="AW94" i="48"/>
  <c r="AD50" i="53"/>
  <c r="BA50" i="53"/>
  <c r="AC51" i="53"/>
  <c r="AX113" i="15"/>
  <c r="AZ89" i="15"/>
  <c r="AZ117" i="15"/>
  <c r="AZ76" i="15"/>
  <c r="AD46" i="55"/>
  <c r="BA46" i="55"/>
  <c r="AC51" i="55"/>
  <c r="AY121" i="48"/>
  <c r="AY93" i="48"/>
  <c r="AY122" i="51"/>
  <c r="AY108" i="55"/>
  <c r="AY103" i="55"/>
  <c r="AC15" i="54"/>
  <c r="AZ15" i="54"/>
  <c r="AB21" i="54"/>
  <c r="BA35" i="15"/>
  <c r="BA71" i="15" s="1"/>
  <c r="AD35" i="15"/>
  <c r="AC41" i="15"/>
  <c r="AZ28" i="48"/>
  <c r="AC28" i="48"/>
  <c r="AB31" i="48"/>
  <c r="AY108" i="51"/>
  <c r="AY94" i="51"/>
  <c r="AY103" i="50"/>
  <c r="BB57" i="48"/>
  <c r="BB82" i="48" s="1"/>
  <c r="AD61" i="48"/>
  <c r="BA100" i="48"/>
  <c r="BA110" i="48" s="1"/>
  <c r="BA119" i="48"/>
  <c r="BB101" i="55"/>
  <c r="BB111" i="55" s="1"/>
  <c r="BB120" i="55"/>
  <c r="BA90" i="49"/>
  <c r="BA109" i="49" s="1"/>
  <c r="BA118" i="49"/>
  <c r="AY91" i="52"/>
  <c r="AY110" i="52" s="1"/>
  <c r="AY119" i="52"/>
  <c r="AZ91" i="52"/>
  <c r="AZ110" i="52" s="1"/>
  <c r="BB6" i="49"/>
  <c r="AD11" i="49"/>
  <c r="BA39" i="48"/>
  <c r="BA74" i="48" s="1"/>
  <c r="AD39" i="48"/>
  <c r="AC41" i="48"/>
  <c r="AZ99" i="48"/>
  <c r="AZ109" i="48" s="1"/>
  <c r="AZ118" i="48"/>
  <c r="BB36" i="53"/>
  <c r="BB72" i="53" s="1"/>
  <c r="AD41" i="53"/>
  <c r="AZ113" i="49"/>
  <c r="AD5" i="54"/>
  <c r="BA5" i="54"/>
  <c r="AC11" i="54"/>
  <c r="AZ98" i="56"/>
  <c r="AZ117" i="56"/>
  <c r="AZ85" i="56"/>
  <c r="AY108" i="52"/>
  <c r="BB90" i="55"/>
  <c r="BB109" i="55" s="1"/>
  <c r="BB118" i="55"/>
  <c r="BA98" i="54"/>
  <c r="BA117" i="54"/>
  <c r="BA85" i="54"/>
  <c r="BA45" i="50"/>
  <c r="AD45" i="50"/>
  <c r="AC51" i="50"/>
  <c r="BB58" i="52"/>
  <c r="BB84" i="52" s="1"/>
  <c r="AD61" i="52"/>
  <c r="AY76" i="52"/>
  <c r="AZ91" i="54"/>
  <c r="AZ110" i="54" s="1"/>
  <c r="AZ119" i="54"/>
  <c r="AY103" i="48"/>
  <c r="AY109" i="48"/>
  <c r="BB16" i="49"/>
  <c r="AD21" i="49"/>
  <c r="BA6" i="50"/>
  <c r="AD6" i="50"/>
  <c r="AC11" i="50"/>
  <c r="AD45" i="54"/>
  <c r="BA45" i="54"/>
  <c r="AC51" i="54"/>
  <c r="AZ122" i="53"/>
  <c r="AY113" i="53"/>
  <c r="AY108" i="56"/>
  <c r="AY103" i="56"/>
  <c r="AD17" i="48"/>
  <c r="BA17" i="48"/>
  <c r="AC21" i="48"/>
  <c r="AY118" i="50"/>
  <c r="AY90" i="50"/>
  <c r="AY109" i="50" s="1"/>
  <c r="AY76" i="56"/>
  <c r="AY118" i="56"/>
  <c r="AY90" i="56"/>
  <c r="AZ118" i="52"/>
  <c r="AZ90" i="52"/>
  <c r="AZ109" i="52" s="1"/>
  <c r="AD25" i="50"/>
  <c r="BA25" i="50"/>
  <c r="AC31" i="50"/>
  <c r="BA17" i="56"/>
  <c r="AD17" i="56"/>
  <c r="AC21" i="56"/>
  <c r="AY122" i="53"/>
  <c r="AZ108" i="48"/>
  <c r="AZ94" i="48"/>
  <c r="BB16" i="53"/>
  <c r="AD21" i="53"/>
  <c r="AY108" i="50"/>
  <c r="AX109" i="56"/>
  <c r="AX113" i="56" s="1"/>
  <c r="AX94" i="56"/>
  <c r="AZ85" i="52"/>
  <c r="AZ98" i="52"/>
  <c r="AZ117" i="52"/>
  <c r="AD37" i="54"/>
  <c r="BA37" i="54"/>
  <c r="BA73" i="54" s="1"/>
  <c r="AC41" i="54"/>
  <c r="BB5" i="15"/>
  <c r="AD11" i="15"/>
  <c r="BB45" i="49"/>
  <c r="AD51" i="49"/>
  <c r="AX113" i="50"/>
  <c r="AD36" i="50"/>
  <c r="BA36" i="50"/>
  <c r="BA72" i="50" s="1"/>
  <c r="AC41" i="50"/>
  <c r="BA15" i="52"/>
  <c r="AD15" i="52"/>
  <c r="AC21" i="52"/>
  <c r="AY113" i="49"/>
  <c r="AD16" i="50"/>
  <c r="BA16" i="50"/>
  <c r="AC21" i="50"/>
  <c r="AC41" i="52"/>
  <c r="AD36" i="52"/>
  <c r="BA36" i="52"/>
  <c r="BA72" i="52" s="1"/>
  <c r="AC31" i="52"/>
  <c r="BA28" i="52"/>
  <c r="BA75" i="52" s="1"/>
  <c r="AD28" i="52"/>
  <c r="BA36" i="56"/>
  <c r="BA72" i="56" s="1"/>
  <c r="AD36" i="56"/>
  <c r="AC41" i="56"/>
  <c r="BA98" i="53"/>
  <c r="BA117" i="53"/>
  <c r="BA85" i="53"/>
  <c r="AZ108" i="50"/>
  <c r="AZ94" i="50"/>
  <c r="BB27" i="55"/>
  <c r="AD31" i="55"/>
  <c r="AX113" i="52"/>
  <c r="AZ92" i="48"/>
  <c r="AZ111" i="48" s="1"/>
  <c r="AZ120" i="48"/>
  <c r="AD7" i="52"/>
  <c r="BA7" i="52"/>
  <c r="AC11" i="52"/>
  <c r="AZ121" i="52"/>
  <c r="AZ93" i="52"/>
  <c r="AZ112" i="52" s="1"/>
  <c r="AX122" i="56"/>
  <c r="AZ90" i="56"/>
  <c r="AZ109" i="56" s="1"/>
  <c r="AZ118" i="56"/>
  <c r="BA60" i="56"/>
  <c r="BA81" i="56" s="1"/>
  <c r="BA99" i="56" s="1"/>
  <c r="AD60" i="56"/>
  <c r="AC61" i="56"/>
  <c r="AZ108" i="54"/>
  <c r="AZ103" i="54"/>
  <c r="AC51" i="52"/>
  <c r="BA45" i="52"/>
  <c r="BA80" i="52" s="1"/>
  <c r="AD45" i="52"/>
  <c r="AD27" i="56"/>
  <c r="BA27" i="56"/>
  <c r="AC31" i="56"/>
  <c r="BA89" i="48"/>
  <c r="BA76" i="48"/>
  <c r="BA117" i="48"/>
  <c r="BB36" i="49"/>
  <c r="BB72" i="49" s="1"/>
  <c r="AD41" i="49"/>
  <c r="AZ90" i="50"/>
  <c r="AZ109" i="50" s="1"/>
  <c r="AZ118" i="50"/>
  <c r="AD61" i="54"/>
  <c r="BB55" i="54"/>
  <c r="BB80" i="54" s="1"/>
  <c r="BA56" i="50"/>
  <c r="BA81" i="50" s="1"/>
  <c r="AD56" i="50"/>
  <c r="AC61" i="50"/>
  <c r="AZ108" i="53"/>
  <c r="AZ103" i="53"/>
  <c r="BB25" i="49"/>
  <c r="AD31" i="49"/>
  <c r="AD46" i="48"/>
  <c r="BA46" i="48"/>
  <c r="BA81" i="48" s="1"/>
  <c r="AC51" i="48"/>
  <c r="BA90" i="53"/>
  <c r="BA109" i="53" s="1"/>
  <c r="BA118" i="53"/>
  <c r="BB5" i="53"/>
  <c r="AD11" i="53"/>
  <c r="BB55" i="53"/>
  <c r="BB80" i="53" s="1"/>
  <c r="AD61" i="53"/>
  <c r="AZ122" i="48"/>
  <c r="AD6" i="56"/>
  <c r="AC11" i="56"/>
  <c r="BA6" i="56"/>
  <c r="BA45" i="56"/>
  <c r="BA80" i="56" s="1"/>
  <c r="AD45" i="56"/>
  <c r="AC51" i="56"/>
  <c r="AZ122" i="54"/>
  <c r="AY76" i="50"/>
  <c r="AD11" i="48"/>
  <c r="BB5" i="48"/>
  <c r="AD28" i="54"/>
  <c r="BA28" i="54"/>
  <c r="AC31" i="54"/>
  <c r="AX110" i="54"/>
  <c r="AX94" i="54"/>
  <c r="AY119" i="54"/>
  <c r="AY91" i="54"/>
  <c r="AY76" i="54"/>
  <c r="AX122" i="54"/>
  <c r="AY121" i="54"/>
  <c r="AY93" i="54"/>
  <c r="AY112" i="54" s="1"/>
  <c r="AW113" i="54"/>
  <c r="BA94" i="52"/>
  <c r="BB122" i="48"/>
  <c r="BB113" i="49"/>
  <c r="BB103" i="48"/>
  <c r="BB108" i="48"/>
  <c r="BB113" i="50"/>
  <c r="BA94" i="50"/>
  <c r="BA122" i="50"/>
  <c r="AY94" i="52" l="1"/>
  <c r="BA101" i="51"/>
  <c r="BA111" i="51" s="1"/>
  <c r="BA120" i="51"/>
  <c r="BB59" i="51"/>
  <c r="BB83" i="51" s="1"/>
  <c r="AD61" i="51"/>
  <c r="BB46" i="51"/>
  <c r="AD51" i="51"/>
  <c r="AX122" i="48"/>
  <c r="AY76" i="48"/>
  <c r="AY91" i="48"/>
  <c r="AY110" i="48" s="1"/>
  <c r="AY119" i="48"/>
  <c r="AD28" i="48"/>
  <c r="BA28" i="48"/>
  <c r="AC31" i="48"/>
  <c r="BA89" i="15"/>
  <c r="BA117" i="15"/>
  <c r="BA76" i="15"/>
  <c r="AY112" i="48"/>
  <c r="BB46" i="55"/>
  <c r="AD51" i="55"/>
  <c r="BB50" i="53"/>
  <c r="AD51" i="53"/>
  <c r="AZ122" i="55"/>
  <c r="AZ113" i="51"/>
  <c r="BB55" i="55"/>
  <c r="BB80" i="55" s="1"/>
  <c r="AD61" i="55"/>
  <c r="AY113" i="55"/>
  <c r="AZ108" i="55"/>
  <c r="AZ103" i="55"/>
  <c r="AY113" i="51"/>
  <c r="AZ122" i="15"/>
  <c r="AW113" i="48"/>
  <c r="BB35" i="15"/>
  <c r="BB71" i="15" s="1"/>
  <c r="AD41" i="15"/>
  <c r="AD15" i="54"/>
  <c r="BA15" i="54"/>
  <c r="AC21" i="54"/>
  <c r="AZ94" i="15"/>
  <c r="AZ108" i="15"/>
  <c r="BB5" i="51"/>
  <c r="AD11" i="51"/>
  <c r="BA98" i="55"/>
  <c r="BA117" i="55"/>
  <c r="BA85" i="55"/>
  <c r="AY94" i="50"/>
  <c r="BB100" i="48"/>
  <c r="BB110" i="48" s="1"/>
  <c r="BB119" i="48"/>
  <c r="BA98" i="56"/>
  <c r="BA117" i="56"/>
  <c r="BA85" i="56"/>
  <c r="BA99" i="48"/>
  <c r="BA109" i="48" s="1"/>
  <c r="BA118" i="48"/>
  <c r="BB56" i="50"/>
  <c r="BB81" i="50" s="1"/>
  <c r="BB99" i="50" s="1"/>
  <c r="BB103" i="50" s="1"/>
  <c r="AD61" i="50"/>
  <c r="AZ122" i="50"/>
  <c r="BA122" i="48"/>
  <c r="BB60" i="56"/>
  <c r="BB81" i="56" s="1"/>
  <c r="BB99" i="56" s="1"/>
  <c r="AD61" i="56"/>
  <c r="AZ113" i="50"/>
  <c r="BB93" i="52"/>
  <c r="BA93" i="52"/>
  <c r="BA112" i="52" s="1"/>
  <c r="BA121" i="52"/>
  <c r="AZ108" i="52"/>
  <c r="AZ103" i="52"/>
  <c r="BB17" i="56"/>
  <c r="AD21" i="56"/>
  <c r="BB25" i="50"/>
  <c r="AD31" i="50"/>
  <c r="BB102" i="52"/>
  <c r="BB121" i="52"/>
  <c r="AY122" i="56"/>
  <c r="AY113" i="52"/>
  <c r="BB46" i="48"/>
  <c r="BB81" i="48" s="1"/>
  <c r="AD51" i="48"/>
  <c r="BA85" i="50"/>
  <c r="BA99" i="50"/>
  <c r="BA103" i="50" s="1"/>
  <c r="BB27" i="56"/>
  <c r="AD31" i="56"/>
  <c r="AD11" i="52"/>
  <c r="BB7" i="52"/>
  <c r="BB36" i="56"/>
  <c r="AD41" i="56"/>
  <c r="BA118" i="50"/>
  <c r="BA90" i="50"/>
  <c r="BA91" i="54"/>
  <c r="BA110" i="54" s="1"/>
  <c r="BA119" i="54"/>
  <c r="AY113" i="50"/>
  <c r="AZ113" i="48"/>
  <c r="BB6" i="50"/>
  <c r="AD11" i="50"/>
  <c r="BB90" i="53"/>
  <c r="BB109" i="53" s="1"/>
  <c r="BB118" i="53"/>
  <c r="BB39" i="48"/>
  <c r="BB74" i="48" s="1"/>
  <c r="AD41" i="48"/>
  <c r="BB98" i="53"/>
  <c r="BB117" i="53"/>
  <c r="BB85" i="53"/>
  <c r="AZ113" i="53"/>
  <c r="BB117" i="54"/>
  <c r="BB98" i="54"/>
  <c r="BB85" i="54"/>
  <c r="BA108" i="48"/>
  <c r="BA94" i="48"/>
  <c r="AD51" i="52"/>
  <c r="BB45" i="52"/>
  <c r="BB80" i="52" s="1"/>
  <c r="AZ113" i="54"/>
  <c r="BA122" i="53"/>
  <c r="BA118" i="56"/>
  <c r="BA90" i="56"/>
  <c r="BA109" i="56" s="1"/>
  <c r="BA118" i="52"/>
  <c r="BA90" i="52"/>
  <c r="BA109" i="52" s="1"/>
  <c r="BB15" i="52"/>
  <c r="AD21" i="52"/>
  <c r="BB36" i="50"/>
  <c r="BB72" i="50" s="1"/>
  <c r="AD41" i="50"/>
  <c r="BB37" i="54"/>
  <c r="BB73" i="54" s="1"/>
  <c r="AD41" i="54"/>
  <c r="AY122" i="50"/>
  <c r="BB45" i="50"/>
  <c r="AD51" i="50"/>
  <c r="BA122" i="54"/>
  <c r="AZ122" i="56"/>
  <c r="BB5" i="54"/>
  <c r="AD11" i="54"/>
  <c r="BA92" i="48"/>
  <c r="BA111" i="48" s="1"/>
  <c r="BA120" i="48"/>
  <c r="AY122" i="52"/>
  <c r="BB45" i="56"/>
  <c r="BB80" i="56" s="1"/>
  <c r="AD51" i="56"/>
  <c r="AD11" i="56"/>
  <c r="BB6" i="56"/>
  <c r="BB90" i="49"/>
  <c r="BB109" i="49" s="1"/>
  <c r="BB118" i="49"/>
  <c r="BA85" i="52"/>
  <c r="BA117" i="52"/>
  <c r="BA98" i="52"/>
  <c r="BA108" i="53"/>
  <c r="BA103" i="53"/>
  <c r="AD31" i="52"/>
  <c r="BB28" i="52"/>
  <c r="BB36" i="52"/>
  <c r="BB72" i="52" s="1"/>
  <c r="AD41" i="52"/>
  <c r="BB16" i="50"/>
  <c r="AD21" i="50"/>
  <c r="AZ122" i="52"/>
  <c r="AY109" i="56"/>
  <c r="AY113" i="56" s="1"/>
  <c r="AY94" i="56"/>
  <c r="BB17" i="48"/>
  <c r="AD21" i="48"/>
  <c r="BB45" i="54"/>
  <c r="AD51" i="54"/>
  <c r="BA108" i="54"/>
  <c r="BA103" i="54"/>
  <c r="AZ108" i="56"/>
  <c r="AZ103" i="56"/>
  <c r="AY122" i="54"/>
  <c r="AY110" i="54"/>
  <c r="AY94" i="54"/>
  <c r="BB28" i="54"/>
  <c r="AD31" i="54"/>
  <c r="AX113" i="54"/>
  <c r="BB113" i="48"/>
  <c r="BA113" i="50"/>
  <c r="AY94" i="48" l="1"/>
  <c r="BA109" i="50"/>
  <c r="AY113" i="48"/>
  <c r="BB101" i="51"/>
  <c r="BB111" i="51" s="1"/>
  <c r="BB120" i="51"/>
  <c r="AY122" i="48"/>
  <c r="BA108" i="55"/>
  <c r="BA103" i="55"/>
  <c r="BA122" i="15"/>
  <c r="BB28" i="48"/>
  <c r="AD31" i="48"/>
  <c r="BB89" i="15"/>
  <c r="BB117" i="15"/>
  <c r="BB76" i="15"/>
  <c r="BA108" i="15"/>
  <c r="BA94" i="15"/>
  <c r="BB85" i="55"/>
  <c r="BB98" i="55"/>
  <c r="BB117" i="55"/>
  <c r="BA122" i="55"/>
  <c r="AZ113" i="15"/>
  <c r="BB15" i="54"/>
  <c r="AD21" i="54"/>
  <c r="AZ113" i="55"/>
  <c r="BA113" i="54"/>
  <c r="BA108" i="52"/>
  <c r="BA103" i="52"/>
  <c r="BB117" i="56"/>
  <c r="BB85" i="56"/>
  <c r="BB98" i="56"/>
  <c r="BB108" i="54"/>
  <c r="BB103" i="54"/>
  <c r="BA122" i="56"/>
  <c r="BB72" i="56"/>
  <c r="AZ113" i="56"/>
  <c r="BB90" i="50"/>
  <c r="BB109" i="50" s="1"/>
  <c r="BB118" i="50"/>
  <c r="BA113" i="48"/>
  <c r="AZ113" i="52"/>
  <c r="BB119" i="54"/>
  <c r="BB91" i="54"/>
  <c r="BB110" i="54" s="1"/>
  <c r="BB122" i="53"/>
  <c r="BB99" i="48"/>
  <c r="BB109" i="48" s="1"/>
  <c r="BB118" i="48"/>
  <c r="BA122" i="52"/>
  <c r="BB122" i="54"/>
  <c r="BB108" i="53"/>
  <c r="BB103" i="53"/>
  <c r="BB112" i="52"/>
  <c r="BA108" i="56"/>
  <c r="BA103" i="56"/>
  <c r="BB118" i="52"/>
  <c r="BB90" i="52"/>
  <c r="BB109" i="52" s="1"/>
  <c r="BA113" i="53"/>
  <c r="BB98" i="52"/>
  <c r="BB85" i="52"/>
  <c r="BB117" i="52"/>
  <c r="BB92" i="48"/>
  <c r="BB111" i="48" s="1"/>
  <c r="BB120" i="48"/>
  <c r="AY113" i="54"/>
  <c r="BB122" i="55" l="1"/>
  <c r="BA113" i="15"/>
  <c r="BA113" i="55"/>
  <c r="BB103" i="55"/>
  <c r="BB108" i="55"/>
  <c r="BB122" i="15"/>
  <c r="BB108" i="15"/>
  <c r="BB94" i="15"/>
  <c r="BB90" i="56"/>
  <c r="BB109" i="56" s="1"/>
  <c r="BB118" i="56"/>
  <c r="BB122" i="56"/>
  <c r="BA113" i="56"/>
  <c r="BB103" i="56"/>
  <c r="BB108" i="56"/>
  <c r="BA113" i="52"/>
  <c r="BB122" i="52"/>
  <c r="BB108" i="52"/>
  <c r="BB103" i="52"/>
  <c r="BB113" i="53"/>
  <c r="BB113" i="54"/>
  <c r="BB113" i="55" l="1"/>
  <c r="BB113" i="15"/>
  <c r="BB113" i="56"/>
  <c r="BB113" i="52"/>
  <c r="F11" i="34" l="1"/>
  <c r="E14" i="34"/>
  <c r="F9" i="34"/>
  <c r="E32" i="34"/>
  <c r="E26" i="34"/>
  <c r="AJ18" i="5"/>
  <c r="BN49" i="5"/>
  <c r="AF7" i="5"/>
  <c r="BR47" i="5"/>
  <c r="BG23" i="5"/>
  <c r="BL51" i="5"/>
  <c r="BE26" i="5"/>
  <c r="AQ22" i="5"/>
  <c r="BF26" i="5"/>
  <c r="BF59" i="5"/>
  <c r="AU11" i="5"/>
  <c r="BN37" i="5"/>
  <c r="AL13" i="5"/>
  <c r="AH51" i="5"/>
  <c r="AR45" i="5"/>
  <c r="AM58" i="5"/>
  <c r="AO25" i="5"/>
  <c r="AS37" i="5"/>
  <c r="AK38" i="5"/>
  <c r="BO57" i="5"/>
  <c r="BN51" i="5"/>
  <c r="BM16" i="5"/>
  <c r="BJ20" i="5"/>
  <c r="BH59" i="5"/>
  <c r="BF50" i="5"/>
  <c r="AN41" i="5"/>
  <c r="AQ46" i="5"/>
  <c r="BJ17" i="5"/>
  <c r="AP47" i="5"/>
  <c r="AF10" i="5"/>
  <c r="BM58" i="5"/>
  <c r="AR24" i="5"/>
  <c r="AL8" i="5"/>
  <c r="AK61" i="5"/>
  <c r="AP19" i="5"/>
  <c r="BW13" i="5"/>
  <c r="AU13" i="5"/>
  <c r="AK4" i="5"/>
  <c r="W12" i="5"/>
  <c r="BJ41" i="5"/>
  <c r="BR8" i="5"/>
  <c r="BX6" i="5"/>
  <c r="AO18" i="5"/>
  <c r="BS43" i="5"/>
  <c r="BG45" i="5"/>
  <c r="AW58" i="5"/>
  <c r="AJ25" i="5"/>
  <c r="AK37" i="5"/>
  <c r="BP57" i="5"/>
  <c r="AR54" i="5"/>
  <c r="AO16" i="5"/>
  <c r="AF42" i="5"/>
  <c r="AL48" i="5"/>
  <c r="AN7" i="5"/>
  <c r="J14" i="5"/>
  <c r="BQ37" i="5"/>
  <c r="K27" i="5"/>
  <c r="AE42" i="5"/>
  <c r="BO49" i="5"/>
  <c r="T11" i="5"/>
  <c r="BQ25" i="5"/>
  <c r="AT6" i="5"/>
  <c r="AL56" i="5"/>
  <c r="BE14" i="5"/>
  <c r="BQ13" i="5"/>
  <c r="AG49" i="5"/>
  <c r="AV38" i="5"/>
  <c r="G27" i="5"/>
  <c r="BX41" i="5"/>
  <c r="AI8" i="5"/>
  <c r="BP37" i="5"/>
  <c r="BN46" i="5"/>
  <c r="BP27" i="5"/>
  <c r="BI38" i="5"/>
  <c r="BP20" i="5"/>
  <c r="AK10" i="5"/>
  <c r="BJ26" i="5"/>
  <c r="BQ23" i="5"/>
  <c r="AR41" i="5"/>
  <c r="AE15" i="5"/>
  <c r="BF25" i="5"/>
  <c r="BK56" i="5"/>
  <c r="AG40" i="5"/>
  <c r="AU12" i="5"/>
  <c r="AR6" i="5"/>
  <c r="AS21" i="5"/>
  <c r="AH11" i="5"/>
  <c r="BP46" i="5"/>
  <c r="AH18" i="5"/>
  <c r="AM40" i="5"/>
  <c r="BS52" i="5"/>
  <c r="AW39" i="5"/>
  <c r="AU14" i="5"/>
  <c r="W13" i="5"/>
  <c r="AN59" i="5"/>
  <c r="BE4" i="5"/>
  <c r="AX5" i="5"/>
  <c r="BO55" i="5"/>
  <c r="BM11" i="5"/>
  <c r="AO9" i="5"/>
  <c r="AR40" i="5"/>
  <c r="BQ55" i="5"/>
  <c r="AJ52" i="5"/>
  <c r="BM37" i="5"/>
  <c r="AJ43" i="5"/>
  <c r="BE27" i="5"/>
  <c r="AK43" i="5"/>
  <c r="AH57" i="5"/>
  <c r="AK15" i="5"/>
  <c r="BP17" i="5"/>
  <c r="AN9" i="5"/>
  <c r="AM24" i="5"/>
  <c r="AI50" i="5"/>
  <c r="V12" i="5"/>
  <c r="U10" i="5"/>
  <c r="AU22" i="5"/>
  <c r="AV50" i="5"/>
  <c r="BK13" i="5"/>
  <c r="S11" i="5"/>
  <c r="AW44" i="5"/>
  <c r="BO16" i="5"/>
  <c r="AI55" i="5"/>
  <c r="AO21" i="5"/>
  <c r="BQ53" i="5"/>
  <c r="S29" i="5"/>
  <c r="AE49" i="5"/>
  <c r="BW52" i="5"/>
  <c r="BW39" i="5"/>
  <c r="BV57" i="5"/>
  <c r="AE60" i="5"/>
  <c r="AG11" i="5"/>
  <c r="AE16" i="5"/>
  <c r="AQ44" i="5"/>
  <c r="H10" i="5"/>
  <c r="AL59" i="5"/>
  <c r="AU50" i="5"/>
  <c r="AJ11" i="5"/>
  <c r="BW50" i="5"/>
  <c r="AU55" i="5"/>
  <c r="AW13" i="5"/>
  <c r="BP26" i="5"/>
  <c r="AS43" i="5"/>
  <c r="BQ47" i="5"/>
  <c r="AH23" i="5"/>
  <c r="AM8" i="5"/>
  <c r="AL41" i="5"/>
  <c r="BE38" i="5"/>
  <c r="BI28" i="5"/>
  <c r="K29" i="5"/>
  <c r="AF54" i="5"/>
  <c r="AK16" i="5"/>
  <c r="AP7" i="5"/>
  <c r="S25" i="5"/>
  <c r="BS25" i="5"/>
  <c r="BH38" i="5"/>
  <c r="BQ59" i="5"/>
  <c r="AT20" i="5"/>
  <c r="BI18" i="5"/>
  <c r="BT21" i="5"/>
  <c r="AO45" i="5"/>
  <c r="AP22" i="5"/>
  <c r="AJ45" i="5"/>
  <c r="AE44" i="5"/>
  <c r="BT48" i="5"/>
  <c r="BN18" i="5"/>
  <c r="AE13" i="5"/>
  <c r="AF18" i="5"/>
  <c r="AI56" i="5"/>
  <c r="AW50" i="5"/>
  <c r="BL22" i="5"/>
  <c r="BP56" i="5"/>
  <c r="AS48" i="5"/>
  <c r="AR23" i="5"/>
  <c r="BN38" i="5"/>
  <c r="AN38" i="5"/>
  <c r="AG23" i="5"/>
  <c r="BU38" i="5"/>
  <c r="BL54" i="5"/>
  <c r="AX19" i="5"/>
  <c r="BU21" i="5"/>
  <c r="AQ26" i="5"/>
  <c r="AU45" i="5"/>
  <c r="BR52" i="5"/>
  <c r="BT42" i="5"/>
  <c r="AR60" i="5"/>
  <c r="BJ58" i="5"/>
  <c r="BE5" i="5"/>
  <c r="AK47" i="5"/>
  <c r="BN4" i="5"/>
  <c r="BM25" i="5"/>
  <c r="AF6" i="5"/>
  <c r="AH60" i="5"/>
  <c r="AO6" i="5"/>
  <c r="AP40" i="5"/>
  <c r="AM49" i="5"/>
  <c r="AN47" i="5"/>
  <c r="BM17" i="5"/>
  <c r="AP27" i="5"/>
  <c r="AM53" i="5"/>
  <c r="V25" i="5"/>
  <c r="AE4" i="5"/>
  <c r="AJ15" i="5"/>
  <c r="AK41" i="5"/>
  <c r="AQ9" i="5"/>
  <c r="AG24" i="5"/>
  <c r="AQ50" i="5"/>
  <c r="AQ52" i="5"/>
  <c r="AF17" i="5"/>
  <c r="BJ39" i="5"/>
  <c r="AJ17" i="5"/>
  <c r="BN17" i="5"/>
  <c r="BR9" i="5"/>
  <c r="AG47" i="5"/>
  <c r="BU19" i="5"/>
  <c r="BN16" i="5"/>
  <c r="BF17" i="5"/>
  <c r="BU27" i="5"/>
  <c r="BK19" i="5"/>
  <c r="BH57" i="5"/>
  <c r="AQ38" i="5"/>
  <c r="AX22" i="5"/>
  <c r="BP59" i="5"/>
  <c r="AU52" i="5"/>
  <c r="AX43" i="5"/>
  <c r="AF22" i="5"/>
  <c r="K14" i="5"/>
  <c r="AP16" i="5"/>
  <c r="AS50" i="5"/>
  <c r="BE11" i="5"/>
  <c r="AN44" i="5"/>
  <c r="BS23" i="5"/>
  <c r="AM43" i="5"/>
  <c r="BM48" i="5"/>
  <c r="AP48" i="5"/>
  <c r="BJ18" i="5"/>
  <c r="BK49" i="5"/>
  <c r="BW16" i="5"/>
  <c r="BS27" i="5"/>
  <c r="AT42" i="5"/>
  <c r="BX16" i="5"/>
  <c r="BN52" i="5"/>
  <c r="AP6" i="5"/>
  <c r="AP18" i="5"/>
  <c r="BK28" i="5"/>
  <c r="AT51" i="5"/>
  <c r="BS45" i="5"/>
  <c r="AT56" i="5"/>
  <c r="BJ52" i="5"/>
  <c r="BK9" i="5"/>
  <c r="BH55" i="5"/>
  <c r="BI47" i="5"/>
  <c r="BV18" i="5"/>
  <c r="AI15" i="5"/>
  <c r="AS54" i="5"/>
  <c r="BU56" i="5"/>
  <c r="AW17" i="5"/>
  <c r="BP40" i="5"/>
  <c r="BP48" i="5"/>
  <c r="BU8" i="5"/>
  <c r="BO61" i="5"/>
  <c r="AF50" i="5"/>
  <c r="T25" i="5"/>
  <c r="AJ54" i="5"/>
  <c r="K11" i="5"/>
  <c r="AH15" i="5"/>
  <c r="AW56" i="5"/>
  <c r="G12" i="5"/>
  <c r="AF14" i="5"/>
  <c r="BN21" i="5"/>
  <c r="BP8" i="5"/>
  <c r="AE24" i="5"/>
  <c r="BS19" i="5"/>
  <c r="BP28" i="5"/>
  <c r="BM4" i="5"/>
  <c r="BO23" i="5"/>
  <c r="BQ60" i="5"/>
  <c r="AT7" i="5"/>
  <c r="BQ54" i="5"/>
  <c r="BP41" i="5"/>
  <c r="AE48" i="5"/>
  <c r="BL61" i="5"/>
  <c r="AI23" i="5"/>
  <c r="BT40" i="5"/>
  <c r="BK51" i="5"/>
  <c r="BP58" i="5"/>
  <c r="AQ37" i="5"/>
  <c r="BO21" i="5"/>
  <c r="AI11" i="5"/>
  <c r="AP45" i="5"/>
  <c r="V10" i="5"/>
  <c r="AM41" i="5"/>
  <c r="AJ47" i="5"/>
  <c r="BR19" i="5"/>
  <c r="BV60" i="5"/>
  <c r="BK21" i="5"/>
  <c r="AP12" i="5"/>
  <c r="BV45" i="5"/>
  <c r="AG17" i="5"/>
  <c r="BO42" i="5"/>
  <c r="S27" i="5"/>
  <c r="BL59" i="5"/>
  <c r="AH61" i="5"/>
  <c r="BT22" i="5"/>
  <c r="BQ28" i="5"/>
  <c r="BG16" i="5"/>
  <c r="AW24" i="5"/>
  <c r="I29" i="5"/>
  <c r="BT39" i="5"/>
  <c r="BH5" i="5"/>
  <c r="BL45" i="5"/>
  <c r="BW44" i="5"/>
  <c r="AI57" i="5"/>
  <c r="AM25" i="5"/>
  <c r="BJ45" i="5"/>
  <c r="BH42" i="5"/>
  <c r="BE45" i="5"/>
  <c r="AO40" i="5"/>
  <c r="BH58" i="5"/>
  <c r="AO23" i="5"/>
  <c r="BH16" i="5"/>
  <c r="BW61" i="5"/>
  <c r="BX10" i="5"/>
  <c r="BU12" i="5"/>
  <c r="AP55" i="5"/>
  <c r="BT38" i="5"/>
  <c r="BN8" i="5"/>
  <c r="AL15" i="5"/>
  <c r="BM50" i="5"/>
  <c r="BE58" i="5"/>
  <c r="BE22" i="5"/>
  <c r="BG53" i="5"/>
  <c r="U13" i="5"/>
  <c r="AP58" i="5"/>
  <c r="BO45" i="5"/>
  <c r="BT46" i="5"/>
  <c r="AN49" i="5"/>
  <c r="BR57" i="5"/>
  <c r="AO5" i="5"/>
  <c r="AF55" i="5"/>
  <c r="AK27" i="5"/>
  <c r="BF18" i="5"/>
  <c r="S12" i="5"/>
  <c r="BL43" i="5"/>
  <c r="AL24" i="5"/>
  <c r="BN26" i="5"/>
  <c r="BU14" i="5"/>
  <c r="BK55" i="5"/>
  <c r="AE27" i="5"/>
  <c r="AF16" i="5"/>
  <c r="BH47" i="5"/>
  <c r="AJ24" i="5"/>
  <c r="BW53" i="5"/>
  <c r="BF43" i="5"/>
  <c r="BO7" i="5"/>
  <c r="AE53" i="5"/>
  <c r="BQ58" i="5"/>
  <c r="AF51" i="5"/>
  <c r="AW55" i="5"/>
  <c r="AO43" i="5"/>
  <c r="BQ7" i="5"/>
  <c r="AF58" i="5"/>
  <c r="BK37" i="5"/>
  <c r="BL13" i="5"/>
  <c r="BF22" i="5"/>
  <c r="AS15" i="5"/>
  <c r="BJ24" i="5"/>
  <c r="BQ20" i="5"/>
  <c r="BJ59" i="5"/>
  <c r="AW11" i="5"/>
  <c r="BP6" i="5"/>
  <c r="BI16" i="5"/>
  <c r="BQ49" i="5"/>
  <c r="AG61" i="5"/>
  <c r="AS11" i="5"/>
  <c r="BH46" i="5"/>
  <c r="BR21" i="5"/>
  <c r="AP61" i="5"/>
  <c r="BO46" i="5"/>
  <c r="AH6" i="5"/>
  <c r="BH6" i="5"/>
  <c r="BJ46" i="5"/>
  <c r="AM15" i="5"/>
  <c r="BR5" i="5"/>
  <c r="BE24" i="5"/>
  <c r="AJ27" i="5"/>
  <c r="BS59" i="5"/>
  <c r="AJ56" i="5"/>
  <c r="AS16" i="5"/>
  <c r="BH9" i="5"/>
  <c r="BK8" i="5"/>
  <c r="BH56" i="5"/>
  <c r="BH43" i="5"/>
  <c r="AL22" i="5"/>
  <c r="AK20" i="5"/>
  <c r="V13" i="5"/>
  <c r="BV58" i="5"/>
  <c r="BH37" i="5"/>
  <c r="S14" i="5"/>
  <c r="AQ23" i="5"/>
  <c r="BO60" i="5"/>
  <c r="AQ28" i="5"/>
  <c r="BV13" i="5"/>
  <c r="AK6" i="5"/>
  <c r="AX13" i="5"/>
  <c r="BR61" i="5"/>
  <c r="AJ7" i="5"/>
  <c r="BW7" i="5"/>
  <c r="AE21" i="5"/>
  <c r="AP5" i="5"/>
  <c r="BG15" i="5"/>
  <c r="AE7" i="5"/>
  <c r="BE15" i="5"/>
  <c r="BO13" i="5"/>
  <c r="AG44" i="5"/>
  <c r="AP39" i="5"/>
  <c r="AQ45" i="5"/>
  <c r="AI49" i="5"/>
  <c r="J26" i="5"/>
  <c r="AR20" i="5"/>
  <c r="AO53" i="5"/>
  <c r="BL24" i="5"/>
  <c r="AT55" i="5"/>
  <c r="AR13" i="5"/>
  <c r="AF38" i="5"/>
  <c r="AE45" i="5"/>
  <c r="AW48" i="5"/>
  <c r="K10" i="5"/>
  <c r="AV21" i="5"/>
  <c r="BV23" i="5"/>
  <c r="BO26" i="5"/>
  <c r="BT57" i="5"/>
  <c r="AW41" i="5"/>
  <c r="BL44" i="5"/>
  <c r="BV27" i="5"/>
  <c r="BM24" i="5"/>
  <c r="BT47" i="5"/>
  <c r="BG51" i="5"/>
  <c r="AK58" i="5"/>
  <c r="BL47" i="5"/>
  <c r="AE6" i="5"/>
  <c r="AP15" i="5"/>
  <c r="AI59" i="5"/>
  <c r="AQ17" i="5"/>
  <c r="BE12" i="5"/>
  <c r="BF20" i="5"/>
  <c r="BK61" i="5"/>
  <c r="BW14" i="5"/>
  <c r="AT15" i="5"/>
  <c r="BO17" i="5"/>
  <c r="W11" i="5"/>
  <c r="BT44" i="5"/>
  <c r="V14" i="5"/>
  <c r="AL4" i="5"/>
  <c r="AH19" i="5"/>
  <c r="AH28" i="5"/>
  <c r="AX44" i="5"/>
  <c r="BQ26" i="5"/>
  <c r="BF8" i="5"/>
  <c r="BG8" i="5"/>
  <c r="J12" i="5"/>
  <c r="AS60" i="5"/>
  <c r="AP60" i="5"/>
  <c r="BN10" i="5"/>
  <c r="BO8" i="5"/>
  <c r="BV28" i="5"/>
  <c r="AU56" i="5"/>
  <c r="AS23" i="5"/>
  <c r="BV44" i="5"/>
  <c r="BG22" i="5"/>
  <c r="BU23" i="5"/>
  <c r="AE25" i="5"/>
  <c r="BE23" i="5"/>
  <c r="AI41" i="5"/>
  <c r="AU58" i="5"/>
  <c r="AE52" i="5"/>
  <c r="BO14" i="5"/>
  <c r="AH53" i="5"/>
  <c r="BT56" i="5"/>
  <c r="BG52" i="5"/>
  <c r="AR8" i="5"/>
  <c r="AF49" i="5"/>
  <c r="AW60" i="5"/>
  <c r="BG21" i="5"/>
  <c r="BU22" i="5"/>
  <c r="BK24" i="5"/>
  <c r="AK49" i="5"/>
  <c r="W10" i="5"/>
  <c r="AF12" i="5"/>
  <c r="AT5" i="5"/>
  <c r="BQ44" i="5"/>
  <c r="BE42" i="5"/>
  <c r="AH58" i="5"/>
  <c r="BF56" i="5"/>
  <c r="AX55" i="5"/>
  <c r="BX37" i="5"/>
  <c r="BR20" i="5"/>
  <c r="AM5" i="5"/>
  <c r="AI54" i="5"/>
  <c r="AP24" i="5"/>
  <c r="BQ4" i="5"/>
  <c r="BT50" i="5"/>
  <c r="BR41" i="5"/>
  <c r="AS12" i="5"/>
  <c r="AJ38" i="5"/>
  <c r="AS40" i="5"/>
  <c r="BR49" i="5"/>
  <c r="BI17" i="5"/>
  <c r="AK40" i="5"/>
  <c r="AG4" i="5"/>
  <c r="BR60" i="5"/>
  <c r="BK14" i="5"/>
  <c r="BV26" i="5"/>
  <c r="BS13" i="5"/>
  <c r="BX44" i="5"/>
  <c r="AS58" i="5"/>
  <c r="AK50" i="5"/>
  <c r="AI12" i="5"/>
  <c r="AN18" i="5"/>
  <c r="AM60" i="5"/>
  <c r="AW42" i="5"/>
  <c r="BP51" i="5"/>
  <c r="BW26" i="5"/>
  <c r="AM10" i="5"/>
  <c r="AV23" i="5"/>
  <c r="AM23" i="5"/>
  <c r="AG13" i="5"/>
  <c r="AM17" i="5"/>
  <c r="AT8" i="5"/>
  <c r="AP56" i="5"/>
  <c r="BI55" i="5"/>
  <c r="BE55" i="5"/>
  <c r="S10" i="5"/>
  <c r="AN42" i="5"/>
  <c r="AJ22" i="5"/>
  <c r="BR44" i="5"/>
  <c r="BE46" i="5"/>
  <c r="BJ13" i="5"/>
  <c r="AV49" i="5"/>
  <c r="BO41" i="5"/>
  <c r="BU52" i="5"/>
  <c r="BM60" i="5"/>
  <c r="AL28" i="5"/>
  <c r="BV46" i="5"/>
  <c r="AK21" i="5"/>
  <c r="BS17" i="5"/>
  <c r="AI20" i="5"/>
  <c r="AW61" i="5"/>
  <c r="BT11" i="5"/>
  <c r="V28" i="5"/>
  <c r="BK47" i="5"/>
  <c r="AO57" i="5"/>
  <c r="AK60" i="5"/>
  <c r="AM6" i="5"/>
  <c r="AO47" i="5"/>
  <c r="BO53" i="5"/>
  <c r="BL8" i="5"/>
  <c r="BJ11" i="5"/>
  <c r="AO28" i="5"/>
  <c r="AI43" i="5"/>
  <c r="AM13" i="5"/>
  <c r="BP44" i="5"/>
  <c r="H29" i="5"/>
  <c r="AV27" i="5"/>
  <c r="BX12" i="5"/>
  <c r="AR9" i="5"/>
  <c r="AT16" i="5"/>
  <c r="AN11" i="5"/>
  <c r="BL20" i="5"/>
  <c r="BF11" i="5"/>
  <c r="BE13" i="5"/>
  <c r="AT12" i="5"/>
  <c r="AK55" i="5"/>
  <c r="BQ18" i="5"/>
  <c r="BT10" i="5"/>
  <c r="BX58" i="5"/>
  <c r="BP4" i="5"/>
  <c r="AW37" i="5"/>
  <c r="AU61" i="5"/>
  <c r="BX22" i="5"/>
  <c r="BT43" i="5"/>
  <c r="BF21" i="5"/>
  <c r="AR56" i="5"/>
  <c r="BU40" i="5"/>
  <c r="BX48" i="5"/>
  <c r="BM19" i="5"/>
  <c r="AM38" i="5"/>
  <c r="AX54" i="5"/>
  <c r="AX25" i="5"/>
  <c r="AL57" i="5"/>
  <c r="AJ41" i="5"/>
  <c r="AG25" i="5"/>
  <c r="BK53" i="5"/>
  <c r="BS56" i="5"/>
  <c r="AO46" i="5"/>
  <c r="AI38" i="5"/>
  <c r="BL9" i="5"/>
  <c r="BX24" i="5"/>
  <c r="AU17" i="5"/>
  <c r="AV14" i="5"/>
  <c r="AF37" i="5"/>
  <c r="AW53" i="5"/>
  <c r="BQ11" i="5"/>
  <c r="BM10" i="5"/>
  <c r="BM61" i="5"/>
  <c r="BN39" i="5"/>
  <c r="AN57" i="5"/>
  <c r="BU24" i="5"/>
  <c r="AV24" i="5"/>
  <c r="BP39" i="5"/>
  <c r="BM52" i="5"/>
  <c r="AS19" i="5"/>
  <c r="AJ50" i="5"/>
  <c r="BL6" i="5"/>
  <c r="BN22" i="5"/>
  <c r="BS46" i="5"/>
  <c r="BI25" i="5"/>
  <c r="AI27" i="5"/>
  <c r="BK6" i="5"/>
  <c r="BL48" i="5"/>
  <c r="AS5" i="5"/>
  <c r="AU25" i="5"/>
  <c r="BP55" i="5"/>
  <c r="I27" i="5"/>
  <c r="BM20" i="5"/>
  <c r="AS7" i="5"/>
  <c r="AF11" i="5"/>
  <c r="AK22" i="5"/>
  <c r="AL26" i="5"/>
  <c r="BP43" i="5"/>
  <c r="BJ40" i="5"/>
  <c r="AL53" i="5"/>
  <c r="BK10" i="5"/>
  <c r="AU53" i="5"/>
  <c r="BL26" i="5"/>
  <c r="BV16" i="5"/>
  <c r="AI18" i="5"/>
  <c r="AR37" i="5"/>
  <c r="BH11" i="5"/>
  <c r="I14" i="5"/>
  <c r="AG42" i="5"/>
  <c r="BS14" i="5"/>
  <c r="H25" i="5"/>
  <c r="AP46" i="5"/>
  <c r="BH52" i="5"/>
  <c r="BM54" i="5"/>
  <c r="BN61" i="5"/>
  <c r="BG48" i="5"/>
  <c r="BO12" i="5"/>
  <c r="BU60" i="5"/>
  <c r="AW10" i="5"/>
  <c r="BS50" i="5"/>
  <c r="AL6" i="5"/>
  <c r="AV28" i="5"/>
  <c r="BU47" i="5"/>
  <c r="BQ15" i="5"/>
  <c r="BH25" i="5"/>
  <c r="AO11" i="5"/>
  <c r="BQ39" i="5"/>
  <c r="BF27" i="5"/>
  <c r="AR55" i="5"/>
  <c r="BU53" i="5"/>
  <c r="AQ13" i="5"/>
  <c r="BU50" i="5"/>
  <c r="BE28" i="5"/>
  <c r="BL10" i="5"/>
  <c r="BO51" i="5"/>
  <c r="AV43" i="5"/>
  <c r="BS41" i="5"/>
  <c r="AW4" i="5"/>
  <c r="BS55" i="5"/>
  <c r="J27" i="5"/>
  <c r="BF13" i="5"/>
  <c r="BI14" i="5"/>
  <c r="BF14" i="5"/>
  <c r="BV14" i="5"/>
  <c r="BT61" i="5"/>
  <c r="BO6" i="5"/>
  <c r="AQ61" i="5"/>
  <c r="AF19" i="5"/>
  <c r="AS28" i="5"/>
  <c r="BQ19" i="5"/>
  <c r="AS24" i="5"/>
  <c r="AO50" i="5"/>
  <c r="BE25" i="5"/>
  <c r="AX27" i="5"/>
  <c r="BQ52" i="5"/>
  <c r="AL58" i="5"/>
  <c r="BP49" i="5"/>
  <c r="BM45" i="5"/>
  <c r="AS38" i="5"/>
  <c r="AE57" i="5"/>
  <c r="AL37" i="5"/>
  <c r="AT61" i="5"/>
  <c r="BU61" i="5"/>
  <c r="BW20" i="5"/>
  <c r="BP61" i="5"/>
  <c r="BX43" i="5"/>
  <c r="BX5" i="5"/>
  <c r="BW41" i="5"/>
  <c r="BV42" i="5"/>
  <c r="J25" i="5"/>
  <c r="H13" i="5"/>
  <c r="BV56" i="5"/>
  <c r="AM59" i="5"/>
  <c r="H14" i="5"/>
  <c r="BW10" i="5"/>
  <c r="BX11" i="5"/>
  <c r="AP21" i="5"/>
  <c r="AF26" i="5"/>
  <c r="BW37" i="5"/>
  <c r="BR40" i="5"/>
  <c r="AU9" i="5"/>
  <c r="BV15" i="5"/>
  <c r="BV52" i="5"/>
  <c r="BR54" i="5"/>
  <c r="BG4" i="5"/>
  <c r="BT25" i="5"/>
  <c r="BK45" i="5"/>
  <c r="BI8" i="5"/>
  <c r="BL41" i="5"/>
  <c r="BQ42" i="5"/>
  <c r="BJ15" i="5"/>
  <c r="BK41" i="5"/>
  <c r="BU16" i="5"/>
  <c r="BO19" i="5"/>
  <c r="BL52" i="5"/>
  <c r="AM16" i="5"/>
  <c r="AQ12" i="5"/>
  <c r="AU19" i="5"/>
  <c r="BW51" i="5"/>
  <c r="BG25" i="5"/>
  <c r="AF40" i="5"/>
  <c r="BT45" i="5"/>
  <c r="AO26" i="5"/>
  <c r="AI4" i="5"/>
  <c r="BU18" i="5"/>
  <c r="BF24" i="5"/>
  <c r="BF41" i="5"/>
  <c r="K25" i="5"/>
  <c r="AJ13" i="5"/>
  <c r="BX21" i="5"/>
  <c r="T13" i="5"/>
  <c r="AQ19" i="5"/>
  <c r="AP37" i="5"/>
  <c r="BP5" i="5"/>
  <c r="AR52" i="5"/>
  <c r="BU5" i="5"/>
  <c r="BJ47" i="5"/>
  <c r="AM27" i="5"/>
  <c r="BJ21" i="5"/>
  <c r="BR7" i="5"/>
  <c r="AO48" i="5"/>
  <c r="AL43" i="5"/>
  <c r="BS57" i="5"/>
  <c r="BM14" i="5"/>
  <c r="AQ41" i="5"/>
  <c r="AL45" i="5"/>
  <c r="AQ5" i="5"/>
  <c r="BG6" i="5"/>
  <c r="BT52" i="5"/>
  <c r="BU17" i="5"/>
  <c r="BS51" i="5"/>
  <c r="AF9" i="5"/>
  <c r="AW7" i="5"/>
  <c r="BR24" i="5"/>
  <c r="AW51" i="5"/>
  <c r="AU26" i="5"/>
  <c r="BG50" i="5"/>
  <c r="BI11" i="5"/>
  <c r="BR15" i="5"/>
  <c r="BX23" i="5"/>
  <c r="AG51" i="5"/>
  <c r="AP38" i="5"/>
  <c r="AM26" i="5"/>
  <c r="BP19" i="5"/>
  <c r="AN24" i="5"/>
  <c r="BP7" i="5"/>
  <c r="AO52" i="5"/>
  <c r="AT23" i="5"/>
  <c r="AN19" i="5"/>
  <c r="BG39" i="5"/>
  <c r="AG8" i="5"/>
  <c r="AO60" i="5"/>
  <c r="BF44" i="5"/>
  <c r="BU28" i="5"/>
  <c r="AL51" i="5"/>
  <c r="BT27" i="5"/>
  <c r="AH17" i="5"/>
  <c r="AE41" i="5"/>
  <c r="G25" i="5"/>
  <c r="BV8" i="5"/>
  <c r="AP23" i="5"/>
  <c r="AK45" i="5"/>
  <c r="AL23" i="5"/>
  <c r="AI47" i="5"/>
  <c r="BJ5" i="5"/>
  <c r="BU45" i="5"/>
  <c r="AW22" i="5"/>
  <c r="AM14" i="5"/>
  <c r="BG26" i="5"/>
  <c r="BQ10" i="5"/>
  <c r="AX26" i="5"/>
  <c r="AK56" i="5"/>
  <c r="BQ43" i="5"/>
  <c r="BK11" i="5"/>
  <c r="BF16" i="5"/>
  <c r="BP9" i="5"/>
  <c r="BR51" i="5"/>
  <c r="AJ19" i="5"/>
  <c r="BL14" i="5"/>
  <c r="AX15" i="5"/>
  <c r="AO4" i="5"/>
  <c r="AV52" i="5"/>
  <c r="BF28" i="5"/>
  <c r="BV20" i="5"/>
  <c r="BR43" i="5"/>
  <c r="AN6" i="5"/>
  <c r="AN10" i="5"/>
  <c r="BO24" i="5"/>
  <c r="BF37" i="5"/>
  <c r="BF10" i="5"/>
  <c r="BI52" i="5"/>
  <c r="BS11" i="5"/>
  <c r="BU25" i="5"/>
  <c r="BW9" i="5"/>
  <c r="BR17" i="5"/>
  <c r="AI6" i="5"/>
  <c r="AU39" i="5"/>
  <c r="AI19" i="5"/>
  <c r="BG47" i="5"/>
  <c r="AN21" i="5"/>
  <c r="AH37" i="5"/>
  <c r="BU15" i="5"/>
  <c r="J28" i="5"/>
  <c r="BK54" i="5"/>
  <c r="AH54" i="5"/>
  <c r="BL11" i="5"/>
  <c r="AI40" i="5"/>
  <c r="AO55" i="5"/>
  <c r="BM13" i="5"/>
  <c r="BQ38" i="5"/>
  <c r="AK53" i="5"/>
  <c r="AU7" i="5"/>
  <c r="AK11" i="5"/>
  <c r="BI15" i="5"/>
  <c r="AI17" i="5"/>
  <c r="BT51" i="5"/>
  <c r="AG6" i="5"/>
  <c r="AV41" i="5"/>
  <c r="AX18" i="5"/>
  <c r="W14" i="5"/>
  <c r="AW59" i="5"/>
  <c r="AX38" i="5"/>
  <c r="AT41" i="5"/>
  <c r="AX12" i="5"/>
  <c r="AF44" i="5"/>
  <c r="AR15" i="5"/>
  <c r="BX15" i="5"/>
  <c r="BN19" i="5"/>
  <c r="AH49" i="5"/>
  <c r="BK59" i="5"/>
  <c r="BS38" i="5"/>
  <c r="BO9" i="5"/>
  <c r="BE59" i="5"/>
  <c r="BK17" i="5"/>
  <c r="BV11" i="5"/>
  <c r="AT52" i="5"/>
  <c r="BL38" i="5"/>
  <c r="BQ40" i="5"/>
  <c r="BQ5" i="5"/>
  <c r="AQ40" i="5"/>
  <c r="BV40" i="5"/>
  <c r="BU59" i="5"/>
  <c r="AH56" i="5"/>
  <c r="AR11" i="5"/>
  <c r="AH44" i="5"/>
  <c r="AG58" i="5"/>
  <c r="BP25" i="5"/>
  <c r="BW58" i="5"/>
  <c r="BJ16" i="5"/>
  <c r="AW9" i="5"/>
  <c r="AU28" i="5"/>
  <c r="AX53" i="5"/>
  <c r="AT59" i="5"/>
  <c r="AS17" i="5"/>
  <c r="AV51" i="5"/>
  <c r="U12" i="5"/>
  <c r="BW24" i="5"/>
  <c r="AX51" i="5"/>
  <c r="AT26" i="5"/>
  <c r="AI25" i="5"/>
  <c r="BG5" i="5"/>
  <c r="BT59" i="5"/>
  <c r="AT17" i="5"/>
  <c r="AK14" i="5"/>
  <c r="AK44" i="5"/>
  <c r="V11" i="5"/>
  <c r="BX57" i="5"/>
  <c r="AT11" i="5"/>
  <c r="AS57" i="5"/>
  <c r="BK18" i="5"/>
  <c r="BS28" i="5"/>
  <c r="AL38" i="5"/>
  <c r="AP26" i="5"/>
  <c r="AU27" i="5"/>
  <c r="AU5" i="5"/>
  <c r="T26" i="5"/>
  <c r="AH7" i="5"/>
  <c r="AW12" i="5"/>
  <c r="AW5" i="5"/>
  <c r="BX8" i="5"/>
  <c r="AK5" i="5"/>
  <c r="AV26" i="5"/>
  <c r="BS12" i="5"/>
  <c r="BS8" i="5"/>
  <c r="BH61" i="5"/>
  <c r="BG55" i="5"/>
  <c r="BG14" i="5"/>
  <c r="AQ24" i="5"/>
  <c r="AR43" i="5"/>
  <c r="BP21" i="5"/>
  <c r="AT9" i="5"/>
  <c r="AV11" i="5"/>
  <c r="BU6" i="5"/>
  <c r="AN17" i="5"/>
  <c r="AM20" i="5"/>
  <c r="AE8" i="5"/>
  <c r="AJ39" i="5"/>
  <c r="AG9" i="5"/>
  <c r="AS22" i="5"/>
  <c r="BF12" i="5"/>
  <c r="AL54" i="5"/>
  <c r="BV59" i="5"/>
  <c r="AX28" i="5"/>
  <c r="BV37" i="5"/>
  <c r="AU24" i="5"/>
  <c r="BP50" i="5"/>
  <c r="BV24" i="5"/>
  <c r="AQ60" i="5"/>
  <c r="I25" i="5"/>
  <c r="BO5" i="5"/>
  <c r="K13" i="5"/>
  <c r="AR16" i="5"/>
  <c r="AV13" i="5"/>
  <c r="AF4" i="5"/>
  <c r="S28" i="5"/>
  <c r="AX16" i="5"/>
  <c r="AW23" i="5"/>
  <c r="BN11" i="5"/>
  <c r="AS6" i="5"/>
  <c r="BR13" i="5"/>
  <c r="AR53" i="5"/>
  <c r="AW18" i="5"/>
  <c r="AQ21" i="5"/>
  <c r="AV5" i="5"/>
  <c r="BV38" i="5"/>
  <c r="BI45" i="5"/>
  <c r="AX6" i="5"/>
  <c r="BT18" i="5"/>
  <c r="BW49" i="5"/>
  <c r="AO42" i="5"/>
  <c r="BL5" i="5"/>
  <c r="AE43" i="5"/>
  <c r="AE39" i="5"/>
  <c r="BO54" i="5"/>
  <c r="AG46" i="5"/>
  <c r="BG46" i="5"/>
  <c r="AI21" i="5"/>
  <c r="BR38" i="5"/>
  <c r="AQ27" i="5"/>
  <c r="BS54" i="5"/>
  <c r="AO59" i="5"/>
  <c r="AN26" i="5"/>
  <c r="BH50" i="5"/>
  <c r="AU44" i="5"/>
  <c r="AV40" i="5"/>
  <c r="BU58" i="5"/>
  <c r="BU37" i="5"/>
  <c r="BI41" i="5"/>
  <c r="BN44" i="5"/>
  <c r="BV54" i="5"/>
  <c r="AR4" i="5"/>
  <c r="BU10" i="5"/>
  <c r="BG56" i="5"/>
  <c r="AM48" i="5"/>
  <c r="BI56" i="5"/>
  <c r="AG22" i="5"/>
  <c r="AQ18" i="5"/>
  <c r="BH45" i="5"/>
  <c r="BT53" i="5"/>
  <c r="AJ5" i="5"/>
  <c r="BX7" i="5"/>
  <c r="BI4" i="5"/>
  <c r="BM40" i="5"/>
  <c r="BP14" i="5"/>
  <c r="BX19" i="5"/>
  <c r="BE8" i="5"/>
  <c r="AJ16" i="5"/>
  <c r="J11" i="5"/>
  <c r="AG38" i="5"/>
  <c r="BI5" i="5"/>
  <c r="AS56" i="5"/>
  <c r="AP8" i="5"/>
  <c r="BS60" i="5"/>
  <c r="BO37" i="5"/>
  <c r="AL11" i="5"/>
  <c r="AW25" i="5"/>
  <c r="AR5" i="5"/>
  <c r="W27" i="5"/>
  <c r="BK46" i="5"/>
  <c r="BR56" i="5"/>
  <c r="AW47" i="5"/>
  <c r="AQ55" i="5"/>
  <c r="BE57" i="5"/>
  <c r="BX60" i="5"/>
  <c r="AM7" i="5"/>
  <c r="AO51" i="5"/>
  <c r="BP11" i="5"/>
  <c r="BM49" i="5"/>
  <c r="AU6" i="5"/>
  <c r="BW45" i="5"/>
  <c r="BP13" i="5"/>
  <c r="AH5" i="5"/>
  <c r="BR53" i="5"/>
  <c r="AT24" i="5"/>
  <c r="AM51" i="5"/>
  <c r="I10" i="5"/>
  <c r="AF59" i="5"/>
  <c r="BN13" i="5"/>
  <c r="AW54" i="5"/>
  <c r="AI53" i="5"/>
  <c r="BF39" i="5"/>
  <c r="AH47" i="5"/>
  <c r="BV7" i="5"/>
  <c r="BF7" i="5"/>
  <c r="BK38" i="5"/>
  <c r="BI20" i="5"/>
  <c r="AL42" i="5"/>
  <c r="AI28" i="5"/>
  <c r="BM38" i="5"/>
  <c r="AS13" i="5"/>
  <c r="AG60" i="5"/>
  <c r="AI48" i="5"/>
  <c r="AP54" i="5"/>
  <c r="BN58" i="5"/>
  <c r="BF54" i="5"/>
  <c r="BX54" i="5"/>
  <c r="BN50" i="5"/>
  <c r="BT26" i="5"/>
  <c r="BK25" i="5"/>
  <c r="BL42" i="5"/>
  <c r="AF56" i="5"/>
  <c r="BS53" i="5"/>
  <c r="BO52" i="5"/>
  <c r="BK15" i="5"/>
  <c r="AE40" i="5"/>
  <c r="BL16" i="5"/>
  <c r="BI27" i="5"/>
  <c r="AG7" i="5"/>
  <c r="AK25" i="5"/>
  <c r="BL12" i="5"/>
  <c r="BG12" i="5"/>
  <c r="AX20" i="5"/>
  <c r="AX46" i="5"/>
  <c r="BO48" i="5"/>
  <c r="BE56" i="5"/>
  <c r="BX40" i="5"/>
  <c r="BQ12" i="5"/>
  <c r="AT49" i="5"/>
  <c r="AJ12" i="5"/>
  <c r="BM5" i="5"/>
  <c r="BU13" i="5"/>
  <c r="AW20" i="5"/>
  <c r="BI50" i="5"/>
  <c r="AI60" i="5"/>
  <c r="BH17" i="5"/>
  <c r="AF41" i="5"/>
  <c r="AG59" i="5"/>
  <c r="BN5" i="5"/>
  <c r="AH45" i="5"/>
  <c r="BT54" i="5"/>
  <c r="AN25" i="5"/>
  <c r="AW46" i="5"/>
  <c r="AG15" i="5"/>
  <c r="AW21" i="5"/>
  <c r="AQ15" i="5"/>
  <c r="AR59" i="5"/>
  <c r="AV60" i="5"/>
  <c r="BF6" i="5"/>
  <c r="AP50" i="5"/>
  <c r="BJ23" i="5"/>
  <c r="BJ7" i="5"/>
  <c r="BM39" i="5"/>
  <c r="BL25" i="5"/>
  <c r="AS8" i="5"/>
  <c r="AM44" i="5"/>
  <c r="AR61" i="5"/>
  <c r="AT44" i="5"/>
  <c r="BO43" i="5"/>
  <c r="AE51" i="5"/>
  <c r="AW27" i="5"/>
  <c r="AP42" i="5"/>
  <c r="BH48" i="5"/>
  <c r="AR57" i="5"/>
  <c r="BG43" i="5"/>
  <c r="AW14" i="5"/>
  <c r="AT28" i="5"/>
  <c r="BM15" i="5"/>
  <c r="AP14" i="5"/>
  <c r="BJ6" i="5"/>
  <c r="AE11" i="5"/>
  <c r="AK57" i="5"/>
  <c r="AL19" i="5"/>
  <c r="BF49" i="5"/>
  <c r="BR58" i="5"/>
  <c r="AP43" i="5"/>
  <c r="AJ44" i="5"/>
  <c r="BV61" i="5"/>
  <c r="BJ44" i="5"/>
  <c r="BG60" i="5"/>
  <c r="BK40" i="5"/>
  <c r="AQ14" i="5"/>
  <c r="AF15" i="5"/>
  <c r="BK20" i="5"/>
  <c r="BR23" i="5"/>
  <c r="AE61" i="5"/>
  <c r="AS51" i="5"/>
  <c r="AN48" i="5"/>
  <c r="AN58" i="5"/>
  <c r="BS20" i="5"/>
  <c r="AG21" i="5"/>
  <c r="AU4" i="5"/>
  <c r="AW49" i="5"/>
  <c r="BV43" i="5"/>
  <c r="BN48" i="5"/>
  <c r="AU57" i="5"/>
  <c r="BX27" i="5"/>
  <c r="BO44" i="5"/>
  <c r="AJ6" i="5"/>
  <c r="AS39" i="5"/>
  <c r="BI44" i="5"/>
  <c r="BW18" i="5"/>
  <c r="BH15" i="5"/>
  <c r="AO20" i="5"/>
  <c r="BN25" i="5"/>
  <c r="AI52" i="5"/>
  <c r="AR25" i="5"/>
  <c r="BM57" i="5"/>
  <c r="BV17" i="5"/>
  <c r="AS20" i="5"/>
  <c r="BX53" i="5"/>
  <c r="BE10" i="5"/>
  <c r="W29" i="5"/>
  <c r="BU39" i="5"/>
  <c r="BJ37" i="5"/>
  <c r="BX50" i="5"/>
  <c r="BJ8" i="5"/>
  <c r="AM45" i="5"/>
  <c r="BV49" i="5"/>
  <c r="AV8" i="5"/>
  <c r="BJ60" i="5"/>
  <c r="BE17" i="5"/>
  <c r="BN24" i="5"/>
  <c r="BI23" i="5"/>
  <c r="BT12" i="5"/>
  <c r="BJ22" i="5"/>
  <c r="AJ58" i="5"/>
  <c r="U11" i="5"/>
  <c r="BG59" i="5"/>
  <c r="BQ27" i="5"/>
  <c r="V26" i="5"/>
  <c r="BG28" i="5"/>
  <c r="AR22" i="5"/>
  <c r="BT49" i="5"/>
  <c r="BG41" i="5"/>
  <c r="BX17" i="5"/>
  <c r="BW5" i="5"/>
  <c r="U25" i="5"/>
  <c r="AV25" i="5"/>
  <c r="BU42" i="5"/>
  <c r="AF21" i="5"/>
  <c r="AN22" i="5"/>
  <c r="BM51" i="5"/>
  <c r="BL39" i="5"/>
  <c r="V29" i="5"/>
  <c r="BI49" i="5"/>
  <c r="BM7" i="5"/>
  <c r="BE50" i="5"/>
  <c r="AG45" i="5"/>
  <c r="AG19" i="5"/>
  <c r="BE51" i="5"/>
  <c r="AE50" i="5"/>
  <c r="AI37" i="5"/>
  <c r="AO44" i="5"/>
  <c r="AG20" i="5"/>
  <c r="BO58" i="5"/>
  <c r="BX55" i="5"/>
  <c r="AX57" i="5"/>
  <c r="AF24" i="5"/>
  <c r="AL9" i="5"/>
  <c r="BR50" i="5"/>
  <c r="BX52" i="5"/>
  <c r="AH20" i="5"/>
  <c r="AK9" i="5"/>
  <c r="AK23" i="5"/>
  <c r="BP60" i="5"/>
  <c r="AX40" i="5"/>
  <c r="T12" i="5"/>
  <c r="BT55" i="5"/>
  <c r="BL56" i="5"/>
  <c r="BX39" i="5"/>
  <c r="AP53" i="5"/>
  <c r="BG49" i="5"/>
  <c r="AM21" i="5"/>
  <c r="AH38" i="5"/>
  <c r="BO38" i="5"/>
  <c r="BM22" i="5"/>
  <c r="BW17" i="5"/>
  <c r="K12" i="5"/>
  <c r="BG44" i="5"/>
  <c r="BM47" i="5"/>
  <c r="AW40" i="5"/>
  <c r="BV9" i="5"/>
  <c r="BG18" i="5"/>
  <c r="AE56" i="5"/>
  <c r="AS52" i="5"/>
  <c r="AF60" i="5"/>
  <c r="V27" i="5"/>
  <c r="BE20" i="5"/>
  <c r="BM18" i="5"/>
  <c r="AN39" i="5"/>
  <c r="BJ28" i="5"/>
  <c r="AX52" i="5"/>
  <c r="U29" i="5"/>
  <c r="BH24" i="5"/>
  <c r="BL50" i="5"/>
  <c r="BM53" i="5"/>
  <c r="BH51" i="5"/>
  <c r="AL7" i="5"/>
  <c r="AU51" i="5"/>
  <c r="AN15" i="5"/>
  <c r="AM56" i="5"/>
  <c r="BJ54" i="5"/>
  <c r="AP28" i="5"/>
  <c r="BH23" i="5"/>
  <c r="BH53" i="5"/>
  <c r="BQ50" i="5"/>
  <c r="BK43" i="5"/>
  <c r="AW38" i="5"/>
  <c r="G26" i="5"/>
  <c r="AQ54" i="5"/>
  <c r="AX37" i="5"/>
  <c r="AS59" i="5"/>
  <c r="BO11" i="5"/>
  <c r="BU4" i="5"/>
  <c r="W28" i="5"/>
  <c r="BO50" i="5"/>
  <c r="BG58" i="5"/>
  <c r="AT13" i="5"/>
  <c r="BM44" i="5"/>
  <c r="BE40" i="5"/>
  <c r="AH46" i="5"/>
  <c r="AV22" i="5"/>
  <c r="BI12" i="5"/>
  <c r="BG9" i="5"/>
  <c r="BV53" i="5"/>
  <c r="BP52" i="5"/>
  <c r="BR55" i="5"/>
  <c r="AF53" i="5"/>
  <c r="AS25" i="5"/>
  <c r="AG54" i="5"/>
  <c r="AO13" i="5"/>
  <c r="AQ56" i="5"/>
  <c r="AT48" i="5"/>
  <c r="AL12" i="5"/>
  <c r="AQ11" i="5"/>
  <c r="BJ55" i="5"/>
  <c r="BE61" i="5"/>
  <c r="AP9" i="5"/>
  <c r="BP24" i="5"/>
  <c r="AO61" i="5"/>
  <c r="G13" i="5"/>
  <c r="AW43" i="5"/>
  <c r="AR46" i="5"/>
  <c r="BI51" i="5"/>
  <c r="AV37" i="5"/>
  <c r="AL49" i="5"/>
  <c r="BI26" i="5"/>
  <c r="BM59" i="5"/>
  <c r="BW27" i="5"/>
  <c r="BN6" i="5"/>
  <c r="AG26" i="5"/>
  <c r="AU16" i="5"/>
  <c r="AS45" i="5"/>
  <c r="K26" i="5"/>
  <c r="BG24" i="5"/>
  <c r="AH8" i="5"/>
  <c r="AV48" i="5"/>
  <c r="AJ23" i="5"/>
  <c r="AT40" i="5"/>
  <c r="J13" i="5"/>
  <c r="BO40" i="5"/>
  <c r="BR6" i="5"/>
  <c r="BS47" i="5"/>
  <c r="J10" i="5"/>
  <c r="AH40" i="5"/>
  <c r="BE9" i="5"/>
  <c r="BL46" i="5"/>
  <c r="BJ10" i="5"/>
  <c r="BW11" i="5"/>
  <c r="BW21" i="5"/>
  <c r="AT54" i="5"/>
  <c r="AO39" i="5"/>
  <c r="BV41" i="5"/>
  <c r="AF46" i="5"/>
  <c r="BK58" i="5"/>
  <c r="BX14" i="5"/>
  <c r="AG37" i="5"/>
  <c r="AX59" i="5"/>
  <c r="BW60" i="5"/>
  <c r="AQ51" i="5"/>
  <c r="BG54" i="5"/>
  <c r="BM41" i="5"/>
  <c r="AK18" i="5"/>
  <c r="AF25" i="5"/>
  <c r="BP53" i="5"/>
  <c r="BQ45" i="5"/>
  <c r="BN23" i="5"/>
  <c r="BR18" i="5"/>
  <c r="BQ24" i="5"/>
  <c r="AN8" i="5"/>
  <c r="AU43" i="5"/>
  <c r="BL15" i="5"/>
  <c r="AP44" i="5"/>
  <c r="AV7" i="5"/>
  <c r="AR50" i="5"/>
  <c r="BW23" i="5"/>
  <c r="BQ14" i="5"/>
  <c r="AN40" i="5"/>
  <c r="H11" i="5"/>
  <c r="G11" i="5"/>
  <c r="BR11" i="5"/>
  <c r="T29" i="5"/>
  <c r="BG19" i="5"/>
  <c r="BT6" i="5"/>
  <c r="BN20" i="5"/>
  <c r="AJ60" i="5"/>
  <c r="AP59" i="5"/>
  <c r="BW57" i="5"/>
  <c r="AR17" i="5"/>
  <c r="BO18" i="5"/>
  <c r="AU23" i="5"/>
  <c r="AF5" i="5"/>
  <c r="I13" i="5"/>
  <c r="AR39" i="5"/>
  <c r="BM6" i="5"/>
  <c r="AO15" i="5"/>
  <c r="AU42" i="5"/>
  <c r="AX7" i="5"/>
  <c r="AO14" i="5"/>
  <c r="BH26" i="5"/>
  <c r="AF57" i="5"/>
  <c r="AE14" i="5"/>
  <c r="AP25" i="5"/>
  <c r="BT7" i="5"/>
  <c r="BO56" i="5"/>
  <c r="BF45" i="5"/>
  <c r="BU11" i="5"/>
  <c r="AM22" i="5"/>
  <c r="BT37" i="5"/>
  <c r="BH10" i="5"/>
  <c r="AR14" i="5"/>
  <c r="G10" i="5"/>
  <c r="AI46" i="5"/>
  <c r="BO10" i="5"/>
  <c r="AJ20" i="5"/>
  <c r="AG16" i="5"/>
  <c r="BR14" i="5"/>
  <c r="AP57" i="5"/>
  <c r="AK54" i="5"/>
  <c r="AG50" i="5"/>
  <c r="H27" i="5"/>
  <c r="BU43" i="5"/>
  <c r="BS44" i="5"/>
  <c r="AM61" i="5"/>
  <c r="AL16" i="5"/>
  <c r="AF43" i="5"/>
  <c r="BF58" i="5"/>
  <c r="AL60" i="5"/>
  <c r="BE52" i="5"/>
  <c r="BU44" i="5"/>
  <c r="AP20" i="5"/>
  <c r="AH39" i="5"/>
  <c r="BO59" i="5"/>
  <c r="BP23" i="5"/>
  <c r="AT27" i="5"/>
  <c r="W25" i="5"/>
  <c r="AQ16" i="5"/>
  <c r="AL40" i="5"/>
  <c r="AH21" i="5"/>
  <c r="BT24" i="5"/>
  <c r="AI7" i="5"/>
  <c r="AO12" i="5"/>
  <c r="AN4" i="5"/>
  <c r="BG61" i="5"/>
  <c r="BV25" i="5"/>
  <c r="BW42" i="5"/>
  <c r="BJ57" i="5"/>
  <c r="BG38" i="5"/>
  <c r="AW26" i="5"/>
  <c r="AK48" i="5"/>
  <c r="BQ57" i="5"/>
  <c r="BH39" i="5"/>
  <c r="BU46" i="5"/>
  <c r="AV57" i="5"/>
  <c r="U14" i="5"/>
  <c r="AN14" i="5"/>
  <c r="BX56" i="5"/>
  <c r="AT47" i="5"/>
  <c r="BX45" i="5"/>
  <c r="BS22" i="5"/>
  <c r="BN54" i="5"/>
  <c r="AN53" i="5"/>
  <c r="AU37" i="5"/>
  <c r="BK23" i="5"/>
  <c r="BQ51" i="5"/>
  <c r="AU47" i="5"/>
  <c r="BJ61" i="5"/>
  <c r="AS53" i="5"/>
  <c r="AR27" i="5"/>
  <c r="AI45" i="5"/>
  <c r="AM52" i="5"/>
  <c r="AV9" i="5"/>
  <c r="BI54" i="5"/>
  <c r="BJ48" i="5"/>
  <c r="BI40" i="5"/>
  <c r="AX60" i="5"/>
  <c r="AX17" i="5"/>
  <c r="H12" i="5"/>
  <c r="AE59" i="5"/>
  <c r="BE39" i="5"/>
  <c r="I26" i="5"/>
  <c r="AT39" i="5"/>
  <c r="AP10" i="5"/>
  <c r="BW47" i="5"/>
  <c r="BN43" i="5"/>
  <c r="BL4" i="5"/>
  <c r="AW16" i="5"/>
  <c r="BI10" i="5"/>
  <c r="AL27" i="5"/>
  <c r="AU18" i="5"/>
  <c r="AH55" i="5"/>
  <c r="AN16" i="5"/>
  <c r="BH22" i="5"/>
  <c r="BV5" i="5"/>
  <c r="BE48" i="5"/>
  <c r="AO58" i="5"/>
  <c r="BL37" i="5"/>
  <c r="AQ43" i="5"/>
  <c r="AJ8" i="5"/>
  <c r="AF13" i="5"/>
  <c r="BV22" i="5"/>
  <c r="AJ14" i="5"/>
  <c r="AV12" i="5"/>
  <c r="BE18" i="5"/>
  <c r="AQ49" i="5"/>
  <c r="AJ40" i="5"/>
  <c r="BM23" i="5"/>
  <c r="BG57" i="5"/>
  <c r="BN9" i="5"/>
  <c r="U26" i="5"/>
  <c r="H28" i="5"/>
  <c r="BJ12" i="5"/>
  <c r="BK42" i="5"/>
  <c r="BE37" i="5"/>
  <c r="AL39" i="5"/>
  <c r="AI5" i="5"/>
  <c r="AI26" i="5"/>
  <c r="AV15" i="5"/>
  <c r="AX61" i="5"/>
  <c r="AO49" i="5"/>
  <c r="AI42" i="5"/>
  <c r="AJ53" i="5"/>
  <c r="BW12" i="5"/>
  <c r="BS39" i="5"/>
  <c r="AG39" i="5"/>
  <c r="BN55" i="5"/>
  <c r="BR22" i="5"/>
  <c r="BV19" i="5"/>
  <c r="AU48" i="5"/>
  <c r="BJ42" i="5"/>
  <c r="AV59" i="5"/>
  <c r="AS10" i="5"/>
  <c r="AV44" i="5"/>
  <c r="AJ21" i="5"/>
  <c r="AU40" i="5"/>
  <c r="BT20" i="5"/>
  <c r="BT5" i="5"/>
  <c r="BS58" i="5"/>
  <c r="AN60" i="5"/>
  <c r="AQ20" i="5"/>
  <c r="BE7" i="5"/>
  <c r="BQ46" i="5"/>
  <c r="BI6" i="5"/>
  <c r="BP54" i="5"/>
  <c r="AR28" i="5"/>
  <c r="BS4" i="5"/>
  <c r="AQ6" i="5"/>
  <c r="AN54" i="5"/>
  <c r="AL61" i="5"/>
  <c r="BT4" i="5"/>
  <c r="BV50" i="5"/>
  <c r="BQ16" i="5"/>
  <c r="AK17" i="5"/>
  <c r="H26" i="5"/>
  <c r="BJ51" i="5"/>
  <c r="AL55" i="5"/>
  <c r="BW54" i="5"/>
  <c r="AH59" i="5"/>
  <c r="BH13" i="5"/>
  <c r="AM11" i="5"/>
  <c r="AI16" i="5"/>
  <c r="BM55" i="5"/>
  <c r="AF45" i="5"/>
  <c r="AE54" i="5"/>
  <c r="BO25" i="5"/>
  <c r="U28" i="5"/>
  <c r="BF47" i="5"/>
  <c r="AS55" i="5"/>
  <c r="AL21" i="5"/>
  <c r="AQ42" i="5"/>
  <c r="AN37" i="5"/>
  <c r="AN45" i="5"/>
  <c r="BN42" i="5"/>
  <c r="AR19" i="5"/>
  <c r="AM4" i="5"/>
  <c r="BE49" i="5"/>
  <c r="AK8" i="5"/>
  <c r="BO20" i="5"/>
  <c r="BN53" i="5"/>
  <c r="AH52" i="5"/>
  <c r="BE6" i="5"/>
  <c r="AG43" i="5"/>
  <c r="AN23" i="5"/>
  <c r="AI44" i="5"/>
  <c r="BI46" i="5"/>
  <c r="BP16" i="5"/>
  <c r="BI22" i="5"/>
  <c r="BP47" i="5"/>
  <c r="AQ4" i="5"/>
  <c r="BQ61" i="5"/>
  <c r="AM55" i="5"/>
  <c r="AV46" i="5"/>
  <c r="BF38" i="5"/>
  <c r="BL17" i="5"/>
  <c r="BS40" i="5"/>
  <c r="BE53" i="5"/>
  <c r="BX13" i="5"/>
  <c r="BH27" i="5"/>
  <c r="BU26" i="5"/>
  <c r="BS61" i="5"/>
  <c r="BR59" i="5"/>
  <c r="BE60" i="5"/>
  <c r="AQ7" i="5"/>
  <c r="BW25" i="5"/>
  <c r="BQ17" i="5"/>
  <c r="AX41" i="5"/>
  <c r="BP42" i="5"/>
  <c r="AS47" i="5"/>
  <c r="BN12" i="5"/>
  <c r="AX48" i="5"/>
  <c r="AX56" i="5"/>
  <c r="AX11" i="5"/>
  <c r="BI53" i="5"/>
  <c r="AR58" i="5"/>
  <c r="BI59" i="5"/>
  <c r="AP52" i="5"/>
  <c r="BT41" i="5"/>
  <c r="BT15" i="5"/>
  <c r="I11" i="5"/>
  <c r="AL10" i="5"/>
  <c r="AX49" i="5"/>
  <c r="BE54" i="5"/>
  <c r="AX42" i="5"/>
  <c r="BH19" i="5"/>
  <c r="AE26" i="5"/>
  <c r="AR18" i="5"/>
  <c r="BU57" i="5"/>
  <c r="AG5" i="5"/>
  <c r="AJ37" i="5"/>
  <c r="BO47" i="5"/>
  <c r="AE23" i="5"/>
  <c r="BJ43" i="5"/>
  <c r="BM26" i="5"/>
  <c r="BO4" i="5"/>
  <c r="BW6" i="5"/>
  <c r="AR12" i="5"/>
  <c r="AU21" i="5"/>
  <c r="BF19" i="5"/>
  <c r="AT4" i="5"/>
  <c r="BE47" i="5"/>
  <c r="BM46" i="5"/>
  <c r="BH14" i="5"/>
  <c r="BR45" i="5"/>
  <c r="BV6" i="5"/>
  <c r="BW56" i="5"/>
  <c r="BS15" i="5"/>
  <c r="AV18" i="5"/>
  <c r="BL19" i="5"/>
  <c r="AO19" i="5"/>
  <c r="AE5" i="5"/>
  <c r="AV56" i="5"/>
  <c r="AR44" i="5"/>
  <c r="AR49" i="5"/>
  <c r="BF9" i="5"/>
  <c r="BF15" i="5"/>
  <c r="BR48" i="5"/>
  <c r="BW8" i="5"/>
  <c r="AX21" i="5"/>
  <c r="AI22" i="5"/>
  <c r="AR38" i="5"/>
  <c r="BM21" i="5"/>
  <c r="AQ53" i="5"/>
  <c r="BK12" i="5"/>
  <c r="BO39" i="5"/>
  <c r="BF53" i="5"/>
  <c r="BR12" i="5"/>
  <c r="BS21" i="5"/>
  <c r="BT19" i="5"/>
  <c r="AE46" i="5"/>
  <c r="AX45" i="5"/>
  <c r="AL47" i="5"/>
  <c r="AN20" i="5"/>
  <c r="AW19" i="5"/>
  <c r="BI39" i="5"/>
  <c r="BL7" i="5"/>
  <c r="BI9" i="5"/>
  <c r="AV20" i="5"/>
  <c r="AJ28" i="5"/>
  <c r="AN27" i="5"/>
  <c r="BE16" i="5"/>
  <c r="BT17" i="5"/>
  <c r="AP49" i="5"/>
  <c r="AS46" i="5"/>
  <c r="AX58" i="5"/>
  <c r="AG56" i="5"/>
  <c r="AT22" i="5"/>
  <c r="BX20" i="5"/>
  <c r="AE17" i="5"/>
  <c r="BK44" i="5"/>
  <c r="AG48" i="5"/>
  <c r="BX46" i="5"/>
  <c r="BN27" i="5"/>
  <c r="AH4" i="5"/>
  <c r="AP11" i="5"/>
  <c r="AX39" i="5"/>
  <c r="BS48" i="5"/>
  <c r="AL5" i="5"/>
  <c r="AE18" i="5"/>
  <c r="AN28" i="5"/>
  <c r="BW59" i="5"/>
  <c r="AL17" i="5"/>
  <c r="BR42" i="5"/>
  <c r="AR26" i="5"/>
  <c r="BH12" i="5"/>
  <c r="AJ55" i="5"/>
  <c r="BX59" i="5"/>
  <c r="AG57" i="5"/>
  <c r="BW28" i="5"/>
  <c r="BU7" i="5"/>
  <c r="BQ21" i="5"/>
  <c r="AQ10" i="5"/>
  <c r="BN56" i="5"/>
  <c r="BX26" i="5"/>
  <c r="BU54" i="5"/>
  <c r="BQ41" i="5"/>
  <c r="BF4" i="5"/>
  <c r="AT18" i="5"/>
  <c r="BW55" i="5"/>
  <c r="AQ59" i="5"/>
  <c r="BW19" i="5"/>
  <c r="BI58" i="5"/>
  <c r="AX47" i="5"/>
  <c r="AT60" i="5"/>
  <c r="AL25" i="5"/>
  <c r="T28" i="5"/>
  <c r="BP15" i="5"/>
  <c r="BU48" i="5"/>
  <c r="AG53" i="5"/>
  <c r="AK28" i="5"/>
  <c r="AH14" i="5"/>
  <c r="AI51" i="5"/>
  <c r="BR10" i="5"/>
  <c r="BR46" i="5"/>
  <c r="AO8" i="5"/>
  <c r="AR21" i="5"/>
  <c r="BT9" i="5"/>
  <c r="BI48" i="5"/>
  <c r="BS26" i="5"/>
  <c r="AE37" i="5"/>
  <c r="BH7" i="5"/>
  <c r="AT53" i="5"/>
  <c r="AW8" i="5"/>
  <c r="AR42" i="5"/>
  <c r="BP10" i="5"/>
  <c r="AM57" i="5"/>
  <c r="S13" i="5"/>
  <c r="BH49" i="5"/>
  <c r="AP41" i="5"/>
  <c r="BM56" i="5"/>
  <c r="BX28" i="5"/>
  <c r="AR10" i="5"/>
  <c r="AR48" i="5"/>
  <c r="BT58" i="5"/>
  <c r="BM8" i="5"/>
  <c r="AR51" i="5"/>
  <c r="BI60" i="5"/>
  <c r="BS5" i="5"/>
  <c r="AS9" i="5"/>
  <c r="BS18" i="5"/>
  <c r="AP4" i="5"/>
  <c r="AM28" i="5"/>
  <c r="G14" i="5"/>
  <c r="AE20" i="5"/>
  <c r="T14" i="5"/>
  <c r="AU49" i="5"/>
  <c r="AT21" i="5"/>
  <c r="AW6" i="5"/>
  <c r="AW45" i="5"/>
  <c r="AX9" i="5"/>
  <c r="AV4" i="5"/>
  <c r="AO10" i="5"/>
  <c r="AQ8" i="5"/>
  <c r="BP12" i="5"/>
  <c r="BH41" i="5"/>
  <c r="BF5" i="5"/>
  <c r="BE43" i="5"/>
  <c r="AU38" i="5"/>
  <c r="BL21" i="5"/>
  <c r="BM42" i="5"/>
  <c r="AM46" i="5"/>
  <c r="BN41" i="5"/>
  <c r="BJ4" i="5"/>
  <c r="BJ19" i="5"/>
  <c r="AJ42" i="5"/>
  <c r="AT46" i="5"/>
  <c r="AW52" i="5"/>
  <c r="AT43" i="5"/>
  <c r="BE44" i="5"/>
  <c r="BV12" i="5"/>
  <c r="AH24" i="5"/>
  <c r="AG18" i="5"/>
  <c r="AP17" i="5"/>
  <c r="AJ59" i="5"/>
  <c r="AS4" i="5"/>
  <c r="BW40" i="5"/>
  <c r="AV58" i="5"/>
  <c r="BL18" i="5"/>
  <c r="BG10" i="5"/>
  <c r="BI24" i="5"/>
  <c r="BF61" i="5"/>
  <c r="BX61" i="5"/>
  <c r="I12" i="5"/>
  <c r="BV39" i="5"/>
  <c r="S26" i="5"/>
  <c r="AX24" i="5"/>
  <c r="BX49" i="5"/>
  <c r="AV16" i="5"/>
  <c r="BG42" i="5"/>
  <c r="AN43" i="5"/>
  <c r="AX14" i="5"/>
  <c r="AF20" i="5"/>
  <c r="BV21" i="5"/>
  <c r="AV61" i="5"/>
  <c r="BI61" i="5"/>
  <c r="AH26" i="5"/>
  <c r="BH40" i="5"/>
  <c r="BV47" i="5"/>
  <c r="W26" i="5"/>
  <c r="AQ25" i="5"/>
  <c r="BV10" i="5"/>
  <c r="AU59" i="5"/>
  <c r="AS14" i="5"/>
  <c r="BR28" i="5"/>
  <c r="BQ9" i="5"/>
  <c r="BL28" i="5"/>
  <c r="AS41" i="5"/>
  <c r="AW28" i="5"/>
  <c r="T27" i="5"/>
  <c r="BJ49" i="5"/>
  <c r="AO22" i="5"/>
  <c r="T10" i="5"/>
  <c r="AM47" i="5"/>
  <c r="AQ57" i="5"/>
  <c r="BT28" i="5"/>
  <c r="BM12" i="5"/>
  <c r="AT57" i="5"/>
  <c r="BW43" i="5"/>
  <c r="BR39" i="5"/>
  <c r="BJ25" i="5"/>
  <c r="BI43" i="5"/>
  <c r="AG41" i="5"/>
  <c r="BQ22" i="5"/>
  <c r="AJ10" i="5"/>
  <c r="AL18" i="5"/>
  <c r="AU46" i="5"/>
  <c r="AI10" i="5"/>
  <c r="BP18" i="5"/>
  <c r="AL14" i="5"/>
  <c r="AI9" i="5"/>
  <c r="BT14" i="5"/>
  <c r="AK13" i="5"/>
  <c r="U27" i="5"/>
  <c r="AU54" i="5"/>
  <c r="BQ48" i="5"/>
  <c r="AV53" i="5"/>
  <c r="AK24" i="5"/>
  <c r="BS9" i="5"/>
  <c r="AP51" i="5"/>
  <c r="BI19" i="5"/>
  <c r="AX4" i="5"/>
  <c r="BX18" i="5"/>
  <c r="BL58" i="5"/>
  <c r="AQ39" i="5"/>
  <c r="AS61" i="5"/>
  <c r="BS16" i="5"/>
  <c r="BL40" i="5"/>
  <c r="AG28" i="5"/>
  <c r="BW38" i="5"/>
  <c r="AH25" i="5"/>
  <c r="BH21" i="5"/>
  <c r="BH54" i="5"/>
  <c r="AE10" i="5"/>
  <c r="BK39" i="5"/>
  <c r="BX25" i="5"/>
  <c r="AV17" i="5"/>
  <c r="BR16" i="5"/>
  <c r="AN52" i="5"/>
  <c r="AO37" i="5"/>
  <c r="BX38" i="5"/>
  <c r="BG17" i="5"/>
  <c r="BX42" i="5"/>
  <c r="BS24" i="5"/>
  <c r="AK39" i="5"/>
  <c r="AM54" i="5"/>
  <c r="AM39" i="5"/>
  <c r="AT50" i="5"/>
  <c r="BO27" i="5"/>
  <c r="AH10" i="5"/>
  <c r="BL57" i="5"/>
  <c r="BQ6" i="5"/>
  <c r="AN50" i="5"/>
  <c r="AE38" i="5"/>
  <c r="AU60" i="5"/>
  <c r="BH44" i="5"/>
  <c r="BM27" i="5"/>
  <c r="BL49" i="5"/>
  <c r="AU41" i="5"/>
  <c r="AJ26" i="5"/>
  <c r="AF27" i="5"/>
  <c r="BU55" i="5"/>
  <c r="AO41" i="5"/>
  <c r="AU8" i="5"/>
  <c r="BR4" i="5"/>
  <c r="BF51" i="5"/>
  <c r="AL44" i="5"/>
  <c r="BT16" i="5"/>
  <c r="AF23" i="5"/>
  <c r="AG55" i="5"/>
  <c r="AH13" i="5"/>
  <c r="AT19" i="5"/>
  <c r="AJ48" i="5"/>
  <c r="BK60" i="5"/>
  <c r="BR27" i="5"/>
  <c r="BW46" i="5"/>
  <c r="BP45" i="5"/>
  <c r="BX47" i="5"/>
  <c r="BN40" i="5"/>
  <c r="AF52" i="5"/>
  <c r="AJ51" i="5"/>
  <c r="AL20" i="5"/>
  <c r="AW15" i="5"/>
  <c r="BW48" i="5"/>
  <c r="BV55" i="5"/>
  <c r="BU49" i="5"/>
  <c r="AV47" i="5"/>
  <c r="BH60" i="5"/>
  <c r="BW22" i="5"/>
  <c r="AR7" i="5"/>
  <c r="AJ49" i="5"/>
  <c r="BE19" i="5"/>
  <c r="AX8" i="5"/>
  <c r="AV55" i="5"/>
  <c r="BU51" i="5"/>
  <c r="AT37" i="5"/>
  <c r="AJ4" i="5"/>
  <c r="AV45" i="5"/>
  <c r="AV39" i="5"/>
  <c r="BN14" i="5"/>
  <c r="AU15" i="5"/>
  <c r="BF52" i="5"/>
  <c r="AS42" i="5"/>
  <c r="BI57" i="5"/>
  <c r="BR37" i="5"/>
  <c r="AP13" i="5"/>
  <c r="AK42" i="5"/>
  <c r="AO56" i="5"/>
  <c r="BG11" i="5"/>
  <c r="BO15" i="5"/>
  <c r="BE41" i="5"/>
  <c r="AS27" i="5"/>
  <c r="AF39" i="5"/>
  <c r="BW15" i="5"/>
  <c r="AO17" i="5"/>
  <c r="AR47" i="5"/>
  <c r="BI13" i="5"/>
  <c r="AN5" i="5"/>
  <c r="AM50" i="5"/>
  <c r="AX50" i="5"/>
  <c r="BH8" i="5"/>
  <c r="AK46" i="5"/>
  <c r="BM43" i="5"/>
  <c r="AT14" i="5"/>
  <c r="BK50" i="5"/>
  <c r="BO22" i="5"/>
  <c r="BS10" i="5"/>
  <c r="AN55" i="5"/>
  <c r="AV10" i="5"/>
  <c r="BQ56" i="5"/>
  <c r="AH48" i="5"/>
  <c r="BS6" i="5"/>
  <c r="BN57" i="5"/>
  <c r="AS49" i="5"/>
  <c r="BK16" i="5"/>
  <c r="BI37" i="5"/>
  <c r="BH4" i="5"/>
  <c r="BF57" i="5"/>
  <c r="BP22" i="5"/>
  <c r="BS49" i="5"/>
  <c r="BJ38" i="5"/>
  <c r="AG52" i="5"/>
  <c r="BJ9" i="5"/>
  <c r="AH50" i="5"/>
  <c r="BH28" i="5"/>
  <c r="BJ14" i="5"/>
  <c r="AO27" i="5"/>
  <c r="AN61" i="5"/>
  <c r="AX10" i="5"/>
  <c r="AE22" i="5"/>
  <c r="AH43" i="5"/>
  <c r="BO28" i="5"/>
  <c r="AT58" i="5"/>
  <c r="BG37" i="5"/>
  <c r="BK52" i="5"/>
  <c r="BN45" i="5"/>
  <c r="AQ58" i="5"/>
  <c r="BT23" i="5"/>
  <c r="AN12" i="5"/>
  <c r="BH18" i="5"/>
  <c r="AQ48" i="5"/>
  <c r="AO24" i="5"/>
  <c r="AE58" i="5"/>
  <c r="BM9" i="5"/>
  <c r="BN7" i="5"/>
  <c r="BV51" i="5"/>
  <c r="AJ57" i="5"/>
  <c r="AO7" i="5"/>
  <c r="BX4" i="5"/>
  <c r="BG40" i="5"/>
  <c r="BG20" i="5"/>
  <c r="BK57" i="5"/>
  <c r="BF48" i="5"/>
  <c r="BQ8" i="5"/>
  <c r="AQ47" i="5"/>
  <c r="AX23" i="5"/>
  <c r="BK7" i="5"/>
  <c r="BH20" i="5"/>
  <c r="AI14" i="5"/>
  <c r="BE21" i="5"/>
  <c r="AV19" i="5"/>
  <c r="AU20" i="5"/>
  <c r="BK4" i="5"/>
  <c r="BU41" i="5"/>
  <c r="BX9" i="5"/>
  <c r="BF42" i="5"/>
  <c r="BV48" i="5"/>
  <c r="BJ50" i="5"/>
  <c r="AO54" i="5"/>
  <c r="BI7" i="5"/>
  <c r="BR25" i="5"/>
  <c r="AO38" i="5"/>
  <c r="BT13" i="5"/>
  <c r="BS37" i="5"/>
  <c r="AF8" i="5"/>
  <c r="AK59" i="5"/>
  <c r="AK26" i="5"/>
  <c r="AG27" i="5"/>
  <c r="BI42" i="5"/>
  <c r="BV4" i="5"/>
  <c r="AT25" i="5"/>
  <c r="BN15" i="5"/>
  <c r="AK7" i="5"/>
  <c r="BK48" i="5"/>
  <c r="AI24" i="5"/>
  <c r="AT10" i="5"/>
  <c r="BS42" i="5"/>
  <c r="BF46" i="5"/>
  <c r="BN59" i="5"/>
  <c r="AV54" i="5"/>
  <c r="AE28" i="5"/>
  <c r="AF28" i="5"/>
  <c r="BF60" i="5"/>
  <c r="AI58" i="5"/>
  <c r="AH16" i="5"/>
  <c r="AI61" i="5"/>
  <c r="BW4" i="5"/>
  <c r="BR26" i="5"/>
  <c r="AN46" i="5"/>
  <c r="BN47" i="5"/>
  <c r="BT60" i="5"/>
  <c r="BX51" i="5"/>
  <c r="AW57" i="5"/>
  <c r="BK26" i="5"/>
  <c r="AS44" i="5"/>
  <c r="BU9" i="5"/>
  <c r="AS26" i="5"/>
  <c r="AE55" i="5"/>
  <c r="AU10" i="5"/>
  <c r="AV6" i="5"/>
  <c r="BU20" i="5"/>
  <c r="AI13" i="5"/>
  <c r="BI21" i="5"/>
  <c r="AV42" i="5"/>
  <c r="BP38" i="5"/>
  <c r="AF61" i="5"/>
  <c r="AT45" i="5"/>
  <c r="AE47" i="5"/>
  <c r="BK5" i="5"/>
  <c r="AI39" i="5"/>
  <c r="BN60" i="5"/>
  <c r="BG13" i="5"/>
  <c r="AT38" i="5"/>
  <c r="AT63" i="5" l="1"/>
  <c r="AI64" i="5"/>
  <c r="BK30" i="5"/>
  <c r="AA29" i="5"/>
  <c r="BP63" i="5"/>
  <c r="AV31" i="5"/>
  <c r="BW29" i="5"/>
  <c r="E19" i="34"/>
  <c r="D33" i="34"/>
  <c r="AK32" i="5"/>
  <c r="BV29" i="5"/>
  <c r="AF33" i="5"/>
  <c r="BS62" i="5"/>
  <c r="BT33" i="5"/>
  <c r="AO63" i="5"/>
  <c r="BI32" i="5"/>
  <c r="BU66" i="5"/>
  <c r="BK29" i="5"/>
  <c r="L25" i="34"/>
  <c r="BD21" i="5"/>
  <c r="J36" i="5" s="1"/>
  <c r="M24" i="34"/>
  <c r="BK32" i="5"/>
  <c r="BQ33" i="5"/>
  <c r="BG65" i="5"/>
  <c r="BX29" i="5"/>
  <c r="AO32" i="5"/>
  <c r="BN32" i="5"/>
  <c r="M21" i="34"/>
  <c r="BG62" i="5"/>
  <c r="F12" i="34"/>
  <c r="D26" i="34"/>
  <c r="M33" i="34"/>
  <c r="F20" i="34"/>
  <c r="BJ63" i="5"/>
  <c r="M5" i="34"/>
  <c r="BH29" i="5"/>
  <c r="BI62" i="5"/>
  <c r="BS31" i="5"/>
  <c r="F18" i="34"/>
  <c r="BH33" i="5"/>
  <c r="M9" i="34"/>
  <c r="AN30" i="5"/>
  <c r="AF64" i="5"/>
  <c r="BD41" i="5"/>
  <c r="S38" i="5" s="1"/>
  <c r="BE66" i="5"/>
  <c r="BR62" i="5"/>
  <c r="AV64" i="5"/>
  <c r="AJ29" i="5"/>
  <c r="AT62" i="5"/>
  <c r="AX33" i="5"/>
  <c r="L23" i="34"/>
  <c r="BD19" i="5"/>
  <c r="J34" i="5" s="1"/>
  <c r="AR32" i="5"/>
  <c r="N32" i="34"/>
  <c r="BN65" i="5"/>
  <c r="E15" i="34"/>
  <c r="BR29" i="5"/>
  <c r="AU33" i="5"/>
  <c r="AO66" i="5"/>
  <c r="AU66" i="5"/>
  <c r="N13" i="34"/>
  <c r="AE63" i="5"/>
  <c r="BQ31" i="5"/>
  <c r="E12" i="34"/>
  <c r="AM64" i="5"/>
  <c r="AK64" i="5"/>
  <c r="BX63" i="5"/>
  <c r="AO62" i="5"/>
  <c r="BK64" i="5"/>
  <c r="D12" i="34"/>
  <c r="N25" i="34"/>
  <c r="M25" i="34"/>
  <c r="E30" i="34"/>
  <c r="BW63" i="5"/>
  <c r="BL65" i="5"/>
  <c r="AQ64" i="5"/>
  <c r="AX29" i="5"/>
  <c r="AG66" i="5"/>
  <c r="BR64" i="5"/>
  <c r="AM62" i="5"/>
  <c r="T15" i="5"/>
  <c r="AS66" i="5"/>
  <c r="BH65" i="5"/>
  <c r="N8" i="34"/>
  <c r="E31" i="34"/>
  <c r="X26" i="5"/>
  <c r="BV64" i="5"/>
  <c r="BW65" i="5"/>
  <c r="AS29" i="5"/>
  <c r="E29" i="34"/>
  <c r="BD44" i="5"/>
  <c r="T36" i="5" s="1"/>
  <c r="BJ29" i="5"/>
  <c r="BN66" i="5"/>
  <c r="AU63" i="5"/>
  <c r="BD43" i="5"/>
  <c r="T35" i="5" s="1"/>
  <c r="BF30" i="5"/>
  <c r="N9" i="34"/>
  <c r="BH66" i="5"/>
  <c r="AQ33" i="5"/>
  <c r="AV29" i="5"/>
  <c r="AW31" i="5"/>
  <c r="Z11" i="5"/>
  <c r="D24" i="34"/>
  <c r="L14" i="5"/>
  <c r="AP29" i="5"/>
  <c r="BS30" i="5"/>
  <c r="BM33" i="5"/>
  <c r="AP66" i="5"/>
  <c r="N19" i="34"/>
  <c r="X13" i="5"/>
  <c r="AW33" i="5"/>
  <c r="M8" i="34"/>
  <c r="BH32" i="5"/>
  <c r="AE62" i="5"/>
  <c r="AO33" i="5"/>
  <c r="E17" i="34"/>
  <c r="BF29" i="5"/>
  <c r="BQ66" i="5"/>
  <c r="BU32" i="5"/>
  <c r="M14" i="34"/>
  <c r="D21" i="34"/>
  <c r="AL30" i="5"/>
  <c r="AX64" i="5"/>
  <c r="AH29" i="5"/>
  <c r="E5" i="34"/>
  <c r="D20" i="34"/>
  <c r="D49" i="34" s="1" a="1"/>
  <c r="D49" i="34" s="1"/>
  <c r="BD16" i="5"/>
  <c r="I36" i="5" s="1"/>
  <c r="L19" i="34"/>
  <c r="BL32" i="5"/>
  <c r="BI64" i="5"/>
  <c r="BO64" i="5"/>
  <c r="AR63" i="5"/>
  <c r="BW33" i="5"/>
  <c r="D6" i="34"/>
  <c r="AE30" i="5"/>
  <c r="BV31" i="5"/>
  <c r="M17" i="34"/>
  <c r="BD47" i="5"/>
  <c r="U34" i="5" s="1"/>
  <c r="AT29" i="5"/>
  <c r="BW31" i="5"/>
  <c r="BO29" i="5"/>
  <c r="D27" i="34"/>
  <c r="AJ62" i="5"/>
  <c r="AG30" i="5"/>
  <c r="D31" i="34"/>
  <c r="M23" i="34"/>
  <c r="BD54" i="5"/>
  <c r="V36" i="5" s="1"/>
  <c r="BT66" i="5"/>
  <c r="AX66" i="5"/>
  <c r="AQ32" i="5"/>
  <c r="BD60" i="5"/>
  <c r="W37" i="5" s="1"/>
  <c r="M32" i="34"/>
  <c r="BD53" i="5"/>
  <c r="V35" i="5" s="1"/>
  <c r="BS65" i="5"/>
  <c r="BF63" i="5"/>
  <c r="AQ29" i="5"/>
  <c r="L7" i="34"/>
  <c r="BE31" i="5"/>
  <c r="BD6" i="5"/>
  <c r="G36" i="5" s="1"/>
  <c r="F23" i="34"/>
  <c r="AK33" i="5"/>
  <c r="BD49" i="5"/>
  <c r="U36" i="5" s="1"/>
  <c r="AM29" i="5"/>
  <c r="AN62" i="5"/>
  <c r="M15" i="34"/>
  <c r="F31" i="34"/>
  <c r="BT29" i="5"/>
  <c r="AQ31" i="5"/>
  <c r="BS29" i="5"/>
  <c r="BI31" i="5"/>
  <c r="L8" i="34"/>
  <c r="BD7" i="5"/>
  <c r="G37" i="5" s="1"/>
  <c r="BE32" i="5"/>
  <c r="BT30" i="5"/>
  <c r="AU65" i="5"/>
  <c r="AG64" i="5"/>
  <c r="BS64" i="5"/>
  <c r="AI30" i="5"/>
  <c r="AL64" i="5"/>
  <c r="BD37" i="5"/>
  <c r="S34" i="5" s="1"/>
  <c r="BE62" i="5"/>
  <c r="L28" i="5"/>
  <c r="AJ65" i="5"/>
  <c r="L21" i="34"/>
  <c r="BD18" i="5"/>
  <c r="I38" i="5" s="1"/>
  <c r="AJ33" i="5"/>
  <c r="BL62" i="5"/>
  <c r="BD48" i="5"/>
  <c r="U35" i="5" s="1"/>
  <c r="BV30" i="5"/>
  <c r="M26" i="34"/>
  <c r="F26" i="34"/>
  <c r="BL29" i="5"/>
  <c r="AT64" i="5"/>
  <c r="BE64" i="5"/>
  <c r="BD39" i="5"/>
  <c r="S36" i="5" s="1"/>
  <c r="BI65" i="5"/>
  <c r="AU62" i="5"/>
  <c r="Z12" i="5"/>
  <c r="N7" i="34"/>
  <c r="BH64" i="5"/>
  <c r="BG63" i="5"/>
  <c r="AN29" i="5"/>
  <c r="AI32" i="5"/>
  <c r="E25" i="34"/>
  <c r="AL65" i="5"/>
  <c r="W30" i="5"/>
  <c r="F7" i="34"/>
  <c r="AH64" i="5"/>
  <c r="BD52" i="5"/>
  <c r="V34" i="5" s="1"/>
  <c r="L10" i="5"/>
  <c r="G15" i="5"/>
  <c r="M12" i="34"/>
  <c r="BT62" i="5"/>
  <c r="BF65" i="5"/>
  <c r="BT32" i="5"/>
  <c r="D17" i="34"/>
  <c r="M31" i="34"/>
  <c r="AX32" i="5"/>
  <c r="BM31" i="5"/>
  <c r="AR64" i="5"/>
  <c r="AF30" i="5"/>
  <c r="BT31" i="5"/>
  <c r="L11" i="5"/>
  <c r="AN65" i="5"/>
  <c r="AV32" i="5"/>
  <c r="AN33" i="5"/>
  <c r="BM66" i="5"/>
  <c r="AG62" i="5"/>
  <c r="AA26" i="5"/>
  <c r="BV66" i="5"/>
  <c r="AO64" i="5"/>
  <c r="BD9" i="5"/>
  <c r="H34" i="5" s="1"/>
  <c r="L11" i="34"/>
  <c r="F8" i="34"/>
  <c r="AH65" i="5"/>
  <c r="J15" i="5"/>
  <c r="BR31" i="5"/>
  <c r="BO65" i="5"/>
  <c r="AT65" i="5"/>
  <c r="E9" i="34"/>
  <c r="AH33" i="5"/>
  <c r="BN31" i="5"/>
  <c r="AV62" i="5"/>
  <c r="L13" i="5"/>
  <c r="BD61" i="5"/>
  <c r="W38" i="5" s="1"/>
  <c r="AH66" i="5"/>
  <c r="F15" i="34"/>
  <c r="BD40" i="5"/>
  <c r="S37" i="5" s="1"/>
  <c r="BE65" i="5"/>
  <c r="BU29" i="5"/>
  <c r="AX62" i="5"/>
  <c r="L26" i="5"/>
  <c r="AW63" i="5"/>
  <c r="N24" i="34"/>
  <c r="M27" i="34"/>
  <c r="AL32" i="5"/>
  <c r="N21" i="34"/>
  <c r="M29" i="34"/>
  <c r="AN64" i="5"/>
  <c r="L24" i="34"/>
  <c r="BD20" i="5"/>
  <c r="J35" i="5" s="1"/>
  <c r="AW65" i="5"/>
  <c r="BO63" i="5"/>
  <c r="F6" i="34"/>
  <c r="AH63" i="5"/>
  <c r="BX64" i="5"/>
  <c r="AX65" i="5"/>
  <c r="E24" i="34"/>
  <c r="AI62" i="5"/>
  <c r="BD51" i="5"/>
  <c r="U38" i="5" s="1"/>
  <c r="BD50" i="5"/>
  <c r="U37" i="5" s="1"/>
  <c r="BM32" i="5"/>
  <c r="BL64" i="5"/>
  <c r="U30" i="5"/>
  <c r="BW30" i="5"/>
  <c r="BG66" i="5"/>
  <c r="BD17" i="5"/>
  <c r="I37" i="5" s="1"/>
  <c r="L20" i="34"/>
  <c r="AV33" i="5"/>
  <c r="BJ33" i="5"/>
  <c r="BJ62" i="5"/>
  <c r="BU64" i="5"/>
  <c r="L12" i="34"/>
  <c r="BD10" i="5"/>
  <c r="H35" i="5" s="1"/>
  <c r="M18" i="34"/>
  <c r="AS64" i="5"/>
  <c r="AJ31" i="5"/>
  <c r="AU29" i="5"/>
  <c r="BK65" i="5"/>
  <c r="D13" i="34"/>
  <c r="BJ31" i="5"/>
  <c r="N18" i="34"/>
  <c r="AS33" i="5"/>
  <c r="BM64" i="5"/>
  <c r="BJ32" i="5"/>
  <c r="BF31" i="5"/>
  <c r="F14" i="34"/>
  <c r="BN30" i="5"/>
  <c r="AF66" i="5"/>
  <c r="AA25" i="5"/>
  <c r="M20" i="34"/>
  <c r="BM30" i="5"/>
  <c r="BX65" i="5"/>
  <c r="BD56" i="5"/>
  <c r="V38" i="5" s="1"/>
  <c r="BG32" i="5"/>
  <c r="AG32" i="5"/>
  <c r="AE65" i="5"/>
  <c r="AA28" i="5"/>
  <c r="BM63" i="5"/>
  <c r="BK63" i="5"/>
  <c r="BF32" i="5"/>
  <c r="BV32" i="5"/>
  <c r="F17" i="34"/>
  <c r="BF64" i="5"/>
  <c r="I15" i="5"/>
  <c r="E6" i="34"/>
  <c r="AH30" i="5"/>
  <c r="AU31" i="5"/>
  <c r="AM32" i="5"/>
  <c r="BD57" i="5"/>
  <c r="W34" i="5" s="1"/>
  <c r="AR30" i="5"/>
  <c r="BO62" i="5"/>
  <c r="AP33" i="5"/>
  <c r="BI30" i="5"/>
  <c r="AG63" i="5"/>
  <c r="BD8" i="5"/>
  <c r="G38" i="5" s="1"/>
  <c r="L9" i="34"/>
  <c r="BE33" i="5"/>
  <c r="BM65" i="5"/>
  <c r="BI29" i="5"/>
  <c r="BX32" i="5"/>
  <c r="AJ30" i="5"/>
  <c r="N14" i="34"/>
  <c r="AR29" i="5"/>
  <c r="BI66" i="5"/>
  <c r="BU62" i="5"/>
  <c r="AV65" i="5"/>
  <c r="N20" i="34"/>
  <c r="BR63" i="5"/>
  <c r="AE64" i="5"/>
  <c r="BL30" i="5"/>
  <c r="AX31" i="5"/>
  <c r="BV63" i="5"/>
  <c r="AV30" i="5"/>
  <c r="AS31" i="5"/>
  <c r="X28" i="5"/>
  <c r="AF29" i="5"/>
  <c r="BO30" i="5"/>
  <c r="I30" i="5"/>
  <c r="BV62" i="5"/>
  <c r="AJ64" i="5"/>
  <c r="AE33" i="5"/>
  <c r="D9" i="34"/>
  <c r="BU31" i="5"/>
  <c r="N33" i="34"/>
  <c r="BS33" i="5"/>
  <c r="BS32" i="5"/>
  <c r="AK30" i="5"/>
  <c r="BX33" i="5"/>
  <c r="AW30" i="5"/>
  <c r="E8" i="34"/>
  <c r="AH32" i="5"/>
  <c r="AU30" i="5"/>
  <c r="AL63" i="5"/>
  <c r="BG30" i="5"/>
  <c r="F13" i="34"/>
  <c r="F27" i="34"/>
  <c r="BV65" i="5"/>
  <c r="AQ65" i="5"/>
  <c r="BQ30" i="5"/>
  <c r="BQ65" i="5"/>
  <c r="BL63" i="5"/>
  <c r="BD59" i="5"/>
  <c r="W36" i="5" s="1"/>
  <c r="BS63" i="5"/>
  <c r="F19" i="34"/>
  <c r="AT66" i="5"/>
  <c r="AX63" i="5"/>
  <c r="Z14" i="5"/>
  <c r="AV66" i="5"/>
  <c r="AG31" i="5"/>
  <c r="AU32" i="5"/>
  <c r="BQ63" i="5"/>
  <c r="AI65" i="5"/>
  <c r="F25" i="34"/>
  <c r="F5" i="34"/>
  <c r="AH62" i="5"/>
  <c r="AU64" i="5"/>
  <c r="AI31" i="5"/>
  <c r="BF62" i="5"/>
  <c r="AN31" i="5"/>
  <c r="AO29" i="5"/>
  <c r="BJ30" i="5"/>
  <c r="BV33" i="5"/>
  <c r="L25" i="5"/>
  <c r="G30" i="5"/>
  <c r="AE66" i="5"/>
  <c r="E20" i="34"/>
  <c r="AG33" i="5"/>
  <c r="BG64" i="5"/>
  <c r="BP32" i="5"/>
  <c r="AP63" i="5"/>
  <c r="AW32" i="5"/>
  <c r="BG31" i="5"/>
  <c r="AQ30" i="5"/>
  <c r="AQ66" i="5"/>
  <c r="BR32" i="5"/>
  <c r="BU30" i="5"/>
  <c r="BP30" i="5"/>
  <c r="AP62" i="5"/>
  <c r="K30" i="5"/>
  <c r="BF66" i="5"/>
  <c r="AI29" i="5"/>
  <c r="AF65" i="5"/>
  <c r="BK66" i="5"/>
  <c r="BL66" i="5"/>
  <c r="BI33" i="5"/>
  <c r="BG29" i="5"/>
  <c r="BR65" i="5"/>
  <c r="BW62" i="5"/>
  <c r="J30" i="5"/>
  <c r="BW66" i="5"/>
  <c r="BX30" i="5"/>
  <c r="AL62" i="5"/>
  <c r="AS63" i="5"/>
  <c r="L30" i="34"/>
  <c r="BD25" i="5"/>
  <c r="K35" i="5" s="1"/>
  <c r="BO31" i="5"/>
  <c r="AW29" i="5"/>
  <c r="BS66" i="5"/>
  <c r="L33" i="34"/>
  <c r="BD28" i="5"/>
  <c r="K38" i="5" s="1"/>
  <c r="BQ64" i="5"/>
  <c r="M30" i="34"/>
  <c r="AL31" i="5"/>
  <c r="N23" i="34"/>
  <c r="H30" i="5"/>
  <c r="M13" i="34"/>
  <c r="AR62" i="5"/>
  <c r="BJ65" i="5"/>
  <c r="AS32" i="5"/>
  <c r="AS30" i="5"/>
  <c r="BK31" i="5"/>
  <c r="BL31" i="5"/>
  <c r="BP64" i="5"/>
  <c r="BN64" i="5"/>
  <c r="AF62" i="5"/>
  <c r="AI63" i="5"/>
  <c r="AJ66" i="5"/>
  <c r="AM63" i="5"/>
  <c r="BU65" i="5"/>
  <c r="AW62" i="5"/>
  <c r="BP29" i="5"/>
  <c r="L15" i="34"/>
  <c r="BD13" i="5"/>
  <c r="H38" i="5" s="1"/>
  <c r="L29" i="5"/>
  <c r="BL33" i="5"/>
  <c r="AM31" i="5"/>
  <c r="BO66" i="5"/>
  <c r="BD46" i="5"/>
  <c r="T38" i="5" s="1"/>
  <c r="X10" i="5"/>
  <c r="S15" i="5"/>
  <c r="BD55" i="5"/>
  <c r="V37" i="5" s="1"/>
  <c r="AT33" i="5"/>
  <c r="AG29" i="5"/>
  <c r="AK65" i="5"/>
  <c r="AS65" i="5"/>
  <c r="AJ63" i="5"/>
  <c r="BR66" i="5"/>
  <c r="BQ29" i="5"/>
  <c r="AM30" i="5"/>
  <c r="BX62" i="5"/>
  <c r="F30" i="34"/>
  <c r="BD42" i="5"/>
  <c r="T34" i="5" s="1"/>
  <c r="AT30" i="5"/>
  <c r="W15" i="5"/>
  <c r="AR33" i="5"/>
  <c r="F24" i="34"/>
  <c r="AI66" i="5"/>
  <c r="BD23" i="5"/>
  <c r="J38" i="5" s="1"/>
  <c r="L27" i="34"/>
  <c r="D30" i="34"/>
  <c r="BO33" i="5"/>
  <c r="BG33" i="5"/>
  <c r="BF33" i="5"/>
  <c r="E33" i="34"/>
  <c r="E23" i="34"/>
  <c r="AL29" i="5"/>
  <c r="Z13" i="5"/>
  <c r="BD12" i="5"/>
  <c r="H37" i="5" s="1"/>
  <c r="L14" i="34"/>
  <c r="D7" i="34"/>
  <c r="AE31" i="5"/>
  <c r="AW66" i="5"/>
  <c r="K15" i="5"/>
  <c r="AF63" i="5"/>
  <c r="AP64" i="5"/>
  <c r="BD15" i="5"/>
  <c r="I35" i="5" s="1"/>
  <c r="L18" i="34"/>
  <c r="D8" i="34"/>
  <c r="AE32" i="5"/>
  <c r="AP30" i="5"/>
  <c r="D25" i="34"/>
  <c r="BW32" i="5"/>
  <c r="AJ32" i="5"/>
  <c r="AK31" i="5"/>
  <c r="Z10" i="5"/>
  <c r="X14" i="5"/>
  <c r="BH62" i="5"/>
  <c r="N5" i="34"/>
  <c r="N12" i="34"/>
  <c r="N27" i="34"/>
  <c r="BK33" i="5"/>
  <c r="M11" i="34"/>
  <c r="L29" i="34"/>
  <c r="BD24" i="5"/>
  <c r="K34" i="5" s="1"/>
  <c r="BR30" i="5"/>
  <c r="M7" i="34"/>
  <c r="BH31" i="5"/>
  <c r="AH31" i="5"/>
  <c r="E7" i="34"/>
  <c r="N15" i="34"/>
  <c r="BP31" i="5"/>
  <c r="BK62" i="5"/>
  <c r="BQ32" i="5"/>
  <c r="AA27" i="5"/>
  <c r="BO32" i="5"/>
  <c r="N17" i="34"/>
  <c r="D32" i="34"/>
  <c r="X12" i="5"/>
  <c r="AO30" i="5"/>
  <c r="L26" i="34"/>
  <c r="BD22" i="5"/>
  <c r="J37" i="5" s="1"/>
  <c r="BD58" i="5"/>
  <c r="W35" i="5" s="1"/>
  <c r="BN33" i="5"/>
  <c r="BT63" i="5"/>
  <c r="M19" i="34"/>
  <c r="N30" i="34"/>
  <c r="AO65" i="5"/>
  <c r="BD45" i="5"/>
  <c r="T37" i="5" s="1"/>
  <c r="N11" i="34"/>
  <c r="M6" i="34"/>
  <c r="BH30" i="5"/>
  <c r="BT64" i="5"/>
  <c r="F33" i="34"/>
  <c r="X27" i="5"/>
  <c r="AM66" i="5"/>
  <c r="V15" i="5"/>
  <c r="AQ62" i="5"/>
  <c r="BT65" i="5"/>
  <c r="BP66" i="5"/>
  <c r="AT32" i="5"/>
  <c r="BM29" i="5"/>
  <c r="D29" i="34"/>
  <c r="BP33" i="5"/>
  <c r="L12" i="5"/>
  <c r="E18" i="34"/>
  <c r="T30" i="5"/>
  <c r="BU33" i="5"/>
  <c r="BP65" i="5"/>
  <c r="N26" i="34"/>
  <c r="AP31" i="5"/>
  <c r="BD11" i="5"/>
  <c r="H36" i="5" s="1"/>
  <c r="L13" i="34"/>
  <c r="AQ63" i="5"/>
  <c r="N29" i="34"/>
  <c r="BJ64" i="5"/>
  <c r="AK66" i="5"/>
  <c r="AE29" i="5"/>
  <c r="D5" i="34"/>
  <c r="V30" i="5"/>
  <c r="AP65" i="5"/>
  <c r="AO31" i="5"/>
  <c r="F32" i="34"/>
  <c r="AF31" i="5"/>
  <c r="BN29" i="5"/>
  <c r="BD5" i="5"/>
  <c r="G35" i="5" s="1"/>
  <c r="L6" i="34"/>
  <c r="BE30" i="5"/>
  <c r="BU63" i="5"/>
  <c r="AN63" i="5"/>
  <c r="BN63" i="5"/>
  <c r="D15" i="34"/>
  <c r="BH63" i="5"/>
  <c r="N6" i="34"/>
  <c r="S30" i="5"/>
  <c r="X25" i="5"/>
  <c r="AP32" i="5"/>
  <c r="BE63" i="5"/>
  <c r="BD38" i="5"/>
  <c r="S35" i="5" s="1"/>
  <c r="AL66" i="5"/>
  <c r="AM33" i="5"/>
  <c r="E27" i="34"/>
  <c r="H15" i="5"/>
  <c r="D19" i="34"/>
  <c r="BW64" i="5"/>
  <c r="X29" i="5"/>
  <c r="X11" i="5"/>
  <c r="U15" i="5"/>
  <c r="F29" i="34"/>
  <c r="BD27" i="5"/>
  <c r="K37" i="5" s="1"/>
  <c r="L32" i="34"/>
  <c r="BM62" i="5"/>
  <c r="AR65" i="5"/>
  <c r="AX30" i="5"/>
  <c r="BD4" i="5"/>
  <c r="G34" i="5" s="1"/>
  <c r="L5" i="34"/>
  <c r="BE29" i="5"/>
  <c r="AW64" i="5"/>
  <c r="AM65" i="5"/>
  <c r="E21" i="34"/>
  <c r="E50" i="34" s="1" a="1"/>
  <c r="E50" i="34" s="1"/>
  <c r="C7" i="33" s="1"/>
  <c r="E13" i="34"/>
  <c r="AR31" i="5"/>
  <c r="AG65" i="5"/>
  <c r="D18" i="34"/>
  <c r="AR66" i="5"/>
  <c r="BI63" i="5"/>
  <c r="BP62" i="5"/>
  <c r="AI33" i="5"/>
  <c r="BX66" i="5"/>
  <c r="L27" i="5"/>
  <c r="K31" i="5" s="1"/>
  <c r="AV63" i="5"/>
  <c r="BD14" i="5"/>
  <c r="I34" i="5" s="1"/>
  <c r="L17" i="34"/>
  <c r="AT31" i="5"/>
  <c r="BQ62" i="5"/>
  <c r="AN32" i="5"/>
  <c r="AK62" i="5"/>
  <c r="BX31" i="5"/>
  <c r="BR33" i="5"/>
  <c r="BJ66" i="5"/>
  <c r="AK29" i="5"/>
  <c r="AL33" i="5"/>
  <c r="AN66" i="5"/>
  <c r="N31" i="34"/>
  <c r="AK63" i="5"/>
  <c r="AS62" i="5"/>
  <c r="F21" i="34"/>
  <c r="BN62" i="5"/>
  <c r="BD26" i="5"/>
  <c r="K36" i="5" s="1"/>
  <c r="L31" i="34"/>
  <c r="AF32" i="5"/>
  <c r="I13" i="34" l="1"/>
  <c r="H29" i="34"/>
  <c r="R31" i="34"/>
  <c r="J25" i="34"/>
  <c r="H25" i="34"/>
  <c r="P13" i="34"/>
  <c r="P26" i="34"/>
  <c r="BD31" i="5"/>
  <c r="R8" i="34"/>
  <c r="Q6" i="34"/>
  <c r="I33" i="34"/>
  <c r="J13" i="34"/>
  <c r="I25" i="34"/>
  <c r="Q21" i="34"/>
  <c r="X30" i="5"/>
  <c r="P6" i="34"/>
  <c r="H5" i="34"/>
  <c r="R15" i="34"/>
  <c r="Q11" i="34"/>
  <c r="R20" i="34"/>
  <c r="J8" i="34"/>
  <c r="Q23" i="34"/>
  <c r="L30" i="5"/>
  <c r="T44" i="5"/>
  <c r="T45" i="5" s="1"/>
  <c r="P31" i="34"/>
  <c r="R26" i="34"/>
  <c r="J33" i="34"/>
  <c r="I7" i="34"/>
  <c r="I31" i="5"/>
  <c r="Q30" i="34"/>
  <c r="P32" i="34"/>
  <c r="X34" i="5"/>
  <c r="T49" i="5"/>
  <c r="T43" i="5"/>
  <c r="T39" i="5"/>
  <c r="L37" i="5"/>
  <c r="AF70" i="5"/>
  <c r="E35" i="34"/>
  <c r="K50" i="5"/>
  <c r="K44" i="5"/>
  <c r="L35" i="5"/>
  <c r="Q19" i="34"/>
  <c r="AF73" i="5"/>
  <c r="E38" i="34"/>
  <c r="F50" i="34" a="1"/>
  <c r="F50" i="34" s="1"/>
  <c r="D7" i="33" s="1"/>
  <c r="J21" i="34"/>
  <c r="J50" i="34" s="1" a="1"/>
  <c r="J50" i="34" s="1"/>
  <c r="D8" i="33" s="1"/>
  <c r="P5" i="34"/>
  <c r="H14" i="34"/>
  <c r="H15" i="34"/>
  <c r="M37" i="34"/>
  <c r="BF72" i="5"/>
  <c r="BE74" i="5"/>
  <c r="BD33" i="5"/>
  <c r="L39" i="34"/>
  <c r="V70" i="5"/>
  <c r="Z37" i="5"/>
  <c r="V67" i="5"/>
  <c r="J6" i="34"/>
  <c r="X37" i="5"/>
  <c r="I9" i="34"/>
  <c r="H49" i="5"/>
  <c r="H39" i="5"/>
  <c r="H43" i="5"/>
  <c r="H20" i="34"/>
  <c r="H17" i="34"/>
  <c r="D46" i="34" a="1"/>
  <c r="D46" i="34" s="1"/>
  <c r="V43" i="5"/>
  <c r="V39" i="5"/>
  <c r="V49" i="5"/>
  <c r="G31" i="5"/>
  <c r="G43" i="5"/>
  <c r="G49" i="5"/>
  <c r="L34" i="5"/>
  <c r="G39" i="5"/>
  <c r="X35" i="5"/>
  <c r="J32" i="34"/>
  <c r="R29" i="34"/>
  <c r="Q7" i="34"/>
  <c r="R9" i="34"/>
  <c r="R5" i="34"/>
  <c r="J24" i="34"/>
  <c r="X15" i="5"/>
  <c r="P15" i="34"/>
  <c r="P33" i="34"/>
  <c r="F48" i="34" a="1"/>
  <c r="F48" i="34" s="1"/>
  <c r="J19" i="34"/>
  <c r="J27" i="34"/>
  <c r="P9" i="34"/>
  <c r="Q27" i="34"/>
  <c r="J15" i="34"/>
  <c r="AG72" i="5"/>
  <c r="F37" i="34"/>
  <c r="BG72" i="5"/>
  <c r="N37" i="34"/>
  <c r="P21" i="34"/>
  <c r="J23" i="34"/>
  <c r="Q32" i="34"/>
  <c r="P19" i="34"/>
  <c r="Q14" i="34"/>
  <c r="Q8" i="34"/>
  <c r="Q25" i="34"/>
  <c r="I14" i="34"/>
  <c r="I11" i="34"/>
  <c r="I12" i="34"/>
  <c r="I15" i="34"/>
  <c r="M39" i="34"/>
  <c r="BF74" i="5"/>
  <c r="Q33" i="34"/>
  <c r="E48" i="34" a="1"/>
  <c r="E48" i="34" s="1"/>
  <c r="I19" i="34"/>
  <c r="I48" i="34" s="1" a="1"/>
  <c r="I48" i="34" s="1"/>
  <c r="T50" i="5"/>
  <c r="R30" i="34"/>
  <c r="P12" i="34"/>
  <c r="L15" i="5"/>
  <c r="J49" i="5"/>
  <c r="J43" i="5"/>
  <c r="J39" i="5"/>
  <c r="I27" i="34"/>
  <c r="D35" i="34"/>
  <c r="AE70" i="5"/>
  <c r="J30" i="34"/>
  <c r="AG70" i="5"/>
  <c r="F35" i="34"/>
  <c r="D47" i="34" a="1"/>
  <c r="D47" i="34" s="1"/>
  <c r="H18" i="34"/>
  <c r="M36" i="34"/>
  <c r="BF71" i="5"/>
  <c r="R12" i="34"/>
  <c r="I23" i="34"/>
  <c r="I26" i="34"/>
  <c r="D39" i="34"/>
  <c r="AE74" i="5"/>
  <c r="W39" i="5"/>
  <c r="W43" i="5"/>
  <c r="W49" i="5"/>
  <c r="BD63" i="5"/>
  <c r="I21" i="34"/>
  <c r="I18" i="34"/>
  <c r="E47" i="34" a="1"/>
  <c r="E47" i="34" s="1"/>
  <c r="R11" i="34"/>
  <c r="N35" i="34"/>
  <c r="BG70" i="5"/>
  <c r="AE73" i="5"/>
  <c r="D38" i="34"/>
  <c r="AE72" i="5"/>
  <c r="D37" i="34"/>
  <c r="Q13" i="34"/>
  <c r="L38" i="5"/>
  <c r="P20" i="34"/>
  <c r="Z36" i="5"/>
  <c r="U67" i="5"/>
  <c r="B12" i="33" s="1"/>
  <c r="U70" i="5"/>
  <c r="C12" i="33" s="1"/>
  <c r="R24" i="34"/>
  <c r="AG74" i="5"/>
  <c r="H32" i="3" s="1"/>
  <c r="F39" i="34"/>
  <c r="J7" i="34"/>
  <c r="R7" i="34"/>
  <c r="J26" i="34"/>
  <c r="G50" i="5"/>
  <c r="G44" i="5"/>
  <c r="L36" i="5"/>
  <c r="AE71" i="5"/>
  <c r="D36" i="34"/>
  <c r="I50" i="5"/>
  <c r="I44" i="5"/>
  <c r="H24" i="34"/>
  <c r="H23" i="34"/>
  <c r="R25" i="34"/>
  <c r="F47" i="34" a="1"/>
  <c r="F47" i="34" s="1"/>
  <c r="J18" i="34"/>
  <c r="H26" i="34"/>
  <c r="W70" i="5"/>
  <c r="W67" i="5"/>
  <c r="Z38" i="5"/>
  <c r="Q26" i="34"/>
  <c r="J31" i="34"/>
  <c r="L37" i="34"/>
  <c r="BE72" i="5"/>
  <c r="H27" i="34"/>
  <c r="H6" i="34"/>
  <c r="H11" i="34"/>
  <c r="H12" i="34"/>
  <c r="R32" i="34"/>
  <c r="J12" i="34"/>
  <c r="J11" i="34"/>
  <c r="K39" i="5"/>
  <c r="K49" i="5"/>
  <c r="K43" i="5"/>
  <c r="H8" i="34"/>
  <c r="H7" i="34"/>
  <c r="T70" i="5"/>
  <c r="Z35" i="5"/>
  <c r="T67" i="5"/>
  <c r="E49" i="34" a="1"/>
  <c r="E49" i="34" s="1"/>
  <c r="I20" i="34"/>
  <c r="W44" i="5"/>
  <c r="W50" i="5"/>
  <c r="R14" i="34"/>
  <c r="E36" i="34"/>
  <c r="AF71" i="5"/>
  <c r="Q20" i="34"/>
  <c r="Q18" i="34"/>
  <c r="D48" i="34" a="1"/>
  <c r="D48" i="34" s="1"/>
  <c r="H19" i="34"/>
  <c r="BD30" i="5"/>
  <c r="BE71" i="5"/>
  <c r="L36" i="34"/>
  <c r="H50" i="5"/>
  <c r="H44" i="5"/>
  <c r="P29" i="34"/>
  <c r="P17" i="34"/>
  <c r="P18" i="34"/>
  <c r="R27" i="34"/>
  <c r="R23" i="34"/>
  <c r="J31" i="5"/>
  <c r="I6" i="34"/>
  <c r="R18" i="34"/>
  <c r="I24" i="34"/>
  <c r="P24" i="34"/>
  <c r="Q12" i="34"/>
  <c r="BD62" i="5"/>
  <c r="BE73" i="5"/>
  <c r="BD32" i="5"/>
  <c r="L38" i="34"/>
  <c r="Q15" i="34"/>
  <c r="P7" i="34"/>
  <c r="I5" i="34"/>
  <c r="R19" i="34"/>
  <c r="I31" i="34"/>
  <c r="R13" i="34"/>
  <c r="BD66" i="5"/>
  <c r="Q24" i="34"/>
  <c r="J44" i="5"/>
  <c r="J50" i="5"/>
  <c r="N38" i="34"/>
  <c r="BG73" i="5"/>
  <c r="P23" i="34"/>
  <c r="Q5" i="34"/>
  <c r="P25" i="34"/>
  <c r="H30" i="34"/>
  <c r="R33" i="34"/>
  <c r="AG73" i="5"/>
  <c r="F38" i="34"/>
  <c r="S43" i="5"/>
  <c r="S49" i="5"/>
  <c r="S39" i="5"/>
  <c r="E46" i="34" a="1"/>
  <c r="E46" i="34" s="1"/>
  <c r="I17" i="34"/>
  <c r="X38" i="5"/>
  <c r="S70" i="5"/>
  <c r="S67" i="5"/>
  <c r="Z34" i="5"/>
  <c r="BF70" i="5"/>
  <c r="M35" i="34"/>
  <c r="R6" i="34"/>
  <c r="H32" i="34"/>
  <c r="P27" i="34"/>
  <c r="H13" i="34"/>
  <c r="Q29" i="34"/>
  <c r="S50" i="5"/>
  <c r="X36" i="5"/>
  <c r="S44" i="5"/>
  <c r="P8" i="34"/>
  <c r="V44" i="5"/>
  <c r="V50" i="5"/>
  <c r="I43" i="5"/>
  <c r="I49" i="5"/>
  <c r="I39" i="5"/>
  <c r="BE70" i="5"/>
  <c r="BD29" i="5"/>
  <c r="L35" i="34"/>
  <c r="J29" i="34"/>
  <c r="BG71" i="5"/>
  <c r="N36" i="34"/>
  <c r="R17" i="34"/>
  <c r="AF72" i="5"/>
  <c r="E37" i="34"/>
  <c r="P30" i="34"/>
  <c r="J9" i="34"/>
  <c r="J5" i="34"/>
  <c r="I8" i="34"/>
  <c r="H9" i="34"/>
  <c r="F46" i="34" a="1"/>
  <c r="F46" i="34" s="1"/>
  <c r="J17" i="34"/>
  <c r="J14" i="34"/>
  <c r="F36" i="34"/>
  <c r="AG71" i="5"/>
  <c r="R21" i="34"/>
  <c r="BD65" i="5"/>
  <c r="E39" i="34"/>
  <c r="AF74" i="5"/>
  <c r="P14" i="34"/>
  <c r="P11" i="34"/>
  <c r="Q31" i="34"/>
  <c r="H31" i="5"/>
  <c r="BD64" i="5"/>
  <c r="U50" i="5"/>
  <c r="U44" i="5"/>
  <c r="U43" i="5"/>
  <c r="U39" i="5"/>
  <c r="U49" i="5"/>
  <c r="BG74" i="5"/>
  <c r="N39" i="34"/>
  <c r="I32" i="34"/>
  <c r="I29" i="34"/>
  <c r="H31" i="34"/>
  <c r="Q17" i="34"/>
  <c r="D50" i="34" a="1"/>
  <c r="D50" i="34" s="1"/>
  <c r="B7" i="33" s="1"/>
  <c r="H21" i="34"/>
  <c r="BF73" i="5"/>
  <c r="M38" i="34"/>
  <c r="I30" i="34"/>
  <c r="Q9" i="34"/>
  <c r="F49" i="34" a="1"/>
  <c r="F49" i="34" s="1"/>
  <c r="J20" i="34"/>
  <c r="H33" i="34"/>
  <c r="V62" i="5" l="1"/>
  <c r="U51" i="5"/>
  <c r="X39" i="5"/>
  <c r="BE76" i="5"/>
  <c r="BJ70" i="5" s="1"/>
  <c r="T62" i="5"/>
  <c r="P39" i="34"/>
  <c r="U45" i="5"/>
  <c r="X67" i="5"/>
  <c r="D39" i="3" s="1"/>
  <c r="J38" i="34"/>
  <c r="J49" i="34" s="1" a="1"/>
  <c r="J49" i="34" s="1"/>
  <c r="R38" i="34"/>
  <c r="U62" i="5"/>
  <c r="I37" i="34"/>
  <c r="H36" i="34"/>
  <c r="H47" i="34" s="1" a="1"/>
  <c r="H47" i="34" s="1"/>
  <c r="V45" i="5"/>
  <c r="Q36" i="34"/>
  <c r="D26" i="3"/>
  <c r="D27" i="3" s="1"/>
  <c r="D28" i="3" s="1"/>
  <c r="F32" i="3"/>
  <c r="BF76" i="5"/>
  <c r="BL71" i="5" s="1"/>
  <c r="S51" i="5"/>
  <c r="X49" i="5"/>
  <c r="BJ73" i="5"/>
  <c r="BJ71" i="5"/>
  <c r="W45" i="5"/>
  <c r="R37" i="34"/>
  <c r="I35" i="34"/>
  <c r="I46" i="34" s="1" a="1"/>
  <c r="I46" i="34" s="1"/>
  <c r="X50" i="5"/>
  <c r="X43" i="5"/>
  <c r="U56" i="5"/>
  <c r="R35" i="34"/>
  <c r="V51" i="5"/>
  <c r="T61" i="5"/>
  <c r="T63" i="5" s="1"/>
  <c r="H51" i="5"/>
  <c r="AF76" i="5"/>
  <c r="AN74" i="5" s="1"/>
  <c r="H33" i="3" s="1"/>
  <c r="U61" i="5"/>
  <c r="U63" i="5" s="1"/>
  <c r="C55" i="34" s="1"/>
  <c r="C16" i="33" s="1"/>
  <c r="I51" i="5"/>
  <c r="W55" i="5"/>
  <c r="K45" i="5"/>
  <c r="D32" i="3"/>
  <c r="J45" i="5"/>
  <c r="V55" i="5"/>
  <c r="D34" i="3"/>
  <c r="BJ74" i="5"/>
  <c r="D35" i="3" s="1"/>
  <c r="R36" i="34"/>
  <c r="J35" i="34"/>
  <c r="J46" i="34" s="1" a="1"/>
  <c r="J46" i="34" s="1"/>
  <c r="BJ72" i="5"/>
  <c r="H37" i="34"/>
  <c r="H48" i="34" s="1" a="1"/>
  <c r="H48" i="34" s="1"/>
  <c r="Q39" i="34"/>
  <c r="Q37" i="34"/>
  <c r="V56" i="5"/>
  <c r="L44" i="5"/>
  <c r="T56" i="5"/>
  <c r="P37" i="34"/>
  <c r="L39" i="5"/>
  <c r="T51" i="5"/>
  <c r="X70" i="5"/>
  <c r="F39" i="3" s="1"/>
  <c r="J51" i="5"/>
  <c r="V61" i="5"/>
  <c r="V63" i="5" s="1"/>
  <c r="R39" i="34"/>
  <c r="S56" i="5"/>
  <c r="H38" i="34"/>
  <c r="H49" i="34" s="1" a="1"/>
  <c r="H49" i="34" s="1"/>
  <c r="AE76" i="5"/>
  <c r="AL71" i="5" s="1"/>
  <c r="G51" i="5"/>
  <c r="L49" i="5"/>
  <c r="S61" i="5"/>
  <c r="W56" i="5"/>
  <c r="J37" i="34"/>
  <c r="J48" i="34" s="1" a="1"/>
  <c r="J48" i="34" s="1"/>
  <c r="I38" i="34"/>
  <c r="I49" i="34" s="1" a="1"/>
  <c r="I49" i="34" s="1"/>
  <c r="I39" i="34"/>
  <c r="I50" i="34" s="1" a="1"/>
  <c r="I50" i="34" s="1"/>
  <c r="C8" i="33" s="1"/>
  <c r="I45" i="5"/>
  <c r="U55" i="5"/>
  <c r="W61" i="5"/>
  <c r="K51" i="5"/>
  <c r="J39" i="34"/>
  <c r="H39" i="34"/>
  <c r="H50" i="34" s="1" a="1"/>
  <c r="H50" i="34" s="1"/>
  <c r="B8" i="33" s="1"/>
  <c r="F34" i="3"/>
  <c r="Q38" i="34"/>
  <c r="P38" i="34"/>
  <c r="P35" i="34"/>
  <c r="H34" i="3"/>
  <c r="J36" i="34"/>
  <c r="J47" i="34" s="1" a="1"/>
  <c r="J47" i="34" s="1"/>
  <c r="S45" i="5"/>
  <c r="X44" i="5"/>
  <c r="Q35" i="34"/>
  <c r="P36" i="34"/>
  <c r="I36" i="34"/>
  <c r="I47" i="34" s="1" a="1"/>
  <c r="I47" i="34" s="1"/>
  <c r="L50" i="5"/>
  <c r="S62" i="5"/>
  <c r="W51" i="5"/>
  <c r="H35" i="34"/>
  <c r="H46" i="34" s="1" a="1"/>
  <c r="H46" i="34" s="1"/>
  <c r="S55" i="5"/>
  <c r="G45" i="5"/>
  <c r="L43" i="5"/>
  <c r="T55" i="5"/>
  <c r="H45" i="5"/>
  <c r="W62" i="5"/>
  <c r="AM70" i="5" l="1"/>
  <c r="BL73" i="5"/>
  <c r="BK74" i="5"/>
  <c r="F35" i="3" s="1"/>
  <c r="BL70" i="5"/>
  <c r="BK73" i="5"/>
  <c r="BL74" i="5"/>
  <c r="H35" i="3" s="1"/>
  <c r="BK70" i="5"/>
  <c r="BL72" i="5"/>
  <c r="H26" i="3"/>
  <c r="AN72" i="5"/>
  <c r="AM72" i="5"/>
  <c r="AM74" i="5"/>
  <c r="F33" i="3" s="1"/>
  <c r="T57" i="5"/>
  <c r="F16" i="34" s="1"/>
  <c r="N16" i="34" s="1"/>
  <c r="R16" i="34" s="1"/>
  <c r="U57" i="5"/>
  <c r="BJ76" i="5"/>
  <c r="X45" i="5"/>
  <c r="BK72" i="5"/>
  <c r="V57" i="5"/>
  <c r="F28" i="34" s="1"/>
  <c r="J28" i="34" s="1"/>
  <c r="X62" i="5"/>
  <c r="AL74" i="5"/>
  <c r="D33" i="3" s="1"/>
  <c r="X51" i="5"/>
  <c r="X56" i="5"/>
  <c r="L45" i="5"/>
  <c r="AN73" i="5"/>
  <c r="S57" i="5"/>
  <c r="X55" i="5"/>
  <c r="AM71" i="5"/>
  <c r="AL72" i="5"/>
  <c r="W57" i="5"/>
  <c r="F34" i="34" s="1"/>
  <c r="X61" i="5"/>
  <c r="S63" i="5"/>
  <c r="BK71" i="5"/>
  <c r="AN71" i="5"/>
  <c r="W63" i="5"/>
  <c r="AM73" i="5"/>
  <c r="AN70" i="5"/>
  <c r="J16" i="34"/>
  <c r="B55" i="34"/>
  <c r="B16" i="33" s="1"/>
  <c r="F22" i="34"/>
  <c r="L51" i="5"/>
  <c r="N28" i="34"/>
  <c r="R28" i="34" s="1"/>
  <c r="AL73" i="5"/>
  <c r="AL70" i="5"/>
  <c r="AL76" i="5" l="1"/>
  <c r="X63" i="5"/>
  <c r="F43" i="3" s="1"/>
  <c r="BK76" i="5"/>
  <c r="AM76" i="5"/>
  <c r="F51" i="34" a="1"/>
  <c r="F51" i="34" s="1"/>
  <c r="B19" i="33" s="1"/>
  <c r="N22" i="34"/>
  <c r="R22" i="34" s="1"/>
  <c r="J22" i="34"/>
  <c r="F10" i="34"/>
  <c r="X57" i="5"/>
  <c r="N34" i="34"/>
  <c r="R34" i="34" s="1"/>
  <c r="J34" i="34"/>
  <c r="N10" i="34" l="1"/>
  <c r="R10" i="34" s="1"/>
  <c r="J10" i="34"/>
  <c r="D43" i="3"/>
  <c r="R74" i="5"/>
  <c r="T74" i="5" s="1"/>
  <c r="AG75" i="5" s="1"/>
  <c r="F40" i="34"/>
  <c r="N40" i="34" l="1"/>
  <c r="R40" i="34" s="1"/>
  <c r="J40" i="34"/>
  <c r="J51" i="34" s="1" a="1"/>
  <c r="J51" i="34" s="1"/>
  <c r="BG75" i="5"/>
  <c r="AN75" i="5"/>
  <c r="AN76" i="5" s="1"/>
  <c r="D46" i="3"/>
  <c r="AG76" i="5"/>
  <c r="BL75" i="5" l="1"/>
  <c r="BL76" i="5" s="1"/>
  <c r="BG76" i="5"/>
</calcChain>
</file>

<file path=xl/comments1.xml><?xml version="1.0" encoding="utf-8"?>
<comments xmlns="http://schemas.openxmlformats.org/spreadsheetml/2006/main">
  <authors>
    <author>Sayaka Koseki</author>
  </authors>
  <commentList>
    <comment ref="T3" authorId="0">
      <text>
        <r>
          <rPr>
            <b/>
            <sz val="9"/>
            <color indexed="81"/>
            <rFont val="Tahoma"/>
            <family val="2"/>
          </rPr>
          <t>Sayaka Koseki:</t>
        </r>
        <r>
          <rPr>
            <sz val="9"/>
            <color indexed="81"/>
            <rFont val="Tahoma"/>
            <family val="2"/>
          </rPr>
          <t xml:space="preserve">
UHMG estimate: community outreach by private provider to 30 women; UGX 350,000 for staff time/ transport/ chairs/ tents; UGX 100,000 for mobilization (radio spots); UGX105,454 for consumables; UGX 2500 for est. cost of product</t>
        </r>
      </text>
    </comment>
  </commentList>
</comments>
</file>

<file path=xl/sharedStrings.xml><?xml version="1.0" encoding="utf-8"?>
<sst xmlns="http://schemas.openxmlformats.org/spreadsheetml/2006/main" count="16355" uniqueCount="297">
  <si>
    <t>Total Market Approach Projection Tool</t>
  </si>
  <si>
    <t>TMA Model Inputs</t>
  </si>
  <si>
    <t>Main Inputs</t>
  </si>
  <si>
    <t>Switch Rate to Private Sources</t>
  </si>
  <si>
    <t>Commercial Share of Products in Private Outlets</t>
  </si>
  <si>
    <t>Country</t>
  </si>
  <si>
    <t>Ethiopia</t>
  </si>
  <si>
    <t>No - Use Projected</t>
  </si>
  <si>
    <t>Use switch rates based on:</t>
  </si>
  <si>
    <t>Wealth Quintiles</t>
  </si>
  <si>
    <t>Adjust switch rates by method?</t>
  </si>
  <si>
    <t>No</t>
  </si>
  <si>
    <t>Pill</t>
  </si>
  <si>
    <t>Projection Start Year</t>
  </si>
  <si>
    <t>If "Yes":</t>
  </si>
  <si>
    <t>If "No":</t>
  </si>
  <si>
    <t>IUD</t>
  </si>
  <si>
    <t>Projection End Year</t>
  </si>
  <si>
    <t>Adjustment</t>
  </si>
  <si>
    <t>Input Total mCPR</t>
  </si>
  <si>
    <t>Urban</t>
  </si>
  <si>
    <t>Rural</t>
  </si>
  <si>
    <t>Injectable</t>
  </si>
  <si>
    <t>Implant</t>
  </si>
  <si>
    <t>If "Input Total mCPR":</t>
  </si>
  <si>
    <t>Condom</t>
  </si>
  <si>
    <t>If "Input Method Mix":</t>
  </si>
  <si>
    <t>TMA Model Results</t>
  </si>
  <si>
    <t>Number of women accessing family planning</t>
  </si>
  <si>
    <t>Comparing Status Quo to TMA Scenario</t>
  </si>
  <si>
    <t>Number of Women on FP by source/ distribution point</t>
  </si>
  <si>
    <t>Percent of Women on FP by source/ distribution point</t>
  </si>
  <si>
    <t>Difference</t>
  </si>
  <si>
    <t>Commercial sector profile</t>
  </si>
  <si>
    <t>Status Quo</t>
  </si>
  <si>
    <t>TMA Scenario</t>
  </si>
  <si>
    <t># women served by commercial sector</t>
  </si>
  <si>
    <t>% women served by commercial sector</t>
  </si>
  <si>
    <t># products sold by commercial sector</t>
  </si>
  <si>
    <t>% products sold by commercial sector</t>
  </si>
  <si>
    <t>USD</t>
  </si>
  <si>
    <t>Subsidies Saved</t>
  </si>
  <si>
    <t>Number of products by source/distribution point</t>
  </si>
  <si>
    <t>Percent of products by source/ distribution point</t>
  </si>
  <si>
    <t>TMA Model Results by Method</t>
  </si>
  <si>
    <t>Select Method</t>
  </si>
  <si>
    <t>Method &gt;&gt;</t>
  </si>
  <si>
    <t>Number of Women</t>
  </si>
  <si>
    <t>Number of products</t>
  </si>
  <si>
    <t>Product</t>
  </si>
  <si>
    <t>Distribution Channel</t>
  </si>
  <si>
    <t>Public Facility</t>
  </si>
  <si>
    <t>Pub_Med</t>
  </si>
  <si>
    <t>Public Outreach</t>
  </si>
  <si>
    <t>Pub_Outreach</t>
  </si>
  <si>
    <t>Social Marketing</t>
  </si>
  <si>
    <t>SM_Med</t>
  </si>
  <si>
    <t>SM_Nontrad</t>
  </si>
  <si>
    <t>Private Commercial</t>
  </si>
  <si>
    <t>Commercial</t>
  </si>
  <si>
    <t>Total</t>
  </si>
  <si>
    <t>Method-Specific Results</t>
  </si>
  <si>
    <t>Method-Specific Savings</t>
  </si>
  <si>
    <t>UGX</t>
  </si>
  <si>
    <t>BASELINE SCENARIO - NO CHANGE TO MARKET</t>
  </si>
  <si>
    <t>TMA SCENARIO - MARKET AND PRODUCT SHIFT</t>
  </si>
  <si>
    <t>Number of Products</t>
  </si>
  <si>
    <t>Base</t>
  </si>
  <si>
    <t>Number of Higher Wealth Income FP Users, by Method and Source</t>
  </si>
  <si>
    <t>TMA</t>
  </si>
  <si>
    <t>Year</t>
  </si>
  <si>
    <t>Sector</t>
  </si>
  <si>
    <t>$AG$70:$BB$75</t>
  </si>
  <si>
    <t>Free</t>
  </si>
  <si>
    <t>$AG$116:$BB$121</t>
  </si>
  <si>
    <t>$AG$107:$BB$112</t>
  </si>
  <si>
    <t>$AG$70:$AG$75</t>
  </si>
  <si>
    <t>$AG$116:$AG$121</t>
  </si>
  <si>
    <t>$AG$107:$AG$112</t>
  </si>
  <si>
    <t>$AG$70:$BB$70</t>
  </si>
  <si>
    <t>Private Facility/Outlets</t>
  </si>
  <si>
    <t>$AG$116:$BB$116</t>
  </si>
  <si>
    <t>$AG$107:$BB$107</t>
  </si>
  <si>
    <t>Private Non-traditional</t>
  </si>
  <si>
    <t>Number of Middle to Low Income FP Users, by Method and Source</t>
  </si>
  <si>
    <t>$AG$79:$BB$84</t>
  </si>
  <si>
    <t>$AG$79:$AG$84</t>
  </si>
  <si>
    <t>$AG$79:$BB$79</t>
  </si>
  <si>
    <t>Total Subsidy Cost</t>
  </si>
  <si>
    <t>(UGX)</t>
  </si>
  <si>
    <t>Source</t>
  </si>
  <si>
    <t>FreeUGX</t>
  </si>
  <si>
    <t>SMTUGX</t>
  </si>
  <si>
    <t>(USD)</t>
  </si>
  <si>
    <t>FreeUSD</t>
  </si>
  <si>
    <t>SMTUSD</t>
  </si>
  <si>
    <t>TMA Total Cost Savings</t>
  </si>
  <si>
    <t>Total New Resources Mobilized</t>
  </si>
  <si>
    <t>CommUGX</t>
  </si>
  <si>
    <t>Number of women by source/distribution point</t>
  </si>
  <si>
    <t>CommUSD</t>
  </si>
  <si>
    <t>Women newly Reached</t>
  </si>
  <si>
    <t>Savings</t>
  </si>
  <si>
    <t>Average Cost to Reach</t>
  </si>
  <si>
    <t>Women Newly Reached</t>
  </si>
  <si>
    <t>Define the method mix projection.</t>
  </si>
  <si>
    <t>YoY Growth</t>
  </si>
  <si>
    <t>Injections</t>
  </si>
  <si>
    <t>Female Sterilization</t>
  </si>
  <si>
    <t>Male Sterilization</t>
  </si>
  <si>
    <t>Implants</t>
  </si>
  <si>
    <t>LAM</t>
  </si>
  <si>
    <t>Female Condom</t>
  </si>
  <si>
    <t>Other Modern Method</t>
  </si>
  <si>
    <t>Periodic Abstinence</t>
  </si>
  <si>
    <t>Withdrawal</t>
  </si>
  <si>
    <t>Other</t>
  </si>
  <si>
    <t>Total CPR</t>
  </si>
  <si>
    <t>Total mCPR</t>
  </si>
  <si>
    <t>User Settings from Dashboard</t>
  </si>
  <si>
    <t>mCPR Growth Assumptions</t>
  </si>
  <si>
    <t>DHS Historical Trend</t>
  </si>
  <si>
    <t>2020 (Using DHS Historical Trend)</t>
  </si>
  <si>
    <t>2020 (User Setting)</t>
  </si>
  <si>
    <t>Yr_End Adjustment</t>
  </si>
  <si>
    <t>Reference DHS Years</t>
  </si>
  <si>
    <t>Most Recent DHS</t>
  </si>
  <si>
    <t>Previous DHS</t>
  </si>
  <si>
    <t>DHS Trend</t>
  </si>
  <si>
    <t>On</t>
  </si>
  <si>
    <t>mCPR</t>
  </si>
  <si>
    <t>Dashboard Dropdowns</t>
  </si>
  <si>
    <t>Countries</t>
  </si>
  <si>
    <t>Method for Method-Specific Graph</t>
  </si>
  <si>
    <t>Exchange Rate</t>
  </si>
  <si>
    <t>Currency</t>
  </si>
  <si>
    <t>Yes</t>
  </si>
  <si>
    <t>ETB</t>
  </si>
  <si>
    <t>Haiti</t>
  </si>
  <si>
    <t>Input Method Mix</t>
  </si>
  <si>
    <t>Off</t>
  </si>
  <si>
    <t>HTG</t>
  </si>
  <si>
    <t>Malawi</t>
  </si>
  <si>
    <t>MWK</t>
  </si>
  <si>
    <t>Nepal</t>
  </si>
  <si>
    <t>NPR</t>
  </si>
  <si>
    <t>Pakistan</t>
  </si>
  <si>
    <t>PKR</t>
  </si>
  <si>
    <t>Philippines</t>
  </si>
  <si>
    <t>PHP</t>
  </si>
  <si>
    <t>Senegal</t>
  </si>
  <si>
    <t>CFA</t>
  </si>
  <si>
    <t>Tanzania</t>
  </si>
  <si>
    <t>TZS</t>
  </si>
  <si>
    <t>Uganda</t>
  </si>
  <si>
    <t>This tab contains additional model settings, including the currently exchange rate, prices and subsidies for various FP products, and the cost of reaching an additional poor/rural woman.</t>
  </si>
  <si>
    <t>Currency exchange rate</t>
  </si>
  <si>
    <t>Average cost to reach women in rural/poorer communities, with targeted outreach</t>
  </si>
  <si>
    <t xml:space="preserve">$1.00 = </t>
  </si>
  <si>
    <t>Public Sector</t>
  </si>
  <si>
    <t>Female condom</t>
  </si>
  <si>
    <t>Set assumptions</t>
  </si>
  <si>
    <t>Richest</t>
  </si>
  <si>
    <t>DHS1</t>
  </si>
  <si>
    <t>DHS2</t>
  </si>
  <si>
    <t>Start Year</t>
  </si>
  <si>
    <t>TMA Shift</t>
  </si>
  <si>
    <t>End Year</t>
  </si>
  <si>
    <t>Historic % change</t>
  </si>
  <si>
    <t>Future % change</t>
  </si>
  <si>
    <t>NGO</t>
  </si>
  <si>
    <t>NonTrad</t>
  </si>
  <si>
    <t>WRA</t>
  </si>
  <si>
    <t>Richer</t>
  </si>
  <si>
    <t>National Summary Tables</t>
  </si>
  <si>
    <t>Subsidy in Commercial Outlets</t>
  </si>
  <si>
    <t>Wealthy</t>
  </si>
  <si>
    <t>Number of Users</t>
  </si>
  <si>
    <t>National</t>
  </si>
  <si>
    <t>Users</t>
  </si>
  <si>
    <t>Number of products needed per year; Average user requires 13 packs of pills per year</t>
  </si>
  <si>
    <t>Number of products needed per year; Average user uses IUD for 4.6 years</t>
  </si>
  <si>
    <t>Number of products needed per year; Average user uses Implants for 3.2 years</t>
  </si>
  <si>
    <t>Number of products needed per year; Average user 4 injections per year</t>
  </si>
  <si>
    <t>Number of products needed per year; Average user requires 4 injections per year</t>
  </si>
  <si>
    <t>Number of products needed per year; Average user requires 98 condoms per year</t>
  </si>
  <si>
    <t>Target Year</t>
  </si>
  <si>
    <t>Future % Change</t>
  </si>
  <si>
    <t>Public</t>
  </si>
  <si>
    <t>DHS Years for USAID FP Priority Countries</t>
  </si>
  <si>
    <t>Previous DHS [RAW]</t>
  </si>
  <si>
    <t>Most Recent DHS [RAW]</t>
  </si>
  <si>
    <t>Ongoing DHS</t>
  </si>
  <si>
    <t>Afghanistan</t>
  </si>
  <si>
    <t>N/A</t>
  </si>
  <si>
    <t>Bangladesh</t>
  </si>
  <si>
    <t>2017-18</t>
  </si>
  <si>
    <t>DRC</t>
  </si>
  <si>
    <t>2013-14</t>
  </si>
  <si>
    <t>Ghana</t>
  </si>
  <si>
    <t>2016-17</t>
  </si>
  <si>
    <t>India</t>
  </si>
  <si>
    <t>2005-06</t>
  </si>
  <si>
    <t>2015-16</t>
  </si>
  <si>
    <t>2018-19</t>
  </si>
  <si>
    <t>Kenya</t>
  </si>
  <si>
    <t>2008-09</t>
  </si>
  <si>
    <t>Liberia</t>
  </si>
  <si>
    <t>Madagascar</t>
  </si>
  <si>
    <t>2003-04</t>
  </si>
  <si>
    <t>Mali</t>
  </si>
  <si>
    <t>2012-13</t>
  </si>
  <si>
    <t>Mozambique</t>
  </si>
  <si>
    <t>Nigeria</t>
  </si>
  <si>
    <t>Rwanda</t>
  </si>
  <si>
    <t>2014-15</t>
  </si>
  <si>
    <t>2019-20</t>
  </si>
  <si>
    <t>South Sudan</t>
  </si>
  <si>
    <t>Yemen</t>
  </si>
  <si>
    <t>Zambia</t>
  </si>
  <si>
    <t>Source of Contraception, by year, geography, method, and quintile</t>
  </si>
  <si>
    <t>Geography</t>
  </si>
  <si>
    <t>Method</t>
  </si>
  <si>
    <t>richest</t>
  </si>
  <si>
    <t>richer</t>
  </si>
  <si>
    <t>other</t>
  </si>
  <si>
    <t>Number of WRA, by year and Urban/Rural</t>
  </si>
  <si>
    <t>urban</t>
  </si>
  <si>
    <t>rural</t>
  </si>
  <si>
    <t>Total WRA</t>
  </si>
  <si>
    <t>Lookup</t>
  </si>
  <si>
    <t>Source:
UN, Population Division, World Population Prospects 2019, Annual Population by Age Groups - Female (XLSX, 9.0 MB)</t>
  </si>
  <si>
    <t>Variant</t>
  </si>
  <si>
    <t>Notes</t>
  </si>
  <si>
    <t>Country code</t>
  </si>
  <si>
    <t>0-4</t>
  </si>
  <si>
    <t>5-9</t>
  </si>
  <si>
    <t>10-14</t>
  </si>
  <si>
    <t>15-19</t>
  </si>
  <si>
    <t>20-24</t>
  </si>
  <si>
    <t>25-29</t>
  </si>
  <si>
    <t>30-34</t>
  </si>
  <si>
    <t>35-39</t>
  </si>
  <si>
    <t>40-44</t>
  </si>
  <si>
    <t>45-49</t>
  </si>
  <si>
    <t>50-54</t>
  </si>
  <si>
    <t>55-59</t>
  </si>
  <si>
    <t>60-64</t>
  </si>
  <si>
    <t>65-69</t>
  </si>
  <si>
    <t>70-74</t>
  </si>
  <si>
    <t>75-79</t>
  </si>
  <si>
    <t>80-84</t>
  </si>
  <si>
    <t>85-89</t>
  </si>
  <si>
    <t>90-94</t>
  </si>
  <si>
    <t>95-99</t>
  </si>
  <si>
    <t>100+</t>
  </si>
  <si>
    <t>Growth in WRA</t>
  </si>
  <si>
    <t>Medium variant</t>
  </si>
  <si>
    <t>country</t>
  </si>
  <si>
    <t>year</t>
  </si>
  <si>
    <t>hv025</t>
  </si>
  <si>
    <t>sector</t>
  </si>
  <si>
    <t>method</t>
  </si>
  <si>
    <t>Norplant</t>
  </si>
  <si>
    <t>pc</t>
  </si>
  <si>
    <t>Lactational Amenorrhea (Lam)</t>
  </si>
  <si>
    <t>Standard Days Method</t>
  </si>
  <si>
    <t>Oher Modern Method</t>
  </si>
  <si>
    <t>Lactational Amenorrhea</t>
  </si>
  <si>
    <t>Specific Method 1</t>
  </si>
  <si>
    <t>Specific Method 2</t>
  </si>
  <si>
    <t>Standard Days (Sdm)</t>
  </si>
  <si>
    <t>Mucus/ Billings/ Ovulation</t>
  </si>
  <si>
    <t>Basal Body Temperature</t>
  </si>
  <si>
    <t>Symptothermal</t>
  </si>
  <si>
    <t>Patch</t>
  </si>
  <si>
    <t>Collier (Cs)</t>
  </si>
  <si>
    <t>***Undefined Label</t>
  </si>
  <si>
    <t>Average value of government or donor resource by method and type</t>
  </si>
  <si>
    <t>Average price at method distribution point by type</t>
  </si>
  <si>
    <t>In this step, you will decide how many users will switch to commercial sources by the end year. First, decide whether to enter switch rates based on wealth quintiles or poverty lines. Next, decide whether to input different switch rates for each family planning method, or whether to assume that the same rate applies for all methods.</t>
  </si>
  <si>
    <t>For each family planning method, specify the percent of products in private outlets that are commercial in the projection start and end years.</t>
  </si>
  <si>
    <t xml:space="preserve">Percent of women accessing family planning by source/distribution point </t>
  </si>
  <si>
    <t xml:space="preserve">Number of women accessing family planning by source/distribution point </t>
  </si>
  <si>
    <t>Percent of products by source/distribution point</t>
  </si>
  <si>
    <t>US$</t>
  </si>
  <si>
    <t>Family planning impact</t>
  </si>
  <si>
    <t>Number of rural/poorer women additionally reached with any family planning method</t>
  </si>
  <si>
    <t>Social Marketing Non-Traditional</t>
  </si>
  <si>
    <r>
      <t xml:space="preserve">First, select a country, followed by the start and end years of the savings projection. </t>
    </r>
    <r>
      <rPr>
        <sz val="11"/>
        <color rgb="FFC00000"/>
        <rFont val="Franklin Gothic Book"/>
        <family val="2"/>
      </rPr>
      <t>Navigate to the Financial Settings tab to adjust price settings and exchange rate for the selected country.</t>
    </r>
  </si>
  <si>
    <t>Projecting Financial and Family Planning Impacts</t>
  </si>
  <si>
    <t xml:space="preserve">Average Annual Rate of Growth </t>
  </si>
  <si>
    <r>
      <t xml:space="preserve">This financial and impact projection model for total market approach (TMA) estimates the equity, access, and sustainability gains achieved through applying TMA to family planning programs in a particular country. This tool compares the status quo to a scenario in which the commercial family planning market grows and free and subsidized resources are better targeted to those who lack an ability and/or willingness to pay. 
Based on user-entered assumptions, this tool projects:
- Growth of the commercial sector and commercial market share
- Public and donor resources saved when a proportion of wealthier women shift from using family planning products that are subsidized by donors and government to using commercial family planning products
- Additional women that could be reached if cost savings are invested in pro-poor outreach programs
This tool was developed by the U.S. Agency for International Development (USAID)-funded Health Policy Plus (HP+) project. For questions, email policyinfo@thepalladiumgroup.com.
Recommended citation: Health Policy Plus. 2019. </t>
    </r>
    <r>
      <rPr>
        <i/>
        <sz val="11"/>
        <color theme="1"/>
        <rFont val="Franklin Gothic Book"/>
        <family val="2"/>
      </rPr>
      <t xml:space="preserve">Total Market Approach Projection Tool: Projecting Financial and Family Planning Impacts. </t>
    </r>
    <r>
      <rPr>
        <sz val="11"/>
        <color theme="1"/>
        <rFont val="Franklin Gothic Book"/>
        <family val="2"/>
      </rPr>
      <t xml:space="preserve">Washington, DC: Palladium, Health Policy Plus.
</t>
    </r>
    <r>
      <rPr>
        <i/>
        <sz val="10.5"/>
        <color theme="1"/>
        <rFont val="Franklin Gothic Book"/>
        <family val="2"/>
      </rPr>
      <t>Model development team: Sayaka Koseki, Kevin Ward, and Kate Klein</t>
    </r>
    <r>
      <rPr>
        <sz val="11"/>
        <color theme="1"/>
        <rFont val="Franklin Gothic Book"/>
        <family val="2"/>
      </rPr>
      <t xml:space="preserve">
</t>
    </r>
    <r>
      <rPr>
        <sz val="9"/>
        <color theme="1"/>
        <rFont val="Franklin Gothic Book"/>
        <family val="2"/>
      </rPr>
      <t>Health Policy Plus (HP+) is a five-year cooperative agreement funded by the U.S. Agency for International Development under Agreement No. AID-OAA-A-15-00051, beginning August 28, 2015. HP+ is implemented by Palladium, in collaboration with Avenir Health, Futures Group Global Outreach, Plan International USA, Population Reference Bureau, RTI International, ThinkWell, and the White Ribbon Alliance for Safe Motherhood. 
The information provided in this tool is not official U.S. Government information and does not necessarily reflect the views or positions of the U.S. Agency for International Development or the U.S. Government.</t>
    </r>
  </si>
  <si>
    <t>Commercial market impact</t>
  </si>
  <si>
    <t>Increased commercial market value</t>
  </si>
  <si>
    <t>Public and donor financial impact summary</t>
  </si>
  <si>
    <t>This tab contains the user inputs and final results of the TMA model. The top part of the tab contains the inputs, while the bottom part, starting in row 22, summarizes the results. W is the last columnfor data entry. 18 is the last row.</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</si>
</sst>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UGX]\ #,##0"/>
    <numFmt numFmtId="167" formatCode="[$USD]\ #,##0"/>
    <numFmt numFmtId="168" formatCode="#\ ###\ ###\ ##0;\-#\ ###\ ###\ ##0;0"/>
    <numFmt numFmtId="169" formatCode="0_);\(0\)"/>
    <numFmt numFmtId="170" formatCode="0.000%"/>
    <numFmt numFmtId="171" formatCode="0.0000%"/>
    <numFmt numFmtId="172" formatCode="_(* #,##0.0_);_(* \(#,##0.0\);_(* &quot;-&quot;??_);_(@_)"/>
  </numFmts>
  <fonts count="3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
      <name val="Calibri"/>
      <family val="2"/>
      <scheme val="minor"/>
    </font>
    <font>
      <i/>
      <sz val="11"/>
      <color theme="1"/>
      <name val="Calibri"/>
      <family val="2"/>
      <scheme val="minor"/>
    </font>
    <font>
      <i/>
      <sz val="10"/>
      <color rgb="FFFF0000"/>
      <name val="Calibri"/>
      <family val="2"/>
      <scheme val="minor"/>
    </font>
    <font>
      <i/>
      <sz val="9"/>
      <name val="Calibri"/>
      <family val="2"/>
      <scheme val="minor"/>
    </font>
    <font>
      <b/>
      <sz val="11"/>
      <name val="Calibri"/>
      <family val="2"/>
      <scheme val="minor"/>
    </font>
    <font>
      <sz val="11"/>
      <name val="Calibri"/>
      <family val="2"/>
      <scheme val="minor"/>
    </font>
    <font>
      <sz val="9"/>
      <color indexed="81"/>
      <name val="Tahoma"/>
      <family val="2"/>
    </font>
    <font>
      <b/>
      <sz val="9"/>
      <color indexed="81"/>
      <name val="Tahoma"/>
      <family val="2"/>
    </font>
    <font>
      <sz val="9"/>
      <color theme="1"/>
      <name val="Arial"/>
      <family val="2"/>
    </font>
    <font>
      <sz val="8"/>
      <color theme="1"/>
      <name val="Calibri"/>
      <family val="2"/>
      <scheme val="minor"/>
    </font>
    <font>
      <b/>
      <sz val="9"/>
      <color theme="1"/>
      <name val="Arial"/>
      <family val="2"/>
    </font>
    <font>
      <u/>
      <sz val="11"/>
      <color theme="10"/>
      <name val="Calibri"/>
      <family val="2"/>
      <scheme val="minor"/>
    </font>
    <font>
      <i/>
      <sz val="10"/>
      <color rgb="FFC00000"/>
      <name val="Calibri"/>
      <family val="2"/>
      <scheme val="minor"/>
    </font>
    <font>
      <b/>
      <sz val="11"/>
      <color theme="1"/>
      <name val="Times New Roman"/>
      <family val="1"/>
    </font>
    <font>
      <sz val="11"/>
      <color theme="1"/>
      <name val="Times New Roman"/>
      <family val="1"/>
    </font>
    <font>
      <sz val="11"/>
      <color rgb="FF222222"/>
      <name val="Times New Roman"/>
      <family val="1"/>
    </font>
    <font>
      <b/>
      <sz val="20"/>
      <name val="Franklin Gothic Book"/>
      <family val="2"/>
    </font>
    <font>
      <sz val="14"/>
      <name val="Franklin Gothic Book"/>
      <family val="2"/>
    </font>
    <font>
      <sz val="11"/>
      <color theme="1"/>
      <name val="Franklin Gothic Book"/>
      <family val="2"/>
    </font>
    <font>
      <i/>
      <sz val="11"/>
      <color theme="1"/>
      <name val="Franklin Gothic Book"/>
      <family val="2"/>
    </font>
    <font>
      <sz val="9"/>
      <color theme="1"/>
      <name val="Franklin Gothic Book"/>
      <family val="2"/>
    </font>
    <font>
      <b/>
      <sz val="11"/>
      <color theme="1"/>
      <name val="Franklin Gothic Book"/>
      <family val="2"/>
    </font>
    <font>
      <b/>
      <sz val="11"/>
      <name val="Franklin Gothic Book"/>
      <family val="2"/>
    </font>
    <font>
      <sz val="11"/>
      <color theme="0"/>
      <name val="Franklin Gothic Book"/>
      <family val="2"/>
    </font>
    <font>
      <sz val="11"/>
      <color rgb="FFC00000"/>
      <name val="Franklin Gothic Book"/>
      <family val="2"/>
    </font>
    <font>
      <b/>
      <sz val="11"/>
      <color theme="0"/>
      <name val="Franklin Gothic Book"/>
      <family val="2"/>
    </font>
    <font>
      <sz val="11"/>
      <name val="Franklin Gothic Book"/>
      <family val="2"/>
    </font>
    <font>
      <sz val="11"/>
      <color rgb="FFFF0000"/>
      <name val="Franklin Gothic Book"/>
      <family val="2"/>
    </font>
    <font>
      <i/>
      <sz val="10.5"/>
      <color theme="1"/>
      <name val="Franklin Gothic Book"/>
      <family val="2"/>
    </font>
  </fonts>
  <fills count="1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rgb="FFFFFF00"/>
        <bgColor indexed="64"/>
      </patternFill>
    </fill>
    <fill>
      <patternFill patternType="solid">
        <fgColor theme="2"/>
        <bgColor indexed="64"/>
      </patternFill>
    </fill>
    <fill>
      <patternFill patternType="solid">
        <fgColor theme="0" tint="-4.9989318521683403E-2"/>
        <bgColor indexed="64"/>
      </patternFill>
    </fill>
    <fill>
      <patternFill patternType="solid">
        <fgColor indexed="44"/>
        <bgColor indexed="64"/>
      </patternFill>
    </fill>
    <fill>
      <patternFill patternType="solid">
        <fgColor theme="3" tint="-0.249977111117893"/>
        <bgColor indexed="64"/>
      </patternFill>
    </fill>
    <fill>
      <patternFill patternType="solid">
        <fgColor theme="3" tint="-0.249977111117893"/>
        <bgColor theme="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4"/>
      </left>
      <right/>
      <top style="thin">
        <color theme="4"/>
      </top>
      <bottom/>
      <diagonal/>
    </border>
    <border>
      <left/>
      <right/>
      <top style="thin">
        <color theme="4"/>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theme="4"/>
      </right>
      <top style="thin">
        <color theme="4"/>
      </top>
      <bottom/>
      <diagonal/>
    </border>
    <border>
      <left/>
      <right/>
      <top style="thin">
        <color theme="4"/>
      </top>
      <bottom style="thin">
        <color theme="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bottom style="thin">
        <color theme="4"/>
      </bottom>
      <diagonal/>
    </border>
    <border>
      <left style="dotted">
        <color rgb="FF999999"/>
      </left>
      <right/>
      <top/>
      <bottom/>
      <diagonal/>
    </border>
    <border>
      <left style="dotted">
        <color rgb="FF999999"/>
      </left>
      <right/>
      <top/>
      <bottom style="thin">
        <color theme="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xf numFmtId="0" fontId="16" fillId="0" borderId="0" applyNumberFormat="0" applyFill="0" applyBorder="0" applyAlignment="0" applyProtection="0"/>
  </cellStyleXfs>
  <cellXfs count="465">
    <xf numFmtId="0" fontId="0" fillId="0" borderId="0" xfId="0"/>
    <xf numFmtId="0" fontId="0" fillId="0" borderId="1" xfId="0" applyBorder="1"/>
    <xf numFmtId="0" fontId="0" fillId="0" borderId="0" xfId="0" applyAlignment="1">
      <alignment horizontal="left"/>
    </xf>
    <xf numFmtId="0" fontId="5" fillId="0" borderId="0" xfId="0" applyFont="1"/>
    <xf numFmtId="0" fontId="6" fillId="0" borderId="0" xfId="0" applyFont="1"/>
    <xf numFmtId="164" fontId="0" fillId="0" borderId="0" xfId="0" applyNumberFormat="1"/>
    <xf numFmtId="0" fontId="3" fillId="0" borderId="0" xfId="0" applyFont="1"/>
    <xf numFmtId="165" fontId="0" fillId="0" borderId="0" xfId="0" applyNumberFormat="1"/>
    <xf numFmtId="0" fontId="0" fillId="0" borderId="5" xfId="0" applyBorder="1"/>
    <xf numFmtId="0" fontId="4" fillId="3" borderId="11" xfId="0" applyFont="1" applyFill="1" applyBorder="1" applyAlignment="1">
      <alignment horizontal="center"/>
    </xf>
    <xf numFmtId="0" fontId="4" fillId="3" borderId="12" xfId="0" applyFont="1" applyFill="1" applyBorder="1" applyAlignment="1">
      <alignment horizontal="center"/>
    </xf>
    <xf numFmtId="0" fontId="0" fillId="6" borderId="0" xfId="0" applyFill="1"/>
    <xf numFmtId="0" fontId="3" fillId="0" borderId="1" xfId="0" applyFont="1" applyBorder="1"/>
    <xf numFmtId="0" fontId="3" fillId="0" borderId="1" xfId="0" applyFont="1" applyBorder="1" applyAlignment="1">
      <alignment horizontal="center"/>
    </xf>
    <xf numFmtId="164" fontId="0" fillId="0" borderId="1" xfId="2" applyNumberFormat="1" applyFont="1" applyBorder="1"/>
    <xf numFmtId="164" fontId="0" fillId="0" borderId="1" xfId="0" applyNumberFormat="1" applyBorder="1"/>
    <xf numFmtId="0" fontId="4" fillId="2" borderId="5" xfId="0" applyFont="1" applyFill="1" applyBorder="1"/>
    <xf numFmtId="0" fontId="4" fillId="2" borderId="7" xfId="0" applyFont="1" applyFill="1" applyBorder="1"/>
    <xf numFmtId="0" fontId="3" fillId="0" borderId="6" xfId="0" applyFont="1" applyBorder="1" applyAlignment="1">
      <alignment horizontal="center"/>
    </xf>
    <xf numFmtId="164" fontId="0" fillId="0" borderId="8" xfId="2" applyNumberFormat="1" applyFont="1" applyBorder="1"/>
    <xf numFmtId="0" fontId="2" fillId="2" borderId="2" xfId="0" applyFont="1" applyFill="1" applyBorder="1"/>
    <xf numFmtId="164" fontId="3" fillId="0" borderId="3" xfId="0" applyNumberFormat="1" applyFont="1" applyBorder="1"/>
    <xf numFmtId="0" fontId="2" fillId="2" borderId="7" xfId="0" applyFont="1" applyFill="1" applyBorder="1"/>
    <xf numFmtId="164" fontId="3" fillId="0" borderId="8" xfId="0" applyNumberFormat="1" applyFont="1" applyBorder="1"/>
    <xf numFmtId="164" fontId="0" fillId="0" borderId="6" xfId="2" applyNumberFormat="1" applyFont="1" applyBorder="1"/>
    <xf numFmtId="164" fontId="0" fillId="0" borderId="9" xfId="2" applyNumberFormat="1" applyFont="1" applyBorder="1"/>
    <xf numFmtId="9" fontId="0" fillId="0" borderId="0" xfId="0" applyNumberFormat="1"/>
    <xf numFmtId="10" fontId="0" fillId="0" borderId="1" xfId="2" applyNumberFormat="1" applyFont="1" applyBorder="1"/>
    <xf numFmtId="10" fontId="0" fillId="0" borderId="8" xfId="2" applyNumberFormat="1" applyFont="1" applyBorder="1"/>
    <xf numFmtId="10" fontId="3" fillId="0" borderId="3" xfId="0" applyNumberFormat="1" applyFont="1" applyBorder="1"/>
    <xf numFmtId="10" fontId="3" fillId="0" borderId="8" xfId="0" applyNumberFormat="1" applyFont="1" applyBorder="1"/>
    <xf numFmtId="164" fontId="3" fillId="0" borderId="3" xfId="2" applyNumberFormat="1" applyFont="1" applyBorder="1"/>
    <xf numFmtId="164" fontId="3" fillId="0" borderId="4" xfId="2" applyNumberFormat="1" applyFont="1" applyBorder="1"/>
    <xf numFmtId="164" fontId="3" fillId="0" borderId="8" xfId="2" applyNumberFormat="1" applyFont="1" applyBorder="1"/>
    <xf numFmtId="164" fontId="3" fillId="0" borderId="9" xfId="2" applyNumberFormat="1" applyFont="1" applyBorder="1"/>
    <xf numFmtId="0" fontId="7" fillId="0" borderId="0" xfId="0" applyFont="1"/>
    <xf numFmtId="0" fontId="3" fillId="7" borderId="1" xfId="0" applyFont="1" applyFill="1" applyBorder="1"/>
    <xf numFmtId="165" fontId="0" fillId="0" borderId="1" xfId="1" applyNumberFormat="1" applyFont="1" applyBorder="1"/>
    <xf numFmtId="165" fontId="3" fillId="7" borderId="1" xfId="1" applyNumberFormat="1" applyFont="1" applyFill="1" applyBorder="1"/>
    <xf numFmtId="43" fontId="0" fillId="0" borderId="1" xfId="1" applyFont="1" applyBorder="1"/>
    <xf numFmtId="165" fontId="0" fillId="0" borderId="0" xfId="1" applyNumberFormat="1" applyFont="1"/>
    <xf numFmtId="165" fontId="0" fillId="0" borderId="17" xfId="1" applyNumberFormat="1" applyFont="1" applyBorder="1"/>
    <xf numFmtId="165" fontId="8" fillId="0" borderId="18" xfId="1" applyNumberFormat="1" applyFont="1" applyBorder="1"/>
    <xf numFmtId="0" fontId="3" fillId="6" borderId="0" xfId="0" applyFont="1" applyFill="1"/>
    <xf numFmtId="165" fontId="0" fillId="6" borderId="0" xfId="1" applyNumberFormat="1" applyFont="1" applyFill="1"/>
    <xf numFmtId="165" fontId="3" fillId="0" borderId="1" xfId="1" applyNumberFormat="1" applyFont="1" applyBorder="1"/>
    <xf numFmtId="165" fontId="0" fillId="0" borderId="6" xfId="1" applyNumberFormat="1" applyFont="1" applyBorder="1"/>
    <xf numFmtId="0" fontId="0" fillId="0" borderId="3" xfId="0" applyBorder="1"/>
    <xf numFmtId="0" fontId="3" fillId="0" borderId="8" xfId="0" applyFont="1" applyBorder="1"/>
    <xf numFmtId="0" fontId="4" fillId="3" borderId="10"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4" fillId="3" borderId="4" xfId="0" applyFont="1" applyFill="1" applyBorder="1" applyAlignment="1">
      <alignment horizontal="center"/>
    </xf>
    <xf numFmtId="0" fontId="3" fillId="0" borderId="7" xfId="0" applyFont="1" applyBorder="1"/>
    <xf numFmtId="0" fontId="0" fillId="0" borderId="2" xfId="0" applyBorder="1"/>
    <xf numFmtId="165" fontId="3" fillId="0" borderId="8" xfId="1" applyNumberFormat="1" applyFont="1" applyBorder="1"/>
    <xf numFmtId="166" fontId="0" fillId="0" borderId="1" xfId="0" applyNumberFormat="1" applyBorder="1"/>
    <xf numFmtId="166" fontId="0" fillId="0" borderId="6" xfId="1" applyNumberFormat="1" applyFont="1" applyBorder="1"/>
    <xf numFmtId="166" fontId="3" fillId="0" borderId="8" xfId="1" applyNumberFormat="1" applyFont="1" applyBorder="1"/>
    <xf numFmtId="166" fontId="3" fillId="0" borderId="9" xfId="1" applyNumberFormat="1" applyFont="1" applyBorder="1"/>
    <xf numFmtId="167" fontId="0" fillId="0" borderId="1" xfId="0" applyNumberFormat="1" applyBorder="1"/>
    <xf numFmtId="167" fontId="0" fillId="0" borderId="6" xfId="1" applyNumberFormat="1" applyFont="1" applyBorder="1"/>
    <xf numFmtId="167" fontId="3" fillId="0" borderId="8" xfId="1" applyNumberFormat="1" applyFont="1" applyBorder="1"/>
    <xf numFmtId="167" fontId="3" fillId="0" borderId="9" xfId="1" applyNumberFormat="1" applyFont="1" applyBorder="1"/>
    <xf numFmtId="0" fontId="0" fillId="0" borderId="20"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4" fillId="3" borderId="26" xfId="0" applyFont="1" applyFill="1"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10" xfId="0" applyBorder="1"/>
    <xf numFmtId="0" fontId="0" fillId="0" borderId="20" xfId="0" applyBorder="1"/>
    <xf numFmtId="0" fontId="0" fillId="0" borderId="13" xfId="0" applyBorder="1"/>
    <xf numFmtId="0" fontId="0" fillId="0" borderId="22" xfId="0" applyBorder="1"/>
    <xf numFmtId="9" fontId="0" fillId="0" borderId="0" xfId="2" applyFont="1"/>
    <xf numFmtId="165" fontId="7" fillId="0" borderId="0" xfId="0" applyNumberFormat="1" applyFont="1"/>
    <xf numFmtId="0" fontId="10" fillId="0" borderId="0" xfId="0" applyFont="1"/>
    <xf numFmtId="0" fontId="0" fillId="8" borderId="0" xfId="0" applyFill="1"/>
    <xf numFmtId="0" fontId="0" fillId="10" borderId="0" xfId="0" applyFill="1"/>
    <xf numFmtId="3" fontId="0" fillId="0" borderId="1" xfId="0" applyNumberFormat="1" applyBorder="1"/>
    <xf numFmtId="0" fontId="0" fillId="0" borderId="19" xfId="0" applyBorder="1"/>
    <xf numFmtId="165" fontId="0" fillId="0" borderId="9" xfId="1" applyNumberFormat="1" applyFont="1" applyBorder="1"/>
    <xf numFmtId="9" fontId="0" fillId="0" borderId="8" xfId="2" applyFont="1" applyBorder="1"/>
    <xf numFmtId="9" fontId="0" fillId="0" borderId="9" xfId="2" applyFont="1" applyBorder="1"/>
    <xf numFmtId="0" fontId="10" fillId="8" borderId="6" xfId="0" applyFont="1" applyFill="1" applyBorder="1"/>
    <xf numFmtId="0" fontId="0" fillId="13" borderId="0" xfId="0" applyFill="1"/>
    <xf numFmtId="0" fontId="0" fillId="8" borderId="0" xfId="0" applyFill="1" applyAlignment="1">
      <alignment horizontal="left"/>
    </xf>
    <xf numFmtId="0" fontId="0" fillId="8" borderId="30" xfId="0" applyFill="1" applyBorder="1"/>
    <xf numFmtId="0" fontId="0" fillId="14" borderId="1" xfId="0" applyFill="1" applyBorder="1"/>
    <xf numFmtId="0" fontId="4" fillId="0" borderId="0" xfId="0" applyFont="1" applyAlignment="1">
      <alignment horizontal="center"/>
    </xf>
    <xf numFmtId="0" fontId="3" fillId="0" borderId="0" xfId="0" applyFont="1" applyAlignment="1">
      <alignment horizontal="center"/>
    </xf>
    <xf numFmtId="3" fontId="0" fillId="14" borderId="1" xfId="0" applyNumberFormat="1" applyFill="1" applyBorder="1"/>
    <xf numFmtId="0" fontId="3" fillId="0" borderId="29" xfId="0" applyFont="1" applyBorder="1"/>
    <xf numFmtId="9" fontId="0" fillId="8" borderId="0" xfId="2" applyFont="1" applyFill="1"/>
    <xf numFmtId="0" fontId="0" fillId="14" borderId="22" xfId="0" applyFill="1" applyBorder="1"/>
    <xf numFmtId="3" fontId="0" fillId="14" borderId="22" xfId="0" applyNumberFormat="1" applyFill="1" applyBorder="1"/>
    <xf numFmtId="0" fontId="4" fillId="3" borderId="37" xfId="0" applyFont="1" applyFill="1" applyBorder="1" applyAlignment="1">
      <alignment horizontal="center"/>
    </xf>
    <xf numFmtId="0" fontId="4" fillId="3" borderId="18" xfId="0" applyFont="1" applyFill="1" applyBorder="1" applyAlignment="1">
      <alignment horizontal="center"/>
    </xf>
    <xf numFmtId="9" fontId="0" fillId="14" borderId="22" xfId="2" applyFont="1" applyFill="1" applyBorder="1"/>
    <xf numFmtId="9" fontId="0" fillId="0" borderId="1" xfId="2" applyFont="1" applyBorder="1"/>
    <xf numFmtId="9" fontId="0" fillId="14" borderId="1" xfId="2" applyFont="1" applyFill="1" applyBorder="1"/>
    <xf numFmtId="0" fontId="0" fillId="0" borderId="35" xfId="0" applyBorder="1"/>
    <xf numFmtId="3" fontId="0" fillId="8" borderId="1" xfId="0" applyNumberFormat="1" applyFill="1" applyBorder="1"/>
    <xf numFmtId="0" fontId="0" fillId="12" borderId="0" xfId="0" applyFill="1"/>
    <xf numFmtId="0" fontId="3" fillId="0" borderId="0" xfId="0" applyFont="1" applyAlignment="1">
      <alignment horizontal="right"/>
    </xf>
    <xf numFmtId="9" fontId="0" fillId="8" borderId="0" xfId="0" applyNumberFormat="1" applyFill="1"/>
    <xf numFmtId="0" fontId="13" fillId="0" borderId="0" xfId="0" applyFont="1" applyAlignment="1">
      <alignment horizontal="left"/>
    </xf>
    <xf numFmtId="0" fontId="13" fillId="0" borderId="0" xfId="0" applyFont="1" applyAlignment="1">
      <alignment horizontal="left" indent="2"/>
    </xf>
    <xf numFmtId="0" fontId="13" fillId="0" borderId="0" xfId="0" applyFont="1" applyAlignment="1">
      <alignment horizontal="center"/>
    </xf>
    <xf numFmtId="168" fontId="13" fillId="0" borderId="0" xfId="0" applyNumberFormat="1" applyFont="1" applyAlignment="1">
      <alignment horizontal="right"/>
    </xf>
    <xf numFmtId="0" fontId="15" fillId="15" borderId="22" xfId="0" applyFont="1" applyFill="1" applyBorder="1" applyAlignment="1">
      <alignment horizontal="center" vertical="center"/>
    </xf>
    <xf numFmtId="0" fontId="15" fillId="15" borderId="22" xfId="0" quotePrefix="1" applyFont="1" applyFill="1" applyBorder="1" applyAlignment="1">
      <alignment horizontal="center" vertical="center"/>
    </xf>
    <xf numFmtId="0" fontId="15" fillId="15" borderId="22" xfId="0" quotePrefix="1" applyFont="1" applyFill="1" applyBorder="1" applyAlignment="1">
      <alignment horizontal="center" vertical="center" wrapText="1"/>
    </xf>
    <xf numFmtId="0" fontId="15" fillId="15" borderId="1" xfId="0" quotePrefix="1" applyFont="1" applyFill="1" applyBorder="1" applyAlignment="1">
      <alignment horizontal="center" vertical="center"/>
    </xf>
    <xf numFmtId="168" fontId="0" fillId="0" borderId="0" xfId="0" applyNumberFormat="1"/>
    <xf numFmtId="0" fontId="15" fillId="12" borderId="22" xfId="0" applyFont="1" applyFill="1" applyBorder="1" applyAlignment="1">
      <alignment horizontal="center" vertical="center"/>
    </xf>
    <xf numFmtId="0" fontId="15" fillId="12" borderId="22" xfId="0" applyFont="1" applyFill="1" applyBorder="1" applyAlignment="1">
      <alignment horizontal="center" vertical="center" wrapText="1"/>
    </xf>
    <xf numFmtId="0" fontId="16" fillId="0" borderId="0" xfId="4"/>
    <xf numFmtId="0" fontId="2" fillId="8" borderId="0" xfId="0" applyFont="1" applyFill="1"/>
    <xf numFmtId="0" fontId="0" fillId="8" borderId="42" xfId="0" applyFill="1" applyBorder="1"/>
    <xf numFmtId="0" fontId="4" fillId="0" borderId="0" xfId="0" applyFont="1"/>
    <xf numFmtId="0" fontId="10" fillId="8" borderId="0" xfId="0" applyFont="1" applyFill="1" applyAlignment="1">
      <alignment horizontal="right"/>
    </xf>
    <xf numFmtId="0" fontId="10" fillId="0" borderId="0" xfId="0" applyFont="1" applyAlignment="1">
      <alignment horizontal="left"/>
    </xf>
    <xf numFmtId="0" fontId="4" fillId="0" borderId="0" xfId="0" applyFont="1" applyAlignment="1">
      <alignment horizontal="left"/>
    </xf>
    <xf numFmtId="0" fontId="2" fillId="0" borderId="0" xfId="0" applyFont="1"/>
    <xf numFmtId="0" fontId="0" fillId="4" borderId="1" xfId="0" applyFill="1" applyBorder="1"/>
    <xf numFmtId="0" fontId="2" fillId="2" borderId="1" xfId="0" applyFont="1" applyFill="1" applyBorder="1"/>
    <xf numFmtId="9" fontId="0" fillId="0" borderId="1" xfId="0" applyNumberFormat="1" applyBorder="1"/>
    <xf numFmtId="165" fontId="3" fillId="0" borderId="0" xfId="1" applyNumberFormat="1" applyFont="1"/>
    <xf numFmtId="0" fontId="3" fillId="9" borderId="1" xfId="0" applyFont="1" applyFill="1" applyBorder="1"/>
    <xf numFmtId="164" fontId="0" fillId="0" borderId="49" xfId="2" applyNumberFormat="1" applyFont="1" applyBorder="1"/>
    <xf numFmtId="164" fontId="0" fillId="0" borderId="0" xfId="2" applyNumberFormat="1" applyFont="1"/>
    <xf numFmtId="10" fontId="0" fillId="5" borderId="1" xfId="2" applyNumberFormat="1" applyFont="1" applyFill="1" applyBorder="1"/>
    <xf numFmtId="10" fontId="0" fillId="0" borderId="0" xfId="2" applyNumberFormat="1" applyFont="1"/>
    <xf numFmtId="2" fontId="0" fillId="5" borderId="1" xfId="2" applyNumberFormat="1" applyFont="1" applyFill="1" applyBorder="1"/>
    <xf numFmtId="0" fontId="0" fillId="0" borderId="0" xfId="0" applyAlignment="1">
      <alignment horizontal="centerContinuous"/>
    </xf>
    <xf numFmtId="0" fontId="4" fillId="0" borderId="0" xfId="0" applyFont="1" applyAlignment="1">
      <alignment horizontal="centerContinuous"/>
    </xf>
    <xf numFmtId="0" fontId="3" fillId="0" borderId="0" xfId="0" applyFont="1" applyAlignment="1">
      <alignment horizontal="centerContinuous"/>
    </xf>
    <xf numFmtId="9" fontId="0" fillId="0" borderId="18" xfId="0" applyNumberFormat="1" applyBorder="1"/>
    <xf numFmtId="9" fontId="3" fillId="0" borderId="0" xfId="2" applyFont="1"/>
    <xf numFmtId="165" fontId="3" fillId="7" borderId="1" xfId="0" applyNumberFormat="1" applyFont="1" applyFill="1" applyBorder="1"/>
    <xf numFmtId="43" fontId="0" fillId="0" borderId="0" xfId="0" applyNumberFormat="1"/>
    <xf numFmtId="164" fontId="0" fillId="0" borderId="18" xfId="2" applyNumberFormat="1" applyFont="1" applyBorder="1"/>
    <xf numFmtId="165" fontId="0" fillId="0" borderId="35" xfId="1" applyNumberFormat="1" applyFont="1" applyBorder="1"/>
    <xf numFmtId="165" fontId="0" fillId="0" borderId="49" xfId="1" applyNumberFormat="1" applyFont="1" applyBorder="1"/>
    <xf numFmtId="0" fontId="3" fillId="0" borderId="0" xfId="0" applyFont="1" applyAlignment="1">
      <alignment horizontal="centerContinuous" wrapText="1"/>
    </xf>
    <xf numFmtId="3" fontId="0" fillId="0" borderId="0" xfId="0" applyNumberFormat="1"/>
    <xf numFmtId="0" fontId="4" fillId="3" borderId="1" xfId="0" applyFont="1" applyFill="1" applyBorder="1" applyAlignment="1">
      <alignment horizontal="center"/>
    </xf>
    <xf numFmtId="165" fontId="0" fillId="9" borderId="1" xfId="1" applyNumberFormat="1" applyFont="1" applyFill="1" applyBorder="1"/>
    <xf numFmtId="0" fontId="0" fillId="0" borderId="50" xfId="0" applyBorder="1"/>
    <xf numFmtId="165" fontId="0" fillId="0" borderId="51" xfId="1" applyNumberFormat="1" applyFont="1" applyBorder="1"/>
    <xf numFmtId="165" fontId="0" fillId="0" borderId="40" xfId="1" applyNumberFormat="1" applyFont="1" applyBorder="1"/>
    <xf numFmtId="166" fontId="0" fillId="0" borderId="2" xfId="0" applyNumberFormat="1" applyBorder="1"/>
    <xf numFmtId="0" fontId="3" fillId="12" borderId="52" xfId="0" applyFont="1" applyFill="1" applyBorder="1" applyAlignment="1">
      <alignment horizontal="center" vertical="center"/>
    </xf>
    <xf numFmtId="0" fontId="0" fillId="0" borderId="48" xfId="0" applyBorder="1"/>
    <xf numFmtId="0" fontId="0" fillId="0" borderId="53" xfId="0" applyBorder="1" applyAlignment="1">
      <alignment horizontal="center" wrapText="1"/>
    </xf>
    <xf numFmtId="0" fontId="0" fillId="0" borderId="47" xfId="0" applyBorder="1"/>
    <xf numFmtId="0" fontId="0" fillId="0" borderId="53" xfId="0" applyBorder="1"/>
    <xf numFmtId="0" fontId="0" fillId="0" borderId="54" xfId="0" applyBorder="1"/>
    <xf numFmtId="10" fontId="0" fillId="0" borderId="48" xfId="2" applyNumberFormat="1" applyFont="1" applyBorder="1"/>
    <xf numFmtId="169" fontId="3" fillId="7" borderId="1" xfId="1" applyNumberFormat="1" applyFont="1" applyFill="1" applyBorder="1"/>
    <xf numFmtId="0" fontId="0" fillId="8" borderId="31" xfId="0" applyFill="1" applyBorder="1"/>
    <xf numFmtId="0" fontId="0" fillId="8" borderId="56" xfId="0" applyFill="1" applyBorder="1"/>
    <xf numFmtId="0" fontId="0" fillId="8" borderId="24" xfId="0" applyFill="1" applyBorder="1"/>
    <xf numFmtId="2" fontId="0" fillId="0" borderId="0" xfId="2" applyNumberFormat="1" applyFont="1"/>
    <xf numFmtId="10" fontId="0" fillId="0" borderId="59" xfId="2" applyNumberFormat="1" applyFont="1" applyBorder="1"/>
    <xf numFmtId="10" fontId="0" fillId="5" borderId="6" xfId="2" applyNumberFormat="1" applyFont="1" applyFill="1" applyBorder="1"/>
    <xf numFmtId="0" fontId="3" fillId="0" borderId="37" xfId="0" applyFont="1" applyBorder="1"/>
    <xf numFmtId="0" fontId="9" fillId="0" borderId="37" xfId="0" applyFont="1" applyBorder="1" applyAlignment="1">
      <alignment wrapText="1"/>
    </xf>
    <xf numFmtId="0" fontId="9" fillId="0" borderId="37" xfId="0" applyFont="1" applyBorder="1" applyAlignment="1">
      <alignment horizontal="left" wrapText="1"/>
    </xf>
    <xf numFmtId="0" fontId="3" fillId="0" borderId="37" xfId="0" applyFont="1" applyBorder="1" applyAlignment="1">
      <alignment wrapText="1"/>
    </xf>
    <xf numFmtId="0" fontId="3" fillId="10" borderId="0" xfId="0" applyFont="1" applyFill="1" applyAlignment="1">
      <alignment vertical="top"/>
    </xf>
    <xf numFmtId="0" fontId="3" fillId="13" borderId="0" xfId="0" applyFont="1" applyFill="1" applyAlignment="1">
      <alignment vertical="top"/>
    </xf>
    <xf numFmtId="0" fontId="3" fillId="0" borderId="0" xfId="0" applyFont="1" applyAlignment="1">
      <alignment vertical="top"/>
    </xf>
    <xf numFmtId="170" fontId="0" fillId="0" borderId="1" xfId="2" applyNumberFormat="1" applyFont="1" applyBorder="1"/>
    <xf numFmtId="171" fontId="0" fillId="0" borderId="1" xfId="2" applyNumberFormat="1" applyFont="1" applyBorder="1"/>
    <xf numFmtId="165" fontId="0" fillId="0" borderId="22" xfId="1" applyNumberFormat="1" applyFont="1" applyBorder="1"/>
    <xf numFmtId="165" fontId="0" fillId="0" borderId="3" xfId="1" applyNumberFormat="1" applyFont="1" applyBorder="1"/>
    <xf numFmtId="165" fontId="0" fillId="0" borderId="4" xfId="1" applyNumberFormat="1" applyFont="1" applyBorder="1"/>
    <xf numFmtId="165" fontId="0" fillId="0" borderId="8" xfId="1" applyNumberFormat="1" applyFont="1" applyBorder="1"/>
    <xf numFmtId="0" fontId="0" fillId="0" borderId="30" xfId="0" applyBorder="1" applyAlignment="1">
      <alignment horizontal="center"/>
    </xf>
    <xf numFmtId="0" fontId="0" fillId="0" borderId="0" xfId="0" applyAlignment="1">
      <alignment horizontal="center"/>
    </xf>
    <xf numFmtId="0" fontId="0" fillId="0" borderId="29" xfId="0" applyBorder="1" applyAlignment="1">
      <alignment horizontal="center"/>
    </xf>
    <xf numFmtId="165" fontId="0" fillId="0" borderId="21" xfId="1" applyNumberFormat="1" applyFont="1" applyBorder="1"/>
    <xf numFmtId="165" fontId="0" fillId="0" borderId="39" xfId="1" applyNumberFormat="1" applyFont="1" applyBorder="1"/>
    <xf numFmtId="165" fontId="0" fillId="0" borderId="59" xfId="1" applyNumberFormat="1" applyFont="1" applyBorder="1"/>
    <xf numFmtId="165" fontId="0" fillId="0" borderId="60" xfId="1" applyNumberFormat="1" applyFont="1" applyBorder="1"/>
    <xf numFmtId="43" fontId="7" fillId="0" borderId="0" xfId="0" applyNumberFormat="1" applyFont="1"/>
    <xf numFmtId="0" fontId="2" fillId="0" borderId="0" xfId="0" applyFont="1" applyAlignment="1">
      <alignment horizontal="right"/>
    </xf>
    <xf numFmtId="0" fontId="0" fillId="0" borderId="0" xfId="0" applyAlignment="1">
      <alignment horizontal="right"/>
    </xf>
    <xf numFmtId="38" fontId="0" fillId="0" borderId="0" xfId="0" applyNumberFormat="1"/>
    <xf numFmtId="0" fontId="2" fillId="8" borderId="0" xfId="0" applyFont="1" applyFill="1" applyAlignment="1">
      <alignment wrapText="1"/>
    </xf>
    <xf numFmtId="0" fontId="3" fillId="8" borderId="29" xfId="0" applyFont="1" applyFill="1" applyBorder="1"/>
    <xf numFmtId="0" fontId="3" fillId="0" borderId="37" xfId="0" applyFont="1" applyBorder="1" applyAlignment="1">
      <alignment horizontal="centerContinuous"/>
    </xf>
    <xf numFmtId="0" fontId="3" fillId="8" borderId="44" xfId="0" applyFont="1" applyFill="1" applyBorder="1"/>
    <xf numFmtId="0" fontId="3" fillId="8" borderId="57" xfId="0" applyFont="1" applyFill="1" applyBorder="1"/>
    <xf numFmtId="0" fontId="4" fillId="16" borderId="7" xfId="0" applyFont="1" applyFill="1" applyBorder="1"/>
    <xf numFmtId="0" fontId="2" fillId="16" borderId="1" xfId="0" applyFont="1" applyFill="1" applyBorder="1" applyAlignment="1">
      <alignment horizontal="center"/>
    </xf>
    <xf numFmtId="0" fontId="2" fillId="16" borderId="6" xfId="0" applyFont="1" applyFill="1" applyBorder="1" applyAlignment="1">
      <alignment horizontal="center" wrapText="1"/>
    </xf>
    <xf numFmtId="0" fontId="2" fillId="16" borderId="59" xfId="0" applyFont="1" applyFill="1" applyBorder="1" applyAlignment="1">
      <alignment horizontal="center" wrapText="1"/>
    </xf>
    <xf numFmtId="0" fontId="2" fillId="16" borderId="1" xfId="0" applyFont="1" applyFill="1" applyBorder="1" applyAlignment="1">
      <alignment horizontal="center" wrapText="1"/>
    </xf>
    <xf numFmtId="0" fontId="4" fillId="16" borderId="1" xfId="0" applyFont="1" applyFill="1" applyBorder="1"/>
    <xf numFmtId="0" fontId="4" fillId="16" borderId="0" xfId="0" applyFont="1" applyFill="1"/>
    <xf numFmtId="0" fontId="0" fillId="16" borderId="0" xfId="0" applyFill="1"/>
    <xf numFmtId="0" fontId="17" fillId="0" borderId="0" xfId="0" applyFont="1"/>
    <xf numFmtId="0" fontId="2" fillId="17" borderId="47" xfId="0" applyFont="1" applyFill="1" applyBorder="1"/>
    <xf numFmtId="0" fontId="2" fillId="17" borderId="48" xfId="0" applyFont="1" applyFill="1" applyBorder="1"/>
    <xf numFmtId="0" fontId="2" fillId="17" borderId="53" xfId="0" applyFont="1" applyFill="1" applyBorder="1"/>
    <xf numFmtId="9" fontId="2" fillId="17" borderId="0" xfId="2" applyFont="1" applyFill="1" applyAlignment="1">
      <alignment horizontal="right"/>
    </xf>
    <xf numFmtId="0" fontId="2" fillId="17" borderId="0" xfId="0" applyFont="1" applyFill="1" applyAlignment="1">
      <alignment horizontal="right"/>
    </xf>
    <xf numFmtId="0" fontId="10" fillId="8" borderId="9" xfId="0" applyFont="1" applyFill="1" applyBorder="1"/>
    <xf numFmtId="0" fontId="16" fillId="12" borderId="22" xfId="4" applyFill="1" applyBorder="1" applyAlignment="1">
      <alignment horizontal="center" vertical="center" wrapText="1"/>
    </xf>
    <xf numFmtId="0" fontId="19" fillId="8" borderId="0" xfId="0" applyFont="1" applyFill="1"/>
    <xf numFmtId="0" fontId="18" fillId="8" borderId="67" xfId="0" applyFont="1" applyFill="1" applyBorder="1"/>
    <xf numFmtId="0" fontId="18" fillId="8" borderId="67" xfId="0" applyFont="1" applyFill="1" applyBorder="1" applyAlignment="1">
      <alignment horizontal="center"/>
    </xf>
    <xf numFmtId="0" fontId="20" fillId="0" borderId="0" xfId="0" applyFont="1" applyAlignment="1">
      <alignment vertical="center" wrapText="1"/>
    </xf>
    <xf numFmtId="0" fontId="19" fillId="0" borderId="0" xfId="0" applyFont="1" applyAlignment="1">
      <alignment horizontal="center"/>
    </xf>
    <xf numFmtId="0" fontId="19" fillId="0" borderId="0" xfId="0" applyFont="1" applyAlignment="1">
      <alignment horizontal="right"/>
    </xf>
    <xf numFmtId="0" fontId="20" fillId="0" borderId="68" xfId="0" applyFont="1" applyBorder="1" applyAlignment="1">
      <alignment vertical="center" wrapText="1"/>
    </xf>
    <xf numFmtId="0" fontId="20" fillId="0" borderId="69" xfId="0" applyFont="1" applyBorder="1" applyAlignment="1">
      <alignment vertical="center" wrapText="1"/>
    </xf>
    <xf numFmtId="0" fontId="19" fillId="0" borderId="67" xfId="0" applyFont="1" applyBorder="1" applyAlignment="1">
      <alignment horizontal="right"/>
    </xf>
    <xf numFmtId="11" fontId="0" fillId="0" borderId="0" xfId="0" applyNumberFormat="1"/>
    <xf numFmtId="3" fontId="0" fillId="0" borderId="0" xfId="0" applyNumberFormat="1" applyBorder="1"/>
    <xf numFmtId="0" fontId="9" fillId="0" borderId="37" xfId="0" applyFont="1" applyFill="1" applyBorder="1" applyAlignment="1">
      <alignment wrapText="1"/>
    </xf>
    <xf numFmtId="0" fontId="0" fillId="0" borderId="0" xfId="0" applyBorder="1"/>
    <xf numFmtId="9" fontId="0" fillId="0" borderId="0" xfId="2" applyFont="1" applyBorder="1"/>
    <xf numFmtId="0" fontId="0" fillId="0" borderId="24" xfId="0" applyBorder="1"/>
    <xf numFmtId="0" fontId="0" fillId="0" borderId="30" xfId="0" applyBorder="1"/>
    <xf numFmtId="3" fontId="0" fillId="0" borderId="30" xfId="0" applyNumberFormat="1" applyBorder="1"/>
    <xf numFmtId="0" fontId="0" fillId="0" borderId="31" xfId="0" applyBorder="1"/>
    <xf numFmtId="0" fontId="3" fillId="0" borderId="42" xfId="0" applyFont="1" applyBorder="1"/>
    <xf numFmtId="0" fontId="0" fillId="0" borderId="44" xfId="0" applyBorder="1"/>
    <xf numFmtId="3" fontId="0" fillId="0" borderId="5" xfId="0" applyNumberFormat="1" applyBorder="1"/>
    <xf numFmtId="0" fontId="0" fillId="0" borderId="42" xfId="0" applyBorder="1"/>
    <xf numFmtId="0" fontId="3" fillId="0" borderId="0" xfId="0" applyFont="1" applyBorder="1"/>
    <xf numFmtId="0" fontId="0" fillId="0" borderId="56" xfId="0" applyBorder="1"/>
    <xf numFmtId="0" fontId="0" fillId="0" borderId="29" xfId="0" applyBorder="1"/>
    <xf numFmtId="0" fontId="0" fillId="0" borderId="57" xfId="0" applyBorder="1"/>
    <xf numFmtId="0" fontId="4" fillId="16" borderId="5" xfId="0" applyFont="1" applyFill="1" applyBorder="1" applyAlignment="1">
      <alignment wrapText="1"/>
    </xf>
    <xf numFmtId="0" fontId="3" fillId="0" borderId="15" xfId="0" applyFont="1" applyBorder="1" applyAlignment="1">
      <alignment wrapText="1"/>
    </xf>
    <xf numFmtId="0" fontId="3" fillId="0" borderId="16" xfId="0" applyFont="1" applyBorder="1" applyAlignment="1">
      <alignment wrapText="1"/>
    </xf>
    <xf numFmtId="0" fontId="2" fillId="3" borderId="36" xfId="0" applyFont="1" applyFill="1" applyBorder="1"/>
    <xf numFmtId="0" fontId="3" fillId="5" borderId="36" xfId="0" applyFont="1" applyFill="1" applyBorder="1" applyAlignment="1">
      <alignment horizontal="center"/>
    </xf>
    <xf numFmtId="0" fontId="22" fillId="0" borderId="0" xfId="0" applyFont="1" applyAlignment="1">
      <alignment horizontal="left" vertical="center" wrapText="1" indent="4"/>
    </xf>
    <xf numFmtId="0" fontId="21" fillId="0" borderId="0" xfId="0" applyFont="1" applyAlignment="1">
      <alignment horizontal="left" vertical="center" wrapText="1" indent="4"/>
    </xf>
    <xf numFmtId="0" fontId="23" fillId="0" borderId="0" xfId="0" applyFont="1" applyAlignment="1">
      <alignment horizontal="left" vertical="top" wrapText="1" indent="4"/>
    </xf>
    <xf numFmtId="0" fontId="26" fillId="13" borderId="0" xfId="0" applyFont="1" applyFill="1" applyAlignment="1">
      <alignment vertical="top"/>
    </xf>
    <xf numFmtId="0" fontId="23" fillId="13" borderId="0" xfId="0" applyFont="1" applyFill="1"/>
    <xf numFmtId="0" fontId="26" fillId="13" borderId="0" xfId="0" applyFont="1" applyFill="1"/>
    <xf numFmtId="0" fontId="23" fillId="11" borderId="2" xfId="0" applyFont="1" applyFill="1" applyBorder="1"/>
    <xf numFmtId="0" fontId="26" fillId="11" borderId="11" xfId="0" applyFont="1" applyFill="1" applyBorder="1" applyAlignment="1">
      <alignment horizontal="center"/>
    </xf>
    <xf numFmtId="0" fontId="26" fillId="11" borderId="64" xfId="0" applyFont="1" applyFill="1" applyBorder="1" applyAlignment="1">
      <alignment horizontal="center"/>
    </xf>
    <xf numFmtId="0" fontId="26" fillId="11" borderId="12" xfId="0" applyFont="1" applyFill="1" applyBorder="1" applyAlignment="1">
      <alignment horizontal="center"/>
    </xf>
    <xf numFmtId="0" fontId="26" fillId="11" borderId="32" xfId="0" applyFont="1" applyFill="1" applyBorder="1" applyAlignment="1">
      <alignment horizontal="left" wrapText="1"/>
    </xf>
    <xf numFmtId="3" fontId="26" fillId="0" borderId="2" xfId="0" applyNumberFormat="1" applyFont="1" applyBorder="1" applyAlignment="1">
      <alignment horizontal="right"/>
    </xf>
    <xf numFmtId="3" fontId="26" fillId="0" borderId="39" xfId="0" applyNumberFormat="1" applyFont="1" applyBorder="1" applyAlignment="1">
      <alignment horizontal="right"/>
    </xf>
    <xf numFmtId="3" fontId="26" fillId="0" borderId="3" xfId="0" applyNumberFormat="1" applyFont="1" applyBorder="1" applyAlignment="1">
      <alignment horizontal="right"/>
    </xf>
    <xf numFmtId="3" fontId="26" fillId="0" borderId="38" xfId="0" applyNumberFormat="1" applyFont="1" applyBorder="1" applyAlignment="1">
      <alignment horizontal="right"/>
    </xf>
    <xf numFmtId="3" fontId="26" fillId="0" borderId="4" xfId="0" applyNumberFormat="1" applyFont="1" applyBorder="1" applyAlignment="1">
      <alignment horizontal="right"/>
    </xf>
    <xf numFmtId="164" fontId="23" fillId="0" borderId="5" xfId="2" applyNumberFormat="1" applyFont="1" applyBorder="1"/>
    <xf numFmtId="164" fontId="23" fillId="0" borderId="59" xfId="2" applyNumberFormat="1" applyFont="1" applyBorder="1"/>
    <xf numFmtId="164" fontId="23" fillId="0" borderId="1" xfId="2" applyNumberFormat="1" applyFont="1" applyBorder="1"/>
    <xf numFmtId="164" fontId="23" fillId="0" borderId="35" xfId="2" applyNumberFormat="1" applyFont="1" applyBorder="1"/>
    <xf numFmtId="164" fontId="23" fillId="0" borderId="6" xfId="2" applyNumberFormat="1" applyFont="1" applyBorder="1"/>
    <xf numFmtId="3" fontId="26" fillId="0" borderId="5" xfId="0" applyNumberFormat="1" applyFont="1" applyBorder="1" applyAlignment="1">
      <alignment horizontal="right"/>
    </xf>
    <xf numFmtId="3" fontId="26" fillId="0" borderId="59" xfId="0" applyNumberFormat="1" applyFont="1" applyBorder="1" applyAlignment="1">
      <alignment horizontal="right"/>
    </xf>
    <xf numFmtId="3" fontId="26" fillId="0" borderId="1" xfId="0" applyNumberFormat="1" applyFont="1" applyBorder="1" applyAlignment="1">
      <alignment horizontal="right"/>
    </xf>
    <xf numFmtId="3" fontId="26" fillId="0" borderId="35" xfId="0" applyNumberFormat="1" applyFont="1" applyBorder="1" applyAlignment="1">
      <alignment horizontal="right"/>
    </xf>
    <xf numFmtId="3" fontId="26" fillId="0" borderId="6" xfId="0" applyNumberFormat="1" applyFont="1" applyBorder="1" applyAlignment="1">
      <alignment horizontal="right"/>
    </xf>
    <xf numFmtId="0" fontId="26" fillId="11" borderId="41" xfId="0" applyFont="1" applyFill="1" applyBorder="1" applyAlignment="1">
      <alignment horizontal="left" wrapText="1"/>
    </xf>
    <xf numFmtId="164" fontId="23" fillId="0" borderId="7" xfId="2" applyNumberFormat="1" applyFont="1" applyBorder="1"/>
    <xf numFmtId="164" fontId="23" fillId="0" borderId="60" xfId="2" applyNumberFormat="1" applyFont="1" applyBorder="1"/>
    <xf numFmtId="164" fontId="23" fillId="0" borderId="8" xfId="2" applyNumberFormat="1" applyFont="1" applyBorder="1"/>
    <xf numFmtId="164" fontId="23" fillId="0" borderId="65" xfId="2" applyNumberFormat="1" applyFont="1" applyBorder="1"/>
    <xf numFmtId="164" fontId="23" fillId="0" borderId="9" xfId="2" applyNumberFormat="1" applyFont="1" applyBorder="1"/>
    <xf numFmtId="0" fontId="26" fillId="11" borderId="15" xfId="0" applyFont="1" applyFill="1" applyBorder="1" applyAlignment="1">
      <alignment horizontal="left"/>
    </xf>
    <xf numFmtId="3" fontId="23" fillId="0" borderId="58" xfId="0" applyNumberFormat="1" applyFont="1" applyBorder="1"/>
    <xf numFmtId="0" fontId="26" fillId="11" borderId="32" xfId="0" applyFont="1" applyFill="1" applyBorder="1" applyAlignment="1">
      <alignment horizontal="left"/>
    </xf>
    <xf numFmtId="3" fontId="23" fillId="0" borderId="43" xfId="0" applyNumberFormat="1" applyFont="1" applyBorder="1"/>
    <xf numFmtId="0" fontId="26" fillId="11" borderId="41" xfId="0" applyFont="1" applyFill="1" applyBorder="1"/>
    <xf numFmtId="3" fontId="23" fillId="0" borderId="46" xfId="0" applyNumberFormat="1" applyFont="1" applyBorder="1"/>
    <xf numFmtId="3" fontId="23" fillId="13" borderId="0" xfId="0" applyNumberFormat="1" applyFont="1" applyFill="1"/>
    <xf numFmtId="0" fontId="26" fillId="13" borderId="0" xfId="0" applyFont="1" applyFill="1" applyAlignment="1">
      <alignment horizontal="center"/>
    </xf>
    <xf numFmtId="3" fontId="23" fillId="0" borderId="61" xfId="0" applyNumberFormat="1" applyFont="1" applyBorder="1"/>
    <xf numFmtId="3" fontId="23" fillId="0" borderId="66" xfId="0" applyNumberFormat="1" applyFont="1" applyBorder="1"/>
    <xf numFmtId="3" fontId="23" fillId="0" borderId="62" xfId="0" applyNumberFormat="1" applyFont="1" applyBorder="1"/>
    <xf numFmtId="0" fontId="27" fillId="13" borderId="0" xfId="0" applyFont="1" applyFill="1"/>
    <xf numFmtId="3" fontId="27" fillId="13" borderId="0" xfId="0" applyNumberFormat="1" applyFont="1" applyFill="1"/>
    <xf numFmtId="0" fontId="28" fillId="8" borderId="0" xfId="0" applyFont="1" applyFill="1"/>
    <xf numFmtId="0" fontId="23" fillId="8" borderId="0" xfId="0" applyFont="1" applyFill="1"/>
    <xf numFmtId="0" fontId="26" fillId="8" borderId="24" xfId="0" quotePrefix="1" applyFont="1" applyFill="1" applyBorder="1" applyAlignment="1">
      <alignment horizontal="right"/>
    </xf>
    <xf numFmtId="0" fontId="26" fillId="8" borderId="30" xfId="0" applyFont="1" applyFill="1" applyBorder="1"/>
    <xf numFmtId="0" fontId="23" fillId="8" borderId="30" xfId="0" applyFont="1" applyFill="1" applyBorder="1"/>
    <xf numFmtId="0" fontId="23" fillId="8" borderId="31" xfId="0" applyFont="1" applyFill="1" applyBorder="1"/>
    <xf numFmtId="0" fontId="23" fillId="8" borderId="0" xfId="0" applyFont="1" applyFill="1" applyAlignment="1">
      <alignment horizontal="left" vertical="top" wrapText="1"/>
    </xf>
    <xf numFmtId="0" fontId="23" fillId="8" borderId="42" xfId="0" applyFont="1" applyFill="1" applyBorder="1"/>
    <xf numFmtId="0" fontId="23" fillId="8" borderId="44" xfId="0" applyFont="1" applyFill="1" applyBorder="1" applyAlignment="1">
      <alignment vertical="top" wrapText="1"/>
    </xf>
    <xf numFmtId="0" fontId="23" fillId="8" borderId="0" xfId="0" applyFont="1" applyFill="1" applyAlignment="1">
      <alignment vertical="top" wrapText="1"/>
    </xf>
    <xf numFmtId="0" fontId="23" fillId="8" borderId="42" xfId="0" applyFont="1" applyFill="1" applyBorder="1" applyAlignment="1">
      <alignment vertical="top" wrapText="1"/>
    </xf>
    <xf numFmtId="0" fontId="23" fillId="8" borderId="44" xfId="0" applyFont="1" applyFill="1" applyBorder="1"/>
    <xf numFmtId="0" fontId="26" fillId="8" borderId="42" xfId="0" quotePrefix="1" applyFont="1" applyFill="1" applyBorder="1" applyAlignment="1">
      <alignment horizontal="right"/>
    </xf>
    <xf numFmtId="0" fontId="30" fillId="16" borderId="45" xfId="0" applyFont="1" applyFill="1" applyBorder="1"/>
    <xf numFmtId="0" fontId="31" fillId="5" borderId="62" xfId="0" applyFont="1" applyFill="1" applyBorder="1" applyAlignment="1">
      <alignment horizontal="center"/>
    </xf>
    <xf numFmtId="0" fontId="26" fillId="8" borderId="44" xfId="0" applyFont="1" applyFill="1" applyBorder="1" applyAlignment="1">
      <alignment wrapText="1"/>
    </xf>
    <xf numFmtId="0" fontId="30" fillId="16" borderId="36" xfId="0" applyFont="1" applyFill="1" applyBorder="1" applyAlignment="1">
      <alignment wrapText="1"/>
    </xf>
    <xf numFmtId="0" fontId="31" fillId="5" borderId="36" xfId="0" applyFont="1" applyFill="1" applyBorder="1" applyAlignment="1">
      <alignment horizontal="center" wrapText="1"/>
    </xf>
    <xf numFmtId="0" fontId="30" fillId="16" borderId="61" xfId="0" applyFont="1" applyFill="1" applyBorder="1" applyAlignment="1">
      <alignment horizontal="left" wrapText="1"/>
    </xf>
    <xf numFmtId="0" fontId="31" fillId="5" borderId="62" xfId="0" applyFont="1" applyFill="1" applyBorder="1" applyAlignment="1">
      <alignment horizontal="center" wrapText="1"/>
    </xf>
    <xf numFmtId="0" fontId="29" fillId="8" borderId="42" xfId="0" applyFont="1" applyFill="1" applyBorder="1" applyAlignment="1">
      <alignment vertical="top" wrapText="1"/>
    </xf>
    <xf numFmtId="0" fontId="30" fillId="16" borderId="61" xfId="0" applyFont="1" applyFill="1" applyBorder="1" applyAlignment="1">
      <alignment wrapText="1"/>
    </xf>
    <xf numFmtId="0" fontId="30" fillId="16" borderId="11" xfId="0" applyFont="1" applyFill="1" applyBorder="1" applyAlignment="1">
      <alignment horizontal="center"/>
    </xf>
    <xf numFmtId="0" fontId="30" fillId="16" borderId="12" xfId="0" applyFont="1" applyFill="1" applyBorder="1" applyAlignment="1">
      <alignment horizontal="center"/>
    </xf>
    <xf numFmtId="0" fontId="31" fillId="8" borderId="44" xfId="0" applyFont="1" applyFill="1" applyBorder="1" applyAlignment="1">
      <alignment horizontal="center"/>
    </xf>
    <xf numFmtId="0" fontId="23" fillId="8" borderId="56" xfId="0" applyFont="1" applyFill="1" applyBorder="1"/>
    <xf numFmtId="0" fontId="29" fillId="8" borderId="29" xfId="0" applyFont="1" applyFill="1" applyBorder="1"/>
    <xf numFmtId="0" fontId="23" fillId="8" borderId="29" xfId="0" applyFont="1" applyFill="1" applyBorder="1"/>
    <xf numFmtId="0" fontId="23" fillId="8" borderId="57" xfId="0" applyFont="1" applyFill="1" applyBorder="1"/>
    <xf numFmtId="0" fontId="30" fillId="16" borderId="63" xfId="0" applyFont="1" applyFill="1" applyBorder="1"/>
    <xf numFmtId="9" fontId="23" fillId="5" borderId="2" xfId="0" applyNumberFormat="1" applyFont="1" applyFill="1" applyBorder="1"/>
    <xf numFmtId="9" fontId="23" fillId="5" borderId="4" xfId="2" applyFont="1" applyFill="1" applyBorder="1"/>
    <xf numFmtId="0" fontId="30" fillId="16" borderId="2" xfId="0" applyFont="1" applyFill="1" applyBorder="1" applyAlignment="1">
      <alignment wrapText="1"/>
    </xf>
    <xf numFmtId="0" fontId="23" fillId="5" borderId="4" xfId="0" applyFont="1" applyFill="1" applyBorder="1"/>
    <xf numFmtId="0" fontId="23" fillId="8" borderId="24" xfId="0" applyFont="1" applyFill="1" applyBorder="1"/>
    <xf numFmtId="0" fontId="30" fillId="16" borderId="32" xfId="0" applyFont="1" applyFill="1" applyBorder="1"/>
    <xf numFmtId="9" fontId="23" fillId="5" borderId="5" xfId="2" applyFont="1" applyFill="1" applyBorder="1"/>
    <xf numFmtId="9" fontId="23" fillId="5" borderId="21" xfId="2" applyFont="1" applyFill="1" applyBorder="1"/>
    <xf numFmtId="0" fontId="30" fillId="16" borderId="7" xfId="0" applyFont="1" applyFill="1" applyBorder="1" applyAlignment="1">
      <alignment wrapText="1"/>
    </xf>
    <xf numFmtId="0" fontId="23" fillId="5" borderId="9" xfId="0" applyFont="1" applyFill="1" applyBorder="1"/>
    <xf numFmtId="0" fontId="26" fillId="8" borderId="0" xfId="0" applyFont="1" applyFill="1" applyAlignment="1">
      <alignment wrapText="1"/>
    </xf>
    <xf numFmtId="9" fontId="31" fillId="5" borderId="36" xfId="2" applyFont="1" applyFill="1" applyBorder="1" applyAlignment="1">
      <alignment horizontal="center" wrapText="1"/>
    </xf>
    <xf numFmtId="0" fontId="26" fillId="16" borderId="10" xfId="0" applyFont="1" applyFill="1" applyBorder="1"/>
    <xf numFmtId="0" fontId="31" fillId="8" borderId="0" xfId="0" applyFont="1" applyFill="1" applyAlignment="1">
      <alignment horizontal="center"/>
    </xf>
    <xf numFmtId="0" fontId="30" fillId="16" borderId="32" xfId="0" applyFont="1" applyFill="1" applyBorder="1" applyAlignment="1">
      <alignment wrapText="1"/>
    </xf>
    <xf numFmtId="9" fontId="23" fillId="5" borderId="4" xfId="0" applyNumberFormat="1" applyFont="1" applyFill="1" applyBorder="1"/>
    <xf numFmtId="9" fontId="23" fillId="5" borderId="7" xfId="0" applyNumberFormat="1" applyFont="1" applyFill="1" applyBorder="1"/>
    <xf numFmtId="9" fontId="23" fillId="5" borderId="9" xfId="0" applyNumberFormat="1" applyFont="1" applyFill="1" applyBorder="1"/>
    <xf numFmtId="0" fontId="30" fillId="16" borderId="41" xfId="0" applyFont="1" applyFill="1" applyBorder="1"/>
    <xf numFmtId="9" fontId="23" fillId="5" borderId="7" xfId="2" applyFont="1" applyFill="1" applyBorder="1"/>
    <xf numFmtId="9" fontId="23" fillId="5" borderId="14" xfId="2" applyFont="1" applyFill="1" applyBorder="1"/>
    <xf numFmtId="0" fontId="29" fillId="8" borderId="0" xfId="0" applyFont="1" applyFill="1" applyBorder="1" applyAlignment="1">
      <alignment horizontal="centerContinuous" vertical="distributed" wrapText="1"/>
    </xf>
    <xf numFmtId="0" fontId="32" fillId="8" borderId="0" xfId="0" applyFont="1" applyFill="1" applyBorder="1" applyAlignment="1">
      <alignment horizontal="centerContinuous" wrapText="1"/>
    </xf>
    <xf numFmtId="9" fontId="31" fillId="5" borderId="36" xfId="2" applyFont="1" applyFill="1" applyBorder="1" applyAlignment="1">
      <alignment horizontal="right"/>
    </xf>
    <xf numFmtId="0" fontId="26" fillId="8" borderId="0" xfId="0" applyFont="1" applyFill="1"/>
    <xf numFmtId="0" fontId="30" fillId="16" borderId="38" xfId="0" applyFont="1" applyFill="1" applyBorder="1" applyAlignment="1">
      <alignment horizontal="centerContinuous" wrapText="1"/>
    </xf>
    <xf numFmtId="0" fontId="30" fillId="16" borderId="39" xfId="0" applyFont="1" applyFill="1" applyBorder="1" applyAlignment="1">
      <alignment horizontal="centerContinuous" wrapText="1"/>
    </xf>
    <xf numFmtId="0" fontId="30" fillId="16" borderId="16" xfId="0" applyFont="1" applyFill="1" applyBorder="1" applyAlignment="1">
      <alignment horizontal="centerContinuous" wrapText="1"/>
    </xf>
    <xf numFmtId="0" fontId="30" fillId="16" borderId="15" xfId="0" applyFont="1" applyFill="1" applyBorder="1"/>
    <xf numFmtId="9" fontId="31" fillId="5" borderId="55" xfId="2" applyFont="1" applyFill="1" applyBorder="1" applyAlignment="1">
      <alignment horizontal="right"/>
    </xf>
    <xf numFmtId="0" fontId="26" fillId="16" borderId="19" xfId="0" applyFont="1" applyFill="1" applyBorder="1"/>
    <xf numFmtId="0" fontId="30" fillId="16" borderId="17" xfId="0" applyFont="1" applyFill="1" applyBorder="1" applyAlignment="1">
      <alignment horizontal="center"/>
    </xf>
    <xf numFmtId="0" fontId="30" fillId="16" borderId="40" xfId="0" applyFont="1" applyFill="1" applyBorder="1" applyAlignment="1">
      <alignment horizontal="center"/>
    </xf>
    <xf numFmtId="9" fontId="31" fillId="5" borderId="43" xfId="2" applyFont="1" applyFill="1" applyBorder="1" applyAlignment="1">
      <alignment horizontal="right"/>
    </xf>
    <xf numFmtId="9" fontId="23" fillId="5" borderId="3" xfId="0" applyNumberFormat="1" applyFont="1" applyFill="1" applyBorder="1"/>
    <xf numFmtId="9" fontId="23" fillId="5" borderId="5" xfId="0" applyNumberFormat="1" applyFont="1" applyFill="1" applyBorder="1"/>
    <xf numFmtId="9" fontId="23" fillId="5" borderId="1" xfId="0" applyNumberFormat="1" applyFont="1" applyFill="1" applyBorder="1"/>
    <xf numFmtId="9" fontId="23" fillId="5" borderId="6" xfId="0" applyNumberFormat="1" applyFont="1" applyFill="1" applyBorder="1"/>
    <xf numFmtId="0" fontId="30" fillId="8" borderId="0" xfId="0" applyFont="1" applyFill="1" applyAlignment="1">
      <alignment wrapText="1"/>
    </xf>
    <xf numFmtId="9" fontId="23" fillId="8" borderId="0" xfId="0" applyNumberFormat="1" applyFont="1" applyFill="1"/>
    <xf numFmtId="9" fontId="31" fillId="5" borderId="46" xfId="2" applyFont="1" applyFill="1" applyBorder="1" applyAlignment="1">
      <alignment horizontal="right"/>
    </xf>
    <xf numFmtId="0" fontId="30" fillId="8" borderId="29" xfId="0" applyFont="1" applyFill="1" applyBorder="1"/>
    <xf numFmtId="9" fontId="31" fillId="8" borderId="29" xfId="2" applyFont="1" applyFill="1" applyBorder="1" applyAlignment="1">
      <alignment horizontal="right"/>
    </xf>
    <xf numFmtId="9" fontId="23" fillId="5" borderId="8" xfId="0" applyNumberFormat="1" applyFont="1" applyFill="1" applyBorder="1"/>
    <xf numFmtId="0" fontId="30" fillId="8" borderId="29" xfId="0" applyFont="1" applyFill="1" applyBorder="1" applyAlignment="1">
      <alignment wrapText="1"/>
    </xf>
    <xf numFmtId="9" fontId="23" fillId="8" borderId="29" xfId="0" applyNumberFormat="1" applyFont="1" applyFill="1" applyBorder="1"/>
    <xf numFmtId="0" fontId="30" fillId="8" borderId="0" xfId="0" applyFont="1" applyFill="1" applyAlignment="1">
      <alignment horizontal="center"/>
    </xf>
    <xf numFmtId="0" fontId="30" fillId="8" borderId="0" xfId="0" applyFont="1" applyFill="1"/>
    <xf numFmtId="3" fontId="23" fillId="0" borderId="36" xfId="0" applyNumberFormat="1" applyFont="1" applyBorder="1"/>
    <xf numFmtId="3" fontId="23" fillId="13" borderId="0" xfId="0" applyNumberFormat="1" applyFont="1" applyFill="1" applyBorder="1"/>
    <xf numFmtId="3" fontId="23" fillId="0" borderId="2" xfId="0" applyNumberFormat="1" applyFont="1" applyBorder="1" applyAlignment="1">
      <alignment horizontal="right"/>
    </xf>
    <xf numFmtId="3" fontId="23" fillId="0" borderId="3" xfId="0" applyNumberFormat="1" applyFont="1" applyBorder="1" applyAlignment="1">
      <alignment horizontal="right"/>
    </xf>
    <xf numFmtId="3" fontId="23" fillId="0" borderId="4" xfId="0" applyNumberFormat="1" applyFont="1" applyBorder="1" applyAlignment="1">
      <alignment horizontal="right"/>
    </xf>
    <xf numFmtId="164" fontId="23" fillId="13" borderId="0" xfId="2" applyNumberFormat="1" applyFont="1" applyFill="1" applyBorder="1"/>
    <xf numFmtId="0" fontId="23" fillId="0" borderId="0" xfId="0" applyFont="1"/>
    <xf numFmtId="0" fontId="23" fillId="10" borderId="0" xfId="0" applyFont="1" applyFill="1"/>
    <xf numFmtId="0" fontId="23" fillId="0" borderId="0" xfId="0" applyFont="1" applyFill="1"/>
    <xf numFmtId="0" fontId="26" fillId="0" borderId="2" xfId="0" applyFont="1" applyBorder="1" applyAlignment="1">
      <alignment horizontal="centerContinuous" wrapText="1"/>
    </xf>
    <xf numFmtId="0" fontId="26" fillId="0" borderId="4" xfId="0" applyFont="1" applyBorder="1" applyAlignment="1">
      <alignment horizontal="centerContinuous" wrapText="1"/>
    </xf>
    <xf numFmtId="0" fontId="23" fillId="8" borderId="0" xfId="0" applyFont="1" applyFill="1" applyAlignment="1">
      <alignment horizontal="left"/>
    </xf>
    <xf numFmtId="0" fontId="28" fillId="16" borderId="7" xfId="0" applyFont="1" applyFill="1" applyBorder="1"/>
    <xf numFmtId="0" fontId="23" fillId="5" borderId="8" xfId="0" applyFont="1" applyFill="1" applyBorder="1"/>
    <xf numFmtId="0" fontId="28" fillId="16" borderId="9" xfId="0" applyFont="1" applyFill="1" applyBorder="1"/>
    <xf numFmtId="0" fontId="23" fillId="0" borderId="25" xfId="0" applyFont="1" applyBorder="1"/>
    <xf numFmtId="0" fontId="23" fillId="0" borderId="32" xfId="0" applyFont="1" applyBorder="1" applyAlignment="1">
      <alignment horizontal="centerContinuous"/>
    </xf>
    <xf numFmtId="0" fontId="23" fillId="0" borderId="33" xfId="0" applyFont="1" applyBorder="1" applyAlignment="1">
      <alignment horizontal="centerContinuous"/>
    </xf>
    <xf numFmtId="0" fontId="23" fillId="0" borderId="34" xfId="0" applyFont="1" applyBorder="1" applyAlignment="1">
      <alignment horizontal="centerContinuous"/>
    </xf>
    <xf numFmtId="0" fontId="23" fillId="0" borderId="59" xfId="0" applyFont="1" applyBorder="1" applyAlignment="1">
      <alignment horizontal="centerContinuous" wrapText="1"/>
    </xf>
    <xf numFmtId="0" fontId="23" fillId="0" borderId="1" xfId="0" applyFont="1" applyBorder="1" applyAlignment="1">
      <alignment horizontal="centerContinuous" wrapText="1"/>
    </xf>
    <xf numFmtId="0" fontId="23" fillId="0" borderId="6" xfId="0" applyFont="1" applyBorder="1" applyAlignment="1">
      <alignment horizontal="centerContinuous" wrapText="1"/>
    </xf>
    <xf numFmtId="0" fontId="23" fillId="0" borderId="43" xfId="0" applyFont="1" applyBorder="1"/>
    <xf numFmtId="8" fontId="23" fillId="5" borderId="7" xfId="0" applyNumberFormat="1" applyFont="1" applyFill="1" applyBorder="1"/>
    <xf numFmtId="0" fontId="28" fillId="16" borderId="65" xfId="0" applyFont="1" applyFill="1" applyBorder="1"/>
    <xf numFmtId="0" fontId="28" fillId="16" borderId="6" xfId="0" applyFont="1" applyFill="1" applyBorder="1" applyAlignment="1">
      <alignment horizontal="right"/>
    </xf>
    <xf numFmtId="0" fontId="23" fillId="0" borderId="0" xfId="0" applyFont="1" applyAlignment="1">
      <alignment horizontal="left"/>
    </xf>
    <xf numFmtId="0" fontId="31" fillId="8" borderId="0" xfId="0" applyFont="1" applyFill="1" applyBorder="1"/>
    <xf numFmtId="0" fontId="28" fillId="16" borderId="19" xfId="0" applyFont="1" applyFill="1" applyBorder="1"/>
    <xf numFmtId="8" fontId="23" fillId="5" borderId="1" xfId="0" applyNumberFormat="1" applyFont="1" applyFill="1" applyBorder="1"/>
    <xf numFmtId="0" fontId="28" fillId="16" borderId="1" xfId="0" applyFont="1" applyFill="1" applyBorder="1"/>
    <xf numFmtId="8" fontId="23" fillId="5" borderId="59" xfId="0" applyNumberFormat="1" applyFont="1" applyFill="1" applyBorder="1"/>
    <xf numFmtId="0" fontId="28" fillId="16" borderId="43" xfId="0" applyFont="1" applyFill="1" applyBorder="1"/>
    <xf numFmtId="0" fontId="28" fillId="16" borderId="5" xfId="0" applyFont="1" applyFill="1" applyBorder="1"/>
    <xf numFmtId="8" fontId="23" fillId="5" borderId="8" xfId="0" applyNumberFormat="1" applyFont="1" applyFill="1" applyBorder="1"/>
    <xf numFmtId="0" fontId="28" fillId="16" borderId="8" xfId="0" applyFont="1" applyFill="1" applyBorder="1"/>
    <xf numFmtId="8" fontId="23" fillId="5" borderId="60" xfId="0" applyNumberFormat="1" applyFont="1" applyFill="1" applyBorder="1"/>
    <xf numFmtId="0" fontId="28" fillId="16" borderId="46" xfId="0" applyFont="1" applyFill="1" applyBorder="1"/>
    <xf numFmtId="0" fontId="23" fillId="8" borderId="0" xfId="0" applyFont="1" applyFill="1" applyBorder="1"/>
    <xf numFmtId="0" fontId="26" fillId="8" borderId="0" xfId="0" applyFont="1" applyFill="1" applyAlignment="1">
      <alignment horizontal="center" wrapText="1"/>
    </xf>
    <xf numFmtId="0" fontId="23" fillId="8" borderId="0" xfId="0" applyFont="1" applyFill="1" applyAlignment="1">
      <alignment horizontal="center" wrapText="1"/>
    </xf>
    <xf numFmtId="0" fontId="26" fillId="0" borderId="58" xfId="0" applyFont="1" applyBorder="1" applyAlignment="1">
      <alignment horizontal="centerContinuous" vertical="center" wrapText="1"/>
    </xf>
    <xf numFmtId="0" fontId="26" fillId="0" borderId="39" xfId="0" applyFont="1" applyBorder="1" applyAlignment="1">
      <alignment horizontal="centerContinuous" vertical="center" wrapText="1"/>
    </xf>
    <xf numFmtId="0" fontId="26" fillId="0" borderId="3" xfId="0" applyFont="1" applyBorder="1" applyAlignment="1">
      <alignment horizontal="centerContinuous" vertical="center" wrapText="1"/>
    </xf>
    <xf numFmtId="0" fontId="26" fillId="0" borderId="4" xfId="0" applyFont="1" applyBorder="1" applyAlignment="1">
      <alignment horizontal="centerContinuous" vertical="center" wrapText="1"/>
    </xf>
    <xf numFmtId="0" fontId="26" fillId="0" borderId="24" xfId="0" applyFont="1" applyBorder="1" applyAlignment="1">
      <alignment horizontal="centerContinuous" vertical="center" wrapText="1"/>
    </xf>
    <xf numFmtId="0" fontId="26" fillId="0" borderId="31" xfId="0" applyFont="1" applyBorder="1" applyAlignment="1">
      <alignment horizontal="centerContinuous" vertical="center" wrapText="1"/>
    </xf>
    <xf numFmtId="0" fontId="26" fillId="0" borderId="15" xfId="0" applyFont="1" applyBorder="1" applyAlignment="1">
      <alignment horizontal="centerContinuous" vertical="center" wrapText="1"/>
    </xf>
    <xf numFmtId="0" fontId="26" fillId="0" borderId="23" xfId="0" applyFont="1" applyBorder="1" applyAlignment="1">
      <alignment horizontal="centerContinuous" vertical="center" wrapText="1"/>
    </xf>
    <xf numFmtId="0" fontId="26" fillId="0" borderId="16" xfId="0" applyFont="1" applyBorder="1" applyAlignment="1">
      <alignment horizontal="centerContinuous" vertical="center" wrapText="1"/>
    </xf>
    <xf numFmtId="0" fontId="26" fillId="0" borderId="30" xfId="0" applyFont="1" applyBorder="1" applyAlignment="1">
      <alignment horizontal="centerContinuous" vertical="center" wrapText="1"/>
    </xf>
    <xf numFmtId="0" fontId="26" fillId="0" borderId="2" xfId="0" applyFont="1" applyBorder="1" applyAlignment="1">
      <alignment horizontal="centerContinuous" vertical="center" wrapText="1"/>
    </xf>
    <xf numFmtId="0" fontId="26" fillId="0" borderId="38" xfId="0" applyFont="1" applyBorder="1" applyAlignment="1">
      <alignment horizontal="centerContinuous" vertical="center" wrapText="1"/>
    </xf>
    <xf numFmtId="0" fontId="26" fillId="8" borderId="24" xfId="0" quotePrefix="1" applyFont="1" applyFill="1" applyBorder="1" applyAlignment="1">
      <alignment horizontal="center"/>
    </xf>
    <xf numFmtId="0" fontId="26" fillId="8" borderId="24" xfId="0" quotePrefix="1" applyFont="1" applyFill="1" applyBorder="1" applyAlignment="1">
      <alignment horizontal="center" vertical="center"/>
    </xf>
    <xf numFmtId="0" fontId="26" fillId="8" borderId="24" xfId="0" quotePrefix="1" applyFont="1" applyFill="1" applyBorder="1" applyAlignment="1">
      <alignment horizontal="left"/>
    </xf>
    <xf numFmtId="0" fontId="23" fillId="16" borderId="2" xfId="0" applyFont="1" applyFill="1" applyBorder="1"/>
    <xf numFmtId="0" fontId="32" fillId="8" borderId="0" xfId="0" applyFont="1" applyFill="1" applyBorder="1" applyAlignment="1">
      <alignment horizontal="center" wrapText="1"/>
    </xf>
    <xf numFmtId="0" fontId="26" fillId="8" borderId="0" xfId="0" applyFont="1" applyFill="1" applyAlignment="1">
      <alignment vertical="center"/>
    </xf>
    <xf numFmtId="0" fontId="23" fillId="8" borderId="0" xfId="0" applyFont="1" applyFill="1" applyAlignment="1">
      <alignment vertical="center"/>
    </xf>
    <xf numFmtId="0" fontId="0" fillId="8" borderId="0" xfId="0" applyFill="1" applyAlignment="1">
      <alignment vertical="center"/>
    </xf>
    <xf numFmtId="0" fontId="28" fillId="8" borderId="0" xfId="0" applyFont="1" applyFill="1" applyAlignment="1">
      <alignment vertical="center"/>
    </xf>
    <xf numFmtId="0" fontId="23" fillId="13" borderId="0" xfId="0" applyFont="1" applyFill="1" applyAlignment="1">
      <alignment horizontal="left" indent="1"/>
    </xf>
    <xf numFmtId="0" fontId="26" fillId="13" borderId="0" xfId="0" applyFont="1" applyFill="1" applyAlignment="1">
      <alignment horizontal="left" indent="1"/>
    </xf>
    <xf numFmtId="0" fontId="26" fillId="11" borderId="45" xfId="0" applyFont="1" applyFill="1" applyBorder="1" applyAlignment="1">
      <alignment horizontal="left" indent="1"/>
    </xf>
    <xf numFmtId="0" fontId="26" fillId="13" borderId="0" xfId="0" applyFont="1" applyFill="1" applyBorder="1" applyAlignment="1">
      <alignment horizontal="left" indent="1"/>
    </xf>
    <xf numFmtId="0" fontId="23" fillId="11" borderId="2" xfId="0" applyFont="1" applyFill="1" applyBorder="1" applyAlignment="1">
      <alignment horizontal="left" indent="1"/>
    </xf>
    <xf numFmtId="0" fontId="26" fillId="11" borderId="32" xfId="0" applyFont="1" applyFill="1" applyBorder="1" applyAlignment="1">
      <alignment horizontal="left" wrapText="1" indent="1"/>
    </xf>
    <xf numFmtId="0" fontId="26" fillId="11" borderId="41" xfId="0" applyFont="1" applyFill="1" applyBorder="1" applyAlignment="1">
      <alignment horizontal="left" wrapText="1" indent="1"/>
    </xf>
    <xf numFmtId="0" fontId="26" fillId="11" borderId="41" xfId="0" applyFont="1" applyFill="1" applyBorder="1" applyAlignment="1">
      <alignment horizontal="left" indent="1"/>
    </xf>
    <xf numFmtId="0" fontId="27" fillId="13" borderId="0" xfId="0" applyFont="1" applyFill="1" applyAlignment="1">
      <alignment horizontal="left" indent="1"/>
    </xf>
    <xf numFmtId="0" fontId="23" fillId="10" borderId="0" xfId="0" applyFont="1" applyFill="1" applyAlignment="1">
      <alignment horizontal="left" indent="1"/>
    </xf>
    <xf numFmtId="0" fontId="23" fillId="0" borderId="0" xfId="0" applyFont="1" applyFill="1" applyAlignment="1">
      <alignment horizontal="left" indent="1"/>
    </xf>
    <xf numFmtId="0" fontId="23" fillId="0" borderId="0" xfId="0" applyFont="1" applyAlignment="1">
      <alignment horizontal="left" indent="1"/>
    </xf>
    <xf numFmtId="0" fontId="26" fillId="13" borderId="0" xfId="0" applyFont="1" applyFill="1" applyAlignment="1">
      <alignment horizontal="left" vertical="center" indent="1"/>
    </xf>
    <xf numFmtId="0" fontId="26" fillId="11" borderId="41" xfId="0" applyFont="1" applyFill="1" applyBorder="1" applyAlignment="1">
      <alignment wrapText="1"/>
    </xf>
    <xf numFmtId="0" fontId="30" fillId="16" borderId="41" xfId="0" applyFont="1" applyFill="1" applyBorder="1" applyAlignment="1"/>
    <xf numFmtId="164" fontId="23" fillId="0" borderId="4" xfId="2" applyNumberFormat="1" applyFont="1" applyBorder="1" applyAlignment="1">
      <alignment horizontal="right"/>
    </xf>
    <xf numFmtId="0" fontId="23" fillId="13" borderId="0" xfId="0" applyFont="1" applyFill="1" applyAlignment="1">
      <alignment vertical="top"/>
    </xf>
    <xf numFmtId="0" fontId="26" fillId="11" borderId="58" xfId="0" applyFont="1" applyFill="1" applyBorder="1" applyAlignment="1">
      <alignment horizontal="left"/>
    </xf>
    <xf numFmtId="0" fontId="26" fillId="11" borderId="46" xfId="0" applyFont="1" applyFill="1" applyBorder="1" applyAlignment="1">
      <alignment horizontal="left"/>
    </xf>
    <xf numFmtId="3" fontId="23" fillId="0" borderId="2" xfId="0" applyNumberFormat="1" applyFont="1" applyBorder="1"/>
    <xf numFmtId="3" fontId="23" fillId="0" borderId="7" xfId="0" applyNumberFormat="1" applyFont="1" applyBorder="1"/>
    <xf numFmtId="0" fontId="23" fillId="13" borderId="0" xfId="0" applyFont="1" applyFill="1" applyBorder="1"/>
    <xf numFmtId="0" fontId="26" fillId="11" borderId="45" xfId="0" applyFont="1" applyFill="1" applyBorder="1" applyAlignment="1">
      <alignment horizontal="left" wrapText="1" indent="1"/>
    </xf>
    <xf numFmtId="3" fontId="23" fillId="8" borderId="62" xfId="0" applyNumberFormat="1" applyFont="1" applyFill="1" applyBorder="1"/>
    <xf numFmtId="172" fontId="23" fillId="13" borderId="0" xfId="1" applyNumberFormat="1" applyFont="1" applyFill="1" applyBorder="1"/>
    <xf numFmtId="0" fontId="0" fillId="13" borderId="0" xfId="0" applyFill="1" applyBorder="1"/>
    <xf numFmtId="165" fontId="23" fillId="0" borderId="62" xfId="1" applyNumberFormat="1" applyFont="1" applyBorder="1"/>
    <xf numFmtId="0" fontId="23" fillId="13" borderId="0" xfId="0" applyFont="1" applyFill="1" applyAlignment="1">
      <alignment vertical="center"/>
    </xf>
    <xf numFmtId="0" fontId="29" fillId="8" borderId="0" xfId="0" applyFont="1" applyFill="1" applyBorder="1" applyAlignment="1">
      <alignment horizontal="center" vertical="distributed" wrapText="1"/>
    </xf>
    <xf numFmtId="0" fontId="29" fillId="8" borderId="0" xfId="0" applyFont="1" applyFill="1" applyBorder="1" applyAlignment="1">
      <alignment horizontal="center"/>
    </xf>
    <xf numFmtId="0" fontId="23" fillId="8" borderId="0" xfId="0" applyFont="1" applyFill="1" applyAlignment="1">
      <alignment horizontal="left" vertical="top" wrapText="1"/>
    </xf>
    <xf numFmtId="0" fontId="23" fillId="8" borderId="0" xfId="0" applyFont="1" applyFill="1" applyBorder="1" applyAlignment="1">
      <alignment horizontal="left" vertical="top"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18" fillId="8" borderId="0" xfId="0" applyFont="1" applyFill="1" applyAlignment="1">
      <alignment horizontal="center"/>
    </xf>
  </cellXfs>
  <cellStyles count="5">
    <cellStyle name="Comma" xfId="1" builtinId="3"/>
    <cellStyle name="Hyperlink" xfId="4" builtinId="8"/>
    <cellStyle name="Normal" xfId="0" builtinId="0"/>
    <cellStyle name="Normal 2" xfId="3"/>
    <cellStyle name="Percent" xfId="2" builtinId="5"/>
  </cellStyles>
  <dxfs count="148">
    <dxf>
      <fill>
        <patternFill>
          <bgColor theme="0" tint="-4.9989318521683403E-2"/>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2108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1801167065427"/>
          <c:y val="7.7913279132791322E-2"/>
          <c:w val="0.58648158986883192"/>
          <c:h val="0.84686639779783612"/>
        </c:manualLayout>
      </c:layout>
      <c:barChart>
        <c:barDir val="col"/>
        <c:grouping val="stacked"/>
        <c:varyColors val="0"/>
        <c:ser>
          <c:idx val="0"/>
          <c:order val="0"/>
          <c:tx>
            <c:strRef>
              <c:f>Results!$BC$70</c:f>
              <c:strCache>
                <c:ptCount val="1"/>
                <c:pt idx="0">
                  <c:v>Public Facility</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Results!$BE$69:$BG$69</c:f>
              <c:strCache>
                <c:ptCount val="3"/>
                <c:pt idx="0">
                  <c:v>2019</c:v>
                </c:pt>
                <c:pt idx="1">
                  <c:v>Status Quo</c:v>
                </c:pt>
                <c:pt idx="2">
                  <c:v>TMA Scenario</c:v>
                </c:pt>
              </c:strCache>
            </c:strRef>
          </c:cat>
          <c:val>
            <c:numRef>
              <c:f>Results!$BE$70:$BG$70</c:f>
              <c:numCache>
                <c:formatCode>_(* #,##0_);_(* \(#,##0\);_(* "-"??_);_(@_)</c:formatCode>
                <c:ptCount val="3"/>
                <c:pt idx="0">
                  <c:v>20110324.078921448</c:v>
                </c:pt>
                <c:pt idx="1">
                  <c:v>26936945.070681028</c:v>
                </c:pt>
                <c:pt idx="2">
                  <c:v>24690814.601907279</c:v>
                </c:pt>
              </c:numCache>
            </c:numRef>
          </c:val>
          <c:extLst xmlns:c16r2="http://schemas.microsoft.com/office/drawing/2015/06/chart">
            <c:ext xmlns:c16="http://schemas.microsoft.com/office/drawing/2014/chart" uri="{C3380CC4-5D6E-409C-BE32-E72D297353CC}">
              <c16:uniqueId val="{00000003-2BAF-45CB-AA4F-134770CBD052}"/>
            </c:ext>
          </c:extLst>
        </c:ser>
        <c:ser>
          <c:idx val="1"/>
          <c:order val="1"/>
          <c:tx>
            <c:strRef>
              <c:f>Results!$BC$71</c:f>
              <c:strCache>
                <c:ptCount val="1"/>
                <c:pt idx="0">
                  <c:v>Public Outreach</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Results!$BE$69:$BG$69</c:f>
              <c:strCache>
                <c:ptCount val="3"/>
                <c:pt idx="0">
                  <c:v>2019</c:v>
                </c:pt>
                <c:pt idx="1">
                  <c:v>Status Quo</c:v>
                </c:pt>
                <c:pt idx="2">
                  <c:v>TMA Scenario</c:v>
                </c:pt>
              </c:strCache>
            </c:strRef>
          </c:cat>
          <c:val>
            <c:numRef>
              <c:f>Results!$BE$71:$BG$71</c:f>
              <c:numCache>
                <c:formatCode>_(* #,##0_);_(* \(#,##0\);_(* "-"??_);_(@_)</c:formatCode>
                <c:ptCount val="3"/>
                <c:pt idx="0">
                  <c:v>2878833.4931425466</c:v>
                </c:pt>
                <c:pt idx="1">
                  <c:v>2896681.8251890838</c:v>
                </c:pt>
                <c:pt idx="2">
                  <c:v>2350341.540913912</c:v>
                </c:pt>
              </c:numCache>
            </c:numRef>
          </c:val>
          <c:extLst xmlns:c16r2="http://schemas.microsoft.com/office/drawing/2015/06/chart">
            <c:ext xmlns:c16="http://schemas.microsoft.com/office/drawing/2014/chart" uri="{C3380CC4-5D6E-409C-BE32-E72D297353CC}">
              <c16:uniqueId val="{00000007-2BAF-45CB-AA4F-134770CBD052}"/>
            </c:ext>
          </c:extLst>
        </c:ser>
        <c:ser>
          <c:idx val="2"/>
          <c:order val="2"/>
          <c:tx>
            <c:strRef>
              <c:f>Results!$BC$72</c:f>
              <c:strCache>
                <c:ptCount val="1"/>
                <c:pt idx="0">
                  <c:v>Social Marketing</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Results!$BE$69:$BG$69</c:f>
              <c:strCache>
                <c:ptCount val="3"/>
                <c:pt idx="0">
                  <c:v>2019</c:v>
                </c:pt>
                <c:pt idx="1">
                  <c:v>Status Quo</c:v>
                </c:pt>
                <c:pt idx="2">
                  <c:v>TMA Scenario</c:v>
                </c:pt>
              </c:strCache>
            </c:strRef>
          </c:cat>
          <c:val>
            <c:numRef>
              <c:f>Results!$BE$72:$BG$72</c:f>
              <c:numCache>
                <c:formatCode>_(* #,##0_);_(* \(#,##0\);_(* "-"??_);_(@_)</c:formatCode>
                <c:ptCount val="3"/>
                <c:pt idx="0">
                  <c:v>16820791.668835033</c:v>
                </c:pt>
                <c:pt idx="1">
                  <c:v>20056345.695618346</c:v>
                </c:pt>
                <c:pt idx="2">
                  <c:v>15961034.183872461</c:v>
                </c:pt>
              </c:numCache>
            </c:numRef>
          </c:val>
          <c:extLst xmlns:c16r2="http://schemas.microsoft.com/office/drawing/2015/06/chart">
            <c:ext xmlns:c16="http://schemas.microsoft.com/office/drawing/2014/chart" uri="{C3380CC4-5D6E-409C-BE32-E72D297353CC}">
              <c16:uniqueId val="{0000000B-2BAF-45CB-AA4F-134770CBD052}"/>
            </c:ext>
          </c:extLst>
        </c:ser>
        <c:ser>
          <c:idx val="3"/>
          <c:order val="3"/>
          <c:tx>
            <c:strRef>
              <c:f>Results!$BC$73</c:f>
              <c:strCache>
                <c:ptCount val="1"/>
                <c:pt idx="0">
                  <c:v>Social Marketing Non-Traditional</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Results!$BE$69:$BG$69</c:f>
              <c:strCache>
                <c:ptCount val="3"/>
                <c:pt idx="0">
                  <c:v>2019</c:v>
                </c:pt>
                <c:pt idx="1">
                  <c:v>Status Quo</c:v>
                </c:pt>
                <c:pt idx="2">
                  <c:v>TMA Scenario</c:v>
                </c:pt>
              </c:strCache>
            </c:strRef>
          </c:cat>
          <c:val>
            <c:numRef>
              <c:f>Results!$BE$73:$BG$73</c:f>
              <c:numCache>
                <c:formatCode>_(* #,##0_);_(* \(#,##0\);_(* "-"??_);_(@_)</c:formatCode>
                <c:ptCount val="3"/>
                <c:pt idx="0">
                  <c:v>434355.35764704866</c:v>
                </c:pt>
                <c:pt idx="1">
                  <c:v>3.1604649424739429E-11</c:v>
                </c:pt>
                <c:pt idx="2">
                  <c:v>3.1604649424739429E-11</c:v>
                </c:pt>
              </c:numCache>
            </c:numRef>
          </c:val>
          <c:extLst xmlns:c16r2="http://schemas.microsoft.com/office/drawing/2015/06/chart">
            <c:ext xmlns:c16="http://schemas.microsoft.com/office/drawing/2014/chart" uri="{C3380CC4-5D6E-409C-BE32-E72D297353CC}">
              <c16:uniqueId val="{0000000F-2BAF-45CB-AA4F-134770CBD052}"/>
            </c:ext>
          </c:extLst>
        </c:ser>
        <c:ser>
          <c:idx val="4"/>
          <c:order val="4"/>
          <c:tx>
            <c:strRef>
              <c:f>Results!$BC$74</c:f>
              <c:strCache>
                <c:ptCount val="1"/>
                <c:pt idx="0">
                  <c:v>Private Commercial</c:v>
                </c:pt>
              </c:strCache>
            </c:strRef>
          </c:tx>
          <c:spPr>
            <a:solidFill>
              <a:srgbClr val="7030A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Results!$BE$69:$BG$69</c:f>
              <c:strCache>
                <c:ptCount val="3"/>
                <c:pt idx="0">
                  <c:v>2019</c:v>
                </c:pt>
                <c:pt idx="1">
                  <c:v>Status Quo</c:v>
                </c:pt>
                <c:pt idx="2">
                  <c:v>TMA Scenario</c:v>
                </c:pt>
              </c:strCache>
            </c:strRef>
          </c:cat>
          <c:val>
            <c:numRef>
              <c:f>Results!$BE$74:$BG$74</c:f>
              <c:numCache>
                <c:formatCode>_(* #,##0_);_(* \(#,##0\);_(* "-"??_);_(@_)</c:formatCode>
                <c:ptCount val="3"/>
                <c:pt idx="0">
                  <c:v>1729788.5731559228</c:v>
                </c:pt>
                <c:pt idx="1">
                  <c:v>2072532.4760733303</c:v>
                </c:pt>
                <c:pt idx="2">
                  <c:v>8967458.7349269092</c:v>
                </c:pt>
              </c:numCache>
            </c:numRef>
          </c:val>
          <c:extLst xmlns:c16r2="http://schemas.microsoft.com/office/drawing/2015/06/chart">
            <c:ext xmlns:c16="http://schemas.microsoft.com/office/drawing/2014/chart" uri="{C3380CC4-5D6E-409C-BE32-E72D297353CC}">
              <c16:uniqueId val="{00000013-2BAF-45CB-AA4F-134770CBD052}"/>
            </c:ext>
          </c:extLst>
        </c:ser>
        <c:ser>
          <c:idx val="5"/>
          <c:order val="5"/>
          <c:tx>
            <c:strRef>
              <c:f>Results!$BC$75</c:f>
              <c:strCache>
                <c:ptCount val="1"/>
                <c:pt idx="0">
                  <c:v>Women Newly Reached</c:v>
                </c:pt>
              </c:strCache>
            </c:strRef>
          </c:tx>
          <c:spPr>
            <a:solidFill>
              <a:schemeClr val="accent2"/>
            </a:solidFill>
            <a:ln>
              <a:noFill/>
            </a:ln>
            <a:effectLst/>
          </c:spPr>
          <c:invertIfNegative val="0"/>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79-43F4-BDF3-62168028D8D8}"/>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7AF-4125-987F-78A92911A814}"/>
                </c:ext>
              </c:extLst>
            </c:dLbl>
            <c:dLbl>
              <c:idx val="2"/>
              <c:layout>
                <c:manualLayout>
                  <c:x val="0"/>
                  <c:y val="-3.228015011078539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7AF-4125-987F-78A92911A8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Results!$BE$69:$BG$69</c:f>
              <c:strCache>
                <c:ptCount val="3"/>
                <c:pt idx="0">
                  <c:v>2019</c:v>
                </c:pt>
                <c:pt idx="1">
                  <c:v>Status Quo</c:v>
                </c:pt>
                <c:pt idx="2">
                  <c:v>TMA Scenario</c:v>
                </c:pt>
              </c:strCache>
            </c:strRef>
          </c:cat>
          <c:val>
            <c:numRef>
              <c:f>Results!$BE$75:$BG$75</c:f>
              <c:numCache>
                <c:formatCode>_(* #,##0_);_(* \(#,##0\);_(* "-"??_);_(@_)</c:formatCode>
                <c:ptCount val="3"/>
                <c:pt idx="0">
                  <c:v>0</c:v>
                </c:pt>
                <c:pt idx="1">
                  <c:v>0</c:v>
                </c:pt>
                <c:pt idx="2">
                  <c:v>1253036.5892932517</c:v>
                </c:pt>
              </c:numCache>
            </c:numRef>
          </c:val>
          <c:extLst xmlns:c16r2="http://schemas.microsoft.com/office/drawing/2015/06/chart">
            <c:ext xmlns:c16="http://schemas.microsoft.com/office/drawing/2014/chart" uri="{C3380CC4-5D6E-409C-BE32-E72D297353CC}">
              <c16:uniqueId val="{00000014-2BAF-45CB-AA4F-134770CBD052}"/>
            </c:ext>
          </c:extLst>
        </c:ser>
        <c:dLbls>
          <c:dLblPos val="ctr"/>
          <c:showLegendKey val="0"/>
          <c:showVal val="1"/>
          <c:showCatName val="0"/>
          <c:showSerName val="0"/>
          <c:showPercent val="0"/>
          <c:showBubbleSize val="0"/>
        </c:dLbls>
        <c:gapWidth val="50"/>
        <c:overlap val="100"/>
        <c:axId val="172320256"/>
        <c:axId val="172321792"/>
      </c:barChart>
      <c:catAx>
        <c:axId val="17232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2321792"/>
        <c:crosses val="autoZero"/>
        <c:auto val="1"/>
        <c:lblAlgn val="ctr"/>
        <c:lblOffset val="100"/>
        <c:noMultiLvlLbl val="0"/>
      </c:catAx>
      <c:valAx>
        <c:axId val="1723217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2320256"/>
        <c:crosses val="autoZero"/>
        <c:crossBetween val="between"/>
      </c:valAx>
      <c:spPr>
        <a:noFill/>
        <a:ln>
          <a:noFill/>
        </a:ln>
        <a:effectLst/>
      </c:spPr>
    </c:plotArea>
    <c:legend>
      <c:legendPos val="r"/>
      <c:layout>
        <c:manualLayout>
          <c:xMode val="edge"/>
          <c:yMode val="edge"/>
          <c:x val="0.76003747660299048"/>
          <c:y val="0.5757948701534259"/>
          <c:w val="0.22025160989705142"/>
          <c:h val="0.342990205492606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Franklin Gothic Book" panose="020B05030201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9632289031688"/>
          <c:y val="7.880346160401118E-2"/>
          <c:w val="0.59747655243821918"/>
          <c:h val="0.84287674821312486"/>
        </c:manualLayout>
      </c:layout>
      <c:barChart>
        <c:barDir val="col"/>
        <c:grouping val="stacked"/>
        <c:varyColors val="0"/>
        <c:ser>
          <c:idx val="0"/>
          <c:order val="0"/>
          <c:tx>
            <c:strRef>
              <c:f>Results!$AD$70</c:f>
              <c:strCache>
                <c:ptCount val="1"/>
                <c:pt idx="0">
                  <c:v>Public Facility</c:v>
                </c:pt>
              </c:strCache>
            </c:strRef>
          </c:tx>
          <c:spPr>
            <a:solidFill>
              <a:schemeClr val="accent1"/>
            </a:solidFill>
            <a:ln>
              <a:noFill/>
            </a:ln>
            <a:effectLst/>
          </c:spPr>
          <c:invertIfNegative val="0"/>
          <c:dLbls>
            <c:spPr>
              <a:noFill/>
              <a:ln>
                <a:noFill/>
              </a:ln>
              <a:effectLst/>
            </c:spPr>
            <c:txPr>
              <a:bodyPr rot="0" vert="horz"/>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Results!$AE$69:$AG$69</c:f>
              <c:strCache>
                <c:ptCount val="3"/>
                <c:pt idx="0">
                  <c:v>2019</c:v>
                </c:pt>
                <c:pt idx="1">
                  <c:v>Status Quo</c:v>
                </c:pt>
                <c:pt idx="2">
                  <c:v>TMA Scenario</c:v>
                </c:pt>
              </c:strCache>
            </c:strRef>
          </c:cat>
          <c:val>
            <c:numRef>
              <c:f>Results!$AE$70:$AG$70</c:f>
              <c:numCache>
                <c:formatCode>_(* #,##0_);_(* \(#,##0\);_(* "-"??_);_(@_)</c:formatCode>
                <c:ptCount val="3"/>
                <c:pt idx="0">
                  <c:v>1771040.0393091775</c:v>
                </c:pt>
                <c:pt idx="1">
                  <c:v>2429313.7171857511</c:v>
                </c:pt>
                <c:pt idx="2">
                  <c:v>2242652.1324291201</c:v>
                </c:pt>
              </c:numCache>
            </c:numRef>
          </c:val>
          <c:extLst xmlns:c16r2="http://schemas.microsoft.com/office/drawing/2015/06/chart">
            <c:ext xmlns:c16="http://schemas.microsoft.com/office/drawing/2014/chart" uri="{C3380CC4-5D6E-409C-BE32-E72D297353CC}">
              <c16:uniqueId val="{00000003-BC65-4B05-B589-D5D5AD82D56B}"/>
            </c:ext>
          </c:extLst>
        </c:ser>
        <c:ser>
          <c:idx val="1"/>
          <c:order val="1"/>
          <c:tx>
            <c:strRef>
              <c:f>Results!$AD$71</c:f>
              <c:strCache>
                <c:ptCount val="1"/>
                <c:pt idx="0">
                  <c:v>Public Outreach</c:v>
                </c:pt>
              </c:strCache>
            </c:strRef>
          </c:tx>
          <c:spPr>
            <a:solidFill>
              <a:schemeClr val="tx1"/>
            </a:solidFill>
            <a:ln>
              <a:noFill/>
            </a:ln>
            <a:effectLst/>
          </c:spPr>
          <c:invertIfNegative val="0"/>
          <c:dLbls>
            <c:spPr>
              <a:noFill/>
              <a:ln>
                <a:noFill/>
              </a:ln>
              <a:effectLst/>
            </c:spPr>
            <c:txPr>
              <a:bodyPr rot="0" vert="horz"/>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Results!$AE$69:$AG$69</c:f>
              <c:strCache>
                <c:ptCount val="3"/>
                <c:pt idx="0">
                  <c:v>2019</c:v>
                </c:pt>
                <c:pt idx="1">
                  <c:v>Status Quo</c:v>
                </c:pt>
                <c:pt idx="2">
                  <c:v>TMA Scenario</c:v>
                </c:pt>
              </c:strCache>
            </c:strRef>
          </c:cat>
          <c:val>
            <c:numRef>
              <c:f>Results!$AE$71:$AG$71</c:f>
              <c:numCache>
                <c:formatCode>_(* #,##0_);_(* \(#,##0\);_(* "-"??_);_(@_)</c:formatCode>
                <c:ptCount val="3"/>
                <c:pt idx="0">
                  <c:v>122959.04079012171</c:v>
                </c:pt>
                <c:pt idx="1">
                  <c:v>167884.57832093042</c:v>
                </c:pt>
                <c:pt idx="2">
                  <c:v>150417.6202233863</c:v>
                </c:pt>
              </c:numCache>
            </c:numRef>
          </c:val>
          <c:extLst xmlns:c16r2="http://schemas.microsoft.com/office/drawing/2015/06/chart">
            <c:ext xmlns:c16="http://schemas.microsoft.com/office/drawing/2014/chart" uri="{C3380CC4-5D6E-409C-BE32-E72D297353CC}">
              <c16:uniqueId val="{00000007-BC65-4B05-B589-D5D5AD82D56B}"/>
            </c:ext>
          </c:extLst>
        </c:ser>
        <c:ser>
          <c:idx val="2"/>
          <c:order val="2"/>
          <c:tx>
            <c:strRef>
              <c:f>Results!$AD$72</c:f>
              <c:strCache>
                <c:ptCount val="1"/>
                <c:pt idx="0">
                  <c:v>Social Marketing</c:v>
                </c:pt>
              </c:strCache>
            </c:strRef>
          </c:tx>
          <c:spPr>
            <a:solidFill>
              <a:schemeClr val="accent3"/>
            </a:solidFill>
            <a:ln>
              <a:noFill/>
            </a:ln>
            <a:effectLst/>
          </c:spPr>
          <c:invertIfNegative val="0"/>
          <c:dLbls>
            <c:spPr>
              <a:noFill/>
              <a:ln>
                <a:noFill/>
              </a:ln>
              <a:effectLst/>
            </c:spPr>
            <c:txPr>
              <a:bodyPr rot="0" vert="horz"/>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Results!$AE$69:$AG$69</c:f>
              <c:strCache>
                <c:ptCount val="3"/>
                <c:pt idx="0">
                  <c:v>2019</c:v>
                </c:pt>
                <c:pt idx="1">
                  <c:v>Status Quo</c:v>
                </c:pt>
                <c:pt idx="2">
                  <c:v>TMA Scenario</c:v>
                </c:pt>
              </c:strCache>
            </c:strRef>
          </c:cat>
          <c:val>
            <c:numRef>
              <c:f>Results!$AE$72:$AG$72</c:f>
              <c:numCache>
                <c:formatCode>_(* #,##0_);_(* \(#,##0\);_(* "-"??_);_(@_)</c:formatCode>
                <c:ptCount val="3"/>
                <c:pt idx="0">
                  <c:v>929624.90942062414</c:v>
                </c:pt>
                <c:pt idx="1">
                  <c:v>1038091.1062086012</c:v>
                </c:pt>
                <c:pt idx="2">
                  <c:v>1004177.8353047421</c:v>
                </c:pt>
              </c:numCache>
            </c:numRef>
          </c:val>
          <c:extLst xmlns:c16r2="http://schemas.microsoft.com/office/drawing/2015/06/chart">
            <c:ext xmlns:c16="http://schemas.microsoft.com/office/drawing/2014/chart" uri="{C3380CC4-5D6E-409C-BE32-E72D297353CC}">
              <c16:uniqueId val="{0000000B-BC65-4B05-B589-D5D5AD82D56B}"/>
            </c:ext>
          </c:extLst>
        </c:ser>
        <c:ser>
          <c:idx val="3"/>
          <c:order val="3"/>
          <c:tx>
            <c:strRef>
              <c:f>Results!$AD$73</c:f>
              <c:strCache>
                <c:ptCount val="1"/>
                <c:pt idx="0">
                  <c:v>Social Marketing Non-Traditional</c:v>
                </c:pt>
              </c:strCache>
            </c:strRef>
          </c:tx>
          <c:spPr>
            <a:solidFill>
              <a:schemeClr val="accent4"/>
            </a:solidFill>
            <a:ln>
              <a:noFill/>
            </a:ln>
            <a:effectLst/>
          </c:spPr>
          <c:invertIfNegative val="0"/>
          <c:dLbls>
            <c:spPr>
              <a:noFill/>
              <a:ln>
                <a:noFill/>
              </a:ln>
              <a:effectLst/>
            </c:spPr>
            <c:txPr>
              <a:bodyPr rot="0" vert="horz"/>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Results!$AE$69:$AG$69</c:f>
              <c:strCache>
                <c:ptCount val="3"/>
                <c:pt idx="0">
                  <c:v>2019</c:v>
                </c:pt>
                <c:pt idx="1">
                  <c:v>Status Quo</c:v>
                </c:pt>
                <c:pt idx="2">
                  <c:v>TMA Scenario</c:v>
                </c:pt>
              </c:strCache>
            </c:strRef>
          </c:cat>
          <c:val>
            <c:numRef>
              <c:f>Results!$AE$73:$AG$73</c:f>
              <c:numCache>
                <c:formatCode>_(* #,##0_);_(* \(#,##0\);_(* "-"??_);_(@_)</c:formatCode>
                <c:ptCount val="3"/>
                <c:pt idx="0">
                  <c:v>4432.1975270107005</c:v>
                </c:pt>
                <c:pt idx="1">
                  <c:v>3.2249642270142274E-13</c:v>
                </c:pt>
                <c:pt idx="2">
                  <c:v>3.2249642270142274E-13</c:v>
                </c:pt>
              </c:numCache>
            </c:numRef>
          </c:val>
          <c:extLst xmlns:c16r2="http://schemas.microsoft.com/office/drawing/2015/06/chart">
            <c:ext xmlns:c16="http://schemas.microsoft.com/office/drawing/2014/chart" uri="{C3380CC4-5D6E-409C-BE32-E72D297353CC}">
              <c16:uniqueId val="{0000000F-BC65-4B05-B589-D5D5AD82D56B}"/>
            </c:ext>
          </c:extLst>
        </c:ser>
        <c:ser>
          <c:idx val="4"/>
          <c:order val="4"/>
          <c:tx>
            <c:strRef>
              <c:f>Results!$AD$74</c:f>
              <c:strCache>
                <c:ptCount val="1"/>
                <c:pt idx="0">
                  <c:v>Private Commercial</c:v>
                </c:pt>
              </c:strCache>
            </c:strRef>
          </c:tx>
          <c:spPr>
            <a:solidFill>
              <a:srgbClr val="7030A0"/>
            </a:solidFill>
            <a:ln>
              <a:noFill/>
            </a:ln>
            <a:effectLst/>
          </c:spPr>
          <c:invertIfNegative val="0"/>
          <c:dLbls>
            <c:spPr>
              <a:noFill/>
              <a:ln>
                <a:noFill/>
              </a:ln>
              <a:effectLst/>
            </c:spPr>
            <c:txPr>
              <a:bodyPr rot="0" vert="horz"/>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Results!$AE$69:$AG$69</c:f>
              <c:strCache>
                <c:ptCount val="3"/>
                <c:pt idx="0">
                  <c:v>2019</c:v>
                </c:pt>
                <c:pt idx="1">
                  <c:v>Status Quo</c:v>
                </c:pt>
                <c:pt idx="2">
                  <c:v>TMA Scenario</c:v>
                </c:pt>
              </c:strCache>
            </c:strRef>
          </c:cat>
          <c:val>
            <c:numRef>
              <c:f>Results!$AE$74:$AG$74</c:f>
              <c:numCache>
                <c:formatCode>_(* #,##0_);_(* \(#,##0\);_(* "-"??_);_(@_)</c:formatCode>
                <c:ptCount val="3"/>
                <c:pt idx="0">
                  <c:v>140003.32638940171</c:v>
                </c:pt>
                <c:pt idx="1">
                  <c:v>189678.06359607261</c:v>
                </c:pt>
                <c:pt idx="2">
                  <c:v>429505.87586879893</c:v>
                </c:pt>
              </c:numCache>
            </c:numRef>
          </c:val>
          <c:extLst xmlns:c16r2="http://schemas.microsoft.com/office/drawing/2015/06/chart">
            <c:ext xmlns:c16="http://schemas.microsoft.com/office/drawing/2014/chart" uri="{C3380CC4-5D6E-409C-BE32-E72D297353CC}">
              <c16:uniqueId val="{00000013-BC65-4B05-B589-D5D5AD82D56B}"/>
            </c:ext>
          </c:extLst>
        </c:ser>
        <c:ser>
          <c:idx val="5"/>
          <c:order val="5"/>
          <c:tx>
            <c:strRef>
              <c:f>Results!$AD$75</c:f>
              <c:strCache>
                <c:ptCount val="1"/>
                <c:pt idx="0">
                  <c:v>Women Newly Reached</c:v>
                </c:pt>
              </c:strCache>
            </c:strRef>
          </c:tx>
          <c:spPr>
            <a:solidFill>
              <a:schemeClr val="accent2"/>
            </a:solidFill>
            <a:ln>
              <a:noFill/>
            </a:ln>
            <a:effectLst/>
          </c:spPr>
          <c:invertIfNegative val="0"/>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291-42F5-BFF7-3DCD455002B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291-42F5-BFF7-3DCD455002BD}"/>
                </c:ext>
              </c:extLst>
            </c:dLbl>
            <c:dLbl>
              <c:idx val="2"/>
              <c:layout>
                <c:manualLayout>
                  <c:x val="-7.0432966171327002E-17"/>
                  <c:y val="-2.804280532858217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291-42F5-BFF7-3DCD455002BD}"/>
                </c:ext>
              </c:extLst>
            </c:dLbl>
            <c:spPr>
              <a:noFill/>
              <a:ln>
                <a:noFill/>
              </a:ln>
              <a:effectLst/>
            </c:spPr>
            <c:txPr>
              <a:bodyPr rot="0" vert="horz"/>
              <a:lstStyle/>
              <a:p>
                <a:pPr>
                  <a:defRPr b="1"/>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Results!$AE$69:$AG$69</c:f>
              <c:strCache>
                <c:ptCount val="3"/>
                <c:pt idx="0">
                  <c:v>2019</c:v>
                </c:pt>
                <c:pt idx="1">
                  <c:v>Status Quo</c:v>
                </c:pt>
                <c:pt idx="2">
                  <c:v>TMA Scenario</c:v>
                </c:pt>
              </c:strCache>
            </c:strRef>
          </c:cat>
          <c:val>
            <c:numRef>
              <c:f>Results!$AE$75:$AG$75</c:f>
              <c:numCache>
                <c:formatCode>_(* #,##0_);_(* \(#,##0\);_(* "-"??_);_(@_)</c:formatCode>
                <c:ptCount val="3"/>
                <c:pt idx="0">
                  <c:v>0</c:v>
                </c:pt>
                <c:pt idx="1">
                  <c:v>0</c:v>
                </c:pt>
                <c:pt idx="2">
                  <c:v>80238.385602467461</c:v>
                </c:pt>
              </c:numCache>
            </c:numRef>
          </c:val>
          <c:extLst xmlns:c16r2="http://schemas.microsoft.com/office/drawing/2015/06/chart">
            <c:ext xmlns:c16="http://schemas.microsoft.com/office/drawing/2014/chart" uri="{C3380CC4-5D6E-409C-BE32-E72D297353CC}">
              <c16:uniqueId val="{00000017-BC65-4B05-B589-D5D5AD82D56B}"/>
            </c:ext>
          </c:extLst>
        </c:ser>
        <c:dLbls>
          <c:dLblPos val="ctr"/>
          <c:showLegendKey val="0"/>
          <c:showVal val="1"/>
          <c:showCatName val="0"/>
          <c:showSerName val="0"/>
          <c:showPercent val="0"/>
          <c:showBubbleSize val="0"/>
        </c:dLbls>
        <c:gapWidth val="50"/>
        <c:overlap val="100"/>
        <c:axId val="174917504"/>
        <c:axId val="174919040"/>
      </c:barChart>
      <c:catAx>
        <c:axId val="17491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74919040"/>
        <c:crosses val="autoZero"/>
        <c:auto val="1"/>
        <c:lblAlgn val="ctr"/>
        <c:lblOffset val="100"/>
        <c:noMultiLvlLbl val="0"/>
      </c:catAx>
      <c:valAx>
        <c:axId val="17491904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vert="horz"/>
          <a:lstStyle/>
          <a:p>
            <a:pPr>
              <a:defRPr/>
            </a:pPr>
            <a:endParaRPr lang="en-US"/>
          </a:p>
        </c:txPr>
        <c:crossAx val="174917504"/>
        <c:crosses val="autoZero"/>
        <c:crossBetween val="between"/>
      </c:valAx>
      <c:spPr>
        <a:noFill/>
        <a:ln>
          <a:noFill/>
        </a:ln>
        <a:effectLst/>
      </c:spPr>
    </c:plotArea>
    <c:legend>
      <c:legendPos val="r"/>
      <c:layout>
        <c:manualLayout>
          <c:xMode val="edge"/>
          <c:yMode val="edge"/>
          <c:x val="0.74743115441889918"/>
          <c:y val="0.53212430381824272"/>
          <c:w val="0.24981102197755956"/>
          <c:h val="0.3864739801081909"/>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Franklin Gothic Book" panose="020B05030201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2651034339367E-2"/>
          <c:y val="1.8381926656758266E-2"/>
          <c:w val="0.65850368311001051"/>
          <c:h val="0.89224140657116657"/>
        </c:manualLayout>
      </c:layout>
      <c:barChart>
        <c:barDir val="col"/>
        <c:grouping val="stacked"/>
        <c:varyColors val="0"/>
        <c:ser>
          <c:idx val="0"/>
          <c:order val="0"/>
          <c:tx>
            <c:strRef>
              <c:f>Results!$AK$70</c:f>
              <c:strCache>
                <c:ptCount val="1"/>
                <c:pt idx="0">
                  <c:v>Public Facility</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Results!$AL$69:$AN$69</c:f>
              <c:strCache>
                <c:ptCount val="3"/>
                <c:pt idx="0">
                  <c:v>2019</c:v>
                </c:pt>
                <c:pt idx="1">
                  <c:v>Status Quo</c:v>
                </c:pt>
                <c:pt idx="2">
                  <c:v>TMA Scenario</c:v>
                </c:pt>
              </c:strCache>
            </c:strRef>
          </c:cat>
          <c:val>
            <c:numRef>
              <c:f>Results!$AL$70:$AN$70</c:f>
              <c:numCache>
                <c:formatCode>0.0%</c:formatCode>
                <c:ptCount val="3"/>
                <c:pt idx="0">
                  <c:v>0.5966996387005451</c:v>
                </c:pt>
                <c:pt idx="1">
                  <c:v>0.63512009950861192</c:v>
                </c:pt>
                <c:pt idx="2">
                  <c:v>0.58631927010301166</c:v>
                </c:pt>
              </c:numCache>
            </c:numRef>
          </c:val>
          <c:extLst xmlns:c16r2="http://schemas.microsoft.com/office/drawing/2015/06/chart">
            <c:ext xmlns:c16="http://schemas.microsoft.com/office/drawing/2014/chart" uri="{C3380CC4-5D6E-409C-BE32-E72D297353CC}">
              <c16:uniqueId val="{00000000-4611-4259-B1B2-2FD43510DDA1}"/>
            </c:ext>
          </c:extLst>
        </c:ser>
        <c:ser>
          <c:idx val="1"/>
          <c:order val="1"/>
          <c:tx>
            <c:strRef>
              <c:f>Results!$AK$71</c:f>
              <c:strCache>
                <c:ptCount val="1"/>
                <c:pt idx="0">
                  <c:v>Public Outreach</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Results!$AL$69:$AN$69</c:f>
              <c:strCache>
                <c:ptCount val="3"/>
                <c:pt idx="0">
                  <c:v>2019</c:v>
                </c:pt>
                <c:pt idx="1">
                  <c:v>Status Quo</c:v>
                </c:pt>
                <c:pt idx="2">
                  <c:v>TMA Scenario</c:v>
                </c:pt>
              </c:strCache>
            </c:strRef>
          </c:cat>
          <c:val>
            <c:numRef>
              <c:f>Results!$AL$71:$AN$71</c:f>
              <c:numCache>
                <c:formatCode>0.0%</c:formatCode>
                <c:ptCount val="3"/>
                <c:pt idx="0">
                  <c:v>4.1427417554630898E-2</c:v>
                </c:pt>
                <c:pt idx="1">
                  <c:v>4.3891766359707977E-2</c:v>
                </c:pt>
                <c:pt idx="2">
                  <c:v>3.9325202524602962E-2</c:v>
                </c:pt>
              </c:numCache>
            </c:numRef>
          </c:val>
          <c:extLst xmlns:c16r2="http://schemas.microsoft.com/office/drawing/2015/06/chart">
            <c:ext xmlns:c16="http://schemas.microsoft.com/office/drawing/2014/chart" uri="{C3380CC4-5D6E-409C-BE32-E72D297353CC}">
              <c16:uniqueId val="{00000001-4611-4259-B1B2-2FD43510DDA1}"/>
            </c:ext>
          </c:extLst>
        </c:ser>
        <c:ser>
          <c:idx val="2"/>
          <c:order val="2"/>
          <c:tx>
            <c:strRef>
              <c:f>Results!$AK$72</c:f>
              <c:strCache>
                <c:ptCount val="1"/>
                <c:pt idx="0">
                  <c:v>Social Marketing</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Results!$AL$69:$AN$69</c:f>
              <c:strCache>
                <c:ptCount val="3"/>
                <c:pt idx="0">
                  <c:v>2019</c:v>
                </c:pt>
                <c:pt idx="1">
                  <c:v>Status Quo</c:v>
                </c:pt>
                <c:pt idx="2">
                  <c:v>TMA Scenario</c:v>
                </c:pt>
              </c:strCache>
            </c:strRef>
          </c:cat>
          <c:val>
            <c:numRef>
              <c:f>Results!$AL$72:$AN$72</c:f>
              <c:numCache>
                <c:formatCode>0.0%</c:formatCode>
                <c:ptCount val="3"/>
                <c:pt idx="0">
                  <c:v>0.31320965944659596</c:v>
                </c:pt>
                <c:pt idx="1">
                  <c:v>0.27139867609935336</c:v>
                </c:pt>
                <c:pt idx="2">
                  <c:v>0.2625323860690672</c:v>
                </c:pt>
              </c:numCache>
            </c:numRef>
          </c:val>
          <c:extLst xmlns:c16r2="http://schemas.microsoft.com/office/drawing/2015/06/chart">
            <c:ext xmlns:c16="http://schemas.microsoft.com/office/drawing/2014/chart" uri="{C3380CC4-5D6E-409C-BE32-E72D297353CC}">
              <c16:uniqueId val="{00000002-4611-4259-B1B2-2FD43510DDA1}"/>
            </c:ext>
          </c:extLst>
        </c:ser>
        <c:ser>
          <c:idx val="3"/>
          <c:order val="3"/>
          <c:tx>
            <c:strRef>
              <c:f>Results!$AK$73</c:f>
              <c:strCache>
                <c:ptCount val="1"/>
                <c:pt idx="0">
                  <c:v>Social Marketing Non-Traditional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Results!$AL$69:$AN$69</c:f>
              <c:strCache>
                <c:ptCount val="3"/>
                <c:pt idx="0">
                  <c:v>2019</c:v>
                </c:pt>
                <c:pt idx="1">
                  <c:v>Status Quo</c:v>
                </c:pt>
                <c:pt idx="2">
                  <c:v>TMA Scenario</c:v>
                </c:pt>
              </c:strCache>
            </c:strRef>
          </c:cat>
          <c:val>
            <c:numRef>
              <c:f>Results!$AL$73:$AN$73</c:f>
              <c:numCache>
                <c:formatCode>0.0%</c:formatCode>
                <c:ptCount val="3"/>
                <c:pt idx="0">
                  <c:v>1.4932980645927906E-3</c:v>
                </c:pt>
                <c:pt idx="1">
                  <c:v>8.4313507402649585E-20</c:v>
                </c:pt>
                <c:pt idx="2">
                  <c:v>8.4313507402649585E-20</c:v>
                </c:pt>
              </c:numCache>
            </c:numRef>
          </c:val>
          <c:extLst xmlns:c16r2="http://schemas.microsoft.com/office/drawing/2015/06/chart">
            <c:ext xmlns:c16="http://schemas.microsoft.com/office/drawing/2014/chart" uri="{C3380CC4-5D6E-409C-BE32-E72D297353CC}">
              <c16:uniqueId val="{00000006-4611-4259-B1B2-2FD43510DDA1}"/>
            </c:ext>
          </c:extLst>
        </c:ser>
        <c:ser>
          <c:idx val="4"/>
          <c:order val="4"/>
          <c:tx>
            <c:strRef>
              <c:f>Results!$AK$74</c:f>
              <c:strCache>
                <c:ptCount val="1"/>
                <c:pt idx="0">
                  <c:v>Private Commercial</c:v>
                </c:pt>
              </c:strCache>
            </c:strRef>
          </c:tx>
          <c:spPr>
            <a:solidFill>
              <a:srgbClr val="7030A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Results!$AL$69:$AN$69</c:f>
              <c:strCache>
                <c:ptCount val="3"/>
                <c:pt idx="0">
                  <c:v>2019</c:v>
                </c:pt>
                <c:pt idx="1">
                  <c:v>Status Quo</c:v>
                </c:pt>
                <c:pt idx="2">
                  <c:v>TMA Scenario</c:v>
                </c:pt>
              </c:strCache>
            </c:strRef>
          </c:cat>
          <c:val>
            <c:numRef>
              <c:f>Results!$AL$74:$AN$74</c:f>
              <c:numCache>
                <c:formatCode>0.0%</c:formatCode>
                <c:ptCount val="3"/>
                <c:pt idx="0">
                  <c:v>4.7169986233635115E-2</c:v>
                </c:pt>
                <c:pt idx="1">
                  <c:v>4.9589458032326734E-2</c:v>
                </c:pt>
                <c:pt idx="2">
                  <c:v>0.11229007299120565</c:v>
                </c:pt>
              </c:numCache>
            </c:numRef>
          </c:val>
          <c:extLst xmlns:c16r2="http://schemas.microsoft.com/office/drawing/2015/06/chart">
            <c:ext xmlns:c16="http://schemas.microsoft.com/office/drawing/2014/chart" uri="{C3380CC4-5D6E-409C-BE32-E72D297353CC}">
              <c16:uniqueId val="{0000000A-4611-4259-B1B2-2FD43510DDA1}"/>
            </c:ext>
          </c:extLst>
        </c:ser>
        <c:ser>
          <c:idx val="5"/>
          <c:order val="5"/>
          <c:tx>
            <c:strRef>
              <c:f>Results!$AK$75</c:f>
              <c:strCache>
                <c:ptCount val="1"/>
                <c:pt idx="0">
                  <c:v>Women Newly Reached</c:v>
                </c:pt>
              </c:strCache>
            </c:strRef>
          </c:tx>
          <c:spPr>
            <a:solidFill>
              <a:schemeClr val="accent2"/>
            </a:solidFill>
            <a:ln>
              <a:noFill/>
            </a:ln>
            <a:effectLst/>
          </c:spPr>
          <c:invertIfNegative val="0"/>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EC5-4431-AC4A-3C950F9CD43F}"/>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EC5-4431-AC4A-3C950F9CD43F}"/>
                </c:ext>
              </c:extLst>
            </c:dLbl>
            <c:dLbl>
              <c:idx val="2"/>
              <c:layout>
                <c:manualLayout>
                  <c:x val="-7.5122895481884679E-17"/>
                  <c:y val="-2.712879640044995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54C-437E-BF7D-5EBE5EB19B22}"/>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Results!$AL$69:$AN$69</c:f>
              <c:strCache>
                <c:ptCount val="3"/>
                <c:pt idx="0">
                  <c:v>2019</c:v>
                </c:pt>
                <c:pt idx="1">
                  <c:v>Status Quo</c:v>
                </c:pt>
                <c:pt idx="2">
                  <c:v>TMA Scenario</c:v>
                </c:pt>
              </c:strCache>
            </c:strRef>
          </c:cat>
          <c:val>
            <c:numRef>
              <c:f>Results!$AL$75:$AN$75</c:f>
              <c:numCache>
                <c:formatCode>_(* #,##0_);_(* \(#,##0\);_(* "-"??_);_(@_)</c:formatCode>
                <c:ptCount val="3"/>
                <c:pt idx="0">
                  <c:v>0</c:v>
                </c:pt>
                <c:pt idx="1">
                  <c:v>0</c:v>
                </c:pt>
                <c:pt idx="2" formatCode="0.0%">
                  <c:v>2.0977534143793299E-2</c:v>
                </c:pt>
              </c:numCache>
            </c:numRef>
          </c:val>
          <c:extLst xmlns:c16r2="http://schemas.microsoft.com/office/drawing/2015/06/chart">
            <c:ext xmlns:c16="http://schemas.microsoft.com/office/drawing/2014/chart" uri="{C3380CC4-5D6E-409C-BE32-E72D297353CC}">
              <c16:uniqueId val="{0000000B-4611-4259-B1B2-2FD43510DDA1}"/>
            </c:ext>
          </c:extLst>
        </c:ser>
        <c:dLbls>
          <c:dLblPos val="ctr"/>
          <c:showLegendKey val="0"/>
          <c:showVal val="1"/>
          <c:showCatName val="0"/>
          <c:showSerName val="0"/>
          <c:showPercent val="0"/>
          <c:showBubbleSize val="0"/>
        </c:dLbls>
        <c:gapWidth val="50"/>
        <c:overlap val="100"/>
        <c:axId val="174752896"/>
        <c:axId val="174754432"/>
      </c:barChart>
      <c:catAx>
        <c:axId val="17475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4754432"/>
        <c:crosses val="autoZero"/>
        <c:auto val="1"/>
        <c:lblAlgn val="ctr"/>
        <c:lblOffset val="100"/>
        <c:noMultiLvlLbl val="0"/>
      </c:catAx>
      <c:valAx>
        <c:axId val="174754432"/>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4752896"/>
        <c:crosses val="autoZero"/>
        <c:crossBetween val="between"/>
      </c:valAx>
      <c:spPr>
        <a:noFill/>
        <a:ln>
          <a:noFill/>
        </a:ln>
        <a:effectLst/>
      </c:spPr>
    </c:plotArea>
    <c:legend>
      <c:legendPos val="r"/>
      <c:layout>
        <c:manualLayout>
          <c:xMode val="edge"/>
          <c:yMode val="edge"/>
          <c:x val="0.74824077629529251"/>
          <c:y val="0.53621651962179429"/>
          <c:w val="0.24804551237064784"/>
          <c:h val="0.352482884809111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Franklin Gothic Book" panose="020B05030201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79022359584036E-2"/>
          <c:y val="3.2132524321071596E-2"/>
          <c:w val="0.6459408726692093"/>
          <c:h val="0.89316334336437897"/>
        </c:manualLayout>
      </c:layout>
      <c:barChart>
        <c:barDir val="col"/>
        <c:grouping val="stacked"/>
        <c:varyColors val="0"/>
        <c:ser>
          <c:idx val="0"/>
          <c:order val="0"/>
          <c:tx>
            <c:strRef>
              <c:f>Results!$BI$70</c:f>
              <c:strCache>
                <c:ptCount val="1"/>
                <c:pt idx="0">
                  <c:v>Public Facility</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Results!$BJ$69:$BL$69</c:f>
              <c:strCache>
                <c:ptCount val="3"/>
                <c:pt idx="0">
                  <c:v>2019</c:v>
                </c:pt>
                <c:pt idx="1">
                  <c:v>Status Quo</c:v>
                </c:pt>
                <c:pt idx="2">
                  <c:v>TMA Scenario</c:v>
                </c:pt>
              </c:strCache>
            </c:strRef>
          </c:cat>
          <c:val>
            <c:numRef>
              <c:f>Results!$BJ$70:$BL$70</c:f>
              <c:numCache>
                <c:formatCode>0.0%</c:formatCode>
                <c:ptCount val="3"/>
                <c:pt idx="0">
                  <c:v>0.4791127707430588</c:v>
                </c:pt>
                <c:pt idx="1">
                  <c:v>0.51839196427611678</c:v>
                </c:pt>
                <c:pt idx="2">
                  <c:v>0.47516597919604175</c:v>
                </c:pt>
              </c:numCache>
            </c:numRef>
          </c:val>
          <c:extLst xmlns:c16r2="http://schemas.microsoft.com/office/drawing/2015/06/chart">
            <c:ext xmlns:c16="http://schemas.microsoft.com/office/drawing/2014/chart" uri="{C3380CC4-5D6E-409C-BE32-E72D297353CC}">
              <c16:uniqueId val="{00000000-CBA4-4525-9D60-CE05A703F5F7}"/>
            </c:ext>
          </c:extLst>
        </c:ser>
        <c:ser>
          <c:idx val="1"/>
          <c:order val="1"/>
          <c:tx>
            <c:strRef>
              <c:f>Results!$BI$71</c:f>
              <c:strCache>
                <c:ptCount val="1"/>
                <c:pt idx="0">
                  <c:v>Public Outreach</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Results!$BJ$69:$BL$69</c:f>
              <c:strCache>
                <c:ptCount val="3"/>
                <c:pt idx="0">
                  <c:v>2019</c:v>
                </c:pt>
                <c:pt idx="1">
                  <c:v>Status Quo</c:v>
                </c:pt>
                <c:pt idx="2">
                  <c:v>TMA Scenario</c:v>
                </c:pt>
              </c:strCache>
            </c:strRef>
          </c:cat>
          <c:val>
            <c:numRef>
              <c:f>Results!$BJ$71:$BL$71</c:f>
              <c:numCache>
                <c:formatCode>0.0%</c:formatCode>
                <c:ptCount val="3"/>
                <c:pt idx="0">
                  <c:v>6.8585960424831574E-2</c:v>
                </c:pt>
                <c:pt idx="1">
                  <c:v>5.5745615447577251E-2</c:v>
                </c:pt>
                <c:pt idx="2">
                  <c:v>4.523149024201184E-2</c:v>
                </c:pt>
              </c:numCache>
            </c:numRef>
          </c:val>
          <c:extLst xmlns:c16r2="http://schemas.microsoft.com/office/drawing/2015/06/chart">
            <c:ext xmlns:c16="http://schemas.microsoft.com/office/drawing/2014/chart" uri="{C3380CC4-5D6E-409C-BE32-E72D297353CC}">
              <c16:uniqueId val="{00000001-CBA4-4525-9D60-CE05A703F5F7}"/>
            </c:ext>
          </c:extLst>
        </c:ser>
        <c:ser>
          <c:idx val="2"/>
          <c:order val="2"/>
          <c:tx>
            <c:strRef>
              <c:f>Results!$BI$72</c:f>
              <c:strCache>
                <c:ptCount val="1"/>
                <c:pt idx="0">
                  <c:v>Social Marketing</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Results!$BJ$69:$BL$69</c:f>
              <c:strCache>
                <c:ptCount val="3"/>
                <c:pt idx="0">
                  <c:v>2019</c:v>
                </c:pt>
                <c:pt idx="1">
                  <c:v>Status Quo</c:v>
                </c:pt>
                <c:pt idx="2">
                  <c:v>TMA Scenario</c:v>
                </c:pt>
              </c:strCache>
            </c:strRef>
          </c:cat>
          <c:val>
            <c:numRef>
              <c:f>Results!$BJ$72:$BL$72</c:f>
              <c:numCache>
                <c:formatCode>0.0%</c:formatCode>
                <c:ptCount val="3"/>
                <c:pt idx="0">
                  <c:v>0.40074222926095848</c:v>
                </c:pt>
                <c:pt idx="1">
                  <c:v>0.38597726706095159</c:v>
                </c:pt>
                <c:pt idx="2">
                  <c:v>0.30716444796338976</c:v>
                </c:pt>
              </c:numCache>
            </c:numRef>
          </c:val>
          <c:extLst xmlns:c16r2="http://schemas.microsoft.com/office/drawing/2015/06/chart">
            <c:ext xmlns:c16="http://schemas.microsoft.com/office/drawing/2014/chart" uri="{C3380CC4-5D6E-409C-BE32-E72D297353CC}">
              <c16:uniqueId val="{00000002-CBA4-4525-9D60-CE05A703F5F7}"/>
            </c:ext>
          </c:extLst>
        </c:ser>
        <c:ser>
          <c:idx val="3"/>
          <c:order val="3"/>
          <c:tx>
            <c:strRef>
              <c:f>Results!$BI$73</c:f>
              <c:strCache>
                <c:ptCount val="1"/>
                <c:pt idx="0">
                  <c:v>Social Marketing Non-Traditional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Results!$BJ$69:$BL$69</c:f>
              <c:strCache>
                <c:ptCount val="3"/>
                <c:pt idx="0">
                  <c:v>2019</c:v>
                </c:pt>
                <c:pt idx="1">
                  <c:v>Status Quo</c:v>
                </c:pt>
                <c:pt idx="2">
                  <c:v>TMA Scenario</c:v>
                </c:pt>
              </c:strCache>
            </c:strRef>
          </c:cat>
          <c:val>
            <c:numRef>
              <c:f>Results!$BJ$73:$BL$73</c:f>
              <c:numCache>
                <c:formatCode>0.0%</c:formatCode>
                <c:ptCount val="3"/>
                <c:pt idx="0">
                  <c:v>1.0348177288077338E-2</c:v>
                </c:pt>
                <c:pt idx="1">
                  <c:v>6.0822028082839692E-19</c:v>
                </c:pt>
                <c:pt idx="2">
                  <c:v>6.0822028082839692E-19</c:v>
                </c:pt>
              </c:numCache>
            </c:numRef>
          </c:val>
          <c:extLst xmlns:c16r2="http://schemas.microsoft.com/office/drawing/2015/06/chart">
            <c:ext xmlns:c16="http://schemas.microsoft.com/office/drawing/2014/chart" uri="{C3380CC4-5D6E-409C-BE32-E72D297353CC}">
              <c16:uniqueId val="{00000003-CBA4-4525-9D60-CE05A703F5F7}"/>
            </c:ext>
          </c:extLst>
        </c:ser>
        <c:ser>
          <c:idx val="4"/>
          <c:order val="4"/>
          <c:tx>
            <c:strRef>
              <c:f>Results!$BI$74</c:f>
              <c:strCache>
                <c:ptCount val="1"/>
                <c:pt idx="0">
                  <c:v>Private Commercial</c:v>
                </c:pt>
              </c:strCache>
            </c:strRef>
          </c:tx>
          <c:spPr>
            <a:solidFill>
              <a:srgbClr val="7030A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Results!$BJ$69:$BL$69</c:f>
              <c:strCache>
                <c:ptCount val="3"/>
                <c:pt idx="0">
                  <c:v>2019</c:v>
                </c:pt>
                <c:pt idx="1">
                  <c:v>Status Quo</c:v>
                </c:pt>
                <c:pt idx="2">
                  <c:v>TMA Scenario</c:v>
                </c:pt>
              </c:strCache>
            </c:strRef>
          </c:cat>
          <c:val>
            <c:numRef>
              <c:f>Results!$BJ$74:$BL$74</c:f>
              <c:numCache>
                <c:formatCode>0.0%</c:formatCode>
                <c:ptCount val="3"/>
                <c:pt idx="0">
                  <c:v>4.1210862283073885E-2</c:v>
                </c:pt>
                <c:pt idx="1">
                  <c:v>3.988515321535438E-2</c:v>
                </c:pt>
                <c:pt idx="2">
                  <c:v>0.17257556623314052</c:v>
                </c:pt>
              </c:numCache>
            </c:numRef>
          </c:val>
          <c:extLst xmlns:c16r2="http://schemas.microsoft.com/office/drawing/2015/06/chart">
            <c:ext xmlns:c16="http://schemas.microsoft.com/office/drawing/2014/chart" uri="{C3380CC4-5D6E-409C-BE32-E72D297353CC}">
              <c16:uniqueId val="{00000004-CBA4-4525-9D60-CE05A703F5F7}"/>
            </c:ext>
          </c:extLst>
        </c:ser>
        <c:ser>
          <c:idx val="5"/>
          <c:order val="5"/>
          <c:tx>
            <c:strRef>
              <c:f>Results!$BI$75</c:f>
              <c:strCache>
                <c:ptCount val="1"/>
                <c:pt idx="0">
                  <c:v>Women Newly Reached</c:v>
                </c:pt>
              </c:strCache>
            </c:strRef>
          </c:tx>
          <c:spPr>
            <a:solidFill>
              <a:schemeClr val="accent2"/>
            </a:solidFill>
            <a:ln>
              <a:noFill/>
            </a:ln>
            <a:effectLst/>
          </c:spPr>
          <c:invertIfNegative val="0"/>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D3-4361-AF57-680687DCA919}"/>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D3-4361-AF57-680687DCA919}"/>
                </c:ext>
              </c:extLst>
            </c:dLbl>
            <c:dLbl>
              <c:idx val="2"/>
              <c:layout>
                <c:manualLayout>
                  <c:x val="0"/>
                  <c:y val="-2.8110996765622953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3A-4AA7-B6CA-3DDA5B973627}"/>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Results!$BJ$69:$BL$69</c:f>
              <c:strCache>
                <c:ptCount val="3"/>
                <c:pt idx="0">
                  <c:v>2019</c:v>
                </c:pt>
                <c:pt idx="1">
                  <c:v>Status Quo</c:v>
                </c:pt>
                <c:pt idx="2">
                  <c:v>TMA Scenario</c:v>
                </c:pt>
              </c:strCache>
            </c:strRef>
          </c:cat>
          <c:val>
            <c:numRef>
              <c:f>Results!$BJ$75:$BL$75</c:f>
              <c:numCache>
                <c:formatCode>_(* #,##0_);_(* \(#,##0\);_(* "-"??_);_(@_)</c:formatCode>
                <c:ptCount val="3"/>
                <c:pt idx="0">
                  <c:v>0</c:v>
                </c:pt>
                <c:pt idx="1">
                  <c:v>0</c:v>
                </c:pt>
                <c:pt idx="2" formatCode="0.0%">
                  <c:v>2.4114245217085863E-2</c:v>
                </c:pt>
              </c:numCache>
            </c:numRef>
          </c:val>
          <c:extLst xmlns:c16r2="http://schemas.microsoft.com/office/drawing/2015/06/chart">
            <c:ext xmlns:c16="http://schemas.microsoft.com/office/drawing/2014/chart" uri="{C3380CC4-5D6E-409C-BE32-E72D297353CC}">
              <c16:uniqueId val="{00000005-CBA4-4525-9D60-CE05A703F5F7}"/>
            </c:ext>
          </c:extLst>
        </c:ser>
        <c:dLbls>
          <c:dLblPos val="ctr"/>
          <c:showLegendKey val="0"/>
          <c:showVal val="1"/>
          <c:showCatName val="0"/>
          <c:showSerName val="0"/>
          <c:showPercent val="0"/>
          <c:showBubbleSize val="0"/>
        </c:dLbls>
        <c:gapWidth val="50"/>
        <c:overlap val="100"/>
        <c:axId val="174825856"/>
        <c:axId val="174827392"/>
      </c:barChart>
      <c:catAx>
        <c:axId val="17482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4827392"/>
        <c:crosses val="autoZero"/>
        <c:auto val="1"/>
        <c:lblAlgn val="ctr"/>
        <c:lblOffset val="100"/>
        <c:noMultiLvlLbl val="0"/>
      </c:catAx>
      <c:valAx>
        <c:axId val="174827392"/>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4825856"/>
        <c:crosses val="autoZero"/>
        <c:crossBetween val="between"/>
      </c:valAx>
      <c:spPr>
        <a:noFill/>
        <a:ln>
          <a:noFill/>
        </a:ln>
        <a:effectLst/>
      </c:spPr>
    </c:plotArea>
    <c:legend>
      <c:legendPos val="r"/>
      <c:layout>
        <c:manualLayout>
          <c:xMode val="edge"/>
          <c:yMode val="edge"/>
          <c:x val="0.77414308565096601"/>
          <c:y val="0.58282703175498884"/>
          <c:w val="0.21314056324090058"/>
          <c:h val="0.34405871252104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Franklin Gothic Book" panose="020B05030201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02768894818053"/>
          <c:y val="7.9191964102840268E-2"/>
          <c:w val="0.60310670923091292"/>
          <c:h val="0.82453785720762318"/>
        </c:manualLayout>
      </c:layout>
      <c:barChart>
        <c:barDir val="col"/>
        <c:grouping val="stacked"/>
        <c:varyColors val="0"/>
        <c:ser>
          <c:idx val="0"/>
          <c:order val="0"/>
          <c:tx>
            <c:strRef>
              <c:f>'Results Summary'!$B$46</c:f>
              <c:strCache>
                <c:ptCount val="1"/>
                <c:pt idx="0">
                  <c:v>Public Facility</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Summary'!$D$45:$F$45</c:f>
              <c:strCache>
                <c:ptCount val="3"/>
                <c:pt idx="0">
                  <c:v>2019</c:v>
                </c:pt>
                <c:pt idx="1">
                  <c:v>Status Quo</c:v>
                </c:pt>
                <c:pt idx="2">
                  <c:v>TMA Scenario</c:v>
                </c:pt>
              </c:strCache>
            </c:strRef>
          </c:cat>
          <c:val>
            <c:numRef>
              <c:f>'Results Summary'!$D$46:$F$46</c:f>
              <c:numCache>
                <c:formatCode>_(* #,##0_);_(* \(#,##0\);_(* "-"??_);_(@_)</c:formatCode>
                <c:ptCount val="3"/>
                <c:pt idx="0">
                  <c:v>523576.38821387046</c:v>
                </c:pt>
                <c:pt idx="1">
                  <c:v>736416.26436867635</c:v>
                </c:pt>
                <c:pt idx="2">
                  <c:v>683636.09782899322</c:v>
                </c:pt>
              </c:numCache>
            </c:numRef>
          </c:val>
          <c:extLst xmlns:c16r2="http://schemas.microsoft.com/office/drawing/2015/06/chart">
            <c:ext xmlns:c16="http://schemas.microsoft.com/office/drawing/2014/chart" uri="{C3380CC4-5D6E-409C-BE32-E72D297353CC}">
              <c16:uniqueId val="{00000000-0327-4935-81AE-14BC51980B76}"/>
            </c:ext>
          </c:extLst>
        </c:ser>
        <c:ser>
          <c:idx val="1"/>
          <c:order val="1"/>
          <c:tx>
            <c:strRef>
              <c:f>'Results Summary'!$B$47</c:f>
              <c:strCache>
                <c:ptCount val="1"/>
                <c:pt idx="0">
                  <c:v>Public Outreach</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Summary'!$D$45:$F$45</c:f>
              <c:strCache>
                <c:ptCount val="3"/>
                <c:pt idx="0">
                  <c:v>2019</c:v>
                </c:pt>
                <c:pt idx="1">
                  <c:v>Status Quo</c:v>
                </c:pt>
                <c:pt idx="2">
                  <c:v>TMA Scenario</c:v>
                </c:pt>
              </c:strCache>
            </c:strRef>
          </c:cat>
          <c:val>
            <c:numRef>
              <c:f>'Results Summary'!$D$47:$F$47</c:f>
              <c:numCache>
                <c:formatCode>_(* #,##0_);_(* \(#,##0\);_(* "-"??_);_(@_)</c:formatCode>
                <c:ptCount val="3"/>
                <c:pt idx="0">
                  <c:v>36383.804117370208</c:v>
                </c:pt>
                <c:pt idx="1">
                  <c:v>53872.234025067679</c:v>
                </c:pt>
                <c:pt idx="2">
                  <c:v>48816.800024688506</c:v>
                </c:pt>
              </c:numCache>
            </c:numRef>
          </c:val>
          <c:extLst xmlns:c16r2="http://schemas.microsoft.com/office/drawing/2015/06/chart">
            <c:ext xmlns:c16="http://schemas.microsoft.com/office/drawing/2014/chart" uri="{C3380CC4-5D6E-409C-BE32-E72D297353CC}">
              <c16:uniqueId val="{00000007-1E6A-4D79-9960-48F96E53444C}"/>
            </c:ext>
          </c:extLst>
        </c:ser>
        <c:ser>
          <c:idx val="2"/>
          <c:order val="2"/>
          <c:tx>
            <c:strRef>
              <c:f>'Results Summary'!$B$48</c:f>
              <c:strCache>
                <c:ptCount val="1"/>
                <c:pt idx="0">
                  <c:v>Social Marketing</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Summary'!$D$45:$F$45</c:f>
              <c:strCache>
                <c:ptCount val="3"/>
                <c:pt idx="0">
                  <c:v>2019</c:v>
                </c:pt>
                <c:pt idx="1">
                  <c:v>Status Quo</c:v>
                </c:pt>
                <c:pt idx="2">
                  <c:v>TMA Scenario</c:v>
                </c:pt>
              </c:strCache>
            </c:strRef>
          </c:cat>
          <c:val>
            <c:numRef>
              <c:f>'Results Summary'!$D$48:$F$48</c:f>
              <c:numCache>
                <c:formatCode>_(* #,##0_);_(* \(#,##0\);_(* "-"??_);_(@_)</c:formatCode>
                <c:ptCount val="3"/>
                <c:pt idx="0">
                  <c:v>16408.734211887673</c:v>
                </c:pt>
                <c:pt idx="1">
                  <c:v>22846.044733036502</c:v>
                </c:pt>
                <c:pt idx="2">
                  <c:v>24461.679823537248</c:v>
                </c:pt>
              </c:numCache>
            </c:numRef>
          </c:val>
          <c:extLst xmlns:c16r2="http://schemas.microsoft.com/office/drawing/2015/06/chart">
            <c:ext xmlns:c16="http://schemas.microsoft.com/office/drawing/2014/chart" uri="{C3380CC4-5D6E-409C-BE32-E72D297353CC}">
              <c16:uniqueId val="{00000008-1E6A-4D79-9960-48F96E53444C}"/>
            </c:ext>
          </c:extLst>
        </c:ser>
        <c:ser>
          <c:idx val="3"/>
          <c:order val="3"/>
          <c:tx>
            <c:strRef>
              <c:f>'Results Summary'!$B$49</c:f>
              <c:strCache>
                <c:ptCount val="1"/>
                <c:pt idx="0">
                  <c:v>Social Marketing Non-Traditional</c:v>
                </c:pt>
              </c:strCache>
            </c:strRef>
          </c:tx>
          <c:spPr>
            <a:solidFill>
              <a:schemeClr val="accent4"/>
            </a:solidFill>
            <a:ln>
              <a:noFill/>
            </a:ln>
            <a:effectLst/>
          </c:spPr>
          <c:invertIfNegative val="0"/>
          <c:dLbls>
            <c:delete val="1"/>
          </c:dLbls>
          <c:cat>
            <c:strRef>
              <c:f>'Results Summary'!$D$45:$F$45</c:f>
              <c:strCache>
                <c:ptCount val="3"/>
                <c:pt idx="0">
                  <c:v>2019</c:v>
                </c:pt>
                <c:pt idx="1">
                  <c:v>Status Quo</c:v>
                </c:pt>
                <c:pt idx="2">
                  <c:v>TMA Scenario</c:v>
                </c:pt>
              </c:strCache>
            </c:strRef>
          </c:cat>
          <c:val>
            <c:numRef>
              <c:f>'Results Summary'!$D$49:$F$49</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9-1E6A-4D79-9960-48F96E53444C}"/>
            </c:ext>
          </c:extLst>
        </c:ser>
        <c:ser>
          <c:idx val="4"/>
          <c:order val="4"/>
          <c:tx>
            <c:strRef>
              <c:f>'Results Summary'!$B$50</c:f>
              <c:strCache>
                <c:ptCount val="1"/>
                <c:pt idx="0">
                  <c:v>Private Commercial</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Summary'!$D$45:$F$45</c:f>
              <c:strCache>
                <c:ptCount val="3"/>
                <c:pt idx="0">
                  <c:v>2019</c:v>
                </c:pt>
                <c:pt idx="1">
                  <c:v>Status Quo</c:v>
                </c:pt>
                <c:pt idx="2">
                  <c:v>TMA Scenario</c:v>
                </c:pt>
              </c:strCache>
            </c:strRef>
          </c:cat>
          <c:val>
            <c:numRef>
              <c:f>'Results Summary'!$D$50:$F$50</c:f>
              <c:numCache>
                <c:formatCode>_(* #,##0_);_(* \(#,##0\);_(* "-"??_);_(@_)</c:formatCode>
                <c:ptCount val="3"/>
                <c:pt idx="0">
                  <c:v>103404.12863295653</c:v>
                </c:pt>
                <c:pt idx="1">
                  <c:v>148606.54755395057</c:v>
                </c:pt>
                <c:pt idx="2">
                  <c:v>204826.51300351229</c:v>
                </c:pt>
              </c:numCache>
            </c:numRef>
          </c:val>
          <c:extLst xmlns:c16r2="http://schemas.microsoft.com/office/drawing/2015/06/chart">
            <c:ext xmlns:c16="http://schemas.microsoft.com/office/drawing/2014/chart" uri="{C3380CC4-5D6E-409C-BE32-E72D297353CC}">
              <c16:uniqueId val="{0000000A-1E6A-4D79-9960-48F96E53444C}"/>
            </c:ext>
          </c:extLst>
        </c:ser>
        <c:ser>
          <c:idx val="5"/>
          <c:order val="5"/>
          <c:tx>
            <c:strRef>
              <c:f>'Results Summary'!$B$51</c:f>
              <c:strCache>
                <c:ptCount val="1"/>
                <c:pt idx="0">
                  <c:v>Women Newly Reached</c:v>
                </c:pt>
              </c:strCache>
            </c:strRef>
          </c:tx>
          <c:spPr>
            <a:solidFill>
              <a:schemeClr val="accent2"/>
            </a:solidFill>
            <a:ln>
              <a:noFill/>
            </a:ln>
            <a:effectLst/>
          </c:spPr>
          <c:invertIfNegative val="0"/>
          <c:dLbls>
            <c:dLbl>
              <c:idx val="2"/>
              <c:layout>
                <c:manualLayout>
                  <c:x val="0"/>
                  <c:y val="-3.396844204015939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E9E-4783-90CA-D3FF8FDF3ED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Summary'!$D$45:$F$45</c:f>
              <c:strCache>
                <c:ptCount val="3"/>
                <c:pt idx="0">
                  <c:v>2019</c:v>
                </c:pt>
                <c:pt idx="1">
                  <c:v>Status Quo</c:v>
                </c:pt>
                <c:pt idx="2">
                  <c:v>TMA Scenario</c:v>
                </c:pt>
              </c:strCache>
            </c:strRef>
          </c:cat>
          <c:val>
            <c:numRef>
              <c:f>'Results Summary'!$D$51:$F$51</c:f>
              <c:numCache>
                <c:formatCode>_(* #,##0_);_(* \(#,##0\);_(* "-"??_);_(@_)</c:formatCode>
                <c:ptCount val="3"/>
                <c:pt idx="2">
                  <c:v>31828.799211743033</c:v>
                </c:pt>
              </c:numCache>
            </c:numRef>
          </c:val>
          <c:extLst xmlns:c16r2="http://schemas.microsoft.com/office/drawing/2015/06/chart">
            <c:ext xmlns:c16="http://schemas.microsoft.com/office/drawing/2014/chart" uri="{C3380CC4-5D6E-409C-BE32-E72D297353CC}">
              <c16:uniqueId val="{0000000B-1E6A-4D79-9960-48F96E53444C}"/>
            </c:ext>
          </c:extLst>
        </c:ser>
        <c:dLbls>
          <c:dLblPos val="ctr"/>
          <c:showLegendKey val="0"/>
          <c:showVal val="1"/>
          <c:showCatName val="0"/>
          <c:showSerName val="0"/>
          <c:showPercent val="0"/>
          <c:showBubbleSize val="0"/>
        </c:dLbls>
        <c:gapWidth val="50"/>
        <c:overlap val="100"/>
        <c:axId val="172862080"/>
        <c:axId val="172880256"/>
      </c:barChart>
      <c:catAx>
        <c:axId val="17286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2880256"/>
        <c:crosses val="autoZero"/>
        <c:auto val="1"/>
        <c:lblAlgn val="ctr"/>
        <c:lblOffset val="100"/>
        <c:noMultiLvlLbl val="0"/>
      </c:catAx>
      <c:valAx>
        <c:axId val="1728802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2862080"/>
        <c:crosses val="autoZero"/>
        <c:crossBetween val="between"/>
      </c:valAx>
      <c:spPr>
        <a:noFill/>
        <a:ln>
          <a:noFill/>
        </a:ln>
        <a:effectLst/>
      </c:spPr>
    </c:plotArea>
    <c:legend>
      <c:legendPos val="r"/>
      <c:layout>
        <c:manualLayout>
          <c:xMode val="edge"/>
          <c:yMode val="edge"/>
          <c:x val="0.75519101778944309"/>
          <c:y val="0.32443040974044912"/>
          <c:w val="0.23069954797317002"/>
          <c:h val="0.3899126932050161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Franklin Gothic Book" panose="020B0503020102020204" pitchFamily="34"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5417752407784"/>
          <c:y val="3.9647416911413755E-2"/>
          <c:w val="0.63707081492816287"/>
          <c:h val="0.85239161742958258"/>
        </c:manualLayout>
      </c:layout>
      <c:barChart>
        <c:barDir val="col"/>
        <c:grouping val="stacked"/>
        <c:varyColors val="0"/>
        <c:ser>
          <c:idx val="0"/>
          <c:order val="0"/>
          <c:tx>
            <c:strRef>
              <c:f>'Results Summary'!$B$46</c:f>
              <c:strCache>
                <c:ptCount val="1"/>
                <c:pt idx="0">
                  <c:v>Public Facility</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Summary'!$H$45:$J$45</c:f>
              <c:strCache>
                <c:ptCount val="3"/>
                <c:pt idx="0">
                  <c:v>2019</c:v>
                </c:pt>
                <c:pt idx="1">
                  <c:v>Status Quo</c:v>
                </c:pt>
                <c:pt idx="2">
                  <c:v>TMA Scenario</c:v>
                </c:pt>
              </c:strCache>
            </c:strRef>
          </c:cat>
          <c:val>
            <c:numRef>
              <c:f>'Results Summary'!$H$46:$J$46</c:f>
              <c:numCache>
                <c:formatCode>0.0%</c:formatCode>
                <c:ptCount val="3"/>
                <c:pt idx="0">
                  <c:v>0.77022233262577022</c:v>
                </c:pt>
                <c:pt idx="1">
                  <c:v>0.76571155324915219</c:v>
                </c:pt>
                <c:pt idx="2">
                  <c:v>0.71083174510627167</c:v>
                </c:pt>
              </c:numCache>
            </c:numRef>
          </c:val>
          <c:extLst xmlns:c16r2="http://schemas.microsoft.com/office/drawing/2015/06/chart">
            <c:ext xmlns:c16="http://schemas.microsoft.com/office/drawing/2014/chart" uri="{C3380CC4-5D6E-409C-BE32-E72D297353CC}">
              <c16:uniqueId val="{00000000-AD85-42FF-9550-8B7924A65732}"/>
            </c:ext>
          </c:extLst>
        </c:ser>
        <c:ser>
          <c:idx val="1"/>
          <c:order val="1"/>
          <c:tx>
            <c:strRef>
              <c:f>'Results Summary'!$B$47</c:f>
              <c:strCache>
                <c:ptCount val="1"/>
                <c:pt idx="0">
                  <c:v>Public Outreach</c:v>
                </c:pt>
              </c:strCache>
            </c:strRef>
          </c:tx>
          <c:spPr>
            <a:solidFill>
              <a:schemeClr val="tx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Summary'!$H$45:$J$45</c:f>
              <c:strCache>
                <c:ptCount val="3"/>
                <c:pt idx="0">
                  <c:v>2019</c:v>
                </c:pt>
                <c:pt idx="1">
                  <c:v>Status Quo</c:v>
                </c:pt>
                <c:pt idx="2">
                  <c:v>TMA Scenario</c:v>
                </c:pt>
              </c:strCache>
            </c:strRef>
          </c:cat>
          <c:val>
            <c:numRef>
              <c:f>'Results Summary'!$H$47:$J$47</c:f>
              <c:numCache>
                <c:formatCode>0.0%</c:formatCode>
                <c:ptCount val="3"/>
                <c:pt idx="0">
                  <c:v>5.3523457336721793E-2</c:v>
                </c:pt>
                <c:pt idx="1">
                  <c:v>5.6015319036578033E-2</c:v>
                </c:pt>
                <c:pt idx="2">
                  <c:v>5.0758775410267042E-2</c:v>
                </c:pt>
              </c:numCache>
            </c:numRef>
          </c:val>
          <c:extLst xmlns:c16r2="http://schemas.microsoft.com/office/drawing/2015/06/chart">
            <c:ext xmlns:c16="http://schemas.microsoft.com/office/drawing/2014/chart" uri="{C3380CC4-5D6E-409C-BE32-E72D297353CC}">
              <c16:uniqueId val="{00000000-A68A-4738-A534-897633E18021}"/>
            </c:ext>
          </c:extLst>
        </c:ser>
        <c:ser>
          <c:idx val="2"/>
          <c:order val="2"/>
          <c:tx>
            <c:strRef>
              <c:f>'Results Summary'!$B$48</c:f>
              <c:strCache>
                <c:ptCount val="1"/>
                <c:pt idx="0">
                  <c:v>Social Marketing</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Summary'!$H$45:$J$45</c:f>
              <c:strCache>
                <c:ptCount val="3"/>
                <c:pt idx="0">
                  <c:v>2019</c:v>
                </c:pt>
                <c:pt idx="1">
                  <c:v>Status Quo</c:v>
                </c:pt>
                <c:pt idx="2">
                  <c:v>TMA Scenario</c:v>
                </c:pt>
              </c:strCache>
            </c:strRef>
          </c:cat>
          <c:val>
            <c:numRef>
              <c:f>'Results Summary'!$H$48:$J$48</c:f>
              <c:numCache>
                <c:formatCode>0.0%</c:formatCode>
                <c:ptCount val="3"/>
                <c:pt idx="0">
                  <c:v>2.4138547544573154E-2</c:v>
                </c:pt>
                <c:pt idx="1">
                  <c:v>2.3754880554043727E-2</c:v>
                </c:pt>
                <c:pt idx="2">
                  <c:v>2.5434787034234956E-2</c:v>
                </c:pt>
              </c:numCache>
            </c:numRef>
          </c:val>
          <c:extLst xmlns:c16r2="http://schemas.microsoft.com/office/drawing/2015/06/chart">
            <c:ext xmlns:c16="http://schemas.microsoft.com/office/drawing/2014/chart" uri="{C3380CC4-5D6E-409C-BE32-E72D297353CC}">
              <c16:uniqueId val="{00000001-A68A-4738-A534-897633E18021}"/>
            </c:ext>
          </c:extLst>
        </c:ser>
        <c:ser>
          <c:idx val="3"/>
          <c:order val="3"/>
          <c:tx>
            <c:strRef>
              <c:f>'Results Summary'!$B$49</c:f>
              <c:strCache>
                <c:ptCount val="1"/>
                <c:pt idx="0">
                  <c:v>Social Marketing Non-Traditional</c:v>
                </c:pt>
              </c:strCache>
            </c:strRef>
          </c:tx>
          <c:spPr>
            <a:solidFill>
              <a:schemeClr val="accent4"/>
            </a:solidFill>
            <a:ln>
              <a:noFill/>
            </a:ln>
            <a:effectLst/>
          </c:spPr>
          <c:invertIfNegative val="0"/>
          <c:dLbls>
            <c:delete val="1"/>
          </c:dLbls>
          <c:cat>
            <c:strRef>
              <c:f>'Results Summary'!$H$45:$J$45</c:f>
              <c:strCache>
                <c:ptCount val="3"/>
                <c:pt idx="0">
                  <c:v>2019</c:v>
                </c:pt>
                <c:pt idx="1">
                  <c:v>Status Quo</c:v>
                </c:pt>
                <c:pt idx="2">
                  <c:v>TMA Scenario</c:v>
                </c:pt>
              </c:strCache>
            </c:strRef>
          </c:cat>
          <c:val>
            <c:numRef>
              <c:f>'Results Summary'!$H$49:$J$49</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A68A-4738-A534-897633E18021}"/>
            </c:ext>
          </c:extLst>
        </c:ser>
        <c:ser>
          <c:idx val="4"/>
          <c:order val="4"/>
          <c:tx>
            <c:strRef>
              <c:f>'Results Summary'!$B$50</c:f>
              <c:strCache>
                <c:ptCount val="1"/>
                <c:pt idx="0">
                  <c:v>Private Commercial</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Franklin Gothic Book" panose="020B0503020102020204" pitchFamily="34" charset="0"/>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Summary'!$H$45:$J$45</c:f>
              <c:strCache>
                <c:ptCount val="3"/>
                <c:pt idx="0">
                  <c:v>2019</c:v>
                </c:pt>
                <c:pt idx="1">
                  <c:v>Status Quo</c:v>
                </c:pt>
                <c:pt idx="2">
                  <c:v>TMA Scenario</c:v>
                </c:pt>
              </c:strCache>
            </c:strRef>
          </c:cat>
          <c:val>
            <c:numRef>
              <c:f>'Results Summary'!$H$50:$J$50</c:f>
              <c:numCache>
                <c:formatCode>0.0%</c:formatCode>
                <c:ptCount val="3"/>
                <c:pt idx="0">
                  <c:v>0.1521156624929349</c:v>
                </c:pt>
                <c:pt idx="1">
                  <c:v>0.15451824716022602</c:v>
                </c:pt>
                <c:pt idx="2">
                  <c:v>0.2129746924492264</c:v>
                </c:pt>
              </c:numCache>
            </c:numRef>
          </c:val>
          <c:extLst xmlns:c16r2="http://schemas.microsoft.com/office/drawing/2015/06/chart">
            <c:ext xmlns:c16="http://schemas.microsoft.com/office/drawing/2014/chart" uri="{C3380CC4-5D6E-409C-BE32-E72D297353CC}">
              <c16:uniqueId val="{00000003-A68A-4738-A534-897633E18021}"/>
            </c:ext>
          </c:extLst>
        </c:ser>
        <c:ser>
          <c:idx val="5"/>
          <c:order val="5"/>
          <c:tx>
            <c:strRef>
              <c:f>'Results Summary'!$B$51</c:f>
              <c:strCache>
                <c:ptCount val="1"/>
                <c:pt idx="0">
                  <c:v>Women Newly Reached</c:v>
                </c:pt>
              </c:strCache>
            </c:strRef>
          </c:tx>
          <c:spPr>
            <a:solidFill>
              <a:schemeClr val="accent2"/>
            </a:solidFill>
            <a:ln>
              <a:noFill/>
            </a:ln>
            <a:effectLst/>
          </c:spPr>
          <c:invertIfNegative val="0"/>
          <c:dLbls>
            <c:dLbl>
              <c:idx val="2"/>
              <c:layout>
                <c:manualLayout>
                  <c:x val="0"/>
                  <c:y val="-3.6974473811758397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7F-47D9-AF37-70657842BAA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Franklin Gothic Book" panose="020B0503020102020204" pitchFamily="34" charset="0"/>
                    <a:ea typeface="+mn-ea"/>
                    <a:cs typeface="+mn-cs"/>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Summary'!$H$45:$J$45</c:f>
              <c:strCache>
                <c:ptCount val="3"/>
                <c:pt idx="0">
                  <c:v>2019</c:v>
                </c:pt>
                <c:pt idx="1">
                  <c:v>Status Quo</c:v>
                </c:pt>
                <c:pt idx="2">
                  <c:v>TMA Scenario</c:v>
                </c:pt>
              </c:strCache>
            </c:strRef>
          </c:cat>
          <c:val>
            <c:numRef>
              <c:f>'Results Summary'!$H$51:$J$51</c:f>
              <c:numCache>
                <c:formatCode>_(* #,##0_);_(* \(#,##0\);_(* "-"??_);_(@_)</c:formatCode>
                <c:ptCount val="3"/>
                <c:pt idx="2" formatCode="0.0%">
                  <c:v>3.3094976933151776E-2</c:v>
                </c:pt>
              </c:numCache>
            </c:numRef>
          </c:val>
          <c:extLst xmlns:c16r2="http://schemas.microsoft.com/office/drawing/2015/06/chart">
            <c:ext xmlns:c16="http://schemas.microsoft.com/office/drawing/2014/chart" uri="{C3380CC4-5D6E-409C-BE32-E72D297353CC}">
              <c16:uniqueId val="{00000004-A68A-4738-A534-897633E18021}"/>
            </c:ext>
          </c:extLst>
        </c:ser>
        <c:dLbls>
          <c:dLblPos val="ctr"/>
          <c:showLegendKey val="0"/>
          <c:showVal val="1"/>
          <c:showCatName val="0"/>
          <c:showSerName val="0"/>
          <c:showPercent val="0"/>
          <c:showBubbleSize val="0"/>
        </c:dLbls>
        <c:gapWidth val="50"/>
        <c:overlap val="100"/>
        <c:axId val="172940288"/>
        <c:axId val="174854912"/>
      </c:barChart>
      <c:catAx>
        <c:axId val="17294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4854912"/>
        <c:crosses val="autoZero"/>
        <c:auto val="1"/>
        <c:lblAlgn val="ctr"/>
        <c:lblOffset val="100"/>
        <c:noMultiLvlLbl val="0"/>
      </c:catAx>
      <c:valAx>
        <c:axId val="174854912"/>
        <c:scaling>
          <c:orientation val="minMax"/>
          <c:max val="1.1000000000000001"/>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crossAx val="172940288"/>
        <c:crosses val="autoZero"/>
        <c:crossBetween val="between"/>
      </c:valAx>
      <c:spPr>
        <a:noFill/>
        <a:ln>
          <a:noFill/>
        </a:ln>
        <a:effectLst/>
      </c:spPr>
    </c:plotArea>
    <c:legend>
      <c:legendPos val="r"/>
      <c:layout>
        <c:manualLayout>
          <c:xMode val="edge"/>
          <c:yMode val="edge"/>
          <c:x val="0.75975056858798784"/>
          <c:y val="0.34111092884222804"/>
          <c:w val="0.24024943141201202"/>
          <c:h val="0.359569845435987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Franklin Gothic Book" panose="020B05030201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Franklin Gothic Book" panose="020B0503020102020204" pitchFamily="34" charset="0"/>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4</xdr:row>
      <xdr:rowOff>361188</xdr:rowOff>
    </xdr:to>
    <xdr:pic>
      <xdr:nvPicPr>
        <xdr:cNvPr id="2" name="Picture 1" descr="USAID">
          <a:extLst>
            <a:ext uri="{FF2B5EF4-FFF2-40B4-BE49-F238E27FC236}">
              <a16:creationId xmlns:a16="http://schemas.microsoft.com/office/drawing/2014/main" xmlns="" id="{F66A6AF4-30FF-484F-BE9E-CD79F3FE6A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85316" cy="1161288"/>
        </a:xfrm>
        <a:prstGeom prst="rect">
          <a:avLst/>
        </a:prstGeom>
      </xdr:spPr>
    </xdr:pic>
    <xdr:clientData/>
  </xdr:twoCellAnchor>
  <xdr:twoCellAnchor editAs="oneCell">
    <xdr:from>
      <xdr:col>0</xdr:col>
      <xdr:colOff>6572252</xdr:colOff>
      <xdr:row>0</xdr:row>
      <xdr:rowOff>238125</xdr:rowOff>
    </xdr:from>
    <xdr:to>
      <xdr:col>0</xdr:col>
      <xdr:colOff>6572252</xdr:colOff>
      <xdr:row>4</xdr:row>
      <xdr:rowOff>24765</xdr:rowOff>
    </xdr:to>
    <xdr:pic>
      <xdr:nvPicPr>
        <xdr:cNvPr id="3" name="Picture 2" descr="Health Policy Plus">
          <a:extLst>
            <a:ext uri="{FF2B5EF4-FFF2-40B4-BE49-F238E27FC236}">
              <a16:creationId xmlns:a16="http://schemas.microsoft.com/office/drawing/2014/main" xmlns="" id="{3668E256-6583-4FEB-A4BA-8A5E7B4D16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2252" y="238125"/>
          <a:ext cx="1622455" cy="640080"/>
        </a:xfrm>
        <a:prstGeom prst="rect">
          <a:avLst/>
        </a:prstGeom>
      </xdr:spPr>
    </xdr:pic>
    <xdr:clientData/>
  </xdr:twoCellAnchor>
  <xdr:twoCellAnchor editAs="oneCell">
    <xdr:from>
      <xdr:col>0</xdr:col>
      <xdr:colOff>3505200</xdr:colOff>
      <xdr:row>0</xdr:row>
      <xdr:rowOff>142875</xdr:rowOff>
    </xdr:from>
    <xdr:to>
      <xdr:col>0</xdr:col>
      <xdr:colOff>3505200</xdr:colOff>
      <xdr:row>4</xdr:row>
      <xdr:rowOff>165735</xdr:rowOff>
    </xdr:to>
    <xdr:pic>
      <xdr:nvPicPr>
        <xdr:cNvPr id="4" name="Picture 3" descr="PEPFAR">
          <a:extLst>
            <a:ext uri="{FF2B5EF4-FFF2-40B4-BE49-F238E27FC236}">
              <a16:creationId xmlns:a16="http://schemas.microsoft.com/office/drawing/2014/main" xmlns="" id="{A630C2C3-8457-483C-ADD9-42DCF192AC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05200" y="142875"/>
          <a:ext cx="2268000" cy="822960"/>
        </a:xfrm>
        <a:prstGeom prst="rect">
          <a:avLst/>
        </a:prstGeom>
      </xdr:spPr>
    </xdr:pic>
    <xdr:clientData/>
  </xdr:twoCellAnchor>
  <xdr:twoCellAnchor editAs="oneCell">
    <xdr:from>
      <xdr:col>0</xdr:col>
      <xdr:colOff>0</xdr:colOff>
      <xdr:row>0</xdr:row>
      <xdr:rowOff>0</xdr:rowOff>
    </xdr:from>
    <xdr:to>
      <xdr:col>0</xdr:col>
      <xdr:colOff>2985316</xdr:colOff>
      <xdr:row>0</xdr:row>
      <xdr:rowOff>1161288</xdr:rowOff>
    </xdr:to>
    <xdr:pic>
      <xdr:nvPicPr>
        <xdr:cNvPr id="5" name="Picture 4" descr="USAID">
          <a:extLst>
            <a:ext uri="{FF2B5EF4-FFF2-40B4-BE49-F238E27FC236}">
              <a16:creationId xmlns:a16="http://schemas.microsoft.com/office/drawing/2014/main" xmlns="" id="{4D3CE326-8A52-450F-9250-C8CE0CB8E4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85316" cy="1161288"/>
        </a:xfrm>
        <a:prstGeom prst="rect">
          <a:avLst/>
        </a:prstGeom>
      </xdr:spPr>
    </xdr:pic>
    <xdr:clientData/>
  </xdr:twoCellAnchor>
  <xdr:twoCellAnchor editAs="oneCell">
    <xdr:from>
      <xdr:col>0</xdr:col>
      <xdr:colOff>6572252</xdr:colOff>
      <xdr:row>0</xdr:row>
      <xdr:rowOff>238125</xdr:rowOff>
    </xdr:from>
    <xdr:to>
      <xdr:col>0</xdr:col>
      <xdr:colOff>8194707</xdr:colOff>
      <xdr:row>0</xdr:row>
      <xdr:rowOff>878205</xdr:rowOff>
    </xdr:to>
    <xdr:pic>
      <xdr:nvPicPr>
        <xdr:cNvPr id="6" name="Picture 5" descr="Health Policy Plus">
          <a:extLst>
            <a:ext uri="{FF2B5EF4-FFF2-40B4-BE49-F238E27FC236}">
              <a16:creationId xmlns:a16="http://schemas.microsoft.com/office/drawing/2014/main" xmlns="" id="{2EF243F2-1C2B-4FA5-AF8B-83E969219D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2252" y="238125"/>
          <a:ext cx="1622455"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23484</xdr:colOff>
      <xdr:row>45</xdr:row>
      <xdr:rowOff>535080</xdr:rowOff>
    </xdr:from>
    <xdr:to>
      <xdr:col>16</xdr:col>
      <xdr:colOff>785482</xdr:colOff>
      <xdr:row>64</xdr:row>
      <xdr:rowOff>65278</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24339</xdr:colOff>
      <xdr:row>25</xdr:row>
      <xdr:rowOff>30692</xdr:rowOff>
    </xdr:from>
    <xdr:to>
      <xdr:col>16</xdr:col>
      <xdr:colOff>762000</xdr:colOff>
      <xdr:row>45</xdr:row>
      <xdr:rowOff>0</xdr:rowOff>
    </xdr:to>
    <xdr:graphicFrame macro="">
      <xdr:nvGraphicFramePr>
        <xdr:cNvPr id="3" name="Chart 2">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8465</xdr:colOff>
      <xdr:row>25</xdr:row>
      <xdr:rowOff>28574</xdr:rowOff>
    </xdr:from>
    <xdr:to>
      <xdr:col>24</xdr:col>
      <xdr:colOff>904875</xdr:colOff>
      <xdr:row>45</xdr:row>
      <xdr:rowOff>0</xdr:rowOff>
    </xdr:to>
    <xdr:graphicFrame macro="">
      <xdr:nvGraphicFramePr>
        <xdr:cNvPr id="4" name="Chart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219697</xdr:colOff>
      <xdr:row>45</xdr:row>
      <xdr:rowOff>544606</xdr:rowOff>
    </xdr:from>
    <xdr:to>
      <xdr:col>24</xdr:col>
      <xdr:colOff>922432</xdr:colOff>
      <xdr:row>64</xdr:row>
      <xdr:rowOff>65490</xdr:rowOff>
    </xdr:to>
    <xdr:graphicFrame macro="">
      <xdr:nvGraphicFramePr>
        <xdr:cNvPr id="5" name="Chart 4">
          <a:extLst>
            <a:ext uri="{FF2B5EF4-FFF2-40B4-BE49-F238E27FC236}">
              <a16:creationId xmlns:a16="http://schemas.microsoft.com/office/drawing/2014/main" xmlns=""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3</xdr:row>
      <xdr:rowOff>9530</xdr:rowOff>
    </xdr:from>
    <xdr:to>
      <xdr:col>6</xdr:col>
      <xdr:colOff>0</xdr:colOff>
      <xdr:row>19</xdr:row>
      <xdr:rowOff>1</xdr:rowOff>
    </xdr:to>
    <xdr:graphicFrame macro="">
      <xdr:nvGraphicFramePr>
        <xdr:cNvPr id="2" name="Chart 1">
          <a:extLst>
            <a:ext uri="{FF2B5EF4-FFF2-40B4-BE49-F238E27FC236}">
              <a16:creationId xmlns:a16="http://schemas.microsoft.com/office/drawing/2014/main" xmlns="" id="{59A56328-77ED-46B4-8D08-A7901C961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9527</xdr:colOff>
      <xdr:row>3</xdr:row>
      <xdr:rowOff>2</xdr:rowOff>
    </xdr:from>
    <xdr:to>
      <xdr:col>8</xdr:col>
      <xdr:colOff>0</xdr:colOff>
      <xdr:row>19</xdr:row>
      <xdr:rowOff>1</xdr:rowOff>
    </xdr:to>
    <xdr:graphicFrame macro="">
      <xdr:nvGraphicFramePr>
        <xdr:cNvPr id="14" name="Chart 13">
          <a:extLst>
            <a:ext uri="{FF2B5EF4-FFF2-40B4-BE49-F238E27FC236}">
              <a16:creationId xmlns:a16="http://schemas.microsoft.com/office/drawing/2014/main" xmlns="" id="{B04B21F6-575D-4F92-B457-20B4E09FD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0.03435</cdr:x>
      <cdr:y>0.04787</cdr:y>
    </cdr:from>
    <cdr:to>
      <cdr:x>0.88969</cdr:x>
      <cdr:y>0.17385</cdr:y>
    </cdr:to>
    <cdr:sp macro="" textlink="">
      <cdr:nvSpPr>
        <cdr:cNvPr id="3" name="TextBox 2">
          <a:extLst xmlns:a="http://schemas.openxmlformats.org/drawingml/2006/main">
            <a:ext uri="{FF2B5EF4-FFF2-40B4-BE49-F238E27FC236}">
              <a16:creationId xmlns:a16="http://schemas.microsoft.com/office/drawing/2014/main" xmlns="" id="{0CEB008B-78D0-4526-8D75-E970BAF7F938}"/>
            </a:ext>
          </a:extLst>
        </cdr:cNvPr>
        <cdr:cNvSpPr txBox="1"/>
      </cdr:nvSpPr>
      <cdr:spPr>
        <a:xfrm xmlns:a="http://schemas.openxmlformats.org/drawingml/2006/main">
          <a:off x="190500" y="180975"/>
          <a:ext cx="474345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xml><?xml version="1.0" encoding="utf-8"?>
<c:userShapes xmlns:c="http://schemas.openxmlformats.org/drawingml/2006/chart">
  <cdr:relSizeAnchor xmlns:cdr="http://schemas.openxmlformats.org/drawingml/2006/chartDrawing">
    <cdr:from>
      <cdr:x>0.03435</cdr:x>
      <cdr:y>0.04787</cdr:y>
    </cdr:from>
    <cdr:to>
      <cdr:x>0.88969</cdr:x>
      <cdr:y>0.17385</cdr:y>
    </cdr:to>
    <cdr:sp macro="" textlink="">
      <cdr:nvSpPr>
        <cdr:cNvPr id="3" name="TextBox 2">
          <a:extLst xmlns:a="http://schemas.openxmlformats.org/drawingml/2006/main">
            <a:ext uri="{FF2B5EF4-FFF2-40B4-BE49-F238E27FC236}">
              <a16:creationId xmlns:a16="http://schemas.microsoft.com/office/drawing/2014/main" xmlns="" id="{0CEB008B-78D0-4526-8D75-E970BAF7F938}"/>
            </a:ext>
          </a:extLst>
        </cdr:cNvPr>
        <cdr:cNvSpPr txBox="1"/>
      </cdr:nvSpPr>
      <cdr:spPr>
        <a:xfrm xmlns:a="http://schemas.openxmlformats.org/drawingml/2006/main">
          <a:off x="190500" y="180975"/>
          <a:ext cx="4743450"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HP+">
      <a:dk1>
        <a:sysClr val="windowText" lastClr="000000"/>
      </a:dk1>
      <a:lt1>
        <a:sysClr val="window" lastClr="FFFFFF"/>
      </a:lt1>
      <a:dk2>
        <a:srgbClr val="1E295B"/>
      </a:dk2>
      <a:lt2>
        <a:srgbClr val="EEECE1"/>
      </a:lt2>
      <a:accent1>
        <a:srgbClr val="3363AF"/>
      </a:accent1>
      <a:accent2>
        <a:srgbClr val="D47228"/>
      </a:accent2>
      <a:accent3>
        <a:srgbClr val="6EBE48"/>
      </a:accent3>
      <a:accent4>
        <a:srgbClr val="A5A5A5"/>
      </a:accent4>
      <a:accent5>
        <a:srgbClr val="3363AF"/>
      </a:accent5>
      <a:accent6>
        <a:srgbClr val="F79646"/>
      </a:accent6>
      <a:hlink>
        <a:srgbClr val="1E295B"/>
      </a:hlink>
      <a:folHlink>
        <a:srgbClr val="68266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population.un.org/wpp/DVD/Files/1_Indicators%20(Standard)/EXCEL_FILES/1_Population/WPP2017_POP_F15_3_ANNUAL_POPULATION_BY_AGE_FEMALE.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14"/>
  <sheetViews>
    <sheetView showGridLines="0" topLeftCell="A4" zoomScaleNormal="100" workbookViewId="0">
      <selection activeCell="A5" sqref="A5"/>
    </sheetView>
  </sheetViews>
  <sheetFormatPr defaultColWidth="0" defaultRowHeight="14.45" customHeight="1" zeroHeight="1" x14ac:dyDescent="0.25"/>
  <cols>
    <col min="1" max="1" width="127.85546875" customWidth="1"/>
    <col min="2" max="2" width="9.140625" customWidth="1"/>
    <col min="3" max="16384" width="9.140625" hidden="1"/>
  </cols>
  <sheetData>
    <row r="1" spans="1:1" ht="92.25" customHeight="1" x14ac:dyDescent="0.25"/>
    <row r="2" spans="1:1" ht="42.6" customHeight="1" x14ac:dyDescent="0.25">
      <c r="A2" s="245" t="s">
        <v>0</v>
      </c>
    </row>
    <row r="3" spans="1:1" ht="19.899999999999999" customHeight="1" x14ac:dyDescent="0.25">
      <c r="A3" s="244" t="s">
        <v>290</v>
      </c>
    </row>
    <row r="4" spans="1:1" ht="15.6" customHeight="1" x14ac:dyDescent="0.25">
      <c r="A4" s="244"/>
    </row>
    <row r="5" spans="1:1" ht="396" customHeight="1" x14ac:dyDescent="0.25">
      <c r="A5" s="246" t="s">
        <v>292</v>
      </c>
    </row>
    <row r="6" spans="1:1" ht="14.45" customHeight="1" x14ac:dyDescent="0.25"/>
    <row r="7" spans="1:1" ht="14.45" customHeight="1" x14ac:dyDescent="0.25"/>
    <row r="8" spans="1:1" ht="14.45" customHeight="1" x14ac:dyDescent="0.25"/>
    <row r="9" spans="1:1" ht="14.45" customHeight="1" x14ac:dyDescent="0.25"/>
    <row r="10" spans="1:1" ht="14.45" customHeight="1" x14ac:dyDescent="0.25"/>
    <row r="11" spans="1:1" ht="14.45" customHeight="1" x14ac:dyDescent="0.25"/>
    <row r="12" spans="1:1" ht="14.45" customHeight="1" x14ac:dyDescent="0.25"/>
    <row r="13" spans="1:1" ht="14.45" customHeight="1" x14ac:dyDescent="0.25"/>
    <row r="14" spans="1:1" ht="14.45" customHeight="1" x14ac:dyDescent="0.25"/>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I16" zoomScale="70" zoomScaleNormal="70" workbookViewId="0">
      <selection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5.28515625" customWidth="1" outlineLevel="1"/>
    <col min="8" max="8" width="12.42578125" customWidth="1"/>
    <col min="9" max="10" width="21.140625" customWidth="1"/>
    <col min="11" max="11" width="17.85546875" customWidth="1"/>
    <col min="12" max="31" width="12.42578125" customWidth="1"/>
    <col min="32" max="32" width="13.7109375" style="6" customWidth="1"/>
    <col min="33" max="33" width="16.28515625" customWidth="1"/>
  </cols>
  <sheetData>
    <row r="1" spans="1:54" x14ac:dyDescent="0.25">
      <c r="A1" s="6" t="s">
        <v>12</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127"/>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Pill_Base!C5</f>
        <v>7.6603000000000001E-3</v>
      </c>
      <c r="D5" s="14">
        <f ca="1">Pill_Base!D5</f>
        <v>4.0756000000000004E-3</v>
      </c>
      <c r="E5" s="14">
        <f ca="1">IF('User Settings'!$N$7="On",($D5-$C5)/($D$4-$C$4),0)</f>
        <v>-7.169399999999999E-4</v>
      </c>
      <c r="F5" s="14">
        <f ca="1">Pill_Base!F5</f>
        <v>1.9247800000000009E-3</v>
      </c>
      <c r="G5" s="1" t="str">
        <f>"Shift_UrbQ1"&amp;IF(Dashboard!$Q$4="Yes",$A$1,"")</f>
        <v>Shift_UrbQ1</v>
      </c>
      <c r="H5" s="14">
        <f ca="1">Pill_Base!H5*(1-INDIRECT($G5))</f>
        <v>0</v>
      </c>
      <c r="I5" s="14">
        <f t="shared" ref="I5:I10" ca="1" si="4">($H5-$F5)/($H$4-$F$4)</f>
        <v>-6.4159333333333368E-4</v>
      </c>
      <c r="J5" s="14">
        <f ca="1">K5-E5</f>
        <v>2.641720000000001E-3</v>
      </c>
      <c r="K5" s="14">
        <f ca="1">MAX(0,MIN(1,D5+(K$4-D$4)*E5))</f>
        <v>1.9247800000000009E-3</v>
      </c>
      <c r="L5" s="15">
        <f ca="1">MAX(0,MIN(1,K5+$I5))</f>
        <v>1.2831866666666671E-3</v>
      </c>
      <c r="M5" s="15">
        <f t="shared" ref="M5:AD5" ca="1" si="5">MAX(0,MIN(1,L5+$I5))</f>
        <v>6.4159333333333346E-4</v>
      </c>
      <c r="N5" s="15">
        <f ca="1">MAX(0,MIN(1,M5+$I5))</f>
        <v>0</v>
      </c>
      <c r="O5" s="15">
        <f t="shared" ca="1" si="5"/>
        <v>0</v>
      </c>
      <c r="P5" s="15">
        <f t="shared" ca="1" si="5"/>
        <v>0</v>
      </c>
      <c r="Q5" s="15">
        <f t="shared" ca="1" si="5"/>
        <v>0</v>
      </c>
      <c r="R5" s="15">
        <f t="shared" ca="1" si="5"/>
        <v>0</v>
      </c>
      <c r="S5" s="15">
        <f t="shared" ca="1" si="5"/>
        <v>0</v>
      </c>
      <c r="T5" s="15">
        <f t="shared" ca="1" si="5"/>
        <v>0</v>
      </c>
      <c r="U5" s="15">
        <f t="shared" ca="1" si="5"/>
        <v>0</v>
      </c>
      <c r="V5" s="15">
        <f t="shared" ca="1" si="5"/>
        <v>0</v>
      </c>
      <c r="W5" s="15">
        <f t="shared" ca="1" si="5"/>
        <v>0</v>
      </c>
      <c r="X5" s="15">
        <f t="shared" ca="1" si="5"/>
        <v>0</v>
      </c>
      <c r="Y5" s="15">
        <f t="shared" ca="1" si="5"/>
        <v>0</v>
      </c>
      <c r="Z5" s="15">
        <f t="shared" ca="1" si="5"/>
        <v>0</v>
      </c>
      <c r="AA5" s="15">
        <f t="shared" ca="1" si="5"/>
        <v>0</v>
      </c>
      <c r="AB5" s="15">
        <f t="shared" ca="1" si="5"/>
        <v>0</v>
      </c>
      <c r="AC5" s="15">
        <f t="shared" ca="1" si="5"/>
        <v>0</v>
      </c>
      <c r="AD5" s="15">
        <f t="shared" ca="1" si="5"/>
        <v>0</v>
      </c>
      <c r="AE5" s="5"/>
      <c r="AG5" s="1" t="s">
        <v>52</v>
      </c>
      <c r="AH5" s="37">
        <f ca="1">J5*AH$11</f>
        <v>1695.3788902978843</v>
      </c>
      <c r="AI5" s="37">
        <f t="shared" ref="AI5:AI10" ca="1" si="6">K5*AI$11</f>
        <v>1282.7704271611879</v>
      </c>
      <c r="AJ5" s="37">
        <f t="shared" ref="AJ5:AS10" ca="1" si="7">L5*AJ$11</f>
        <v>887.87185397758014</v>
      </c>
      <c r="AK5" s="37">
        <f t="shared" ca="1" si="7"/>
        <v>460.22279528732895</v>
      </c>
      <c r="AL5" s="37">
        <f t="shared" ca="1" si="7"/>
        <v>0</v>
      </c>
      <c r="AM5" s="37">
        <f t="shared" ca="1" si="7"/>
        <v>0</v>
      </c>
      <c r="AN5" s="37">
        <f t="shared" ca="1" si="7"/>
        <v>0</v>
      </c>
      <c r="AO5" s="37">
        <f t="shared" ca="1" si="7"/>
        <v>0</v>
      </c>
      <c r="AP5" s="37">
        <f t="shared" ca="1" si="7"/>
        <v>0</v>
      </c>
      <c r="AQ5" s="37">
        <f t="shared" ca="1" si="7"/>
        <v>0</v>
      </c>
      <c r="AR5" s="37">
        <f t="shared" ca="1" si="7"/>
        <v>0</v>
      </c>
      <c r="AS5" s="37">
        <f t="shared" ca="1" si="7"/>
        <v>0</v>
      </c>
      <c r="AT5" s="37">
        <f t="shared" ref="AT5:BB10" ca="1" si="8">V5*AT$11</f>
        <v>0</v>
      </c>
      <c r="AU5" s="37">
        <f t="shared" ca="1" si="8"/>
        <v>0</v>
      </c>
      <c r="AV5" s="37">
        <f t="shared" ca="1" si="8"/>
        <v>0</v>
      </c>
      <c r="AW5" s="37">
        <f t="shared" ca="1" si="8"/>
        <v>0</v>
      </c>
      <c r="AX5" s="37">
        <f t="shared" ca="1" si="8"/>
        <v>0</v>
      </c>
      <c r="AY5" s="37">
        <f t="shared" ca="1" si="8"/>
        <v>0</v>
      </c>
      <c r="AZ5" s="37" t="e">
        <f t="shared" ca="1" si="8"/>
        <v>#N/A</v>
      </c>
      <c r="BA5" s="37" t="e">
        <f t="shared" ca="1" si="8"/>
        <v>#N/A</v>
      </c>
      <c r="BB5" s="37" t="e">
        <f t="shared" ca="1" si="8"/>
        <v>#N/A</v>
      </c>
    </row>
    <row r="6" spans="1:54" x14ac:dyDescent="0.25">
      <c r="B6" s="1" t="s">
        <v>54</v>
      </c>
      <c r="C6" s="14">
        <f ca="1">Pill_Base!C6</f>
        <v>0</v>
      </c>
      <c r="D6" s="14">
        <f ca="1">Pill_Base!D6</f>
        <v>0</v>
      </c>
      <c r="E6" s="14">
        <f ca="1">IF('User Settings'!$N$7="On",($D6-$C6)/($D$4-$C$4),0)</f>
        <v>0</v>
      </c>
      <c r="F6" s="14">
        <f ca="1">Pill_Base!F6</f>
        <v>0</v>
      </c>
      <c r="G6" s="1" t="str">
        <f>"Shift_UrbQ1"&amp;IF(Dashboard!$Q$4="Yes",$A$1,"")</f>
        <v>Shift_UrbQ1</v>
      </c>
      <c r="H6" s="14">
        <f ca="1">Pill_Base!H6*(1-INDIRECT($G6))</f>
        <v>0</v>
      </c>
      <c r="I6" s="14">
        <f t="shared" ca="1" si="4"/>
        <v>0</v>
      </c>
      <c r="J6" s="14">
        <f t="shared" ref="J6:J10" ca="1" si="9">K6-E6</f>
        <v>0</v>
      </c>
      <c r="K6" s="14">
        <f t="shared" ref="K6:K10" ca="1" si="10">MAX(0,MIN(1,D6+(K$4-D$4)*E6))</f>
        <v>0</v>
      </c>
      <c r="L6" s="15">
        <f t="shared" ref="L6:AD10" ca="1" si="11">MAX(0,MIN(1,K6+$I6))</f>
        <v>0</v>
      </c>
      <c r="M6" s="15">
        <f t="shared" ca="1" si="11"/>
        <v>0</v>
      </c>
      <c r="N6" s="15">
        <f t="shared" ca="1" si="11"/>
        <v>0</v>
      </c>
      <c r="O6" s="15">
        <f t="shared" ca="1" si="11"/>
        <v>0</v>
      </c>
      <c r="P6" s="15">
        <f t="shared" ca="1" si="11"/>
        <v>0</v>
      </c>
      <c r="Q6" s="15">
        <f t="shared" ca="1" si="11"/>
        <v>0</v>
      </c>
      <c r="R6" s="15">
        <f t="shared" ca="1" si="11"/>
        <v>0</v>
      </c>
      <c r="S6" s="15">
        <f t="shared" ca="1" si="11"/>
        <v>0</v>
      </c>
      <c r="T6" s="15">
        <f t="shared" ca="1" si="11"/>
        <v>0</v>
      </c>
      <c r="U6" s="15">
        <f t="shared" ca="1" si="11"/>
        <v>0</v>
      </c>
      <c r="V6" s="15">
        <f t="shared" ca="1" si="11"/>
        <v>0</v>
      </c>
      <c r="W6" s="15">
        <f t="shared" ca="1" si="11"/>
        <v>0</v>
      </c>
      <c r="X6" s="15">
        <f t="shared" ca="1" si="11"/>
        <v>0</v>
      </c>
      <c r="Y6" s="15">
        <f t="shared" ca="1" si="11"/>
        <v>0</v>
      </c>
      <c r="Z6" s="15">
        <f t="shared" ca="1" si="11"/>
        <v>0</v>
      </c>
      <c r="AA6" s="15">
        <f t="shared" ca="1" si="11"/>
        <v>0</v>
      </c>
      <c r="AB6" s="15">
        <f t="shared" ca="1" si="11"/>
        <v>0</v>
      </c>
      <c r="AC6" s="15">
        <f t="shared" ca="1" si="11"/>
        <v>0</v>
      </c>
      <c r="AD6" s="15">
        <f t="shared" ca="1" si="11"/>
        <v>0</v>
      </c>
      <c r="AE6" s="5"/>
      <c r="AG6" s="1" t="s">
        <v>54</v>
      </c>
      <c r="AH6" s="37">
        <f t="shared" ref="AH6:AH10" ca="1" si="12">J6*AH$11</f>
        <v>0</v>
      </c>
      <c r="AI6" s="37">
        <f t="shared" ca="1" si="6"/>
        <v>0</v>
      </c>
      <c r="AJ6" s="37">
        <f t="shared" ca="1" si="7"/>
        <v>0</v>
      </c>
      <c r="AK6" s="37">
        <f t="shared" ca="1" si="7"/>
        <v>0</v>
      </c>
      <c r="AL6" s="37">
        <f t="shared" ca="1" si="7"/>
        <v>0</v>
      </c>
      <c r="AM6" s="37">
        <f t="shared" ca="1" si="7"/>
        <v>0</v>
      </c>
      <c r="AN6" s="37">
        <f t="shared" ca="1" si="7"/>
        <v>0</v>
      </c>
      <c r="AO6" s="37">
        <f t="shared" ca="1" si="7"/>
        <v>0</v>
      </c>
      <c r="AP6" s="37">
        <f t="shared" ca="1" si="7"/>
        <v>0</v>
      </c>
      <c r="AQ6" s="37">
        <f t="shared" ca="1" si="7"/>
        <v>0</v>
      </c>
      <c r="AR6" s="37">
        <f t="shared" ca="1" si="7"/>
        <v>0</v>
      </c>
      <c r="AS6" s="37">
        <f t="shared" ca="1" si="7"/>
        <v>0</v>
      </c>
      <c r="AT6" s="37">
        <f t="shared" ca="1" si="8"/>
        <v>0</v>
      </c>
      <c r="AU6" s="37">
        <f t="shared" ca="1" si="8"/>
        <v>0</v>
      </c>
      <c r="AV6" s="37">
        <f t="shared" ca="1" si="8"/>
        <v>0</v>
      </c>
      <c r="AW6" s="37">
        <f t="shared" ca="1" si="8"/>
        <v>0</v>
      </c>
      <c r="AX6" s="37">
        <f t="shared" ca="1" si="8"/>
        <v>0</v>
      </c>
      <c r="AY6" s="37">
        <f t="shared" ca="1" si="8"/>
        <v>0</v>
      </c>
      <c r="AZ6" s="37" t="e">
        <f t="shared" ca="1" si="8"/>
        <v>#N/A</v>
      </c>
      <c r="BA6" s="37" t="e">
        <f t="shared" ca="1" si="8"/>
        <v>#N/A</v>
      </c>
      <c r="BB6" s="37" t="e">
        <f t="shared" ca="1" si="8"/>
        <v>#N/A</v>
      </c>
    </row>
    <row r="7" spans="1:54" x14ac:dyDescent="0.25">
      <c r="B7" s="1" t="s">
        <v>170</v>
      </c>
      <c r="C7" s="14">
        <f ca="1">Pill_Base!C7</f>
        <v>0</v>
      </c>
      <c r="D7" s="14">
        <f ca="1">Pill_Base!D7</f>
        <v>0</v>
      </c>
      <c r="E7" s="14">
        <f ca="1">IF('User Settings'!$N$7="On",($D7-$C7)/($D$4-$C$4),0)</f>
        <v>0</v>
      </c>
      <c r="F7" s="14">
        <f ca="1">Pill_Base!F7</f>
        <v>0</v>
      </c>
      <c r="G7" s="1" t="str">
        <f>"Shift_UrbQ1"&amp;IF(Dashboard!$Q$4="Yes",$A$1,"")</f>
        <v>Shift_UrbQ1</v>
      </c>
      <c r="H7" s="14">
        <f ca="1">Pill_Base!H7*(1-INDIRECT($G7))</f>
        <v>0</v>
      </c>
      <c r="I7" s="14">
        <f t="shared" ca="1" si="4"/>
        <v>0</v>
      </c>
      <c r="J7" s="14">
        <f t="shared" ca="1" si="9"/>
        <v>0</v>
      </c>
      <c r="K7" s="14">
        <f t="shared" ca="1" si="10"/>
        <v>0</v>
      </c>
      <c r="L7" s="15">
        <f t="shared" ca="1" si="11"/>
        <v>0</v>
      </c>
      <c r="M7" s="15">
        <f t="shared" ca="1" si="11"/>
        <v>0</v>
      </c>
      <c r="N7" s="15">
        <f t="shared" ca="1" si="11"/>
        <v>0</v>
      </c>
      <c r="O7" s="15">
        <f t="shared" ca="1" si="11"/>
        <v>0</v>
      </c>
      <c r="P7" s="15">
        <f t="shared" ca="1" si="11"/>
        <v>0</v>
      </c>
      <c r="Q7" s="15">
        <f t="shared" ca="1" si="11"/>
        <v>0</v>
      </c>
      <c r="R7" s="15">
        <f t="shared" ca="1" si="11"/>
        <v>0</v>
      </c>
      <c r="S7" s="15">
        <f t="shared" ca="1" si="11"/>
        <v>0</v>
      </c>
      <c r="T7" s="15">
        <f t="shared" ca="1" si="11"/>
        <v>0</v>
      </c>
      <c r="U7" s="15">
        <f t="shared" ca="1" si="11"/>
        <v>0</v>
      </c>
      <c r="V7" s="15">
        <f t="shared" ca="1" si="11"/>
        <v>0</v>
      </c>
      <c r="W7" s="15">
        <f t="shared" ca="1" si="11"/>
        <v>0</v>
      </c>
      <c r="X7" s="15">
        <f t="shared" ca="1" si="11"/>
        <v>0</v>
      </c>
      <c r="Y7" s="15">
        <f t="shared" ca="1" si="11"/>
        <v>0</v>
      </c>
      <c r="Z7" s="15">
        <f t="shared" ca="1" si="11"/>
        <v>0</v>
      </c>
      <c r="AA7" s="15">
        <f t="shared" ca="1" si="11"/>
        <v>0</v>
      </c>
      <c r="AB7" s="15">
        <f t="shared" ca="1" si="11"/>
        <v>0</v>
      </c>
      <c r="AC7" s="15">
        <f t="shared" ca="1" si="11"/>
        <v>0</v>
      </c>
      <c r="AD7" s="15">
        <f t="shared" ca="1" si="11"/>
        <v>0</v>
      </c>
      <c r="AE7" s="5"/>
      <c r="AG7" s="1" t="s">
        <v>170</v>
      </c>
      <c r="AH7" s="37">
        <f t="shared" ca="1" si="12"/>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Pill_Base!C8</f>
        <v>4.3547599999999999E-2</v>
      </c>
      <c r="D8" s="14">
        <f ca="1">Pill_Base!D8</f>
        <v>3.2390599999999999E-2</v>
      </c>
      <c r="E8" s="14">
        <f ca="1">IF('User Settings'!$N$7="On",($D8-$C8)/($D$4-$C$4),0)</f>
        <v>-2.2314000000000001E-3</v>
      </c>
      <c r="F8" s="14">
        <f ca="1">Pill_Base!F8</f>
        <v>2.5696399999999998E-2</v>
      </c>
      <c r="H8" s="14">
        <f ca="1">H11-SUM($H5:$H7,$H9:$H10)</f>
        <v>1.9002199999999997E-2</v>
      </c>
      <c r="I8" s="14">
        <f t="shared" ca="1" si="4"/>
        <v>-2.2314000000000001E-3</v>
      </c>
      <c r="J8" s="14">
        <f t="shared" ca="1" si="9"/>
        <v>2.7927799999999999E-2</v>
      </c>
      <c r="K8" s="14">
        <f t="shared" ca="1" si="10"/>
        <v>2.5696399999999998E-2</v>
      </c>
      <c r="L8" s="15">
        <f t="shared" ca="1" si="11"/>
        <v>2.3464999999999996E-2</v>
      </c>
      <c r="M8" s="15">
        <f t="shared" ca="1" si="11"/>
        <v>2.1233599999999995E-2</v>
      </c>
      <c r="N8" s="15">
        <f t="shared" ca="1" si="11"/>
        <v>1.9002199999999993E-2</v>
      </c>
      <c r="O8" s="15">
        <f t="shared" ca="1" si="11"/>
        <v>1.6770799999999992E-2</v>
      </c>
      <c r="P8" s="15">
        <f t="shared" ca="1" si="11"/>
        <v>1.4539399999999992E-2</v>
      </c>
      <c r="Q8" s="15">
        <f t="shared" ca="1" si="11"/>
        <v>1.2307999999999993E-2</v>
      </c>
      <c r="R8" s="15">
        <f t="shared" ca="1" si="11"/>
        <v>1.0076599999999993E-2</v>
      </c>
      <c r="S8" s="15">
        <f t="shared" ca="1" si="11"/>
        <v>7.8451999999999932E-3</v>
      </c>
      <c r="T8" s="15">
        <f t="shared" ca="1" si="11"/>
        <v>5.6137999999999934E-3</v>
      </c>
      <c r="U8" s="15">
        <f t="shared" ca="1" si="11"/>
        <v>3.3823999999999933E-3</v>
      </c>
      <c r="V8" s="15">
        <f t="shared" ca="1" si="11"/>
        <v>1.1509999999999932E-3</v>
      </c>
      <c r="W8" s="15">
        <f t="shared" ca="1" si="11"/>
        <v>0</v>
      </c>
      <c r="X8" s="15">
        <f t="shared" ca="1" si="11"/>
        <v>0</v>
      </c>
      <c r="Y8" s="15">
        <f t="shared" ca="1" si="11"/>
        <v>0</v>
      </c>
      <c r="Z8" s="15">
        <f t="shared" ca="1" si="11"/>
        <v>0</v>
      </c>
      <c r="AA8" s="15">
        <f t="shared" ca="1" si="11"/>
        <v>0</v>
      </c>
      <c r="AB8" s="15">
        <f t="shared" ca="1" si="11"/>
        <v>0</v>
      </c>
      <c r="AC8" s="15">
        <f t="shared" ca="1" si="11"/>
        <v>0</v>
      </c>
      <c r="AD8" s="15">
        <f t="shared" ca="1" si="11"/>
        <v>0</v>
      </c>
      <c r="AE8" s="5"/>
      <c r="AG8" s="1" t="s">
        <v>59</v>
      </c>
      <c r="AH8" s="37">
        <f t="shared" ca="1" si="12"/>
        <v>17923.247949238084</v>
      </c>
      <c r="AI8" s="37">
        <f t="shared" ca="1" si="6"/>
        <v>17125.376408994653</v>
      </c>
      <c r="AJ8" s="37">
        <f t="shared" ca="1" si="7"/>
        <v>16236.073515090484</v>
      </c>
      <c r="AK8" s="37">
        <f t="shared" ca="1" si="7"/>
        <v>15231.122641568943</v>
      </c>
      <c r="AL8" s="37">
        <f t="shared" ca="1" si="7"/>
        <v>14130.532291335418</v>
      </c>
      <c r="AM8" s="37">
        <f t="shared" ca="1" si="7"/>
        <v>12926.560908174257</v>
      </c>
      <c r="AN8" s="37">
        <f t="shared" ca="1" si="7"/>
        <v>11612.096946612684</v>
      </c>
      <c r="AO8" s="37">
        <f t="shared" ca="1" si="7"/>
        <v>10181.584825411142</v>
      </c>
      <c r="AP8" s="37">
        <f t="shared" ca="1" si="7"/>
        <v>8624.5392612261621</v>
      </c>
      <c r="AQ8" s="37">
        <f t="shared" ca="1" si="7"/>
        <v>6945.4662780719736</v>
      </c>
      <c r="AR8" s="37">
        <f t="shared" ca="1" si="7"/>
        <v>5139.4016543047237</v>
      </c>
      <c r="AS8" s="37">
        <f t="shared" ca="1" si="7"/>
        <v>3201.4100425293213</v>
      </c>
      <c r="AT8" s="37">
        <f t="shared" ca="1" si="8"/>
        <v>1126.0523478416656</v>
      </c>
      <c r="AU8" s="37">
        <f t="shared" ca="1" si="8"/>
        <v>0</v>
      </c>
      <c r="AV8" s="37">
        <f t="shared" ca="1" si="8"/>
        <v>0</v>
      </c>
      <c r="AW8" s="37">
        <f t="shared" ca="1" si="8"/>
        <v>0</v>
      </c>
      <c r="AX8" s="37">
        <f t="shared" ca="1" si="8"/>
        <v>0</v>
      </c>
      <c r="AY8" s="37">
        <f t="shared" ca="1" si="8"/>
        <v>0</v>
      </c>
      <c r="AZ8" s="37" t="e">
        <f t="shared" ca="1" si="8"/>
        <v>#N/A</v>
      </c>
      <c r="BA8" s="37" t="e">
        <f t="shared" ca="1" si="8"/>
        <v>#N/A</v>
      </c>
      <c r="BB8" s="37" t="e">
        <f t="shared" ca="1" si="8"/>
        <v>#N/A</v>
      </c>
    </row>
    <row r="9" spans="1:54" x14ac:dyDescent="0.25">
      <c r="B9" s="1" t="s">
        <v>171</v>
      </c>
      <c r="C9" s="14">
        <f ca="1">Pill_Base!C9</f>
        <v>1.5491000000000001E-3</v>
      </c>
      <c r="D9" s="14">
        <f ca="1">Pill_Base!D9</f>
        <v>0</v>
      </c>
      <c r="E9" s="14">
        <f ca="1">IF('User Settings'!$N$7="On",($D9-$C9)/($D$4-$C$4),0)</f>
        <v>-3.0982000000000004E-4</v>
      </c>
      <c r="F9" s="14">
        <f ca="1">Pill_Base!F9</f>
        <v>0</v>
      </c>
      <c r="G9" s="1"/>
      <c r="H9" s="14">
        <f ca="1">Pill_Base!H9</f>
        <v>0</v>
      </c>
      <c r="I9" s="14">
        <f t="shared" ca="1" si="4"/>
        <v>0</v>
      </c>
      <c r="J9" s="14">
        <f t="shared" ca="1" si="9"/>
        <v>3.0982000000000004E-4</v>
      </c>
      <c r="K9" s="14">
        <f t="shared" ca="1" si="10"/>
        <v>0</v>
      </c>
      <c r="L9" s="15">
        <f t="shared" ca="1" si="11"/>
        <v>0</v>
      </c>
      <c r="M9" s="15">
        <f t="shared" ca="1" si="11"/>
        <v>0</v>
      </c>
      <c r="N9" s="15">
        <f t="shared" ca="1" si="11"/>
        <v>0</v>
      </c>
      <c r="O9" s="15">
        <f t="shared" ca="1" si="11"/>
        <v>0</v>
      </c>
      <c r="P9" s="15">
        <f t="shared" ca="1" si="11"/>
        <v>0</v>
      </c>
      <c r="Q9" s="15">
        <f t="shared" ca="1" si="11"/>
        <v>0</v>
      </c>
      <c r="R9" s="15">
        <f t="shared" ca="1" si="11"/>
        <v>0</v>
      </c>
      <c r="S9" s="15">
        <f t="shared" ca="1" si="11"/>
        <v>0</v>
      </c>
      <c r="T9" s="15">
        <f t="shared" ca="1" si="11"/>
        <v>0</v>
      </c>
      <c r="U9" s="15">
        <f t="shared" ca="1" si="11"/>
        <v>0</v>
      </c>
      <c r="V9" s="15">
        <f t="shared" ca="1" si="11"/>
        <v>0</v>
      </c>
      <c r="W9" s="15">
        <f t="shared" ca="1" si="11"/>
        <v>0</v>
      </c>
      <c r="X9" s="15">
        <f t="shared" ca="1" si="11"/>
        <v>0</v>
      </c>
      <c r="Y9" s="15">
        <f t="shared" ca="1" si="11"/>
        <v>0</v>
      </c>
      <c r="Z9" s="15">
        <f t="shared" ca="1" si="11"/>
        <v>0</v>
      </c>
      <c r="AA9" s="15">
        <f t="shared" ca="1" si="11"/>
        <v>0</v>
      </c>
      <c r="AB9" s="15">
        <f t="shared" ca="1" si="11"/>
        <v>0</v>
      </c>
      <c r="AC9" s="15">
        <f t="shared" ca="1" si="11"/>
        <v>0</v>
      </c>
      <c r="AD9" s="15">
        <f t="shared" ca="1" si="11"/>
        <v>0</v>
      </c>
      <c r="AE9" s="5"/>
      <c r="AG9" s="1" t="s">
        <v>171</v>
      </c>
      <c r="AH9" s="37">
        <f t="shared" ca="1" si="12"/>
        <v>198.8334447981203</v>
      </c>
      <c r="AI9" s="37">
        <f t="shared" ca="1" si="6"/>
        <v>0</v>
      </c>
      <c r="AJ9" s="37">
        <f t="shared" ca="1" si="7"/>
        <v>0</v>
      </c>
      <c r="AK9" s="37">
        <f t="shared" ca="1" si="7"/>
        <v>0</v>
      </c>
      <c r="AL9" s="37">
        <f t="shared" ca="1" si="7"/>
        <v>0</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Pill_Base!C10</f>
        <v>6.9340000000000005E-4</v>
      </c>
      <c r="D10" s="14">
        <f ca="1">Pill_Base!D10</f>
        <v>0</v>
      </c>
      <c r="E10" s="14">
        <f ca="1">IF('User Settings'!$N$7="On",($D10-$C10)/($D$4-$C$4),0)</f>
        <v>-1.3868000000000002E-4</v>
      </c>
      <c r="F10" s="14">
        <f ca="1">Pill_Base!F10</f>
        <v>0</v>
      </c>
      <c r="G10" s="1" t="str">
        <f>"Shift_UrbQ1"&amp;IF(Dashboard!$Q$4="Yes",$A$1,"")</f>
        <v>Shift_UrbQ1</v>
      </c>
      <c r="H10" s="14">
        <f ca="1">Pill_Base!H10*(1-INDIRECT($G10))</f>
        <v>0</v>
      </c>
      <c r="I10" s="14">
        <f t="shared" ca="1" si="4"/>
        <v>0</v>
      </c>
      <c r="J10" s="14">
        <f t="shared" ca="1" si="9"/>
        <v>1.3868000000000002E-4</v>
      </c>
      <c r="K10" s="14">
        <f t="shared" ca="1" si="10"/>
        <v>0</v>
      </c>
      <c r="L10" s="15">
        <f t="shared" ca="1" si="11"/>
        <v>0</v>
      </c>
      <c r="M10" s="15">
        <f t="shared" ca="1" si="11"/>
        <v>0</v>
      </c>
      <c r="N10" s="15">
        <f t="shared" ca="1" si="11"/>
        <v>0</v>
      </c>
      <c r="O10" s="15">
        <f t="shared" ca="1" si="11"/>
        <v>0</v>
      </c>
      <c r="P10" s="15">
        <f t="shared" ca="1" si="11"/>
        <v>0</v>
      </c>
      <c r="Q10" s="15">
        <f t="shared" ca="1" si="11"/>
        <v>0</v>
      </c>
      <c r="R10" s="15">
        <f t="shared" ca="1" si="11"/>
        <v>0</v>
      </c>
      <c r="S10" s="15">
        <f t="shared" ca="1" si="11"/>
        <v>0</v>
      </c>
      <c r="T10" s="15">
        <f t="shared" ca="1" si="11"/>
        <v>0</v>
      </c>
      <c r="U10" s="15">
        <f t="shared" ca="1" si="11"/>
        <v>0</v>
      </c>
      <c r="V10" s="15">
        <f t="shared" ca="1" si="11"/>
        <v>0</v>
      </c>
      <c r="W10" s="15">
        <f t="shared" ca="1" si="11"/>
        <v>0</v>
      </c>
      <c r="X10" s="15">
        <f t="shared" ca="1" si="11"/>
        <v>0</v>
      </c>
      <c r="Y10" s="15">
        <f t="shared" ca="1" si="11"/>
        <v>0</v>
      </c>
      <c r="Z10" s="15">
        <f t="shared" ca="1" si="11"/>
        <v>0</v>
      </c>
      <c r="AA10" s="15">
        <f t="shared" ca="1" si="11"/>
        <v>0</v>
      </c>
      <c r="AB10" s="15">
        <f t="shared" ca="1" si="11"/>
        <v>0</v>
      </c>
      <c r="AC10" s="15">
        <f t="shared" ca="1" si="11"/>
        <v>0</v>
      </c>
      <c r="AD10" s="15">
        <f t="shared" ca="1" si="11"/>
        <v>0</v>
      </c>
      <c r="AE10" s="5"/>
      <c r="AG10" s="1" t="s">
        <v>116</v>
      </c>
      <c r="AH10" s="37">
        <f t="shared" ca="1" si="12"/>
        <v>89.000781500882212</v>
      </c>
      <c r="AI10" s="37">
        <f t="shared" ca="1" si="6"/>
        <v>0</v>
      </c>
      <c r="AJ10" s="37">
        <f t="shared" ca="1" si="7"/>
        <v>0</v>
      </c>
      <c r="AK10" s="37">
        <f t="shared" ca="1" si="7"/>
        <v>0</v>
      </c>
      <c r="AL10" s="37">
        <f t="shared" ca="1" si="7"/>
        <v>0</v>
      </c>
      <c r="AM10" s="37">
        <f t="shared" ca="1" si="7"/>
        <v>0</v>
      </c>
      <c r="AN10" s="37">
        <f t="shared" ca="1" si="7"/>
        <v>0</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5.3450399999999995E-2</v>
      </c>
      <c r="D11" s="5">
        <f ca="1">SUM(D5:D10)</f>
        <v>3.6466199999999997E-2</v>
      </c>
      <c r="E11" s="143"/>
      <c r="F11" s="132">
        <f ca="1">SUM(F5:F10)</f>
        <v>2.7621179999999999E-2</v>
      </c>
      <c r="H11" s="132">
        <f ca="1">Pill_Base!H11</f>
        <v>1.9002199999999997E-2</v>
      </c>
      <c r="I11" s="132"/>
      <c r="J11" s="132">
        <f ca="1">SUM(J5:J10)</f>
        <v>3.1018019999999997E-2</v>
      </c>
      <c r="K11" s="132">
        <f ca="1">SUM(K5:K10)</f>
        <v>2.7621179999999999E-2</v>
      </c>
      <c r="L11" s="5">
        <f t="shared" ref="L11:AD11" ca="1" si="13">SUM(L5:L10)</f>
        <v>2.4748186666666665E-2</v>
      </c>
      <c r="M11" s="5">
        <f t="shared" ca="1" si="13"/>
        <v>2.1875193333333327E-2</v>
      </c>
      <c r="N11" s="5">
        <f t="shared" ca="1" si="13"/>
        <v>1.9002199999999993E-2</v>
      </c>
      <c r="O11" s="5">
        <f t="shared" ca="1" si="13"/>
        <v>1.6770799999999992E-2</v>
      </c>
      <c r="P11" s="5">
        <f t="shared" ca="1" si="13"/>
        <v>1.4539399999999992E-2</v>
      </c>
      <c r="Q11" s="5">
        <f t="shared" ca="1" si="13"/>
        <v>1.2307999999999993E-2</v>
      </c>
      <c r="R11" s="5">
        <f t="shared" ca="1" si="13"/>
        <v>1.0076599999999993E-2</v>
      </c>
      <c r="S11" s="5">
        <f t="shared" ca="1" si="13"/>
        <v>7.8451999999999932E-3</v>
      </c>
      <c r="T11" s="5">
        <f t="shared" ca="1" si="13"/>
        <v>5.6137999999999934E-3</v>
      </c>
      <c r="U11" s="5">
        <f t="shared" ca="1" si="13"/>
        <v>3.3823999999999933E-3</v>
      </c>
      <c r="V11" s="5">
        <f t="shared" ca="1" si="13"/>
        <v>1.1509999999999932E-3</v>
      </c>
      <c r="W11" s="5">
        <f t="shared" ca="1" si="13"/>
        <v>0</v>
      </c>
      <c r="X11" s="5">
        <f t="shared" ca="1" si="13"/>
        <v>0</v>
      </c>
      <c r="Y11" s="5">
        <f t="shared" ca="1" si="13"/>
        <v>0</v>
      </c>
      <c r="Z11" s="5">
        <f t="shared" ca="1" si="13"/>
        <v>0</v>
      </c>
      <c r="AA11" s="5">
        <f t="shared" ca="1" si="13"/>
        <v>0</v>
      </c>
      <c r="AB11" s="5">
        <f t="shared" ca="1" si="13"/>
        <v>0</v>
      </c>
      <c r="AC11" s="5">
        <f t="shared" ca="1" si="13"/>
        <v>0</v>
      </c>
      <c r="AD11" s="5">
        <f t="shared" ca="1" si="13"/>
        <v>0</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G12" s="146"/>
      <c r="AI12" s="7"/>
      <c r="AJ12" s="7"/>
      <c r="AK12" s="7"/>
      <c r="AL12" s="7"/>
      <c r="AM12" s="7"/>
      <c r="AN12" s="7"/>
      <c r="AO12" s="7"/>
      <c r="AP12" s="7"/>
      <c r="AQ12" s="7"/>
      <c r="AR12" s="7"/>
      <c r="AS12" s="7"/>
      <c r="AT12" s="7"/>
    </row>
    <row r="13" spans="1:54" x14ac:dyDescent="0.25">
      <c r="A13" s="6" t="s">
        <v>162</v>
      </c>
      <c r="C13" s="4" t="s">
        <v>163</v>
      </c>
      <c r="D13" s="4" t="s">
        <v>164</v>
      </c>
      <c r="F13" s="4" t="s">
        <v>165</v>
      </c>
      <c r="H13" s="4" t="s">
        <v>167</v>
      </c>
      <c r="K13" s="205" t="str">
        <f t="shared" ref="K13:AD13" si="14">IF(K14=Yr_Start,"Start Year",IF(K14=Yr_End,"End Year",""))</f>
        <v>Start Year</v>
      </c>
      <c r="L13" s="205" t="str">
        <f t="shared" si="14"/>
        <v/>
      </c>
      <c r="M13" s="205" t="str">
        <f t="shared" si="14"/>
        <v/>
      </c>
      <c r="N13" s="205" t="str">
        <f t="shared" si="14"/>
        <v>End Year</v>
      </c>
      <c r="O13" s="205" t="str">
        <f t="shared" si="14"/>
        <v/>
      </c>
      <c r="P13" s="205" t="str">
        <f t="shared" si="14"/>
        <v/>
      </c>
      <c r="Q13" s="205" t="str">
        <f t="shared" si="14"/>
        <v/>
      </c>
      <c r="R13" s="205" t="str">
        <f t="shared" si="14"/>
        <v/>
      </c>
      <c r="S13" s="205" t="str">
        <f t="shared" si="14"/>
        <v/>
      </c>
      <c r="T13" s="205" t="str">
        <f t="shared" si="14"/>
        <v/>
      </c>
      <c r="U13" s="205" t="str">
        <f t="shared" si="14"/>
        <v/>
      </c>
      <c r="V13" s="205" t="str">
        <f t="shared" si="14"/>
        <v/>
      </c>
      <c r="W13" s="205" t="str">
        <f t="shared" si="14"/>
        <v/>
      </c>
      <c r="X13" s="205" t="str">
        <f t="shared" si="14"/>
        <v/>
      </c>
      <c r="Y13" s="205" t="str">
        <f t="shared" si="14"/>
        <v/>
      </c>
      <c r="Z13" s="205" t="str">
        <f t="shared" si="14"/>
        <v/>
      </c>
      <c r="AA13" s="205" t="str">
        <f t="shared" si="14"/>
        <v/>
      </c>
      <c r="AB13" s="205" t="str">
        <f t="shared" si="14"/>
        <v/>
      </c>
      <c r="AC13" s="205" t="str">
        <f t="shared" si="14"/>
        <v/>
      </c>
      <c r="AD13" s="205" t="str">
        <f t="shared" si="14"/>
        <v/>
      </c>
      <c r="AE13" s="35"/>
      <c r="AF13" s="6" t="str">
        <f>A13</f>
        <v>Richest</v>
      </c>
      <c r="AI13" s="205" t="str">
        <f t="shared" ref="AI13:BB13" si="15">IF(AI14=Yr_Start,"Start Year",IF(AI14=Yr_End,"End Year",""))</f>
        <v>Start Year</v>
      </c>
      <c r="AJ13" s="205" t="str">
        <f t="shared" si="15"/>
        <v/>
      </c>
      <c r="AK13" s="205" t="str">
        <f t="shared" si="15"/>
        <v/>
      </c>
      <c r="AL13" s="205" t="str">
        <f t="shared" si="15"/>
        <v>End Year</v>
      </c>
      <c r="AM13" s="205" t="str">
        <f t="shared" si="15"/>
        <v/>
      </c>
      <c r="AN13" s="205" t="str">
        <f t="shared" si="15"/>
        <v/>
      </c>
      <c r="AO13" s="205" t="str">
        <f t="shared" si="15"/>
        <v/>
      </c>
      <c r="AP13" s="205" t="str">
        <f t="shared" si="15"/>
        <v/>
      </c>
      <c r="AQ13" s="205" t="str">
        <f t="shared" si="15"/>
        <v/>
      </c>
      <c r="AR13" s="205" t="str">
        <f t="shared" si="15"/>
        <v/>
      </c>
      <c r="AS13" s="205" t="str">
        <f t="shared" si="15"/>
        <v/>
      </c>
      <c r="AT13" s="205" t="str">
        <f t="shared" si="15"/>
        <v/>
      </c>
      <c r="AU13" s="205" t="str">
        <f t="shared" si="15"/>
        <v/>
      </c>
      <c r="AV13" s="205" t="str">
        <f t="shared" si="15"/>
        <v/>
      </c>
      <c r="AW13" s="205" t="str">
        <f t="shared" si="15"/>
        <v/>
      </c>
      <c r="AX13" s="205" t="str">
        <f t="shared" si="15"/>
        <v/>
      </c>
      <c r="AY13" s="205" t="str">
        <f t="shared" si="15"/>
        <v/>
      </c>
      <c r="AZ13" s="205" t="str">
        <f t="shared" si="15"/>
        <v/>
      </c>
      <c r="BA13" s="205" t="str">
        <f t="shared" si="15"/>
        <v/>
      </c>
      <c r="BB13" s="205" t="str">
        <f t="shared" si="15"/>
        <v/>
      </c>
    </row>
    <row r="14" spans="1:54" x14ac:dyDescent="0.25">
      <c r="A14" s="6" t="s">
        <v>21</v>
      </c>
      <c r="B14" s="36"/>
      <c r="C14" s="36">
        <f>Yr_DHS1</f>
        <v>2011</v>
      </c>
      <c r="D14" s="36">
        <f>Yr_DHS2</f>
        <v>2016</v>
      </c>
      <c r="E14" s="36" t="s">
        <v>168</v>
      </c>
      <c r="F14" s="36">
        <f>Yr_Start</f>
        <v>2019</v>
      </c>
      <c r="G14" s="127"/>
      <c r="H14" s="36">
        <f>Yr_End</f>
        <v>2022</v>
      </c>
      <c r="I14" s="36" t="s">
        <v>169</v>
      </c>
      <c r="J14" s="130">
        <f>K14-1</f>
        <v>2018</v>
      </c>
      <c r="K14" s="130">
        <f>Yr_Start</f>
        <v>2019</v>
      </c>
      <c r="L14" s="130">
        <f>K14+1</f>
        <v>2020</v>
      </c>
      <c r="M14" s="130">
        <f t="shared" ref="M14:AD14" si="16">L14+1</f>
        <v>2021</v>
      </c>
      <c r="N14" s="130">
        <f t="shared" si="16"/>
        <v>2022</v>
      </c>
      <c r="O14" s="130">
        <f t="shared" si="16"/>
        <v>2023</v>
      </c>
      <c r="P14" s="130">
        <f t="shared" si="16"/>
        <v>2024</v>
      </c>
      <c r="Q14" s="130">
        <f t="shared" si="16"/>
        <v>2025</v>
      </c>
      <c r="R14" s="130">
        <f t="shared" si="16"/>
        <v>2026</v>
      </c>
      <c r="S14" s="130">
        <f t="shared" si="16"/>
        <v>2027</v>
      </c>
      <c r="T14" s="130">
        <f t="shared" si="16"/>
        <v>2028</v>
      </c>
      <c r="U14" s="130">
        <f t="shared" si="16"/>
        <v>2029</v>
      </c>
      <c r="V14" s="130">
        <f t="shared" si="16"/>
        <v>2030</v>
      </c>
      <c r="W14" s="130">
        <f t="shared" si="16"/>
        <v>2031</v>
      </c>
      <c r="X14" s="130">
        <f t="shared" si="16"/>
        <v>2032</v>
      </c>
      <c r="Y14" s="130">
        <f t="shared" si="16"/>
        <v>2033</v>
      </c>
      <c r="Z14" s="130">
        <f t="shared" si="16"/>
        <v>2034</v>
      </c>
      <c r="AA14" s="130">
        <f t="shared" si="16"/>
        <v>2035</v>
      </c>
      <c r="AB14" s="130">
        <f t="shared" si="16"/>
        <v>2036</v>
      </c>
      <c r="AC14" s="130">
        <f t="shared" si="16"/>
        <v>2037</v>
      </c>
      <c r="AD14" s="130">
        <f t="shared" si="16"/>
        <v>2038</v>
      </c>
      <c r="AE14" s="6"/>
      <c r="AF14" s="6" t="str">
        <f>A14</f>
        <v>Rural</v>
      </c>
      <c r="AG14" s="38"/>
      <c r="AH14" s="161">
        <f>AI14-1</f>
        <v>2018</v>
      </c>
      <c r="AI14" s="36">
        <f>Yr_Start</f>
        <v>2019</v>
      </c>
      <c r="AJ14" s="36">
        <f>AI14+1</f>
        <v>2020</v>
      </c>
      <c r="AK14" s="36">
        <f t="shared" ref="AK14:BB14" si="17">AJ14+1</f>
        <v>2021</v>
      </c>
      <c r="AL14" s="36">
        <f t="shared" si="17"/>
        <v>2022</v>
      </c>
      <c r="AM14" s="36">
        <f t="shared" si="17"/>
        <v>2023</v>
      </c>
      <c r="AN14" s="36">
        <f t="shared" si="17"/>
        <v>2024</v>
      </c>
      <c r="AO14" s="36">
        <f t="shared" si="17"/>
        <v>2025</v>
      </c>
      <c r="AP14" s="36">
        <f t="shared" si="17"/>
        <v>2026</v>
      </c>
      <c r="AQ14" s="36">
        <f t="shared" si="17"/>
        <v>2027</v>
      </c>
      <c r="AR14" s="36">
        <f t="shared" si="17"/>
        <v>2028</v>
      </c>
      <c r="AS14" s="36">
        <f t="shared" si="17"/>
        <v>2029</v>
      </c>
      <c r="AT14" s="36">
        <f t="shared" si="17"/>
        <v>2030</v>
      </c>
      <c r="AU14" s="36">
        <f t="shared" si="17"/>
        <v>2031</v>
      </c>
      <c r="AV14" s="36">
        <f t="shared" si="17"/>
        <v>2032</v>
      </c>
      <c r="AW14" s="36">
        <f t="shared" si="17"/>
        <v>2033</v>
      </c>
      <c r="AX14" s="36">
        <f t="shared" si="17"/>
        <v>2034</v>
      </c>
      <c r="AY14" s="36">
        <f t="shared" si="17"/>
        <v>2035</v>
      </c>
      <c r="AZ14" s="36">
        <f t="shared" si="17"/>
        <v>2036</v>
      </c>
      <c r="BA14" s="36">
        <f t="shared" si="17"/>
        <v>2037</v>
      </c>
      <c r="BB14" s="36">
        <f t="shared" si="17"/>
        <v>2038</v>
      </c>
    </row>
    <row r="15" spans="1:54" x14ac:dyDescent="0.25">
      <c r="B15" s="1" t="s">
        <v>52</v>
      </c>
      <c r="C15" s="14">
        <f ca="1">Pill_Base!C15</f>
        <v>1.1599399999999999E-2</v>
      </c>
      <c r="D15" s="14">
        <f ca="1">Pill_Base!D15</f>
        <v>3.4723000000000002E-3</v>
      </c>
      <c r="E15" s="14">
        <f ca="1">IF('User Settings'!$N$7="On",($D15-$C15)/($D$4-$C$4),0)</f>
        <v>-1.6254199999999996E-3</v>
      </c>
      <c r="F15" s="14">
        <f ca="1">Pill_Base!F15</f>
        <v>0</v>
      </c>
      <c r="G15" s="1" t="str">
        <f>"Shift_RurQ1"&amp;IF(Dashboard!$Q$4="Yes",$A$1,"")</f>
        <v>Shift_RurQ1</v>
      </c>
      <c r="H15" s="14">
        <f ca="1">Pill_Base!H15*(1-INDIRECT($G15))</f>
        <v>0</v>
      </c>
      <c r="I15" s="14">
        <f ca="1">($H15-$F15)/($H$4-$F$4)</f>
        <v>0</v>
      </c>
      <c r="J15" s="14">
        <f ca="1">K15-E15</f>
        <v>1.6254199999999996E-3</v>
      </c>
      <c r="K15" s="14">
        <f ca="1">MAX(0,MIN(1,D15+(K$4-D$4)*E15))</f>
        <v>0</v>
      </c>
      <c r="L15" s="15">
        <f ca="1">MAX(0,MIN(1,K15+$I15))</f>
        <v>0</v>
      </c>
      <c r="M15" s="15">
        <f t="shared" ref="M15:AD15" ca="1" si="18">MAX(0,MIN(1,L15+$I15))</f>
        <v>0</v>
      </c>
      <c r="N15" s="15">
        <f ca="1">MAX(0,MIN(1,M15+$I15))</f>
        <v>0</v>
      </c>
      <c r="O15" s="15">
        <f t="shared" ca="1" si="18"/>
        <v>0</v>
      </c>
      <c r="P15" s="15">
        <f t="shared" ca="1" si="18"/>
        <v>0</v>
      </c>
      <c r="Q15" s="15">
        <f t="shared" ca="1" si="18"/>
        <v>0</v>
      </c>
      <c r="R15" s="15">
        <f t="shared" ca="1" si="18"/>
        <v>0</v>
      </c>
      <c r="S15" s="15">
        <f t="shared" ca="1" si="18"/>
        <v>0</v>
      </c>
      <c r="T15" s="15">
        <f t="shared" ca="1" si="18"/>
        <v>0</v>
      </c>
      <c r="U15" s="15">
        <f t="shared" ca="1" si="18"/>
        <v>0</v>
      </c>
      <c r="V15" s="15">
        <f t="shared" ca="1" si="18"/>
        <v>0</v>
      </c>
      <c r="W15" s="15">
        <f t="shared" ca="1" si="18"/>
        <v>0</v>
      </c>
      <c r="X15" s="15">
        <f t="shared" ca="1" si="18"/>
        <v>0</v>
      </c>
      <c r="Y15" s="15">
        <f t="shared" ca="1" si="18"/>
        <v>0</v>
      </c>
      <c r="Z15" s="15">
        <f t="shared" ca="1" si="18"/>
        <v>0</v>
      </c>
      <c r="AA15" s="15">
        <f t="shared" ca="1" si="18"/>
        <v>0</v>
      </c>
      <c r="AB15" s="15">
        <f t="shared" ca="1" si="18"/>
        <v>0</v>
      </c>
      <c r="AC15" s="15">
        <f t="shared" ca="1" si="18"/>
        <v>0</v>
      </c>
      <c r="AD15" s="15">
        <f t="shared" ca="1" si="18"/>
        <v>0</v>
      </c>
      <c r="AE15" s="5"/>
      <c r="AG15" s="1" t="s">
        <v>52</v>
      </c>
      <c r="AH15" s="37">
        <f ca="1">J15*AH$21</f>
        <v>2692.4603000610546</v>
      </c>
      <c r="AI15" s="37">
        <f t="shared" ref="AI15:AI20" ca="1" si="19">K15*AI$21</f>
        <v>0</v>
      </c>
      <c r="AJ15" s="37">
        <f t="shared" ref="AJ15:AS20" ca="1" si="20">L15*AJ$21</f>
        <v>0</v>
      </c>
      <c r="AK15" s="37">
        <f t="shared" ca="1" si="20"/>
        <v>0</v>
      </c>
      <c r="AL15" s="37">
        <f t="shared" ca="1" si="20"/>
        <v>0</v>
      </c>
      <c r="AM15" s="37">
        <f t="shared" ca="1" si="20"/>
        <v>0</v>
      </c>
      <c r="AN15" s="37">
        <f t="shared" ca="1" si="20"/>
        <v>0</v>
      </c>
      <c r="AO15" s="37">
        <f t="shared" ca="1" si="20"/>
        <v>0</v>
      </c>
      <c r="AP15" s="37">
        <f t="shared" ca="1" si="20"/>
        <v>0</v>
      </c>
      <c r="AQ15" s="37">
        <f t="shared" ca="1" si="20"/>
        <v>0</v>
      </c>
      <c r="AR15" s="37">
        <f t="shared" ca="1" si="20"/>
        <v>0</v>
      </c>
      <c r="AS15" s="37">
        <f t="shared" ca="1" si="20"/>
        <v>0</v>
      </c>
      <c r="AT15" s="37">
        <f t="shared" ref="AT15:BB20" ca="1" si="21">V15*AT$21</f>
        <v>0</v>
      </c>
      <c r="AU15" s="37">
        <f t="shared" ca="1" si="21"/>
        <v>0</v>
      </c>
      <c r="AV15" s="37">
        <f t="shared" ca="1" si="21"/>
        <v>0</v>
      </c>
      <c r="AW15" s="37">
        <f t="shared" ca="1" si="21"/>
        <v>0</v>
      </c>
      <c r="AX15" s="37">
        <f t="shared" ca="1" si="21"/>
        <v>0</v>
      </c>
      <c r="AY15" s="37">
        <f t="shared" ca="1" si="21"/>
        <v>0</v>
      </c>
      <c r="AZ15" s="37" t="e">
        <f t="shared" ca="1" si="21"/>
        <v>#N/A</v>
      </c>
      <c r="BA15" s="37" t="e">
        <f t="shared" ca="1" si="21"/>
        <v>#N/A</v>
      </c>
      <c r="BB15" s="37" t="e">
        <f t="shared" ca="1" si="21"/>
        <v>#N/A</v>
      </c>
    </row>
    <row r="16" spans="1:54" x14ac:dyDescent="0.25">
      <c r="B16" s="1" t="s">
        <v>54</v>
      </c>
      <c r="C16" s="14">
        <f ca="1">Pill_Base!C16</f>
        <v>8.9959999999999997E-4</v>
      </c>
      <c r="D16" s="14">
        <f ca="1">Pill_Base!D16</f>
        <v>6.5400000000000004E-5</v>
      </c>
      <c r="E16" s="14">
        <f ca="1">IF('User Settings'!$N$7="On",($D16-$C16)/($D$4-$C$4),0)</f>
        <v>-1.6684E-4</v>
      </c>
      <c r="F16" s="14">
        <f ca="1">Pill_Base!F16</f>
        <v>0</v>
      </c>
      <c r="G16" s="1" t="str">
        <f>"Shift_RurQ1"&amp;IF(Dashboard!$Q$4="Yes",$A$1,"")</f>
        <v>Shift_RurQ1</v>
      </c>
      <c r="H16" s="14">
        <f ca="1">Pill_Base!H16*(1-INDIRECT($G16))</f>
        <v>0</v>
      </c>
      <c r="I16" s="14">
        <f ca="1">($H16-$F16)/($H$4-$F$4)</f>
        <v>0</v>
      </c>
      <c r="J16" s="14">
        <f t="shared" ref="J16:J20" ca="1" si="22">K16-E16</f>
        <v>1.6684E-4</v>
      </c>
      <c r="K16" s="14">
        <f t="shared" ref="K16:K20" ca="1" si="23">MAX(0,MIN(1,D16+(K$4-D$4)*E16))</f>
        <v>0</v>
      </c>
      <c r="L16" s="15">
        <f t="shared" ref="L16:AD20" ca="1" si="24">MAX(0,MIN(1,K16+$I16))</f>
        <v>0</v>
      </c>
      <c r="M16" s="15">
        <f t="shared" ca="1" si="24"/>
        <v>0</v>
      </c>
      <c r="N16" s="15">
        <f t="shared" ca="1" si="24"/>
        <v>0</v>
      </c>
      <c r="O16" s="15">
        <f t="shared" ca="1" si="24"/>
        <v>0</v>
      </c>
      <c r="P16" s="15">
        <f t="shared" ca="1" si="24"/>
        <v>0</v>
      </c>
      <c r="Q16" s="15">
        <f t="shared" ca="1" si="24"/>
        <v>0</v>
      </c>
      <c r="R16" s="15">
        <f t="shared" ca="1" si="24"/>
        <v>0</v>
      </c>
      <c r="S16" s="15">
        <f t="shared" ca="1" si="24"/>
        <v>0</v>
      </c>
      <c r="T16" s="15">
        <f t="shared" ca="1" si="24"/>
        <v>0</v>
      </c>
      <c r="U16" s="15">
        <f t="shared" ca="1" si="24"/>
        <v>0</v>
      </c>
      <c r="V16" s="15">
        <f t="shared" ca="1" si="24"/>
        <v>0</v>
      </c>
      <c r="W16" s="15">
        <f t="shared" ca="1" si="24"/>
        <v>0</v>
      </c>
      <c r="X16" s="15">
        <f t="shared" ca="1" si="24"/>
        <v>0</v>
      </c>
      <c r="Y16" s="15">
        <f t="shared" ca="1" si="24"/>
        <v>0</v>
      </c>
      <c r="Z16" s="15">
        <f t="shared" ca="1" si="24"/>
        <v>0</v>
      </c>
      <c r="AA16" s="15">
        <f t="shared" ca="1" si="24"/>
        <v>0</v>
      </c>
      <c r="AB16" s="15">
        <f t="shared" ca="1" si="24"/>
        <v>0</v>
      </c>
      <c r="AC16" s="15">
        <f t="shared" ca="1" si="24"/>
        <v>0</v>
      </c>
      <c r="AD16" s="15">
        <f t="shared" ca="1" si="24"/>
        <v>0</v>
      </c>
      <c r="AE16" s="5"/>
      <c r="AG16" s="1" t="s">
        <v>54</v>
      </c>
      <c r="AH16" s="37">
        <f t="shared" ref="AH16:AH20" ca="1" si="25">J16*AH$21</f>
        <v>276.36554026786092</v>
      </c>
      <c r="AI16" s="37">
        <f t="shared" ca="1" si="19"/>
        <v>0</v>
      </c>
      <c r="AJ16" s="37">
        <f t="shared" ca="1" si="20"/>
        <v>0</v>
      </c>
      <c r="AK16" s="37">
        <f t="shared" ca="1" si="20"/>
        <v>0</v>
      </c>
      <c r="AL16" s="37">
        <f t="shared" ca="1" si="20"/>
        <v>0</v>
      </c>
      <c r="AM16" s="37">
        <f t="shared" ca="1" si="20"/>
        <v>0</v>
      </c>
      <c r="AN16" s="37">
        <f t="shared" ca="1" si="20"/>
        <v>0</v>
      </c>
      <c r="AO16" s="37">
        <f t="shared" ca="1" si="20"/>
        <v>0</v>
      </c>
      <c r="AP16" s="37">
        <f t="shared" ca="1" si="20"/>
        <v>0</v>
      </c>
      <c r="AQ16" s="37">
        <f t="shared" ca="1" si="20"/>
        <v>0</v>
      </c>
      <c r="AR16" s="37">
        <f t="shared" ca="1" si="20"/>
        <v>0</v>
      </c>
      <c r="AS16" s="37">
        <f t="shared" ca="1" si="20"/>
        <v>0</v>
      </c>
      <c r="AT16" s="37">
        <f t="shared" ca="1" si="21"/>
        <v>0</v>
      </c>
      <c r="AU16" s="37">
        <f t="shared" ca="1" si="21"/>
        <v>0</v>
      </c>
      <c r="AV16" s="37">
        <f t="shared" ca="1" si="21"/>
        <v>0</v>
      </c>
      <c r="AW16" s="37">
        <f t="shared" ca="1" si="21"/>
        <v>0</v>
      </c>
      <c r="AX16" s="37">
        <f t="shared" ca="1" si="21"/>
        <v>0</v>
      </c>
      <c r="AY16" s="37">
        <f t="shared" ca="1" si="21"/>
        <v>0</v>
      </c>
      <c r="AZ16" s="37" t="e">
        <f t="shared" ca="1" si="21"/>
        <v>#N/A</v>
      </c>
      <c r="BA16" s="37" t="e">
        <f t="shared" ca="1" si="21"/>
        <v>#N/A</v>
      </c>
      <c r="BB16" s="37" t="e">
        <f t="shared" ca="1" si="21"/>
        <v>#N/A</v>
      </c>
    </row>
    <row r="17" spans="1:54" x14ac:dyDescent="0.25">
      <c r="B17" s="1" t="s">
        <v>170</v>
      </c>
      <c r="C17" s="14">
        <f ca="1">Pill_Base!C17</f>
        <v>0</v>
      </c>
      <c r="D17" s="14">
        <f ca="1">Pill_Base!D17</f>
        <v>0</v>
      </c>
      <c r="E17" s="14">
        <f ca="1">IF('User Settings'!$N$7="On",($D17-$C17)/($D$4-$C$4),0)</f>
        <v>0</v>
      </c>
      <c r="F17" s="14">
        <f ca="1">Pill_Base!F17</f>
        <v>0</v>
      </c>
      <c r="G17" s="1" t="str">
        <f>"Shift_RurQ1"&amp;IF(Dashboard!$Q$4="Yes",$A$1,"")</f>
        <v>Shift_RurQ1</v>
      </c>
      <c r="H17" s="14">
        <f ca="1">Pill_Base!H17*(1-INDIRECT($G17))</f>
        <v>0</v>
      </c>
      <c r="I17" s="14">
        <f t="shared" ref="I17:I20" ca="1" si="26">($H17-$F17)/($H$4-$F$4)</f>
        <v>0</v>
      </c>
      <c r="J17" s="14">
        <f t="shared" ca="1" si="22"/>
        <v>0</v>
      </c>
      <c r="K17" s="14">
        <f t="shared" ca="1" si="23"/>
        <v>0</v>
      </c>
      <c r="L17" s="15">
        <f t="shared" ca="1" si="24"/>
        <v>0</v>
      </c>
      <c r="M17" s="15">
        <f t="shared" ca="1" si="24"/>
        <v>0</v>
      </c>
      <c r="N17" s="15">
        <f t="shared" ca="1" si="24"/>
        <v>0</v>
      </c>
      <c r="O17" s="15">
        <f t="shared" ca="1" si="24"/>
        <v>0</v>
      </c>
      <c r="P17" s="15">
        <f t="shared" ca="1" si="24"/>
        <v>0</v>
      </c>
      <c r="Q17" s="15">
        <f t="shared" ca="1" si="24"/>
        <v>0</v>
      </c>
      <c r="R17" s="15">
        <f t="shared" ca="1" si="24"/>
        <v>0</v>
      </c>
      <c r="S17" s="15">
        <f t="shared" ca="1" si="24"/>
        <v>0</v>
      </c>
      <c r="T17" s="15">
        <f t="shared" ca="1" si="24"/>
        <v>0</v>
      </c>
      <c r="U17" s="15">
        <f t="shared" ca="1" si="24"/>
        <v>0</v>
      </c>
      <c r="V17" s="15">
        <f t="shared" ca="1" si="24"/>
        <v>0</v>
      </c>
      <c r="W17" s="15">
        <f t="shared" ca="1" si="24"/>
        <v>0</v>
      </c>
      <c r="X17" s="15">
        <f t="shared" ca="1" si="24"/>
        <v>0</v>
      </c>
      <c r="Y17" s="15">
        <f t="shared" ca="1" si="24"/>
        <v>0</v>
      </c>
      <c r="Z17" s="15">
        <f t="shared" ca="1" si="24"/>
        <v>0</v>
      </c>
      <c r="AA17" s="15">
        <f t="shared" ca="1" si="24"/>
        <v>0</v>
      </c>
      <c r="AB17" s="15">
        <f t="shared" ca="1" si="24"/>
        <v>0</v>
      </c>
      <c r="AC17" s="15">
        <f t="shared" ca="1" si="24"/>
        <v>0</v>
      </c>
      <c r="AD17" s="15">
        <f t="shared" ca="1" si="24"/>
        <v>0</v>
      </c>
      <c r="AE17" s="5"/>
      <c r="AG17" s="1" t="s">
        <v>170</v>
      </c>
      <c r="AH17" s="37">
        <f t="shared" ca="1" si="25"/>
        <v>0</v>
      </c>
      <c r="AI17" s="37">
        <f t="shared" ca="1" si="19"/>
        <v>0</v>
      </c>
      <c r="AJ17" s="37">
        <f t="shared" ca="1" si="20"/>
        <v>0</v>
      </c>
      <c r="AK17" s="37">
        <f t="shared" ca="1" si="20"/>
        <v>0</v>
      </c>
      <c r="AL17" s="37">
        <f t="shared" ca="1" si="20"/>
        <v>0</v>
      </c>
      <c r="AM17" s="37">
        <f t="shared" ca="1" si="20"/>
        <v>0</v>
      </c>
      <c r="AN17" s="37">
        <f t="shared" ca="1" si="20"/>
        <v>0</v>
      </c>
      <c r="AO17" s="37">
        <f t="shared" ca="1" si="20"/>
        <v>0</v>
      </c>
      <c r="AP17" s="37">
        <f t="shared" ca="1" si="20"/>
        <v>0</v>
      </c>
      <c r="AQ17" s="37">
        <f t="shared" ca="1" si="20"/>
        <v>0</v>
      </c>
      <c r="AR17" s="37">
        <f t="shared" ca="1" si="20"/>
        <v>0</v>
      </c>
      <c r="AS17" s="37">
        <f t="shared" ca="1" si="20"/>
        <v>0</v>
      </c>
      <c r="AT17" s="37">
        <f t="shared" ca="1" si="21"/>
        <v>0</v>
      </c>
      <c r="AU17" s="37">
        <f t="shared" ca="1" si="21"/>
        <v>0</v>
      </c>
      <c r="AV17" s="37">
        <f t="shared" ca="1" si="21"/>
        <v>0</v>
      </c>
      <c r="AW17" s="37">
        <f t="shared" ca="1" si="21"/>
        <v>0</v>
      </c>
      <c r="AX17" s="37">
        <f t="shared" ca="1" si="21"/>
        <v>0</v>
      </c>
      <c r="AY17" s="37">
        <f t="shared" ca="1" si="21"/>
        <v>0</v>
      </c>
      <c r="AZ17" s="37" t="e">
        <f t="shared" ca="1" si="21"/>
        <v>#N/A</v>
      </c>
      <c r="BA17" s="37" t="e">
        <f t="shared" ca="1" si="21"/>
        <v>#N/A</v>
      </c>
      <c r="BB17" s="37" t="e">
        <f t="shared" ca="1" si="21"/>
        <v>#N/A</v>
      </c>
    </row>
    <row r="18" spans="1:54" x14ac:dyDescent="0.25">
      <c r="B18" s="1" t="s">
        <v>59</v>
      </c>
      <c r="C18" s="14">
        <f ca="1">Pill_Base!C18</f>
        <v>1.3059299999999999E-2</v>
      </c>
      <c r="D18" s="14">
        <f ca="1">Pill_Base!D18</f>
        <v>1.383E-2</v>
      </c>
      <c r="E18" s="14">
        <f ca="1">IF('User Settings'!$N$7="On",($D18-$C18)/($D$4-$C$4),0)</f>
        <v>1.5414000000000017E-4</v>
      </c>
      <c r="F18" s="14">
        <f ca="1">Pill_Base!F18</f>
        <v>1.429242E-2</v>
      </c>
      <c r="H18" s="14">
        <f ca="1">H21-SUM($H15:$H17,$H19:$H20)</f>
        <v>1.4754840000000002E-2</v>
      </c>
      <c r="I18" s="14">
        <f t="shared" ca="1" si="26"/>
        <v>1.5414000000000053E-4</v>
      </c>
      <c r="J18" s="14">
        <f t="shared" ca="1" si="22"/>
        <v>1.413828E-2</v>
      </c>
      <c r="K18" s="14">
        <f t="shared" ca="1" si="23"/>
        <v>1.429242E-2</v>
      </c>
      <c r="L18" s="15">
        <f t="shared" ca="1" si="24"/>
        <v>1.4446560000000001E-2</v>
      </c>
      <c r="M18" s="15">
        <f t="shared" ca="1" si="24"/>
        <v>1.4600700000000001E-2</v>
      </c>
      <c r="N18" s="15">
        <f t="shared" ca="1" si="24"/>
        <v>1.4754840000000002E-2</v>
      </c>
      <c r="O18" s="15">
        <f t="shared" ca="1" si="24"/>
        <v>1.4908980000000002E-2</v>
      </c>
      <c r="P18" s="15">
        <f t="shared" ca="1" si="24"/>
        <v>1.5063120000000003E-2</v>
      </c>
      <c r="Q18" s="15">
        <f t="shared" ca="1" si="24"/>
        <v>1.5217260000000003E-2</v>
      </c>
      <c r="R18" s="15">
        <f t="shared" ca="1" si="24"/>
        <v>1.5371400000000004E-2</v>
      </c>
      <c r="S18" s="15">
        <f t="shared" ca="1" si="24"/>
        <v>1.5525540000000004E-2</v>
      </c>
      <c r="T18" s="15">
        <f t="shared" ca="1" si="24"/>
        <v>1.5679680000000005E-2</v>
      </c>
      <c r="U18" s="15">
        <f t="shared" ca="1" si="24"/>
        <v>1.5833820000000005E-2</v>
      </c>
      <c r="V18" s="15">
        <f t="shared" ca="1" si="24"/>
        <v>1.5987960000000006E-2</v>
      </c>
      <c r="W18" s="15">
        <f t="shared" ca="1" si="24"/>
        <v>1.6142100000000006E-2</v>
      </c>
      <c r="X18" s="15">
        <f t="shared" ca="1" si="24"/>
        <v>1.6296240000000007E-2</v>
      </c>
      <c r="Y18" s="15">
        <f t="shared" ca="1" si="24"/>
        <v>1.6450380000000007E-2</v>
      </c>
      <c r="Z18" s="15">
        <f t="shared" ca="1" si="24"/>
        <v>1.6604520000000008E-2</v>
      </c>
      <c r="AA18" s="15">
        <f t="shared" ca="1" si="24"/>
        <v>1.6758660000000009E-2</v>
      </c>
      <c r="AB18" s="15">
        <f t="shared" ca="1" si="24"/>
        <v>1.6912800000000009E-2</v>
      </c>
      <c r="AC18" s="15">
        <f t="shared" ca="1" si="24"/>
        <v>1.706694000000001E-2</v>
      </c>
      <c r="AD18" s="15">
        <f t="shared" ca="1" si="24"/>
        <v>1.722108000000001E-2</v>
      </c>
      <c r="AE18" s="5"/>
      <c r="AG18" s="1" t="s">
        <v>59</v>
      </c>
      <c r="AH18" s="37">
        <f t="shared" ca="1" si="25"/>
        <v>23419.643914278906</v>
      </c>
      <c r="AI18" s="37">
        <f t="shared" ca="1" si="19"/>
        <v>24585.403129741018</v>
      </c>
      <c r="AJ18" s="37">
        <f t="shared" ca="1" si="20"/>
        <v>25800.529452995157</v>
      </c>
      <c r="AK18" s="37">
        <f t="shared" ca="1" si="20"/>
        <v>27032.46708865956</v>
      </c>
      <c r="AL18" s="37">
        <f t="shared" ca="1" si="20"/>
        <v>28319.97486253173</v>
      </c>
      <c r="AM18" s="37">
        <f t="shared" ca="1" si="20"/>
        <v>29660.664142783993</v>
      </c>
      <c r="AN18" s="37">
        <f t="shared" ca="1" si="20"/>
        <v>31051.517283491321</v>
      </c>
      <c r="AO18" s="37">
        <f t="shared" ca="1" si="20"/>
        <v>32491.374151277385</v>
      </c>
      <c r="AP18" s="37">
        <f t="shared" ca="1" si="20"/>
        <v>33957.759679307543</v>
      </c>
      <c r="AQ18" s="37">
        <f t="shared" ca="1" si="20"/>
        <v>35477.07645462294</v>
      </c>
      <c r="AR18" s="37">
        <f t="shared" ca="1" si="20"/>
        <v>37050.710527252973</v>
      </c>
      <c r="AS18" s="37">
        <f t="shared" ca="1" si="20"/>
        <v>38681.718749092004</v>
      </c>
      <c r="AT18" s="37">
        <f t="shared" ca="1" si="21"/>
        <v>40371.978367531206</v>
      </c>
      <c r="AU18" s="37">
        <f t="shared" ca="1" si="21"/>
        <v>42097.787079889429</v>
      </c>
      <c r="AV18" s="37">
        <f t="shared" ca="1" si="21"/>
        <v>43886.834118082297</v>
      </c>
      <c r="AW18" s="37">
        <f t="shared" ca="1" si="21"/>
        <v>45737.512386448507</v>
      </c>
      <c r="AX18" s="37">
        <f t="shared" ca="1" si="21"/>
        <v>47647.748538417887</v>
      </c>
      <c r="AY18" s="37">
        <f t="shared" ca="1" si="21"/>
        <v>49616.378411453661</v>
      </c>
      <c r="AZ18" s="37" t="e">
        <f t="shared" ca="1" si="21"/>
        <v>#N/A</v>
      </c>
      <c r="BA18" s="37" t="e">
        <f t="shared" ca="1" si="21"/>
        <v>#N/A</v>
      </c>
      <c r="BB18" s="37" t="e">
        <f t="shared" ca="1" si="21"/>
        <v>#N/A</v>
      </c>
    </row>
    <row r="19" spans="1:54" x14ac:dyDescent="0.25">
      <c r="B19" s="1" t="s">
        <v>171</v>
      </c>
      <c r="C19" s="14">
        <f ca="1">Pill_Base!C19</f>
        <v>0</v>
      </c>
      <c r="D19" s="14">
        <f ca="1">Pill_Base!D19</f>
        <v>0</v>
      </c>
      <c r="E19" s="14">
        <f ca="1">IF('User Settings'!$N$7="On",($D19-$C19)/($D$4-$C$4),0)</f>
        <v>0</v>
      </c>
      <c r="F19" s="14">
        <f ca="1">Pill_Base!F19</f>
        <v>0</v>
      </c>
      <c r="G19" s="1"/>
      <c r="H19" s="14">
        <f ca="1">Pill_Base!H19</f>
        <v>0</v>
      </c>
      <c r="I19" s="14">
        <f t="shared" ca="1" si="26"/>
        <v>0</v>
      </c>
      <c r="J19" s="14">
        <f t="shared" ca="1" si="22"/>
        <v>0</v>
      </c>
      <c r="K19" s="14">
        <f t="shared" ca="1" si="23"/>
        <v>0</v>
      </c>
      <c r="L19" s="15">
        <f t="shared" ca="1" si="24"/>
        <v>0</v>
      </c>
      <c r="M19" s="15">
        <f t="shared" ca="1" si="24"/>
        <v>0</v>
      </c>
      <c r="N19" s="15">
        <f t="shared" ca="1" si="24"/>
        <v>0</v>
      </c>
      <c r="O19" s="15">
        <f t="shared" ca="1" si="24"/>
        <v>0</v>
      </c>
      <c r="P19" s="15">
        <f t="shared" ca="1" si="24"/>
        <v>0</v>
      </c>
      <c r="Q19" s="15">
        <f t="shared" ca="1" si="24"/>
        <v>0</v>
      </c>
      <c r="R19" s="15">
        <f t="shared" ca="1" si="24"/>
        <v>0</v>
      </c>
      <c r="S19" s="15">
        <f t="shared" ca="1" si="24"/>
        <v>0</v>
      </c>
      <c r="T19" s="15">
        <f t="shared" ca="1" si="24"/>
        <v>0</v>
      </c>
      <c r="U19" s="15">
        <f t="shared" ca="1" si="24"/>
        <v>0</v>
      </c>
      <c r="V19" s="15">
        <f t="shared" ca="1" si="24"/>
        <v>0</v>
      </c>
      <c r="W19" s="15">
        <f t="shared" ca="1" si="24"/>
        <v>0</v>
      </c>
      <c r="X19" s="15">
        <f t="shared" ca="1" si="24"/>
        <v>0</v>
      </c>
      <c r="Y19" s="15">
        <f t="shared" ca="1" si="24"/>
        <v>0</v>
      </c>
      <c r="Z19" s="15">
        <f t="shared" ca="1" si="24"/>
        <v>0</v>
      </c>
      <c r="AA19" s="15">
        <f t="shared" ca="1" si="24"/>
        <v>0</v>
      </c>
      <c r="AB19" s="15">
        <f t="shared" ca="1" si="24"/>
        <v>0</v>
      </c>
      <c r="AC19" s="15">
        <f t="shared" ca="1" si="24"/>
        <v>0</v>
      </c>
      <c r="AD19" s="15">
        <f t="shared" ca="1" si="24"/>
        <v>0</v>
      </c>
      <c r="AE19" s="5"/>
      <c r="AG19" s="1" t="s">
        <v>171</v>
      </c>
      <c r="AH19" s="37">
        <f t="shared" ca="1" si="25"/>
        <v>0</v>
      </c>
      <c r="AI19" s="37">
        <f t="shared" ca="1" si="19"/>
        <v>0</v>
      </c>
      <c r="AJ19" s="37">
        <f t="shared" ca="1" si="20"/>
        <v>0</v>
      </c>
      <c r="AK19" s="37">
        <f t="shared" ca="1" si="20"/>
        <v>0</v>
      </c>
      <c r="AL19" s="37">
        <f t="shared" ca="1" si="20"/>
        <v>0</v>
      </c>
      <c r="AM19" s="37">
        <f t="shared" ca="1" si="20"/>
        <v>0</v>
      </c>
      <c r="AN19" s="37">
        <f t="shared" ca="1" si="20"/>
        <v>0</v>
      </c>
      <c r="AO19" s="37">
        <f t="shared" ca="1" si="20"/>
        <v>0</v>
      </c>
      <c r="AP19" s="37">
        <f t="shared" ca="1" si="20"/>
        <v>0</v>
      </c>
      <c r="AQ19" s="37">
        <f t="shared" ca="1" si="20"/>
        <v>0</v>
      </c>
      <c r="AR19" s="37">
        <f t="shared" ca="1" si="20"/>
        <v>0</v>
      </c>
      <c r="AS19" s="37">
        <f t="shared" ca="1" si="20"/>
        <v>0</v>
      </c>
      <c r="AT19" s="37">
        <f t="shared" ca="1" si="21"/>
        <v>0</v>
      </c>
      <c r="AU19" s="37">
        <f t="shared" ca="1" si="21"/>
        <v>0</v>
      </c>
      <c r="AV19" s="37">
        <f t="shared" ca="1" si="21"/>
        <v>0</v>
      </c>
      <c r="AW19" s="37">
        <f t="shared" ca="1" si="21"/>
        <v>0</v>
      </c>
      <c r="AX19" s="37">
        <f t="shared" ca="1" si="21"/>
        <v>0</v>
      </c>
      <c r="AY19" s="37">
        <f t="shared" ca="1" si="21"/>
        <v>0</v>
      </c>
      <c r="AZ19" s="37" t="e">
        <f t="shared" ca="1" si="21"/>
        <v>#N/A</v>
      </c>
      <c r="BA19" s="37" t="e">
        <f t="shared" ca="1" si="21"/>
        <v>#N/A</v>
      </c>
      <c r="BB19" s="37" t="e">
        <f t="shared" ca="1" si="21"/>
        <v>#N/A</v>
      </c>
    </row>
    <row r="20" spans="1:54" x14ac:dyDescent="0.25">
      <c r="B20" s="1" t="s">
        <v>116</v>
      </c>
      <c r="C20" s="14">
        <f ca="1">Pill_Base!C20</f>
        <v>1.6922E-3</v>
      </c>
      <c r="D20" s="14">
        <f ca="1">Pill_Base!D20</f>
        <v>0</v>
      </c>
      <c r="E20" s="14">
        <f ca="1">IF('User Settings'!$N$7="On",($D20-$C20)/($D$4-$C$4),0)</f>
        <v>-3.3844000000000002E-4</v>
      </c>
      <c r="F20" s="14">
        <f ca="1">Pill_Base!F20</f>
        <v>0</v>
      </c>
      <c r="G20" s="1" t="str">
        <f>"Shift_RurQ1"&amp;IF(Dashboard!$Q$4="Yes",$A$1,"")</f>
        <v>Shift_RurQ1</v>
      </c>
      <c r="H20" s="14">
        <f ca="1">Pill_Base!H20*(1-INDIRECT($G20))</f>
        <v>0</v>
      </c>
      <c r="I20" s="14">
        <f t="shared" ca="1" si="26"/>
        <v>0</v>
      </c>
      <c r="J20" s="14">
        <f t="shared" ca="1" si="22"/>
        <v>3.3844000000000002E-4</v>
      </c>
      <c r="K20" s="14">
        <f t="shared" ca="1" si="23"/>
        <v>0</v>
      </c>
      <c r="L20" s="15">
        <f t="shared" ca="1" si="24"/>
        <v>0</v>
      </c>
      <c r="M20" s="15">
        <f t="shared" ca="1" si="24"/>
        <v>0</v>
      </c>
      <c r="N20" s="15">
        <f t="shared" ca="1" si="24"/>
        <v>0</v>
      </c>
      <c r="O20" s="15">
        <f t="shared" ca="1" si="24"/>
        <v>0</v>
      </c>
      <c r="P20" s="15">
        <f t="shared" ca="1" si="24"/>
        <v>0</v>
      </c>
      <c r="Q20" s="15">
        <f t="shared" ca="1" si="24"/>
        <v>0</v>
      </c>
      <c r="R20" s="15">
        <f t="shared" ca="1" si="24"/>
        <v>0</v>
      </c>
      <c r="S20" s="15">
        <f t="shared" ca="1" si="24"/>
        <v>0</v>
      </c>
      <c r="T20" s="15">
        <f t="shared" ca="1" si="24"/>
        <v>0</v>
      </c>
      <c r="U20" s="15">
        <f t="shared" ca="1" si="24"/>
        <v>0</v>
      </c>
      <c r="V20" s="15">
        <f t="shared" ca="1" si="24"/>
        <v>0</v>
      </c>
      <c r="W20" s="15">
        <f t="shared" ca="1" si="24"/>
        <v>0</v>
      </c>
      <c r="X20" s="15">
        <f t="shared" ca="1" si="24"/>
        <v>0</v>
      </c>
      <c r="Y20" s="15">
        <f t="shared" ca="1" si="24"/>
        <v>0</v>
      </c>
      <c r="Z20" s="15">
        <f t="shared" ca="1" si="24"/>
        <v>0</v>
      </c>
      <c r="AA20" s="15">
        <f t="shared" ca="1" si="24"/>
        <v>0</v>
      </c>
      <c r="AB20" s="15">
        <f t="shared" ca="1" si="24"/>
        <v>0</v>
      </c>
      <c r="AC20" s="15">
        <f t="shared" ca="1" si="24"/>
        <v>0</v>
      </c>
      <c r="AD20" s="15">
        <f t="shared" ca="1" si="24"/>
        <v>0</v>
      </c>
      <c r="AE20" s="5"/>
      <c r="AG20" s="1" t="s">
        <v>116</v>
      </c>
      <c r="AH20" s="37">
        <f t="shared" ca="1" si="25"/>
        <v>560.61588017414795</v>
      </c>
      <c r="AI20" s="37">
        <f t="shared" ca="1" si="19"/>
        <v>0</v>
      </c>
      <c r="AJ20" s="37">
        <f t="shared" ca="1" si="20"/>
        <v>0</v>
      </c>
      <c r="AK20" s="37">
        <f t="shared" ca="1" si="20"/>
        <v>0</v>
      </c>
      <c r="AL20" s="37">
        <f t="shared" ca="1" si="20"/>
        <v>0</v>
      </c>
      <c r="AM20" s="37">
        <f t="shared" ca="1" si="20"/>
        <v>0</v>
      </c>
      <c r="AN20" s="37">
        <f t="shared" ca="1" si="20"/>
        <v>0</v>
      </c>
      <c r="AO20" s="37">
        <f t="shared" ca="1" si="20"/>
        <v>0</v>
      </c>
      <c r="AP20" s="37">
        <f t="shared" ca="1" si="20"/>
        <v>0</v>
      </c>
      <c r="AQ20" s="37">
        <f t="shared" ca="1" si="20"/>
        <v>0</v>
      </c>
      <c r="AR20" s="37">
        <f t="shared" ca="1" si="20"/>
        <v>0</v>
      </c>
      <c r="AS20" s="37">
        <f t="shared" ca="1" si="20"/>
        <v>0</v>
      </c>
      <c r="AT20" s="37">
        <f t="shared" ca="1" si="21"/>
        <v>0</v>
      </c>
      <c r="AU20" s="37">
        <f t="shared" ca="1" si="21"/>
        <v>0</v>
      </c>
      <c r="AV20" s="37">
        <f t="shared" ca="1" si="21"/>
        <v>0</v>
      </c>
      <c r="AW20" s="37">
        <f t="shared" ca="1" si="21"/>
        <v>0</v>
      </c>
      <c r="AX20" s="37">
        <f t="shared" ca="1" si="21"/>
        <v>0</v>
      </c>
      <c r="AY20" s="37">
        <f t="shared" ca="1" si="21"/>
        <v>0</v>
      </c>
      <c r="AZ20" s="37" t="e">
        <f t="shared" ca="1" si="21"/>
        <v>#N/A</v>
      </c>
      <c r="BA20" s="37" t="e">
        <f t="shared" ca="1" si="21"/>
        <v>#N/A</v>
      </c>
      <c r="BB20" s="37" t="e">
        <f t="shared" ca="1" si="21"/>
        <v>#N/A</v>
      </c>
    </row>
    <row r="21" spans="1:54" x14ac:dyDescent="0.25">
      <c r="C21" s="5">
        <f ca="1">SUM(C15:C20)</f>
        <v>2.72505E-2</v>
      </c>
      <c r="D21" s="5">
        <f ca="1">SUM(D15:D20)</f>
        <v>1.73677E-2</v>
      </c>
      <c r="E21" s="131"/>
      <c r="F21" s="132">
        <f ca="1">SUM(F15:F20)</f>
        <v>1.429242E-2</v>
      </c>
      <c r="G21" s="146"/>
      <c r="H21" s="132">
        <f ca="1">Pill_Base!H21</f>
        <v>1.4754840000000002E-2</v>
      </c>
      <c r="I21" s="132"/>
      <c r="J21" s="132">
        <f ca="1">SUM(J15:J20)</f>
        <v>1.6268979999999999E-2</v>
      </c>
      <c r="K21" s="132">
        <f ca="1">SUM(K15:K20)</f>
        <v>1.429242E-2</v>
      </c>
      <c r="L21" s="5">
        <f t="shared" ref="L21:AD21" ca="1" si="27">SUM(L15:L20)</f>
        <v>1.4446560000000001E-2</v>
      </c>
      <c r="M21" s="5">
        <f t="shared" ca="1" si="27"/>
        <v>1.4600700000000001E-2</v>
      </c>
      <c r="N21" s="5">
        <f t="shared" ca="1" si="27"/>
        <v>1.4754840000000002E-2</v>
      </c>
      <c r="O21" s="5">
        <f t="shared" ca="1" si="27"/>
        <v>1.4908980000000002E-2</v>
      </c>
      <c r="P21" s="5">
        <f t="shared" ca="1" si="27"/>
        <v>1.5063120000000003E-2</v>
      </c>
      <c r="Q21" s="5">
        <f t="shared" ca="1" si="27"/>
        <v>1.5217260000000003E-2</v>
      </c>
      <c r="R21" s="5">
        <f t="shared" ca="1" si="27"/>
        <v>1.5371400000000004E-2</v>
      </c>
      <c r="S21" s="5">
        <f t="shared" ca="1" si="27"/>
        <v>1.5525540000000004E-2</v>
      </c>
      <c r="T21" s="5">
        <f t="shared" ca="1" si="27"/>
        <v>1.5679680000000005E-2</v>
      </c>
      <c r="U21" s="5">
        <f t="shared" ca="1" si="27"/>
        <v>1.5833820000000005E-2</v>
      </c>
      <c r="V21" s="5">
        <f t="shared" ca="1" si="27"/>
        <v>1.5987960000000006E-2</v>
      </c>
      <c r="W21" s="5">
        <f t="shared" ca="1" si="27"/>
        <v>1.6142100000000006E-2</v>
      </c>
      <c r="X21" s="5">
        <f t="shared" ca="1" si="27"/>
        <v>1.6296240000000007E-2</v>
      </c>
      <c r="Y21" s="5">
        <f t="shared" ca="1" si="27"/>
        <v>1.6450380000000007E-2</v>
      </c>
      <c r="Z21" s="5">
        <f t="shared" ca="1" si="27"/>
        <v>1.6604520000000008E-2</v>
      </c>
      <c r="AA21" s="5">
        <f t="shared" ca="1" si="27"/>
        <v>1.6758660000000009E-2</v>
      </c>
      <c r="AB21" s="5">
        <f t="shared" ca="1" si="27"/>
        <v>1.6912800000000009E-2</v>
      </c>
      <c r="AC21" s="5">
        <f t="shared" ca="1" si="27"/>
        <v>1.706694000000001E-2</v>
      </c>
      <c r="AD21" s="5">
        <f t="shared" ca="1" si="27"/>
        <v>1.722108000000001E-2</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H23" s="4" t="s">
        <v>167</v>
      </c>
      <c r="K23" s="205" t="str">
        <f t="shared" ref="K23:AD23" si="28">IF(K24=Yr_Start,"Start Year",IF(K24=Yr_End,"End Year",""))</f>
        <v>Start Year</v>
      </c>
      <c r="L23" s="205" t="str">
        <f t="shared" si="28"/>
        <v/>
      </c>
      <c r="M23" s="205" t="str">
        <f t="shared" si="28"/>
        <v/>
      </c>
      <c r="N23" s="205" t="str">
        <f t="shared" si="28"/>
        <v>End Year</v>
      </c>
      <c r="O23" s="205" t="str">
        <f t="shared" si="28"/>
        <v/>
      </c>
      <c r="P23" s="205" t="str">
        <f t="shared" si="28"/>
        <v/>
      </c>
      <c r="Q23" s="205" t="str">
        <f t="shared" si="28"/>
        <v/>
      </c>
      <c r="R23" s="205" t="str">
        <f t="shared" si="28"/>
        <v/>
      </c>
      <c r="S23" s="205" t="str">
        <f t="shared" si="28"/>
        <v/>
      </c>
      <c r="T23" s="205" t="str">
        <f t="shared" si="28"/>
        <v/>
      </c>
      <c r="U23" s="205" t="str">
        <f t="shared" si="28"/>
        <v/>
      </c>
      <c r="V23" s="205" t="str">
        <f t="shared" si="28"/>
        <v/>
      </c>
      <c r="W23" s="205" t="str">
        <f t="shared" si="28"/>
        <v/>
      </c>
      <c r="X23" s="205" t="str">
        <f t="shared" si="28"/>
        <v/>
      </c>
      <c r="Y23" s="205" t="str">
        <f t="shared" si="28"/>
        <v/>
      </c>
      <c r="Z23" s="205" t="str">
        <f t="shared" si="28"/>
        <v/>
      </c>
      <c r="AA23" s="205" t="str">
        <f t="shared" si="28"/>
        <v/>
      </c>
      <c r="AB23" s="205" t="str">
        <f t="shared" si="28"/>
        <v/>
      </c>
      <c r="AC23" s="205" t="str">
        <f t="shared" si="28"/>
        <v/>
      </c>
      <c r="AD23" s="205" t="str">
        <f t="shared" si="28"/>
        <v/>
      </c>
      <c r="AE23" s="35"/>
      <c r="AF23" s="6" t="str">
        <f>A23</f>
        <v>Richer</v>
      </c>
      <c r="AI23" s="205" t="str">
        <f t="shared" ref="AI23:BB23" si="29">IF(AI24=Yr_Start,"Start Year",IF(AI24=Yr_End,"End Year",""))</f>
        <v>Start Year</v>
      </c>
      <c r="AJ23" s="205" t="str">
        <f t="shared" si="29"/>
        <v/>
      </c>
      <c r="AK23" s="205" t="str">
        <f t="shared" si="29"/>
        <v/>
      </c>
      <c r="AL23" s="205" t="str">
        <f t="shared" si="29"/>
        <v>End Year</v>
      </c>
      <c r="AM23" s="205" t="str">
        <f t="shared" si="29"/>
        <v/>
      </c>
      <c r="AN23" s="205" t="str">
        <f t="shared" si="29"/>
        <v/>
      </c>
      <c r="AO23" s="205" t="str">
        <f t="shared" si="29"/>
        <v/>
      </c>
      <c r="AP23" s="205" t="str">
        <f t="shared" si="29"/>
        <v/>
      </c>
      <c r="AQ23" s="205" t="str">
        <f t="shared" si="29"/>
        <v/>
      </c>
      <c r="AR23" s="205" t="str">
        <f t="shared" si="29"/>
        <v/>
      </c>
      <c r="AS23" s="205" t="str">
        <f t="shared" si="29"/>
        <v/>
      </c>
      <c r="AT23" s="205" t="str">
        <f t="shared" si="29"/>
        <v/>
      </c>
      <c r="AU23" s="205" t="str">
        <f t="shared" si="29"/>
        <v/>
      </c>
      <c r="AV23" s="205" t="str">
        <f t="shared" si="29"/>
        <v/>
      </c>
      <c r="AW23" s="205" t="str">
        <f t="shared" si="29"/>
        <v/>
      </c>
      <c r="AX23" s="205" t="str">
        <f t="shared" si="29"/>
        <v/>
      </c>
      <c r="AY23" s="205" t="str">
        <f t="shared" si="29"/>
        <v/>
      </c>
      <c r="AZ23" s="205" t="str">
        <f t="shared" si="29"/>
        <v/>
      </c>
      <c r="BA23" s="205" t="str">
        <f t="shared" si="29"/>
        <v/>
      </c>
      <c r="BB23" s="205" t="str">
        <f t="shared" si="29"/>
        <v/>
      </c>
    </row>
    <row r="24" spans="1:54" x14ac:dyDescent="0.25">
      <c r="A24" s="6" t="s">
        <v>20</v>
      </c>
      <c r="B24" s="36"/>
      <c r="C24" s="36">
        <f>Yr_DHS1</f>
        <v>2011</v>
      </c>
      <c r="D24" s="36">
        <f>Yr_DHS2</f>
        <v>2016</v>
      </c>
      <c r="E24" s="36" t="s">
        <v>168</v>
      </c>
      <c r="F24" s="36">
        <f>Yr_Start</f>
        <v>2019</v>
      </c>
      <c r="G24" s="127"/>
      <c r="H24" s="36">
        <f>Yr_End</f>
        <v>2022</v>
      </c>
      <c r="I24" s="36" t="s">
        <v>169</v>
      </c>
      <c r="J24" s="130">
        <f>K24-1</f>
        <v>2018</v>
      </c>
      <c r="K24" s="130">
        <f>Yr_Start</f>
        <v>2019</v>
      </c>
      <c r="L24" s="130">
        <f>K24+1</f>
        <v>2020</v>
      </c>
      <c r="M24" s="130">
        <f t="shared" ref="M24:AD24" si="30">L24+1</f>
        <v>2021</v>
      </c>
      <c r="N24" s="130">
        <f t="shared" si="30"/>
        <v>2022</v>
      </c>
      <c r="O24" s="130">
        <f t="shared" si="30"/>
        <v>2023</v>
      </c>
      <c r="P24" s="130">
        <f t="shared" si="30"/>
        <v>2024</v>
      </c>
      <c r="Q24" s="130">
        <f t="shared" si="30"/>
        <v>2025</v>
      </c>
      <c r="R24" s="130">
        <f t="shared" si="30"/>
        <v>2026</v>
      </c>
      <c r="S24" s="130">
        <f t="shared" si="30"/>
        <v>2027</v>
      </c>
      <c r="T24" s="130">
        <f t="shared" si="30"/>
        <v>2028</v>
      </c>
      <c r="U24" s="130">
        <f t="shared" si="30"/>
        <v>2029</v>
      </c>
      <c r="V24" s="130">
        <f t="shared" si="30"/>
        <v>2030</v>
      </c>
      <c r="W24" s="130">
        <f t="shared" si="30"/>
        <v>2031</v>
      </c>
      <c r="X24" s="130">
        <f t="shared" si="30"/>
        <v>2032</v>
      </c>
      <c r="Y24" s="130">
        <f t="shared" si="30"/>
        <v>2033</v>
      </c>
      <c r="Z24" s="130">
        <f t="shared" si="30"/>
        <v>2034</v>
      </c>
      <c r="AA24" s="130">
        <f t="shared" si="30"/>
        <v>2035</v>
      </c>
      <c r="AB24" s="130">
        <f t="shared" si="30"/>
        <v>2036</v>
      </c>
      <c r="AC24" s="130">
        <f t="shared" si="30"/>
        <v>2037</v>
      </c>
      <c r="AD24" s="130">
        <f t="shared" si="30"/>
        <v>2038</v>
      </c>
      <c r="AE24" s="6"/>
      <c r="AF24" s="6" t="str">
        <f>A24</f>
        <v>Urban</v>
      </c>
      <c r="AG24" s="38"/>
      <c r="AH24" s="161">
        <f>AI24-1</f>
        <v>2018</v>
      </c>
      <c r="AI24" s="36">
        <f>Yr_Start</f>
        <v>2019</v>
      </c>
      <c r="AJ24" s="36">
        <f>AI24+1</f>
        <v>2020</v>
      </c>
      <c r="AK24" s="36">
        <f t="shared" ref="AK24:BB24" si="31">AJ24+1</f>
        <v>2021</v>
      </c>
      <c r="AL24" s="36">
        <f t="shared" si="31"/>
        <v>2022</v>
      </c>
      <c r="AM24" s="36">
        <f t="shared" si="31"/>
        <v>2023</v>
      </c>
      <c r="AN24" s="36">
        <f t="shared" si="31"/>
        <v>2024</v>
      </c>
      <c r="AO24" s="36">
        <f t="shared" si="31"/>
        <v>2025</v>
      </c>
      <c r="AP24" s="36">
        <f t="shared" si="31"/>
        <v>2026</v>
      </c>
      <c r="AQ24" s="36">
        <f t="shared" si="31"/>
        <v>2027</v>
      </c>
      <c r="AR24" s="36">
        <f t="shared" si="31"/>
        <v>2028</v>
      </c>
      <c r="AS24" s="36">
        <f t="shared" si="31"/>
        <v>2029</v>
      </c>
      <c r="AT24" s="36">
        <f t="shared" si="31"/>
        <v>2030</v>
      </c>
      <c r="AU24" s="36">
        <f t="shared" si="31"/>
        <v>2031</v>
      </c>
      <c r="AV24" s="36">
        <f t="shared" si="31"/>
        <v>2032</v>
      </c>
      <c r="AW24" s="36">
        <f t="shared" si="31"/>
        <v>2033</v>
      </c>
      <c r="AX24" s="36">
        <f t="shared" si="31"/>
        <v>2034</v>
      </c>
      <c r="AY24" s="36">
        <f t="shared" si="31"/>
        <v>2035</v>
      </c>
      <c r="AZ24" s="36">
        <f t="shared" si="31"/>
        <v>2036</v>
      </c>
      <c r="BA24" s="36">
        <f t="shared" si="31"/>
        <v>2037</v>
      </c>
      <c r="BB24" s="36">
        <f t="shared" si="31"/>
        <v>2038</v>
      </c>
    </row>
    <row r="25" spans="1:54" x14ac:dyDescent="0.25">
      <c r="B25" s="1" t="s">
        <v>52</v>
      </c>
      <c r="C25" s="14">
        <f ca="1">Pill_Base!C25</f>
        <v>1.5339500000000001E-2</v>
      </c>
      <c r="D25" s="14">
        <f ca="1">Pill_Base!D25</f>
        <v>3.9496000000000002E-3</v>
      </c>
      <c r="E25" s="14">
        <f ca="1">IF('User Settings'!$N$7="On",($D25-$C25)/($D$4-$C$4),0)</f>
        <v>-2.2779800000000002E-3</v>
      </c>
      <c r="F25" s="14">
        <f ca="1">Pill_Base!F25</f>
        <v>0</v>
      </c>
      <c r="G25" s="1" t="str">
        <f>"Shift_UrbQ2"&amp;IF(Dashboard!$Q$4="Yes",$A$1,"")</f>
        <v>Shift_UrbQ2</v>
      </c>
      <c r="H25" s="14">
        <f ca="1">Pill_Base!H25*(1-INDIRECT($G25))</f>
        <v>0</v>
      </c>
      <c r="I25" s="14">
        <f ca="1">($H25-$F25)/($H$4-$F$4)</f>
        <v>0</v>
      </c>
      <c r="J25" s="14">
        <f ca="1">K25-E25</f>
        <v>2.2779800000000002E-3</v>
      </c>
      <c r="K25" s="14">
        <f ca="1">MAX(0,MIN(1,D25+(K$4-D$4)*E25))</f>
        <v>0</v>
      </c>
      <c r="L25" s="15">
        <f ca="1">MAX(0,MIN(1,K25+$I25))</f>
        <v>0</v>
      </c>
      <c r="M25" s="15">
        <f t="shared" ref="M25" ca="1" si="32">MAX(0,MIN(1,L25+$I25))</f>
        <v>0</v>
      </c>
      <c r="N25" s="15">
        <f ca="1">MAX(0,MIN(1,M25+$I25))</f>
        <v>0</v>
      </c>
      <c r="O25" s="15">
        <f t="shared" ref="O25:AD25" ca="1" si="33">MAX(0,MIN(1,N25+$I25))</f>
        <v>0</v>
      </c>
      <c r="P25" s="15">
        <f t="shared" ca="1" si="33"/>
        <v>0</v>
      </c>
      <c r="Q25" s="15">
        <f t="shared" ca="1" si="33"/>
        <v>0</v>
      </c>
      <c r="R25" s="15">
        <f t="shared" ca="1" si="33"/>
        <v>0</v>
      </c>
      <c r="S25" s="15">
        <f t="shared" ca="1" si="33"/>
        <v>0</v>
      </c>
      <c r="T25" s="15">
        <f t="shared" ca="1" si="33"/>
        <v>0</v>
      </c>
      <c r="U25" s="15">
        <f t="shared" ca="1" si="33"/>
        <v>0</v>
      </c>
      <c r="V25" s="15">
        <f t="shared" ca="1" si="33"/>
        <v>0</v>
      </c>
      <c r="W25" s="15">
        <f t="shared" ca="1" si="33"/>
        <v>0</v>
      </c>
      <c r="X25" s="15">
        <f t="shared" ca="1" si="33"/>
        <v>0</v>
      </c>
      <c r="Y25" s="15">
        <f t="shared" ca="1" si="33"/>
        <v>0</v>
      </c>
      <c r="Z25" s="15">
        <f t="shared" ca="1" si="33"/>
        <v>0</v>
      </c>
      <c r="AA25" s="15">
        <f t="shared" ca="1" si="33"/>
        <v>0</v>
      </c>
      <c r="AB25" s="15">
        <f t="shared" ca="1" si="33"/>
        <v>0</v>
      </c>
      <c r="AC25" s="15">
        <f t="shared" ca="1" si="33"/>
        <v>0</v>
      </c>
      <c r="AD25" s="15">
        <f t="shared" ca="1" si="33"/>
        <v>0</v>
      </c>
      <c r="AE25" s="5"/>
      <c r="AG25" s="1" t="s">
        <v>52</v>
      </c>
      <c r="AH25" s="37">
        <f ca="1">J25*AH$31</f>
        <v>1373.0838954998765</v>
      </c>
      <c r="AI25" s="37">
        <f t="shared" ref="AI25:AI30" ca="1" si="34">K25*AI$31</f>
        <v>0</v>
      </c>
      <c r="AJ25" s="37">
        <f t="shared" ref="AJ25:AS30" ca="1" si="35">L25*AJ$31</f>
        <v>0</v>
      </c>
      <c r="AK25" s="37">
        <f t="shared" ca="1" si="35"/>
        <v>0</v>
      </c>
      <c r="AL25" s="37">
        <f t="shared" ca="1" si="35"/>
        <v>0</v>
      </c>
      <c r="AM25" s="37">
        <f t="shared" ca="1" si="35"/>
        <v>0</v>
      </c>
      <c r="AN25" s="37">
        <f t="shared" ca="1" si="35"/>
        <v>0</v>
      </c>
      <c r="AO25" s="37">
        <f t="shared" ca="1" si="35"/>
        <v>0</v>
      </c>
      <c r="AP25" s="37">
        <f t="shared" ca="1" si="35"/>
        <v>0</v>
      </c>
      <c r="AQ25" s="37">
        <f t="shared" ca="1" si="35"/>
        <v>0</v>
      </c>
      <c r="AR25" s="37">
        <f t="shared" ca="1" si="35"/>
        <v>0</v>
      </c>
      <c r="AS25" s="37">
        <f t="shared" ca="1" si="35"/>
        <v>0</v>
      </c>
      <c r="AT25" s="37">
        <f t="shared" ref="AT25:BB30" ca="1" si="36">V25*AT$31</f>
        <v>0</v>
      </c>
      <c r="AU25" s="37">
        <f t="shared" ca="1" si="36"/>
        <v>0</v>
      </c>
      <c r="AV25" s="37">
        <f t="shared" ca="1" si="36"/>
        <v>0</v>
      </c>
      <c r="AW25" s="37">
        <f t="shared" ca="1" si="36"/>
        <v>0</v>
      </c>
      <c r="AX25" s="37">
        <f t="shared" ca="1" si="36"/>
        <v>0</v>
      </c>
      <c r="AY25" s="37">
        <f t="shared" ca="1" si="36"/>
        <v>0</v>
      </c>
      <c r="AZ25" s="37" t="e">
        <f t="shared" ca="1" si="36"/>
        <v>#N/A</v>
      </c>
      <c r="BA25" s="37" t="e">
        <f t="shared" ca="1" si="36"/>
        <v>#N/A</v>
      </c>
      <c r="BB25" s="37" t="e">
        <f t="shared" ca="1" si="36"/>
        <v>#N/A</v>
      </c>
    </row>
    <row r="26" spans="1:54" x14ac:dyDescent="0.25">
      <c r="B26" s="1" t="s">
        <v>54</v>
      </c>
      <c r="C26" s="14">
        <f ca="1">Pill_Base!C26</f>
        <v>0</v>
      </c>
      <c r="D26" s="14">
        <f ca="1">Pill_Base!D26</f>
        <v>0</v>
      </c>
      <c r="E26" s="14">
        <f ca="1">IF('User Settings'!$N$7="On",($D26-$C26)/($D$4-$C$4),0)</f>
        <v>0</v>
      </c>
      <c r="F26" s="14">
        <f ca="1">Pill_Base!F26</f>
        <v>0</v>
      </c>
      <c r="G26" s="1" t="str">
        <f>"Shift_UrbQ2"&amp;IF(Dashboard!$Q$4="Yes",$A$1,"")</f>
        <v>Shift_UrbQ2</v>
      </c>
      <c r="H26" s="14">
        <f ca="1">Pill_Base!H26*(1-INDIRECT($G26))</f>
        <v>0</v>
      </c>
      <c r="I26" s="14">
        <f ca="1">($H26-$F26)/($H$4-$F$4)</f>
        <v>0</v>
      </c>
      <c r="J26" s="14">
        <f t="shared" ref="J26:J30" ca="1" si="37">K26-E26</f>
        <v>0</v>
      </c>
      <c r="K26" s="14">
        <f t="shared" ref="K26:K30" ca="1" si="38">MAX(0,MIN(1,D26+(K$4-D$4)*E26))</f>
        <v>0</v>
      </c>
      <c r="L26" s="15">
        <f t="shared" ref="L26:AD26" ca="1" si="39">MAX(0,MIN(1,K26+$I26))</f>
        <v>0</v>
      </c>
      <c r="M26" s="15">
        <f t="shared" ca="1" si="39"/>
        <v>0</v>
      </c>
      <c r="N26" s="15">
        <f t="shared" ca="1" si="39"/>
        <v>0</v>
      </c>
      <c r="O26" s="15">
        <f t="shared" ca="1" si="39"/>
        <v>0</v>
      </c>
      <c r="P26" s="15">
        <f t="shared" ca="1" si="39"/>
        <v>0</v>
      </c>
      <c r="Q26" s="15">
        <f t="shared" ca="1" si="39"/>
        <v>0</v>
      </c>
      <c r="R26" s="15">
        <f t="shared" ca="1" si="39"/>
        <v>0</v>
      </c>
      <c r="S26" s="15">
        <f t="shared" ca="1" si="39"/>
        <v>0</v>
      </c>
      <c r="T26" s="15">
        <f t="shared" ca="1" si="39"/>
        <v>0</v>
      </c>
      <c r="U26" s="15">
        <f t="shared" ca="1" si="39"/>
        <v>0</v>
      </c>
      <c r="V26" s="15">
        <f t="shared" ca="1" si="39"/>
        <v>0</v>
      </c>
      <c r="W26" s="15">
        <f t="shared" ca="1" si="39"/>
        <v>0</v>
      </c>
      <c r="X26" s="15">
        <f t="shared" ca="1" si="39"/>
        <v>0</v>
      </c>
      <c r="Y26" s="15">
        <f t="shared" ca="1" si="39"/>
        <v>0</v>
      </c>
      <c r="Z26" s="15">
        <f t="shared" ca="1" si="39"/>
        <v>0</v>
      </c>
      <c r="AA26" s="15">
        <f t="shared" ca="1" si="39"/>
        <v>0</v>
      </c>
      <c r="AB26" s="15">
        <f t="shared" ca="1" si="39"/>
        <v>0</v>
      </c>
      <c r="AC26" s="15">
        <f t="shared" ca="1" si="39"/>
        <v>0</v>
      </c>
      <c r="AD26" s="15">
        <f t="shared" ca="1" si="39"/>
        <v>0</v>
      </c>
      <c r="AE26" s="5"/>
      <c r="AG26" s="1" t="s">
        <v>54</v>
      </c>
      <c r="AH26" s="37">
        <f t="shared" ref="AH26:AH30" ca="1" si="40">J26*AH$31</f>
        <v>0</v>
      </c>
      <c r="AI26" s="37">
        <f t="shared" ca="1" si="34"/>
        <v>0</v>
      </c>
      <c r="AJ26" s="37">
        <f t="shared" ca="1" si="35"/>
        <v>0</v>
      </c>
      <c r="AK26" s="37">
        <f t="shared" ca="1" si="35"/>
        <v>0</v>
      </c>
      <c r="AL26" s="37">
        <f t="shared" ca="1" si="35"/>
        <v>0</v>
      </c>
      <c r="AM26" s="37">
        <f t="shared" ca="1" si="35"/>
        <v>0</v>
      </c>
      <c r="AN26" s="37">
        <f t="shared" ca="1" si="35"/>
        <v>0</v>
      </c>
      <c r="AO26" s="37">
        <f t="shared" ca="1" si="35"/>
        <v>0</v>
      </c>
      <c r="AP26" s="37">
        <f t="shared" ca="1" si="35"/>
        <v>0</v>
      </c>
      <c r="AQ26" s="37">
        <f t="shared" ca="1" si="35"/>
        <v>0</v>
      </c>
      <c r="AR26" s="37">
        <f t="shared" ca="1" si="35"/>
        <v>0</v>
      </c>
      <c r="AS26" s="37">
        <f t="shared" ca="1" si="35"/>
        <v>0</v>
      </c>
      <c r="AT26" s="37">
        <f t="shared" ca="1" si="36"/>
        <v>0</v>
      </c>
      <c r="AU26" s="37">
        <f t="shared" ca="1" si="36"/>
        <v>0</v>
      </c>
      <c r="AV26" s="37">
        <f t="shared" ca="1" si="36"/>
        <v>0</v>
      </c>
      <c r="AW26" s="37">
        <f t="shared" ca="1" si="36"/>
        <v>0</v>
      </c>
      <c r="AX26" s="37">
        <f t="shared" ca="1" si="36"/>
        <v>0</v>
      </c>
      <c r="AY26" s="37">
        <f t="shared" ca="1" si="36"/>
        <v>0</v>
      </c>
      <c r="AZ26" s="37" t="e">
        <f t="shared" ca="1" si="36"/>
        <v>#N/A</v>
      </c>
      <c r="BA26" s="37" t="e">
        <f t="shared" ca="1" si="36"/>
        <v>#N/A</v>
      </c>
      <c r="BB26" s="37" t="e">
        <f t="shared" ca="1" si="36"/>
        <v>#N/A</v>
      </c>
    </row>
    <row r="27" spans="1:54" x14ac:dyDescent="0.25">
      <c r="B27" s="1" t="s">
        <v>170</v>
      </c>
      <c r="C27" s="14">
        <f ca="1">Pill_Base!C27</f>
        <v>0</v>
      </c>
      <c r="D27" s="14">
        <f ca="1">Pill_Base!D27</f>
        <v>7.4739999999999995E-4</v>
      </c>
      <c r="E27" s="14">
        <f ca="1">IF('User Settings'!$N$7="On",($D27-$C27)/($D$4-$C$4),0)</f>
        <v>1.4947999999999999E-4</v>
      </c>
      <c r="F27" s="14">
        <f ca="1">Pill_Base!F27</f>
        <v>1.1958399999999999E-3</v>
      </c>
      <c r="G27" s="1" t="str">
        <f>"Shift_UrbQ2"&amp;IF(Dashboard!$Q$4="Yes",$A$1,"")</f>
        <v>Shift_UrbQ2</v>
      </c>
      <c r="H27" s="14">
        <f ca="1">Pill_Base!H27*(1-INDIRECT($G27))</f>
        <v>1.2332099999999998E-3</v>
      </c>
      <c r="I27" s="14">
        <f t="shared" ref="I27:I30" ca="1" si="41">($H27-$F27)/($H$4-$F$4)</f>
        <v>1.2456666666666632E-5</v>
      </c>
      <c r="J27" s="14">
        <f t="shared" ca="1" si="37"/>
        <v>1.0463599999999999E-3</v>
      </c>
      <c r="K27" s="14">
        <f t="shared" ca="1" si="38"/>
        <v>1.1958399999999999E-3</v>
      </c>
      <c r="L27" s="15">
        <f t="shared" ref="L27:AD27" ca="1" si="42">MAX(0,MIN(1,K27+$I27))</f>
        <v>1.2082966666666665E-3</v>
      </c>
      <c r="M27" s="15">
        <f t="shared" ca="1" si="42"/>
        <v>1.2207533333333331E-3</v>
      </c>
      <c r="N27" s="15">
        <f t="shared" ca="1" si="42"/>
        <v>1.2332099999999998E-3</v>
      </c>
      <c r="O27" s="15">
        <f t="shared" ca="1" si="42"/>
        <v>1.2456666666666664E-3</v>
      </c>
      <c r="P27" s="15">
        <f t="shared" ca="1" si="42"/>
        <v>1.258123333333333E-3</v>
      </c>
      <c r="Q27" s="15">
        <f t="shared" ca="1" si="42"/>
        <v>1.2705799999999997E-3</v>
      </c>
      <c r="R27" s="15">
        <f t="shared" ca="1" si="42"/>
        <v>1.2830366666666663E-3</v>
      </c>
      <c r="S27" s="15">
        <f t="shared" ca="1" si="42"/>
        <v>1.2954933333333329E-3</v>
      </c>
      <c r="T27" s="15">
        <f t="shared" ca="1" si="42"/>
        <v>1.3079499999999996E-3</v>
      </c>
      <c r="U27" s="15">
        <f t="shared" ca="1" si="42"/>
        <v>1.3204066666666662E-3</v>
      </c>
      <c r="V27" s="15">
        <f t="shared" ca="1" si="42"/>
        <v>1.3328633333333328E-3</v>
      </c>
      <c r="W27" s="15">
        <f t="shared" ca="1" si="42"/>
        <v>1.3453199999999995E-3</v>
      </c>
      <c r="X27" s="15">
        <f t="shared" ca="1" si="42"/>
        <v>1.3577766666666661E-3</v>
      </c>
      <c r="Y27" s="15">
        <f t="shared" ca="1" si="42"/>
        <v>1.3702333333333327E-3</v>
      </c>
      <c r="Z27" s="15">
        <f t="shared" ca="1" si="42"/>
        <v>1.3826899999999994E-3</v>
      </c>
      <c r="AA27" s="15">
        <f t="shared" ca="1" si="42"/>
        <v>1.395146666666666E-3</v>
      </c>
      <c r="AB27" s="15">
        <f t="shared" ca="1" si="42"/>
        <v>1.4076033333333326E-3</v>
      </c>
      <c r="AC27" s="15">
        <f t="shared" ca="1" si="42"/>
        <v>1.4200599999999992E-3</v>
      </c>
      <c r="AD27" s="15">
        <f t="shared" ca="1" si="42"/>
        <v>1.4325166666666659E-3</v>
      </c>
      <c r="AE27" s="5"/>
      <c r="AG27" s="1" t="s">
        <v>170</v>
      </c>
      <c r="AH27" s="37">
        <f t="shared" ca="1" si="40"/>
        <v>630.70793637136865</v>
      </c>
      <c r="AI27" s="37">
        <f t="shared" ca="1" si="34"/>
        <v>748.52808104963947</v>
      </c>
      <c r="AJ27" s="37">
        <f t="shared" ca="1" si="35"/>
        <v>785.23781780925367</v>
      </c>
      <c r="AK27" s="37">
        <f t="shared" ca="1" si="35"/>
        <v>822.43840398874579</v>
      </c>
      <c r="AL27" s="37">
        <f t="shared" ca="1" si="35"/>
        <v>861.30874033727753</v>
      </c>
      <c r="AM27" s="37">
        <f t="shared" ca="1" si="35"/>
        <v>901.77510088604629</v>
      </c>
      <c r="AN27" s="37">
        <f t="shared" ca="1" si="35"/>
        <v>943.74478471121233</v>
      </c>
      <c r="AO27" s="37">
        <f t="shared" ca="1" si="35"/>
        <v>987.18168797455769</v>
      </c>
      <c r="AP27" s="37">
        <f t="shared" ca="1" si="35"/>
        <v>1031.4023859950289</v>
      </c>
      <c r="AQ27" s="37">
        <f t="shared" ca="1" si="35"/>
        <v>1077.2084446535607</v>
      </c>
      <c r="AR27" s="37">
        <f t="shared" ca="1" si="35"/>
        <v>1124.6410864757941</v>
      </c>
      <c r="AS27" s="37">
        <f t="shared" ca="1" si="35"/>
        <v>1173.7922162439581</v>
      </c>
      <c r="AT27" s="37">
        <f t="shared" ca="1" si="36"/>
        <v>1224.7178768521633</v>
      </c>
      <c r="AU27" s="37">
        <f t="shared" ca="1" si="36"/>
        <v>1276.6983289071977</v>
      </c>
      <c r="AV27" s="37">
        <f t="shared" ca="1" si="36"/>
        <v>1330.572795196284</v>
      </c>
      <c r="AW27" s="37">
        <f t="shared" ca="1" si="36"/>
        <v>1386.2915989985679</v>
      </c>
      <c r="AX27" s="37">
        <f t="shared" ca="1" si="36"/>
        <v>1443.791025308072</v>
      </c>
      <c r="AY27" s="37">
        <f t="shared" ca="1" si="36"/>
        <v>1503.0350021026475</v>
      </c>
      <c r="AZ27" s="37" t="e">
        <f t="shared" ca="1" si="36"/>
        <v>#N/A</v>
      </c>
      <c r="BA27" s="37" t="e">
        <f t="shared" ca="1" si="36"/>
        <v>#N/A</v>
      </c>
      <c r="BB27" s="37" t="e">
        <f t="shared" ca="1" si="36"/>
        <v>#N/A</v>
      </c>
    </row>
    <row r="28" spans="1:54" x14ac:dyDescent="0.25">
      <c r="B28" s="1" t="s">
        <v>59</v>
      </c>
      <c r="C28" s="14">
        <f ca="1">Pill_Base!C28</f>
        <v>4.1239199999999997E-2</v>
      </c>
      <c r="D28" s="14">
        <f ca="1">Pill_Base!D28</f>
        <v>1.9822099999999999E-2</v>
      </c>
      <c r="E28" s="14">
        <f ca="1">IF('User Settings'!$N$7="On",($D28-$C28)/($D$4-$C$4),0)</f>
        <v>-4.2834199999999996E-3</v>
      </c>
      <c r="F28" s="14">
        <f ca="1">Pill_Base!F28</f>
        <v>6.97184E-3</v>
      </c>
      <c r="H28" s="14">
        <f ca="1">H31-SUM($H25:$H27,$H29:$H30)</f>
        <v>4.1106999999999993E-4</v>
      </c>
      <c r="I28" s="14">
        <f t="shared" ca="1" si="41"/>
        <v>-2.1869233333333335E-3</v>
      </c>
      <c r="J28" s="14">
        <f t="shared" ca="1" si="37"/>
        <v>1.125526E-2</v>
      </c>
      <c r="K28" s="14">
        <f t="shared" ca="1" si="38"/>
        <v>6.97184E-3</v>
      </c>
      <c r="L28" s="15">
        <f t="shared" ref="L28:AD28" ca="1" si="43">MAX(0,MIN(1,K28+$I28))</f>
        <v>4.7849166666666665E-3</v>
      </c>
      <c r="M28" s="15">
        <f t="shared" ca="1" si="43"/>
        <v>2.597993333333333E-3</v>
      </c>
      <c r="N28" s="15">
        <f t="shared" ca="1" si="43"/>
        <v>4.1106999999999949E-4</v>
      </c>
      <c r="O28" s="15">
        <f t="shared" ca="1" si="43"/>
        <v>0</v>
      </c>
      <c r="P28" s="15">
        <f t="shared" ca="1" si="43"/>
        <v>0</v>
      </c>
      <c r="Q28" s="15">
        <f t="shared" ca="1" si="43"/>
        <v>0</v>
      </c>
      <c r="R28" s="15">
        <f t="shared" ca="1" si="43"/>
        <v>0</v>
      </c>
      <c r="S28" s="15">
        <f t="shared" ca="1" si="43"/>
        <v>0</v>
      </c>
      <c r="T28" s="15">
        <f t="shared" ca="1" si="43"/>
        <v>0</v>
      </c>
      <c r="U28" s="15">
        <f t="shared" ca="1" si="43"/>
        <v>0</v>
      </c>
      <c r="V28" s="15">
        <f t="shared" ca="1" si="43"/>
        <v>0</v>
      </c>
      <c r="W28" s="15">
        <f t="shared" ca="1" si="43"/>
        <v>0</v>
      </c>
      <c r="X28" s="15">
        <f t="shared" ca="1" si="43"/>
        <v>0</v>
      </c>
      <c r="Y28" s="15">
        <f t="shared" ca="1" si="43"/>
        <v>0</v>
      </c>
      <c r="Z28" s="15">
        <f t="shared" ca="1" si="43"/>
        <v>0</v>
      </c>
      <c r="AA28" s="15">
        <f t="shared" ca="1" si="43"/>
        <v>0</v>
      </c>
      <c r="AB28" s="15">
        <f t="shared" ca="1" si="43"/>
        <v>0</v>
      </c>
      <c r="AC28" s="15">
        <f t="shared" ca="1" si="43"/>
        <v>0</v>
      </c>
      <c r="AD28" s="15">
        <f t="shared" ca="1" si="43"/>
        <v>0</v>
      </c>
      <c r="AE28" s="5"/>
      <c r="AG28" s="1" t="s">
        <v>59</v>
      </c>
      <c r="AH28" s="37">
        <f t="shared" ca="1" si="40"/>
        <v>6784.2633586176944</v>
      </c>
      <c r="AI28" s="37">
        <f t="shared" ca="1" si="34"/>
        <v>4363.9768000611448</v>
      </c>
      <c r="AJ28" s="37">
        <f t="shared" ca="1" si="35"/>
        <v>3109.5819639209426</v>
      </c>
      <c r="AK28" s="37">
        <f t="shared" ca="1" si="35"/>
        <v>1750.3040395603275</v>
      </c>
      <c r="AL28" s="37">
        <f t="shared" ca="1" si="35"/>
        <v>287.10291344575887</v>
      </c>
      <c r="AM28" s="37">
        <f t="shared" ca="1" si="35"/>
        <v>0</v>
      </c>
      <c r="AN28" s="37">
        <f t="shared" ca="1" si="35"/>
        <v>0</v>
      </c>
      <c r="AO28" s="37">
        <f t="shared" ca="1" si="35"/>
        <v>0</v>
      </c>
      <c r="AP28" s="37">
        <f t="shared" ca="1" si="35"/>
        <v>0</v>
      </c>
      <c r="AQ28" s="37">
        <f t="shared" ca="1" si="35"/>
        <v>0</v>
      </c>
      <c r="AR28" s="37">
        <f t="shared" ca="1" si="35"/>
        <v>0</v>
      </c>
      <c r="AS28" s="37">
        <f t="shared" ca="1" si="35"/>
        <v>0</v>
      </c>
      <c r="AT28" s="37">
        <f t="shared" ca="1" si="36"/>
        <v>0</v>
      </c>
      <c r="AU28" s="37">
        <f t="shared" ca="1" si="36"/>
        <v>0</v>
      </c>
      <c r="AV28" s="37">
        <f t="shared" ca="1" si="36"/>
        <v>0</v>
      </c>
      <c r="AW28" s="37">
        <f t="shared" ca="1" si="36"/>
        <v>0</v>
      </c>
      <c r="AX28" s="37">
        <f t="shared" ca="1" si="36"/>
        <v>0</v>
      </c>
      <c r="AY28" s="37">
        <f t="shared" ca="1" si="36"/>
        <v>0</v>
      </c>
      <c r="AZ28" s="37" t="e">
        <f t="shared" ca="1" si="36"/>
        <v>#N/A</v>
      </c>
      <c r="BA28" s="37" t="e">
        <f t="shared" ca="1" si="36"/>
        <v>#N/A</v>
      </c>
      <c r="BB28" s="37" t="e">
        <f t="shared" ca="1" si="36"/>
        <v>#N/A</v>
      </c>
    </row>
    <row r="29" spans="1:54" x14ac:dyDescent="0.25">
      <c r="B29" s="1" t="s">
        <v>171</v>
      </c>
      <c r="C29" s="14">
        <f ca="1">Pill_Base!C29</f>
        <v>4.1330999999999998E-3</v>
      </c>
      <c r="D29" s="14">
        <f ca="1">Pill_Base!D29</f>
        <v>0</v>
      </c>
      <c r="E29" s="14">
        <f ca="1">IF('User Settings'!$N$7="On",($D29-$C29)/($D$4-$C$4),0)</f>
        <v>-8.2661999999999992E-4</v>
      </c>
      <c r="F29" s="14">
        <f ca="1">Pill_Base!F29</f>
        <v>0</v>
      </c>
      <c r="G29" s="1"/>
      <c r="H29" s="14">
        <f ca="1">Pill_Base!H29</f>
        <v>0</v>
      </c>
      <c r="I29" s="14">
        <f t="shared" ca="1" si="41"/>
        <v>0</v>
      </c>
      <c r="J29" s="14">
        <f t="shared" ca="1" si="37"/>
        <v>8.2661999999999992E-4</v>
      </c>
      <c r="K29" s="14">
        <f t="shared" ca="1" si="38"/>
        <v>0</v>
      </c>
      <c r="L29" s="15">
        <f t="shared" ref="L29:AD29" ca="1" si="44">MAX(0,MIN(1,K29+$I29))</f>
        <v>0</v>
      </c>
      <c r="M29" s="15">
        <f t="shared" ca="1" si="44"/>
        <v>0</v>
      </c>
      <c r="N29" s="15">
        <f t="shared" ca="1" si="44"/>
        <v>0</v>
      </c>
      <c r="O29" s="15">
        <f t="shared" ca="1" si="44"/>
        <v>0</v>
      </c>
      <c r="P29" s="15">
        <f t="shared" ca="1" si="44"/>
        <v>0</v>
      </c>
      <c r="Q29" s="15">
        <f t="shared" ca="1" si="44"/>
        <v>0</v>
      </c>
      <c r="R29" s="15">
        <f t="shared" ca="1" si="44"/>
        <v>0</v>
      </c>
      <c r="S29" s="15">
        <f t="shared" ca="1" si="44"/>
        <v>0</v>
      </c>
      <c r="T29" s="15">
        <f t="shared" ca="1" si="44"/>
        <v>0</v>
      </c>
      <c r="U29" s="15">
        <f t="shared" ca="1" si="44"/>
        <v>0</v>
      </c>
      <c r="V29" s="15">
        <f t="shared" ca="1" si="44"/>
        <v>0</v>
      </c>
      <c r="W29" s="15">
        <f t="shared" ca="1" si="44"/>
        <v>0</v>
      </c>
      <c r="X29" s="15">
        <f t="shared" ca="1" si="44"/>
        <v>0</v>
      </c>
      <c r="Y29" s="15">
        <f t="shared" ca="1" si="44"/>
        <v>0</v>
      </c>
      <c r="Z29" s="15">
        <f t="shared" ca="1" si="44"/>
        <v>0</v>
      </c>
      <c r="AA29" s="15">
        <f t="shared" ca="1" si="44"/>
        <v>0</v>
      </c>
      <c r="AB29" s="15">
        <f t="shared" ca="1" si="44"/>
        <v>0</v>
      </c>
      <c r="AC29" s="15">
        <f t="shared" ca="1" si="44"/>
        <v>0</v>
      </c>
      <c r="AD29" s="15">
        <f t="shared" ca="1" si="44"/>
        <v>0</v>
      </c>
      <c r="AE29" s="5"/>
      <c r="AG29" s="1" t="s">
        <v>171</v>
      </c>
      <c r="AH29" s="37">
        <f t="shared" ca="1" si="40"/>
        <v>498.25661757263344</v>
      </c>
      <c r="AI29" s="37">
        <f t="shared" ca="1" si="34"/>
        <v>0</v>
      </c>
      <c r="AJ29" s="37">
        <f t="shared" ca="1" si="35"/>
        <v>0</v>
      </c>
      <c r="AK29" s="37">
        <f t="shared" ca="1" si="35"/>
        <v>0</v>
      </c>
      <c r="AL29" s="37">
        <f t="shared" ca="1" si="35"/>
        <v>0</v>
      </c>
      <c r="AM29" s="37">
        <f t="shared" ca="1" si="35"/>
        <v>0</v>
      </c>
      <c r="AN29" s="37">
        <f t="shared" ca="1" si="35"/>
        <v>0</v>
      </c>
      <c r="AO29" s="37">
        <f t="shared" ca="1" si="35"/>
        <v>0</v>
      </c>
      <c r="AP29" s="37">
        <f t="shared" ca="1" si="35"/>
        <v>0</v>
      </c>
      <c r="AQ29" s="37">
        <f t="shared" ca="1" si="35"/>
        <v>0</v>
      </c>
      <c r="AR29" s="37">
        <f t="shared" ca="1" si="35"/>
        <v>0</v>
      </c>
      <c r="AS29" s="37">
        <f t="shared" ca="1" si="35"/>
        <v>0</v>
      </c>
      <c r="AT29" s="37">
        <f t="shared" ca="1" si="36"/>
        <v>0</v>
      </c>
      <c r="AU29" s="37">
        <f t="shared" ca="1" si="36"/>
        <v>0</v>
      </c>
      <c r="AV29" s="37">
        <f t="shared" ca="1" si="36"/>
        <v>0</v>
      </c>
      <c r="AW29" s="37">
        <f t="shared" ca="1" si="36"/>
        <v>0</v>
      </c>
      <c r="AX29" s="37">
        <f t="shared" ca="1" si="36"/>
        <v>0</v>
      </c>
      <c r="AY29" s="37">
        <f t="shared" ca="1" si="36"/>
        <v>0</v>
      </c>
      <c r="AZ29" s="37" t="e">
        <f t="shared" ca="1" si="36"/>
        <v>#N/A</v>
      </c>
      <c r="BA29" s="37" t="e">
        <f t="shared" ca="1" si="36"/>
        <v>#N/A</v>
      </c>
      <c r="BB29" s="37" t="e">
        <f t="shared" ca="1" si="36"/>
        <v>#N/A</v>
      </c>
    </row>
    <row r="30" spans="1:54" ht="15.75" customHeight="1" x14ac:dyDescent="0.25">
      <c r="B30" s="1" t="s">
        <v>116</v>
      </c>
      <c r="C30" s="14">
        <f ca="1">Pill_Base!C30</f>
        <v>0</v>
      </c>
      <c r="D30" s="14">
        <f ca="1">Pill_Base!D30</f>
        <v>0</v>
      </c>
      <c r="E30" s="14">
        <f ca="1">IF('User Settings'!$N$7="On",($D30-$C30)/($D$4-$C$4),0)</f>
        <v>0</v>
      </c>
      <c r="F30" s="14">
        <f ca="1">Pill_Base!F30</f>
        <v>0</v>
      </c>
      <c r="G30" s="1" t="str">
        <f>"Shift_UrbQ2"&amp;IF(Dashboard!$Q$4="Yes",$A$1,"")</f>
        <v>Shift_UrbQ2</v>
      </c>
      <c r="H30" s="14">
        <f ca="1">Pill_Base!H30*(1-INDIRECT($G30))</f>
        <v>0</v>
      </c>
      <c r="I30" s="14">
        <f t="shared" ca="1" si="41"/>
        <v>0</v>
      </c>
      <c r="J30" s="14">
        <f t="shared" ca="1" si="37"/>
        <v>0</v>
      </c>
      <c r="K30" s="14">
        <f t="shared" ca="1" si="38"/>
        <v>0</v>
      </c>
      <c r="L30" s="15">
        <f t="shared" ref="L30:AD30" ca="1" si="45">MAX(0,MIN(1,K30+$I30))</f>
        <v>0</v>
      </c>
      <c r="M30" s="15">
        <f t="shared" ca="1" si="45"/>
        <v>0</v>
      </c>
      <c r="N30" s="15">
        <f t="shared" ca="1" si="45"/>
        <v>0</v>
      </c>
      <c r="O30" s="15">
        <f t="shared" ca="1" si="45"/>
        <v>0</v>
      </c>
      <c r="P30" s="15">
        <f t="shared" ca="1" si="45"/>
        <v>0</v>
      </c>
      <c r="Q30" s="15">
        <f t="shared" ca="1" si="45"/>
        <v>0</v>
      </c>
      <c r="R30" s="15">
        <f t="shared" ca="1" si="45"/>
        <v>0</v>
      </c>
      <c r="S30" s="15">
        <f t="shared" ca="1" si="45"/>
        <v>0</v>
      </c>
      <c r="T30" s="15">
        <f t="shared" ca="1" si="45"/>
        <v>0</v>
      </c>
      <c r="U30" s="15">
        <f t="shared" ca="1" si="45"/>
        <v>0</v>
      </c>
      <c r="V30" s="15">
        <f t="shared" ca="1" si="45"/>
        <v>0</v>
      </c>
      <c r="W30" s="15">
        <f t="shared" ca="1" si="45"/>
        <v>0</v>
      </c>
      <c r="X30" s="15">
        <f t="shared" ca="1" si="45"/>
        <v>0</v>
      </c>
      <c r="Y30" s="15">
        <f t="shared" ca="1" si="45"/>
        <v>0</v>
      </c>
      <c r="Z30" s="15">
        <f t="shared" ca="1" si="45"/>
        <v>0</v>
      </c>
      <c r="AA30" s="15">
        <f t="shared" ca="1" si="45"/>
        <v>0</v>
      </c>
      <c r="AB30" s="15">
        <f t="shared" ca="1" si="45"/>
        <v>0</v>
      </c>
      <c r="AC30" s="15">
        <f t="shared" ca="1" si="45"/>
        <v>0</v>
      </c>
      <c r="AD30" s="15">
        <f t="shared" ca="1" si="45"/>
        <v>0</v>
      </c>
      <c r="AE30" s="5"/>
      <c r="AG30" s="1" t="s">
        <v>116</v>
      </c>
      <c r="AH30" s="37">
        <f t="shared" ca="1" si="40"/>
        <v>0</v>
      </c>
      <c r="AI30" s="37">
        <f t="shared" ca="1" si="34"/>
        <v>0</v>
      </c>
      <c r="AJ30" s="37">
        <f t="shared" ca="1" si="35"/>
        <v>0</v>
      </c>
      <c r="AK30" s="37">
        <f t="shared" ca="1" si="35"/>
        <v>0</v>
      </c>
      <c r="AL30" s="37">
        <f t="shared" ca="1" si="35"/>
        <v>0</v>
      </c>
      <c r="AM30" s="37">
        <f t="shared" ca="1" si="35"/>
        <v>0</v>
      </c>
      <c r="AN30" s="37">
        <f t="shared" ca="1" si="35"/>
        <v>0</v>
      </c>
      <c r="AO30" s="37">
        <f t="shared" ca="1" si="35"/>
        <v>0</v>
      </c>
      <c r="AP30" s="37">
        <f t="shared" ca="1" si="35"/>
        <v>0</v>
      </c>
      <c r="AQ30" s="37">
        <f t="shared" ca="1" si="35"/>
        <v>0</v>
      </c>
      <c r="AR30" s="37">
        <f t="shared" ca="1" si="35"/>
        <v>0</v>
      </c>
      <c r="AS30" s="37">
        <f t="shared" ca="1" si="35"/>
        <v>0</v>
      </c>
      <c r="AT30" s="37">
        <f t="shared" ca="1" si="36"/>
        <v>0</v>
      </c>
      <c r="AU30" s="37">
        <f t="shared" ca="1" si="36"/>
        <v>0</v>
      </c>
      <c r="AV30" s="37">
        <f t="shared" ca="1" si="36"/>
        <v>0</v>
      </c>
      <c r="AW30" s="37">
        <f t="shared" ca="1" si="36"/>
        <v>0</v>
      </c>
      <c r="AX30" s="37">
        <f t="shared" ca="1" si="36"/>
        <v>0</v>
      </c>
      <c r="AY30" s="37">
        <f t="shared" ca="1" si="36"/>
        <v>0</v>
      </c>
      <c r="AZ30" s="37" t="e">
        <f t="shared" ca="1" si="36"/>
        <v>#N/A</v>
      </c>
      <c r="BA30" s="37" t="e">
        <f t="shared" ca="1" si="36"/>
        <v>#N/A</v>
      </c>
      <c r="BB30" s="37" t="e">
        <f t="shared" ca="1" si="36"/>
        <v>#N/A</v>
      </c>
    </row>
    <row r="31" spans="1:54" x14ac:dyDescent="0.25">
      <c r="C31" s="5">
        <f ca="1">SUM(C25:C30)</f>
        <v>6.0711799999999996E-2</v>
      </c>
      <c r="D31" s="5">
        <f ca="1">SUM(D25:D30)</f>
        <v>2.4519099999999999E-2</v>
      </c>
      <c r="E31" s="131"/>
      <c r="F31" s="132">
        <f ca="1">SUM(F25:F30)</f>
        <v>8.1676800000000001E-3</v>
      </c>
      <c r="H31" s="132">
        <f ca="1">Pill_Base!H31</f>
        <v>1.6442799999999997E-3</v>
      </c>
      <c r="I31" s="132"/>
      <c r="J31" s="132">
        <f ca="1">SUM(J25:J30)</f>
        <v>1.540622E-2</v>
      </c>
      <c r="K31" s="132">
        <f ca="1">SUM(K25:K30)</f>
        <v>8.1676800000000001E-3</v>
      </c>
      <c r="L31" s="5">
        <f t="shared" ref="L31:AD31" ca="1" si="46">SUM(L25:L30)</f>
        <v>5.993213333333333E-3</v>
      </c>
      <c r="M31" s="5">
        <f t="shared" ca="1" si="46"/>
        <v>3.8187466666666659E-3</v>
      </c>
      <c r="N31" s="5">
        <f t="shared" ca="1" si="46"/>
        <v>1.6442799999999993E-3</v>
      </c>
      <c r="O31" s="5">
        <f t="shared" ca="1" si="46"/>
        <v>1.2456666666666664E-3</v>
      </c>
      <c r="P31" s="5">
        <f t="shared" ca="1" si="46"/>
        <v>1.258123333333333E-3</v>
      </c>
      <c r="Q31" s="5">
        <f t="shared" ca="1" si="46"/>
        <v>1.2705799999999997E-3</v>
      </c>
      <c r="R31" s="5">
        <f t="shared" ca="1" si="46"/>
        <v>1.2830366666666663E-3</v>
      </c>
      <c r="S31" s="5">
        <f t="shared" ca="1" si="46"/>
        <v>1.2954933333333329E-3</v>
      </c>
      <c r="T31" s="5">
        <f t="shared" ca="1" si="46"/>
        <v>1.3079499999999996E-3</v>
      </c>
      <c r="U31" s="5">
        <f t="shared" ca="1" si="46"/>
        <v>1.3204066666666662E-3</v>
      </c>
      <c r="V31" s="5">
        <f t="shared" ca="1" si="46"/>
        <v>1.3328633333333328E-3</v>
      </c>
      <c r="W31" s="5">
        <f t="shared" ca="1" si="46"/>
        <v>1.3453199999999995E-3</v>
      </c>
      <c r="X31" s="5">
        <f t="shared" ca="1" si="46"/>
        <v>1.3577766666666661E-3</v>
      </c>
      <c r="Y31" s="5">
        <f t="shared" ca="1" si="46"/>
        <v>1.3702333333333327E-3</v>
      </c>
      <c r="Z31" s="5">
        <f t="shared" ca="1" si="46"/>
        <v>1.3826899999999994E-3</v>
      </c>
      <c r="AA31" s="5">
        <f t="shared" ca="1" si="46"/>
        <v>1.395146666666666E-3</v>
      </c>
      <c r="AB31" s="5">
        <f t="shared" ca="1" si="46"/>
        <v>1.4076033333333326E-3</v>
      </c>
      <c r="AC31" s="5">
        <f t="shared" ca="1" si="46"/>
        <v>1.4200599999999992E-3</v>
      </c>
      <c r="AD31" s="5">
        <f t="shared" ca="1" si="46"/>
        <v>1.4325166666666659E-3</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H33" s="4" t="s">
        <v>167</v>
      </c>
      <c r="K33" s="205" t="str">
        <f t="shared" ref="K33:AD33" si="47">IF(K34=Yr_Start,"Start Year",IF(K34=Yr_End,"End Year",""))</f>
        <v>Start Year</v>
      </c>
      <c r="L33" s="205" t="str">
        <f t="shared" si="47"/>
        <v/>
      </c>
      <c r="M33" s="205" t="str">
        <f t="shared" si="47"/>
        <v/>
      </c>
      <c r="N33" s="205" t="str">
        <f t="shared" si="47"/>
        <v>End Year</v>
      </c>
      <c r="O33" s="205" t="str">
        <f t="shared" si="47"/>
        <v/>
      </c>
      <c r="P33" s="205" t="str">
        <f t="shared" si="47"/>
        <v/>
      </c>
      <c r="Q33" s="205" t="str">
        <f t="shared" si="47"/>
        <v/>
      </c>
      <c r="R33" s="205" t="str">
        <f t="shared" si="47"/>
        <v/>
      </c>
      <c r="S33" s="205" t="str">
        <f t="shared" si="47"/>
        <v/>
      </c>
      <c r="T33" s="205" t="str">
        <f t="shared" si="47"/>
        <v/>
      </c>
      <c r="U33" s="205" t="str">
        <f t="shared" si="47"/>
        <v/>
      </c>
      <c r="V33" s="205" t="str">
        <f t="shared" si="47"/>
        <v/>
      </c>
      <c r="W33" s="205" t="str">
        <f t="shared" si="47"/>
        <v/>
      </c>
      <c r="X33" s="205" t="str">
        <f t="shared" si="47"/>
        <v/>
      </c>
      <c r="Y33" s="205" t="str">
        <f t="shared" si="47"/>
        <v/>
      </c>
      <c r="Z33" s="205" t="str">
        <f t="shared" si="47"/>
        <v/>
      </c>
      <c r="AA33" s="205" t="str">
        <f t="shared" si="47"/>
        <v/>
      </c>
      <c r="AB33" s="205" t="str">
        <f t="shared" si="47"/>
        <v/>
      </c>
      <c r="AC33" s="205" t="str">
        <f t="shared" si="47"/>
        <v/>
      </c>
      <c r="AD33" s="205" t="str">
        <f t="shared" si="47"/>
        <v/>
      </c>
      <c r="AE33" s="35"/>
      <c r="AF33" s="6" t="str">
        <f>A33</f>
        <v>Richer</v>
      </c>
      <c r="AI33" s="205" t="str">
        <f t="shared" ref="AI33:BB33" si="48">IF(AI34=Yr_Start,"Start Year",IF(AI34=Yr_End,"End Year",""))</f>
        <v>Start Year</v>
      </c>
      <c r="AJ33" s="205" t="str">
        <f t="shared" si="48"/>
        <v/>
      </c>
      <c r="AK33" s="205" t="str">
        <f t="shared" si="48"/>
        <v/>
      </c>
      <c r="AL33" s="205" t="str">
        <f t="shared" si="48"/>
        <v>End Year</v>
      </c>
      <c r="AM33" s="205" t="str">
        <f t="shared" si="48"/>
        <v/>
      </c>
      <c r="AN33" s="205" t="str">
        <f t="shared" si="48"/>
        <v/>
      </c>
      <c r="AO33" s="205" t="str">
        <f t="shared" si="48"/>
        <v/>
      </c>
      <c r="AP33" s="205" t="str">
        <f t="shared" si="48"/>
        <v/>
      </c>
      <c r="AQ33" s="205" t="str">
        <f t="shared" si="48"/>
        <v/>
      </c>
      <c r="AR33" s="205" t="str">
        <f t="shared" si="48"/>
        <v/>
      </c>
      <c r="AS33" s="205" t="str">
        <f t="shared" si="48"/>
        <v/>
      </c>
      <c r="AT33" s="205" t="str">
        <f t="shared" si="48"/>
        <v/>
      </c>
      <c r="AU33" s="205" t="str">
        <f t="shared" si="48"/>
        <v/>
      </c>
      <c r="AV33" s="205" t="str">
        <f t="shared" si="48"/>
        <v/>
      </c>
      <c r="AW33" s="205" t="str">
        <f t="shared" si="48"/>
        <v/>
      </c>
      <c r="AX33" s="205" t="str">
        <f t="shared" si="48"/>
        <v/>
      </c>
      <c r="AY33" s="205" t="str">
        <f t="shared" si="48"/>
        <v/>
      </c>
      <c r="AZ33" s="205" t="str">
        <f t="shared" si="48"/>
        <v/>
      </c>
      <c r="BA33" s="205" t="str">
        <f t="shared" si="48"/>
        <v/>
      </c>
      <c r="BB33" s="205" t="str">
        <f t="shared" si="48"/>
        <v/>
      </c>
    </row>
    <row r="34" spans="1:54" x14ac:dyDescent="0.25">
      <c r="A34" s="6" t="s">
        <v>21</v>
      </c>
      <c r="B34" s="36"/>
      <c r="C34" s="36">
        <f>Yr_DHS1</f>
        <v>2011</v>
      </c>
      <c r="D34" s="36">
        <f>Yr_DHS2</f>
        <v>2016</v>
      </c>
      <c r="E34" s="36" t="s">
        <v>168</v>
      </c>
      <c r="F34" s="36">
        <f>Yr_Start</f>
        <v>2019</v>
      </c>
      <c r="G34" s="127"/>
      <c r="H34" s="36">
        <f>Yr_End</f>
        <v>2022</v>
      </c>
      <c r="I34" s="36" t="s">
        <v>169</v>
      </c>
      <c r="J34" s="130">
        <f>K34-1</f>
        <v>2018</v>
      </c>
      <c r="K34" s="130">
        <f>Yr_Start</f>
        <v>2019</v>
      </c>
      <c r="L34" s="130">
        <f>K34+1</f>
        <v>2020</v>
      </c>
      <c r="M34" s="130">
        <f t="shared" ref="M34:AD34" si="49">L34+1</f>
        <v>2021</v>
      </c>
      <c r="N34" s="130">
        <f t="shared" si="49"/>
        <v>2022</v>
      </c>
      <c r="O34" s="130">
        <f t="shared" si="49"/>
        <v>2023</v>
      </c>
      <c r="P34" s="130">
        <f t="shared" si="49"/>
        <v>2024</v>
      </c>
      <c r="Q34" s="130">
        <f t="shared" si="49"/>
        <v>2025</v>
      </c>
      <c r="R34" s="130">
        <f t="shared" si="49"/>
        <v>2026</v>
      </c>
      <c r="S34" s="130">
        <f t="shared" si="49"/>
        <v>2027</v>
      </c>
      <c r="T34" s="130">
        <f t="shared" si="49"/>
        <v>2028</v>
      </c>
      <c r="U34" s="130">
        <f t="shared" si="49"/>
        <v>2029</v>
      </c>
      <c r="V34" s="130">
        <f t="shared" si="49"/>
        <v>2030</v>
      </c>
      <c r="W34" s="130">
        <f t="shared" si="49"/>
        <v>2031</v>
      </c>
      <c r="X34" s="130">
        <f t="shared" si="49"/>
        <v>2032</v>
      </c>
      <c r="Y34" s="130">
        <f t="shared" si="49"/>
        <v>2033</v>
      </c>
      <c r="Z34" s="130">
        <f t="shared" si="49"/>
        <v>2034</v>
      </c>
      <c r="AA34" s="130">
        <f t="shared" si="49"/>
        <v>2035</v>
      </c>
      <c r="AB34" s="130">
        <f t="shared" si="49"/>
        <v>2036</v>
      </c>
      <c r="AC34" s="130">
        <f t="shared" si="49"/>
        <v>2037</v>
      </c>
      <c r="AD34" s="130">
        <f t="shared" si="49"/>
        <v>2038</v>
      </c>
      <c r="AE34" s="6"/>
      <c r="AF34" s="6" t="str">
        <f>A34</f>
        <v>Rural</v>
      </c>
      <c r="AG34" s="38"/>
      <c r="AH34" s="161">
        <f>AI34-1</f>
        <v>2018</v>
      </c>
      <c r="AI34" s="36">
        <f>Yr_Start</f>
        <v>2019</v>
      </c>
      <c r="AJ34" s="36">
        <f>AI34+1</f>
        <v>2020</v>
      </c>
      <c r="AK34" s="36">
        <f t="shared" ref="AK34:BB34" si="50">AJ34+1</f>
        <v>2021</v>
      </c>
      <c r="AL34" s="36">
        <f t="shared" si="50"/>
        <v>2022</v>
      </c>
      <c r="AM34" s="36">
        <f t="shared" si="50"/>
        <v>2023</v>
      </c>
      <c r="AN34" s="36">
        <f t="shared" si="50"/>
        <v>2024</v>
      </c>
      <c r="AO34" s="36">
        <f t="shared" si="50"/>
        <v>2025</v>
      </c>
      <c r="AP34" s="36">
        <f t="shared" si="50"/>
        <v>2026</v>
      </c>
      <c r="AQ34" s="36">
        <f t="shared" si="50"/>
        <v>2027</v>
      </c>
      <c r="AR34" s="36">
        <f t="shared" si="50"/>
        <v>2028</v>
      </c>
      <c r="AS34" s="36">
        <f t="shared" si="50"/>
        <v>2029</v>
      </c>
      <c r="AT34" s="36">
        <f t="shared" si="50"/>
        <v>2030</v>
      </c>
      <c r="AU34" s="36">
        <f t="shared" si="50"/>
        <v>2031</v>
      </c>
      <c r="AV34" s="36">
        <f t="shared" si="50"/>
        <v>2032</v>
      </c>
      <c r="AW34" s="36">
        <f t="shared" si="50"/>
        <v>2033</v>
      </c>
      <c r="AX34" s="36">
        <f t="shared" si="50"/>
        <v>2034</v>
      </c>
      <c r="AY34" s="36">
        <f t="shared" si="50"/>
        <v>2035</v>
      </c>
      <c r="AZ34" s="36">
        <f t="shared" si="50"/>
        <v>2036</v>
      </c>
      <c r="BA34" s="36">
        <f t="shared" si="50"/>
        <v>2037</v>
      </c>
      <c r="BB34" s="36">
        <f t="shared" si="50"/>
        <v>2038</v>
      </c>
    </row>
    <row r="35" spans="1:54" x14ac:dyDescent="0.25">
      <c r="B35" s="1" t="s">
        <v>52</v>
      </c>
      <c r="C35" s="14">
        <f ca="1">Pill_Base!C35</f>
        <v>1.23874E-2</v>
      </c>
      <c r="D35" s="14">
        <f ca="1">Pill_Base!D35</f>
        <v>5.1510000000000002E-3</v>
      </c>
      <c r="E35" s="14">
        <f ca="1">IF('User Settings'!$N$7="On",($D35-$C35)/($D$4-$C$4),0)</f>
        <v>-1.44728E-3</v>
      </c>
      <c r="F35" s="14">
        <f ca="1">Pill_Base!F35</f>
        <v>8.0916000000000061E-4</v>
      </c>
      <c r="G35" s="1" t="str">
        <f>"Shift_RurQ2"&amp;IF(Dashboard!$Q$4="Yes",$A$1,"")</f>
        <v>Shift_RurQ2</v>
      </c>
      <c r="H35" s="176">
        <f ca="1">Pill_Base!H35*(1-INDIRECT($G35))</f>
        <v>0</v>
      </c>
      <c r="I35" s="14">
        <f ca="1">($H35-$F35)/($H$4-$F$4)</f>
        <v>-2.697200000000002E-4</v>
      </c>
      <c r="J35" s="14">
        <f ca="1">K35-E35</f>
        <v>2.2564400000000006E-3</v>
      </c>
      <c r="K35" s="14">
        <f ca="1">MAX(0,MIN(1,D35+(K$4-D$4)*E35))</f>
        <v>8.0916000000000061E-4</v>
      </c>
      <c r="L35" s="15">
        <f ca="1">MAX(0,MIN(1,K35+$I35))</f>
        <v>5.3944000000000041E-4</v>
      </c>
      <c r="M35" s="15">
        <f t="shared" ref="M35" ca="1" si="51">MAX(0,MIN(1,L35+$I35))</f>
        <v>2.697200000000002E-4</v>
      </c>
      <c r="N35" s="15">
        <f ca="1">MAX(0,MIN(1,M35+$I35))</f>
        <v>0</v>
      </c>
      <c r="O35" s="15">
        <f t="shared" ref="O35:AD35" ca="1" si="52">MAX(0,MIN(1,N35+$I35))</f>
        <v>0</v>
      </c>
      <c r="P35" s="15">
        <f t="shared" ca="1" si="52"/>
        <v>0</v>
      </c>
      <c r="Q35" s="15">
        <f t="shared" ca="1" si="52"/>
        <v>0</v>
      </c>
      <c r="R35" s="15">
        <f t="shared" ca="1" si="52"/>
        <v>0</v>
      </c>
      <c r="S35" s="15">
        <f t="shared" ca="1" si="52"/>
        <v>0</v>
      </c>
      <c r="T35" s="15">
        <f t="shared" ca="1" si="52"/>
        <v>0</v>
      </c>
      <c r="U35" s="15">
        <f t="shared" ca="1" si="52"/>
        <v>0</v>
      </c>
      <c r="V35" s="15">
        <f t="shared" ca="1" si="52"/>
        <v>0</v>
      </c>
      <c r="W35" s="15">
        <f t="shared" ca="1" si="52"/>
        <v>0</v>
      </c>
      <c r="X35" s="15">
        <f t="shared" ca="1" si="52"/>
        <v>0</v>
      </c>
      <c r="Y35" s="15">
        <f t="shared" ca="1" si="52"/>
        <v>0</v>
      </c>
      <c r="Z35" s="15">
        <f t="shared" ca="1" si="52"/>
        <v>0</v>
      </c>
      <c r="AA35" s="15">
        <f t="shared" ca="1" si="52"/>
        <v>0</v>
      </c>
      <c r="AB35" s="15">
        <f t="shared" ca="1" si="52"/>
        <v>0</v>
      </c>
      <c r="AC35" s="15">
        <f t="shared" ca="1" si="52"/>
        <v>0</v>
      </c>
      <c r="AD35" s="15">
        <f t="shared" ca="1" si="52"/>
        <v>0</v>
      </c>
      <c r="AE35" s="5"/>
      <c r="AG35" s="1" t="s">
        <v>52</v>
      </c>
      <c r="AH35" s="37">
        <f ca="1">J35*AH$41</f>
        <v>3446.5274670564913</v>
      </c>
      <c r="AI35" s="37">
        <f t="shared" ref="AI35:AI40" ca="1" si="53">K35*AI$41</f>
        <v>1283.4537241725056</v>
      </c>
      <c r="AJ35" s="37">
        <f t="shared" ref="AJ35:AS40" ca="1" si="54">L35*AJ$41</f>
        <v>888.34479923061247</v>
      </c>
      <c r="AK35" s="37">
        <f t="shared" ca="1" si="54"/>
        <v>460.46794348680544</v>
      </c>
      <c r="AL35" s="37">
        <f t="shared" ca="1" si="54"/>
        <v>0</v>
      </c>
      <c r="AM35" s="37">
        <f t="shared" ca="1" si="54"/>
        <v>0</v>
      </c>
      <c r="AN35" s="37">
        <f t="shared" ca="1" si="54"/>
        <v>0</v>
      </c>
      <c r="AO35" s="37">
        <f t="shared" ca="1" si="54"/>
        <v>0</v>
      </c>
      <c r="AP35" s="37">
        <f t="shared" ca="1" si="54"/>
        <v>0</v>
      </c>
      <c r="AQ35" s="37">
        <f t="shared" ca="1" si="54"/>
        <v>0</v>
      </c>
      <c r="AR35" s="37">
        <f t="shared" ca="1" si="54"/>
        <v>0</v>
      </c>
      <c r="AS35" s="37">
        <f t="shared" ca="1" si="54"/>
        <v>0</v>
      </c>
      <c r="AT35" s="37">
        <f t="shared" ref="AT35:BB40" ca="1" si="55">V35*AT$41</f>
        <v>0</v>
      </c>
      <c r="AU35" s="37">
        <f t="shared" ca="1" si="55"/>
        <v>0</v>
      </c>
      <c r="AV35" s="37">
        <f t="shared" ca="1" si="55"/>
        <v>0</v>
      </c>
      <c r="AW35" s="37">
        <f t="shared" ca="1" si="55"/>
        <v>0</v>
      </c>
      <c r="AX35" s="37">
        <f t="shared" ca="1" si="55"/>
        <v>0</v>
      </c>
      <c r="AY35" s="37">
        <f t="shared" ca="1" si="55"/>
        <v>0</v>
      </c>
      <c r="AZ35" s="37" t="e">
        <f t="shared" ca="1" si="55"/>
        <v>#N/A</v>
      </c>
      <c r="BA35" s="37" t="e">
        <f t="shared" ca="1" si="55"/>
        <v>#N/A</v>
      </c>
      <c r="BB35" s="37" t="e">
        <f t="shared" ca="1" si="55"/>
        <v>#N/A</v>
      </c>
    </row>
    <row r="36" spans="1:54" x14ac:dyDescent="0.25">
      <c r="B36" s="1" t="s">
        <v>54</v>
      </c>
      <c r="C36" s="14">
        <f ca="1">Pill_Base!C36</f>
        <v>9.745E-4</v>
      </c>
      <c r="D36" s="14">
        <f ca="1">Pill_Base!D36</f>
        <v>0</v>
      </c>
      <c r="E36" s="14">
        <f ca="1">IF('User Settings'!$N$7="On",($D36-$C36)/($D$4-$C$4),0)</f>
        <v>-1.9489999999999999E-4</v>
      </c>
      <c r="F36" s="14">
        <f ca="1">Pill_Base!F36</f>
        <v>0</v>
      </c>
      <c r="G36" s="1" t="str">
        <f>"Shift_RurQ2"&amp;IF(Dashboard!$Q$4="Yes",$A$1,"")</f>
        <v>Shift_RurQ2</v>
      </c>
      <c r="H36" s="14">
        <f ca="1">Pill_Base!H36*(1-INDIRECT($G36))</f>
        <v>0</v>
      </c>
      <c r="I36" s="14">
        <f ca="1">($H36-$F36)/($H$4-$F$4)</f>
        <v>0</v>
      </c>
      <c r="J36" s="14">
        <f t="shared" ref="J36:J40" ca="1" si="56">K36-E36</f>
        <v>1.9489999999999999E-4</v>
      </c>
      <c r="K36" s="14">
        <f t="shared" ref="K36:K40" ca="1" si="57">MAX(0,MIN(1,D36+(K$4-D$4)*E36))</f>
        <v>0</v>
      </c>
      <c r="L36" s="15">
        <f t="shared" ref="L36:AD36" ca="1" si="58">MAX(0,MIN(1,K36+$I36))</f>
        <v>0</v>
      </c>
      <c r="M36" s="15">
        <f t="shared" ca="1" si="58"/>
        <v>0</v>
      </c>
      <c r="N36" s="15">
        <f t="shared" ca="1" si="58"/>
        <v>0</v>
      </c>
      <c r="O36" s="15">
        <f t="shared" ca="1" si="58"/>
        <v>0</v>
      </c>
      <c r="P36" s="15">
        <f t="shared" ca="1" si="58"/>
        <v>0</v>
      </c>
      <c r="Q36" s="15">
        <f t="shared" ca="1" si="58"/>
        <v>0</v>
      </c>
      <c r="R36" s="15">
        <f t="shared" ca="1" si="58"/>
        <v>0</v>
      </c>
      <c r="S36" s="15">
        <f t="shared" ca="1" si="58"/>
        <v>0</v>
      </c>
      <c r="T36" s="15">
        <f t="shared" ca="1" si="58"/>
        <v>0</v>
      </c>
      <c r="U36" s="15">
        <f t="shared" ca="1" si="58"/>
        <v>0</v>
      </c>
      <c r="V36" s="15">
        <f t="shared" ca="1" si="58"/>
        <v>0</v>
      </c>
      <c r="W36" s="15">
        <f t="shared" ca="1" si="58"/>
        <v>0</v>
      </c>
      <c r="X36" s="15">
        <f t="shared" ca="1" si="58"/>
        <v>0</v>
      </c>
      <c r="Y36" s="15">
        <f t="shared" ca="1" si="58"/>
        <v>0</v>
      </c>
      <c r="Z36" s="15">
        <f t="shared" ca="1" si="58"/>
        <v>0</v>
      </c>
      <c r="AA36" s="15">
        <f t="shared" ca="1" si="58"/>
        <v>0</v>
      </c>
      <c r="AB36" s="15">
        <f t="shared" ca="1" si="58"/>
        <v>0</v>
      </c>
      <c r="AC36" s="15">
        <f t="shared" ca="1" si="58"/>
        <v>0</v>
      </c>
      <c r="AD36" s="15">
        <f t="shared" ca="1" si="58"/>
        <v>0</v>
      </c>
      <c r="AE36" s="5"/>
      <c r="AG36" s="1" t="s">
        <v>54</v>
      </c>
      <c r="AH36" s="37">
        <f t="shared" ref="AH36:AH40" ca="1" si="59">J36*AH$41</f>
        <v>297.69380232991347</v>
      </c>
      <c r="AI36" s="37">
        <f t="shared" ca="1" si="53"/>
        <v>0</v>
      </c>
      <c r="AJ36" s="37">
        <f t="shared" ca="1" si="54"/>
        <v>0</v>
      </c>
      <c r="AK36" s="37">
        <f t="shared" ca="1" si="54"/>
        <v>0</v>
      </c>
      <c r="AL36" s="37">
        <f t="shared" ca="1" si="54"/>
        <v>0</v>
      </c>
      <c r="AM36" s="37">
        <f t="shared" ca="1" si="54"/>
        <v>0</v>
      </c>
      <c r="AN36" s="37">
        <f t="shared" ca="1" si="54"/>
        <v>0</v>
      </c>
      <c r="AO36" s="37">
        <f t="shared" ca="1" si="54"/>
        <v>0</v>
      </c>
      <c r="AP36" s="37">
        <f t="shared" ca="1" si="54"/>
        <v>0</v>
      </c>
      <c r="AQ36" s="37">
        <f t="shared" ca="1" si="54"/>
        <v>0</v>
      </c>
      <c r="AR36" s="37">
        <f t="shared" ca="1" si="54"/>
        <v>0</v>
      </c>
      <c r="AS36" s="37">
        <f t="shared" ca="1" si="54"/>
        <v>0</v>
      </c>
      <c r="AT36" s="37">
        <f t="shared" ca="1" si="55"/>
        <v>0</v>
      </c>
      <c r="AU36" s="37">
        <f t="shared" ca="1" si="55"/>
        <v>0</v>
      </c>
      <c r="AV36" s="37">
        <f t="shared" ca="1" si="55"/>
        <v>0</v>
      </c>
      <c r="AW36" s="37">
        <f t="shared" ca="1" si="55"/>
        <v>0</v>
      </c>
      <c r="AX36" s="37">
        <f t="shared" ca="1" si="55"/>
        <v>0</v>
      </c>
      <c r="AY36" s="37">
        <f t="shared" ca="1" si="55"/>
        <v>0</v>
      </c>
      <c r="AZ36" s="37" t="e">
        <f t="shared" ca="1" si="55"/>
        <v>#N/A</v>
      </c>
      <c r="BA36" s="37" t="e">
        <f t="shared" ca="1" si="55"/>
        <v>#N/A</v>
      </c>
      <c r="BB36" s="37" t="e">
        <f t="shared" ca="1" si="55"/>
        <v>#N/A</v>
      </c>
    </row>
    <row r="37" spans="1:54" x14ac:dyDescent="0.25">
      <c r="B37" s="1" t="s">
        <v>170</v>
      </c>
      <c r="C37" s="14">
        <f ca="1">Pill_Base!C37</f>
        <v>0</v>
      </c>
      <c r="D37" s="14">
        <f ca="1">Pill_Base!D37</f>
        <v>0</v>
      </c>
      <c r="E37" s="14">
        <f ca="1">IF('User Settings'!$N$7="On",($D37-$C37)/($D$4-$C$4),0)</f>
        <v>0</v>
      </c>
      <c r="F37" s="14">
        <f ca="1">Pill_Base!F37</f>
        <v>0</v>
      </c>
      <c r="G37" s="1" t="str">
        <f>"Shift_RurQ2"&amp;IF(Dashboard!$Q$4="Yes",$A$1,"")</f>
        <v>Shift_RurQ2</v>
      </c>
      <c r="H37" s="176">
        <f ca="1">Pill_Base!H37*(1-INDIRECT($G37))</f>
        <v>0</v>
      </c>
      <c r="I37" s="14">
        <f t="shared" ref="I37:I40" ca="1" si="60">($H37-$F37)/($H$4-$F$4)</f>
        <v>0</v>
      </c>
      <c r="J37" s="14">
        <f t="shared" ca="1" si="56"/>
        <v>0</v>
      </c>
      <c r="K37" s="14">
        <f t="shared" ca="1" si="57"/>
        <v>0</v>
      </c>
      <c r="L37" s="15">
        <f t="shared" ref="L37:AD37" ca="1" si="61">MAX(0,MIN(1,K37+$I37))</f>
        <v>0</v>
      </c>
      <c r="M37" s="15">
        <f t="shared" ca="1" si="61"/>
        <v>0</v>
      </c>
      <c r="N37" s="15">
        <f t="shared" ca="1" si="61"/>
        <v>0</v>
      </c>
      <c r="O37" s="15">
        <f t="shared" ca="1" si="61"/>
        <v>0</v>
      </c>
      <c r="P37" s="15">
        <f t="shared" ca="1" si="61"/>
        <v>0</v>
      </c>
      <c r="Q37" s="15">
        <f t="shared" ca="1" si="61"/>
        <v>0</v>
      </c>
      <c r="R37" s="15">
        <f t="shared" ca="1" si="61"/>
        <v>0</v>
      </c>
      <c r="S37" s="15">
        <f t="shared" ca="1" si="61"/>
        <v>0</v>
      </c>
      <c r="T37" s="15">
        <f t="shared" ca="1" si="61"/>
        <v>0</v>
      </c>
      <c r="U37" s="15">
        <f t="shared" ca="1" si="61"/>
        <v>0</v>
      </c>
      <c r="V37" s="15">
        <f t="shared" ca="1" si="61"/>
        <v>0</v>
      </c>
      <c r="W37" s="15">
        <f t="shared" ca="1" si="61"/>
        <v>0</v>
      </c>
      <c r="X37" s="15">
        <f t="shared" ca="1" si="61"/>
        <v>0</v>
      </c>
      <c r="Y37" s="15">
        <f t="shared" ca="1" si="61"/>
        <v>0</v>
      </c>
      <c r="Z37" s="15">
        <f t="shared" ca="1" si="61"/>
        <v>0</v>
      </c>
      <c r="AA37" s="15">
        <f t="shared" ca="1" si="61"/>
        <v>0</v>
      </c>
      <c r="AB37" s="15">
        <f t="shared" ca="1" si="61"/>
        <v>0</v>
      </c>
      <c r="AC37" s="15">
        <f t="shared" ca="1" si="61"/>
        <v>0</v>
      </c>
      <c r="AD37" s="15">
        <f t="shared" ca="1" si="61"/>
        <v>0</v>
      </c>
      <c r="AE37" s="5"/>
      <c r="AG37" s="1" t="s">
        <v>170</v>
      </c>
      <c r="AH37" s="37">
        <f t="shared" ca="1" si="59"/>
        <v>0</v>
      </c>
      <c r="AI37" s="37">
        <f t="shared" ca="1" si="53"/>
        <v>0</v>
      </c>
      <c r="AJ37" s="37">
        <f t="shared" ca="1" si="54"/>
        <v>0</v>
      </c>
      <c r="AK37" s="37">
        <f t="shared" ca="1" si="54"/>
        <v>0</v>
      </c>
      <c r="AL37" s="37">
        <f t="shared" ca="1" si="54"/>
        <v>0</v>
      </c>
      <c r="AM37" s="37">
        <f t="shared" ca="1" si="54"/>
        <v>0</v>
      </c>
      <c r="AN37" s="37">
        <f t="shared" ca="1" si="54"/>
        <v>0</v>
      </c>
      <c r="AO37" s="37">
        <f t="shared" ca="1" si="54"/>
        <v>0</v>
      </c>
      <c r="AP37" s="37">
        <f t="shared" ca="1" si="54"/>
        <v>0</v>
      </c>
      <c r="AQ37" s="37">
        <f t="shared" ca="1" si="54"/>
        <v>0</v>
      </c>
      <c r="AR37" s="37">
        <f t="shared" ca="1" si="54"/>
        <v>0</v>
      </c>
      <c r="AS37" s="37">
        <f t="shared" ca="1" si="54"/>
        <v>0</v>
      </c>
      <c r="AT37" s="37">
        <f t="shared" ca="1" si="55"/>
        <v>0</v>
      </c>
      <c r="AU37" s="37">
        <f t="shared" ca="1" si="55"/>
        <v>0</v>
      </c>
      <c r="AV37" s="37">
        <f t="shared" ca="1" si="55"/>
        <v>0</v>
      </c>
      <c r="AW37" s="37">
        <f t="shared" ca="1" si="55"/>
        <v>0</v>
      </c>
      <c r="AX37" s="37">
        <f t="shared" ca="1" si="55"/>
        <v>0</v>
      </c>
      <c r="AY37" s="37">
        <f t="shared" ca="1" si="55"/>
        <v>0</v>
      </c>
      <c r="AZ37" s="37" t="e">
        <f t="shared" ca="1" si="55"/>
        <v>#N/A</v>
      </c>
      <c r="BA37" s="37" t="e">
        <f t="shared" ca="1" si="55"/>
        <v>#N/A</v>
      </c>
      <c r="BB37" s="37" t="e">
        <f t="shared" ca="1" si="55"/>
        <v>#N/A</v>
      </c>
    </row>
    <row r="38" spans="1:54" x14ac:dyDescent="0.25">
      <c r="B38" s="1" t="s">
        <v>59</v>
      </c>
      <c r="C38" s="14">
        <f ca="1">Pill_Base!C38</f>
        <v>2.7531999999999999E-3</v>
      </c>
      <c r="D38" s="14">
        <f ca="1">Pill_Base!D38</f>
        <v>8.3330000000000001E-3</v>
      </c>
      <c r="E38" s="14">
        <f ca="1">IF('User Settings'!$N$7="On",($D38-$C38)/($D$4-$C$4),0)</f>
        <v>1.11596E-3</v>
      </c>
      <c r="F38" s="14">
        <f ca="1">Pill_Base!F38</f>
        <v>1.1680880000000001E-2</v>
      </c>
      <c r="H38" s="14">
        <f ca="1">H41-SUM($H35:$H37,$H39:$H40)</f>
        <v>1.502876E-2</v>
      </c>
      <c r="I38" s="14">
        <f t="shared" ca="1" si="60"/>
        <v>1.1159599999999998E-3</v>
      </c>
      <c r="J38" s="14">
        <f t="shared" ca="1" si="56"/>
        <v>1.0564920000000002E-2</v>
      </c>
      <c r="K38" s="14">
        <f t="shared" ca="1" si="57"/>
        <v>1.1680880000000001E-2</v>
      </c>
      <c r="L38" s="15">
        <f t="shared" ref="L38:AD38" ca="1" si="62">MAX(0,MIN(1,K38+$I38))</f>
        <v>1.279684E-2</v>
      </c>
      <c r="M38" s="15">
        <f t="shared" ca="1" si="62"/>
        <v>1.3912799999999999E-2</v>
      </c>
      <c r="N38" s="15">
        <f t="shared" ca="1" si="62"/>
        <v>1.5028759999999999E-2</v>
      </c>
      <c r="O38" s="15">
        <f t="shared" ca="1" si="62"/>
        <v>1.6144719999999998E-2</v>
      </c>
      <c r="P38" s="15">
        <f t="shared" ca="1" si="62"/>
        <v>1.7260679999999997E-2</v>
      </c>
      <c r="Q38" s="15">
        <f t="shared" ca="1" si="62"/>
        <v>1.8376639999999996E-2</v>
      </c>
      <c r="R38" s="15">
        <f t="shared" ca="1" si="62"/>
        <v>1.9492599999999995E-2</v>
      </c>
      <c r="S38" s="15">
        <f t="shared" ca="1" si="62"/>
        <v>2.0608559999999995E-2</v>
      </c>
      <c r="T38" s="15">
        <f t="shared" ca="1" si="62"/>
        <v>2.1724519999999994E-2</v>
      </c>
      <c r="U38" s="15">
        <f t="shared" ca="1" si="62"/>
        <v>2.2840479999999993E-2</v>
      </c>
      <c r="V38" s="15">
        <f t="shared" ca="1" si="62"/>
        <v>2.3956439999999992E-2</v>
      </c>
      <c r="W38" s="15">
        <f t="shared" ca="1" si="62"/>
        <v>2.5072399999999991E-2</v>
      </c>
      <c r="X38" s="15">
        <f t="shared" ca="1" si="62"/>
        <v>2.618835999999999E-2</v>
      </c>
      <c r="Y38" s="15">
        <f t="shared" ca="1" si="62"/>
        <v>2.730431999999999E-2</v>
      </c>
      <c r="Z38" s="15">
        <f t="shared" ca="1" si="62"/>
        <v>2.8420279999999989E-2</v>
      </c>
      <c r="AA38" s="15">
        <f t="shared" ca="1" si="62"/>
        <v>2.9536239999999988E-2</v>
      </c>
      <c r="AB38" s="15">
        <f t="shared" ca="1" si="62"/>
        <v>3.0652199999999987E-2</v>
      </c>
      <c r="AC38" s="15">
        <f t="shared" ca="1" si="62"/>
        <v>3.176815999999999E-2</v>
      </c>
      <c r="AD38" s="15">
        <f t="shared" ca="1" si="62"/>
        <v>3.2884119999999989E-2</v>
      </c>
      <c r="AE38" s="5"/>
      <c r="AG38" s="1" t="s">
        <v>59</v>
      </c>
      <c r="AH38" s="37">
        <f t="shared" ca="1" si="59"/>
        <v>16137.050826635968</v>
      </c>
      <c r="AI38" s="37">
        <f t="shared" ca="1" si="53"/>
        <v>18527.694074858038</v>
      </c>
      <c r="AJ38" s="37">
        <f t="shared" ca="1" si="54"/>
        <v>21073.717671263275</v>
      </c>
      <c r="AK38" s="37">
        <f t="shared" ca="1" si="54"/>
        <v>23752.033234996372</v>
      </c>
      <c r="AL38" s="37">
        <f t="shared" ca="1" si="54"/>
        <v>26598.41471290651</v>
      </c>
      <c r="AM38" s="37">
        <f t="shared" ca="1" si="54"/>
        <v>29616.770593373742</v>
      </c>
      <c r="AN38" s="37">
        <f t="shared" ca="1" si="54"/>
        <v>32809.532051765527</v>
      </c>
      <c r="AO38" s="37">
        <f t="shared" ca="1" si="54"/>
        <v>36180.283930476246</v>
      </c>
      <c r="AP38" s="37">
        <f t="shared" ca="1" si="54"/>
        <v>39707.232808417488</v>
      </c>
      <c r="AQ38" s="37">
        <f t="shared" ca="1" si="54"/>
        <v>43423.317624518779</v>
      </c>
      <c r="AR38" s="37">
        <f t="shared" ca="1" si="54"/>
        <v>47335.152461662597</v>
      </c>
      <c r="AS38" s="37">
        <f t="shared" ca="1" si="54"/>
        <v>51451.676545919603</v>
      </c>
      <c r="AT38" s="37">
        <f t="shared" ca="1" si="55"/>
        <v>55780.64153085772</v>
      </c>
      <c r="AU38" s="37">
        <f t="shared" ca="1" si="55"/>
        <v>60293.346092899606</v>
      </c>
      <c r="AV38" s="37">
        <f t="shared" ca="1" si="55"/>
        <v>65032.341077483863</v>
      </c>
      <c r="AW38" s="37">
        <f t="shared" ca="1" si="55"/>
        <v>70000.673032220904</v>
      </c>
      <c r="AX38" s="37">
        <f t="shared" ca="1" si="55"/>
        <v>75200.141138160179</v>
      </c>
      <c r="AY38" s="37">
        <f t="shared" ca="1" si="55"/>
        <v>80633.446701012683</v>
      </c>
      <c r="AZ38" s="37" t="e">
        <f t="shared" ca="1" si="55"/>
        <v>#N/A</v>
      </c>
      <c r="BA38" s="37" t="e">
        <f t="shared" ca="1" si="55"/>
        <v>#N/A</v>
      </c>
      <c r="BB38" s="37" t="e">
        <f t="shared" ca="1" si="55"/>
        <v>#N/A</v>
      </c>
    </row>
    <row r="39" spans="1:54" x14ac:dyDescent="0.25">
      <c r="B39" s="1" t="s">
        <v>171</v>
      </c>
      <c r="C39" s="14">
        <f ca="1">Pill_Base!C39</f>
        <v>0</v>
      </c>
      <c r="D39" s="14">
        <f ca="1">Pill_Base!D39</f>
        <v>0</v>
      </c>
      <c r="E39" s="14">
        <f ca="1">IF('User Settings'!$N$7="On",($D39-$C39)/($D$4-$C$4),0)</f>
        <v>0</v>
      </c>
      <c r="F39" s="14">
        <f ca="1">Pill_Base!F39</f>
        <v>0</v>
      </c>
      <c r="G39" s="1"/>
      <c r="H39" s="14">
        <f ca="1">Pill_Base!H39</f>
        <v>0</v>
      </c>
      <c r="I39" s="14">
        <f t="shared" ca="1" si="60"/>
        <v>0</v>
      </c>
      <c r="J39" s="14">
        <f t="shared" ca="1" si="56"/>
        <v>0</v>
      </c>
      <c r="K39" s="14">
        <f t="shared" ca="1" si="57"/>
        <v>0</v>
      </c>
      <c r="L39" s="15">
        <f t="shared" ref="L39:AD39" ca="1" si="63">MAX(0,MIN(1,K39+$I39))</f>
        <v>0</v>
      </c>
      <c r="M39" s="15">
        <f t="shared" ca="1" si="63"/>
        <v>0</v>
      </c>
      <c r="N39" s="15">
        <f t="shared" ca="1" si="63"/>
        <v>0</v>
      </c>
      <c r="O39" s="15">
        <f t="shared" ca="1" si="63"/>
        <v>0</v>
      </c>
      <c r="P39" s="15">
        <f t="shared" ca="1" si="63"/>
        <v>0</v>
      </c>
      <c r="Q39" s="15">
        <f t="shared" ca="1" si="63"/>
        <v>0</v>
      </c>
      <c r="R39" s="15">
        <f t="shared" ca="1" si="63"/>
        <v>0</v>
      </c>
      <c r="S39" s="15">
        <f t="shared" ca="1" si="63"/>
        <v>0</v>
      </c>
      <c r="T39" s="15">
        <f t="shared" ca="1" si="63"/>
        <v>0</v>
      </c>
      <c r="U39" s="15">
        <f t="shared" ca="1" si="63"/>
        <v>0</v>
      </c>
      <c r="V39" s="15">
        <f t="shared" ca="1" si="63"/>
        <v>0</v>
      </c>
      <c r="W39" s="15">
        <f t="shared" ca="1" si="63"/>
        <v>0</v>
      </c>
      <c r="X39" s="15">
        <f t="shared" ca="1" si="63"/>
        <v>0</v>
      </c>
      <c r="Y39" s="15">
        <f t="shared" ca="1" si="63"/>
        <v>0</v>
      </c>
      <c r="Z39" s="15">
        <f t="shared" ca="1" si="63"/>
        <v>0</v>
      </c>
      <c r="AA39" s="15">
        <f t="shared" ca="1" si="63"/>
        <v>0</v>
      </c>
      <c r="AB39" s="15">
        <f t="shared" ca="1" si="63"/>
        <v>0</v>
      </c>
      <c r="AC39" s="15">
        <f t="shared" ca="1" si="63"/>
        <v>0</v>
      </c>
      <c r="AD39" s="15">
        <f t="shared" ca="1" si="63"/>
        <v>0</v>
      </c>
      <c r="AE39" s="5"/>
      <c r="AG39" s="1" t="s">
        <v>171</v>
      </c>
      <c r="AH39" s="37">
        <f t="shared" ca="1" si="59"/>
        <v>0</v>
      </c>
      <c r="AI39" s="37">
        <f t="shared" ca="1" si="53"/>
        <v>0</v>
      </c>
      <c r="AJ39" s="37">
        <f t="shared" ca="1" si="54"/>
        <v>0</v>
      </c>
      <c r="AK39" s="37">
        <f t="shared" ca="1" si="54"/>
        <v>0</v>
      </c>
      <c r="AL39" s="37">
        <f t="shared" ca="1" si="54"/>
        <v>0</v>
      </c>
      <c r="AM39" s="37">
        <f t="shared" ca="1" si="54"/>
        <v>0</v>
      </c>
      <c r="AN39" s="37">
        <f t="shared" ca="1" si="54"/>
        <v>0</v>
      </c>
      <c r="AO39" s="37">
        <f t="shared" ca="1" si="54"/>
        <v>0</v>
      </c>
      <c r="AP39" s="37">
        <f t="shared" ca="1" si="54"/>
        <v>0</v>
      </c>
      <c r="AQ39" s="37">
        <f t="shared" ca="1" si="54"/>
        <v>0</v>
      </c>
      <c r="AR39" s="37">
        <f t="shared" ca="1" si="54"/>
        <v>0</v>
      </c>
      <c r="AS39" s="37">
        <f t="shared" ca="1" si="54"/>
        <v>0</v>
      </c>
      <c r="AT39" s="37">
        <f t="shared" ca="1" si="55"/>
        <v>0</v>
      </c>
      <c r="AU39" s="37">
        <f t="shared" ca="1" si="55"/>
        <v>0</v>
      </c>
      <c r="AV39" s="37">
        <f t="shared" ca="1" si="55"/>
        <v>0</v>
      </c>
      <c r="AW39" s="37">
        <f t="shared" ca="1" si="55"/>
        <v>0</v>
      </c>
      <c r="AX39" s="37">
        <f t="shared" ca="1" si="55"/>
        <v>0</v>
      </c>
      <c r="AY39" s="37">
        <f t="shared" ca="1" si="55"/>
        <v>0</v>
      </c>
      <c r="AZ39" s="37" t="e">
        <f t="shared" ca="1" si="55"/>
        <v>#N/A</v>
      </c>
      <c r="BA39" s="37" t="e">
        <f t="shared" ca="1" si="55"/>
        <v>#N/A</v>
      </c>
      <c r="BB39" s="37" t="e">
        <f t="shared" ca="1" si="55"/>
        <v>#N/A</v>
      </c>
    </row>
    <row r="40" spans="1:54" x14ac:dyDescent="0.25">
      <c r="B40" s="1" t="s">
        <v>116</v>
      </c>
      <c r="C40" s="14">
        <f ca="1">Pill_Base!C40</f>
        <v>0</v>
      </c>
      <c r="D40" s="14">
        <f ca="1">Pill_Base!D40</f>
        <v>0</v>
      </c>
      <c r="E40" s="14">
        <f ca="1">IF('User Settings'!$N$7="On",($D40-$C40)/($D$4-$C$4),0)</f>
        <v>0</v>
      </c>
      <c r="F40" s="14">
        <f ca="1">Pill_Base!F40</f>
        <v>0</v>
      </c>
      <c r="G40" s="1" t="str">
        <f>"Shift_RurQ2"&amp;IF(Dashboard!$Q$4="Yes",$A$1,"")</f>
        <v>Shift_RurQ2</v>
      </c>
      <c r="H40" s="14">
        <f ca="1">Pill_Base!H40*(1-INDIRECT($G40))</f>
        <v>0</v>
      </c>
      <c r="I40" s="14">
        <f t="shared" ca="1" si="60"/>
        <v>0</v>
      </c>
      <c r="J40" s="14">
        <f t="shared" ca="1" si="56"/>
        <v>0</v>
      </c>
      <c r="K40" s="14">
        <f t="shared" ca="1" si="57"/>
        <v>0</v>
      </c>
      <c r="L40" s="15">
        <f t="shared" ref="L40:AD40" ca="1" si="64">MAX(0,MIN(1,K40+$I40))</f>
        <v>0</v>
      </c>
      <c r="M40" s="15">
        <f t="shared" ca="1" si="64"/>
        <v>0</v>
      </c>
      <c r="N40" s="15">
        <f t="shared" ca="1" si="64"/>
        <v>0</v>
      </c>
      <c r="O40" s="15">
        <f t="shared" ca="1" si="64"/>
        <v>0</v>
      </c>
      <c r="P40" s="15">
        <f t="shared" ca="1" si="64"/>
        <v>0</v>
      </c>
      <c r="Q40" s="15">
        <f t="shared" ca="1" si="64"/>
        <v>0</v>
      </c>
      <c r="R40" s="15">
        <f t="shared" ca="1" si="64"/>
        <v>0</v>
      </c>
      <c r="S40" s="15">
        <f t="shared" ca="1" si="64"/>
        <v>0</v>
      </c>
      <c r="T40" s="15">
        <f t="shared" ca="1" si="64"/>
        <v>0</v>
      </c>
      <c r="U40" s="15">
        <f t="shared" ca="1" si="64"/>
        <v>0</v>
      </c>
      <c r="V40" s="15">
        <f t="shared" ca="1" si="64"/>
        <v>0</v>
      </c>
      <c r="W40" s="15">
        <f t="shared" ca="1" si="64"/>
        <v>0</v>
      </c>
      <c r="X40" s="15">
        <f t="shared" ca="1" si="64"/>
        <v>0</v>
      </c>
      <c r="Y40" s="15">
        <f t="shared" ca="1" si="64"/>
        <v>0</v>
      </c>
      <c r="Z40" s="15">
        <f t="shared" ca="1" si="64"/>
        <v>0</v>
      </c>
      <c r="AA40" s="15">
        <f t="shared" ca="1" si="64"/>
        <v>0</v>
      </c>
      <c r="AB40" s="15">
        <f t="shared" ca="1" si="64"/>
        <v>0</v>
      </c>
      <c r="AC40" s="15">
        <f t="shared" ca="1" si="64"/>
        <v>0</v>
      </c>
      <c r="AD40" s="15">
        <f t="shared" ca="1" si="64"/>
        <v>0</v>
      </c>
      <c r="AE40" s="5"/>
      <c r="AG40" s="1" t="s">
        <v>116</v>
      </c>
      <c r="AH40" s="37">
        <f t="shared" ca="1" si="59"/>
        <v>0</v>
      </c>
      <c r="AI40" s="37">
        <f t="shared" ca="1" si="53"/>
        <v>0</v>
      </c>
      <c r="AJ40" s="37">
        <f t="shared" ca="1" si="54"/>
        <v>0</v>
      </c>
      <c r="AK40" s="37">
        <f t="shared" ca="1" si="54"/>
        <v>0</v>
      </c>
      <c r="AL40" s="37">
        <f t="shared" ca="1" si="54"/>
        <v>0</v>
      </c>
      <c r="AM40" s="37">
        <f t="shared" ca="1" si="54"/>
        <v>0</v>
      </c>
      <c r="AN40" s="37">
        <f t="shared" ca="1" si="54"/>
        <v>0</v>
      </c>
      <c r="AO40" s="37">
        <f t="shared" ca="1" si="54"/>
        <v>0</v>
      </c>
      <c r="AP40" s="37">
        <f t="shared" ca="1" si="54"/>
        <v>0</v>
      </c>
      <c r="AQ40" s="37">
        <f t="shared" ca="1" si="54"/>
        <v>0</v>
      </c>
      <c r="AR40" s="37">
        <f t="shared" ca="1" si="54"/>
        <v>0</v>
      </c>
      <c r="AS40" s="37">
        <f t="shared" ca="1" si="54"/>
        <v>0</v>
      </c>
      <c r="AT40" s="37">
        <f t="shared" ca="1" si="55"/>
        <v>0</v>
      </c>
      <c r="AU40" s="37">
        <f t="shared" ca="1" si="55"/>
        <v>0</v>
      </c>
      <c r="AV40" s="37">
        <f t="shared" ca="1" si="55"/>
        <v>0</v>
      </c>
      <c r="AW40" s="37">
        <f t="shared" ca="1" si="55"/>
        <v>0</v>
      </c>
      <c r="AX40" s="37">
        <f t="shared" ca="1" si="55"/>
        <v>0</v>
      </c>
      <c r="AY40" s="37">
        <f t="shared" ca="1" si="55"/>
        <v>0</v>
      </c>
      <c r="AZ40" s="37" t="e">
        <f t="shared" ca="1" si="55"/>
        <v>#N/A</v>
      </c>
      <c r="BA40" s="37" t="e">
        <f t="shared" ca="1" si="55"/>
        <v>#N/A</v>
      </c>
      <c r="BB40" s="37" t="e">
        <f t="shared" ca="1" si="55"/>
        <v>#N/A</v>
      </c>
    </row>
    <row r="41" spans="1:54" x14ac:dyDescent="0.25">
      <c r="C41" s="5">
        <f ca="1">SUM(C35:C40)</f>
        <v>1.61151E-2</v>
      </c>
      <c r="D41" s="5">
        <f ca="1">SUM(D35:D40)</f>
        <v>1.3483999999999999E-2</v>
      </c>
      <c r="E41" s="131"/>
      <c r="F41" s="132">
        <f ca="1">SUM(F35:F40)</f>
        <v>1.2490040000000001E-2</v>
      </c>
      <c r="G41" s="132"/>
      <c r="H41" s="132">
        <f ca="1">Pill_Base!H41</f>
        <v>1.502876E-2</v>
      </c>
      <c r="I41" s="132"/>
      <c r="J41" s="132">
        <f ca="1">SUM(J35:J40)</f>
        <v>1.3016260000000002E-2</v>
      </c>
      <c r="K41" s="132">
        <f ca="1">SUM(K35:K40)</f>
        <v>1.2490040000000001E-2</v>
      </c>
      <c r="L41" s="5">
        <f t="shared" ref="L41:AD41" ca="1" si="65">SUM(L35:L40)</f>
        <v>1.3336280000000001E-2</v>
      </c>
      <c r="M41" s="5">
        <f t="shared" ca="1" si="65"/>
        <v>1.4182520000000001E-2</v>
      </c>
      <c r="N41" s="5">
        <f t="shared" ca="1" si="65"/>
        <v>1.5028759999999999E-2</v>
      </c>
      <c r="O41" s="5">
        <f t="shared" ca="1" si="65"/>
        <v>1.6144719999999998E-2</v>
      </c>
      <c r="P41" s="5">
        <f t="shared" ca="1" si="65"/>
        <v>1.7260679999999997E-2</v>
      </c>
      <c r="Q41" s="5">
        <f t="shared" ca="1" si="65"/>
        <v>1.8376639999999996E-2</v>
      </c>
      <c r="R41" s="5">
        <f t="shared" ca="1" si="65"/>
        <v>1.9492599999999995E-2</v>
      </c>
      <c r="S41" s="5">
        <f t="shared" ca="1" si="65"/>
        <v>2.0608559999999995E-2</v>
      </c>
      <c r="T41" s="5">
        <f t="shared" ca="1" si="65"/>
        <v>2.1724519999999994E-2</v>
      </c>
      <c r="U41" s="5">
        <f t="shared" ca="1" si="65"/>
        <v>2.2840479999999993E-2</v>
      </c>
      <c r="V41" s="5">
        <f t="shared" ca="1" si="65"/>
        <v>2.3956439999999992E-2</v>
      </c>
      <c r="W41" s="5">
        <f t="shared" ca="1" si="65"/>
        <v>2.5072399999999991E-2</v>
      </c>
      <c r="X41" s="5">
        <f t="shared" ca="1" si="65"/>
        <v>2.618835999999999E-2</v>
      </c>
      <c r="Y41" s="5">
        <f t="shared" ca="1" si="65"/>
        <v>2.730431999999999E-2</v>
      </c>
      <c r="Z41" s="5">
        <f t="shared" ca="1" si="65"/>
        <v>2.8420279999999989E-2</v>
      </c>
      <c r="AA41" s="5">
        <f t="shared" ca="1" si="65"/>
        <v>2.9536239999999988E-2</v>
      </c>
      <c r="AB41" s="5">
        <f t="shared" ca="1" si="65"/>
        <v>3.0652199999999987E-2</v>
      </c>
      <c r="AC41" s="5">
        <f t="shared" ca="1" si="65"/>
        <v>3.176815999999999E-2</v>
      </c>
      <c r="AD41" s="5">
        <f t="shared" ca="1" si="65"/>
        <v>3.2884119999999989E-2</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66">IF(K44=Yr_Start,"Start Year",IF(K44=Yr_End,"End Year",""))</f>
        <v>Start Year</v>
      </c>
      <c r="L43" s="205" t="str">
        <f t="shared" si="66"/>
        <v/>
      </c>
      <c r="M43" s="205" t="str">
        <f t="shared" si="66"/>
        <v/>
      </c>
      <c r="N43" s="205" t="str">
        <f t="shared" si="66"/>
        <v>End Year</v>
      </c>
      <c r="O43" s="205" t="str">
        <f t="shared" si="66"/>
        <v/>
      </c>
      <c r="P43" s="205" t="str">
        <f t="shared" si="66"/>
        <v/>
      </c>
      <c r="Q43" s="205" t="str">
        <f t="shared" si="66"/>
        <v/>
      </c>
      <c r="R43" s="205" t="str">
        <f t="shared" si="66"/>
        <v/>
      </c>
      <c r="S43" s="205" t="str">
        <f t="shared" si="66"/>
        <v/>
      </c>
      <c r="T43" s="205" t="str">
        <f t="shared" si="66"/>
        <v/>
      </c>
      <c r="U43" s="205" t="str">
        <f t="shared" si="66"/>
        <v/>
      </c>
      <c r="V43" s="205" t="str">
        <f t="shared" si="66"/>
        <v/>
      </c>
      <c r="W43" s="205" t="str">
        <f t="shared" si="66"/>
        <v/>
      </c>
      <c r="X43" s="205" t="str">
        <f t="shared" si="66"/>
        <v/>
      </c>
      <c r="Y43" s="205" t="str">
        <f t="shared" si="66"/>
        <v/>
      </c>
      <c r="Z43" s="205" t="str">
        <f t="shared" si="66"/>
        <v/>
      </c>
      <c r="AA43" s="205" t="str">
        <f t="shared" si="66"/>
        <v/>
      </c>
      <c r="AB43" s="205" t="str">
        <f t="shared" si="66"/>
        <v/>
      </c>
      <c r="AC43" s="205" t="str">
        <f t="shared" si="66"/>
        <v/>
      </c>
      <c r="AD43" s="205" t="str">
        <f t="shared" si="66"/>
        <v/>
      </c>
      <c r="AE43" s="35"/>
      <c r="AF43" s="6" t="str">
        <f>A43</f>
        <v>Other</v>
      </c>
      <c r="AI43" s="205" t="str">
        <f t="shared" ref="AI43:BB43" si="67">IF(AI44=Yr_Start,"Start Year",IF(AI44=Yr_End,"End Year",""))</f>
        <v>Start Year</v>
      </c>
      <c r="AJ43" s="205" t="str">
        <f t="shared" si="67"/>
        <v/>
      </c>
      <c r="AK43" s="205" t="str">
        <f t="shared" si="67"/>
        <v/>
      </c>
      <c r="AL43" s="205" t="str">
        <f t="shared" si="67"/>
        <v>End Year</v>
      </c>
      <c r="AM43" s="205" t="str">
        <f t="shared" si="67"/>
        <v/>
      </c>
      <c r="AN43" s="205" t="str">
        <f t="shared" si="67"/>
        <v/>
      </c>
      <c r="AO43" s="205" t="str">
        <f t="shared" si="67"/>
        <v/>
      </c>
      <c r="AP43" s="205" t="str">
        <f t="shared" si="67"/>
        <v/>
      </c>
      <c r="AQ43" s="205" t="str">
        <f t="shared" si="67"/>
        <v/>
      </c>
      <c r="AR43" s="205" t="str">
        <f t="shared" si="67"/>
        <v/>
      </c>
      <c r="AS43" s="205" t="str">
        <f t="shared" si="67"/>
        <v/>
      </c>
      <c r="AT43" s="205" t="str">
        <f t="shared" si="67"/>
        <v/>
      </c>
      <c r="AU43" s="205" t="str">
        <f t="shared" si="67"/>
        <v/>
      </c>
      <c r="AV43" s="205" t="str">
        <f t="shared" si="67"/>
        <v/>
      </c>
      <c r="AW43" s="205" t="str">
        <f t="shared" si="67"/>
        <v/>
      </c>
      <c r="AX43" s="205" t="str">
        <f t="shared" si="67"/>
        <v/>
      </c>
      <c r="AY43" s="205" t="str">
        <f t="shared" si="67"/>
        <v/>
      </c>
      <c r="AZ43" s="205" t="str">
        <f t="shared" si="67"/>
        <v/>
      </c>
      <c r="BA43" s="205" t="str">
        <f t="shared" si="67"/>
        <v/>
      </c>
      <c r="BB43" s="205" t="str">
        <f t="shared" si="67"/>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68">L44+1</f>
        <v>2021</v>
      </c>
      <c r="N44" s="130">
        <f t="shared" si="68"/>
        <v>2022</v>
      </c>
      <c r="O44" s="130">
        <f t="shared" si="68"/>
        <v>2023</v>
      </c>
      <c r="P44" s="130">
        <f t="shared" si="68"/>
        <v>2024</v>
      </c>
      <c r="Q44" s="130">
        <f t="shared" si="68"/>
        <v>2025</v>
      </c>
      <c r="R44" s="130">
        <f t="shared" si="68"/>
        <v>2026</v>
      </c>
      <c r="S44" s="130">
        <f t="shared" si="68"/>
        <v>2027</v>
      </c>
      <c r="T44" s="130">
        <f t="shared" si="68"/>
        <v>2028</v>
      </c>
      <c r="U44" s="130">
        <f t="shared" si="68"/>
        <v>2029</v>
      </c>
      <c r="V44" s="130">
        <f t="shared" si="68"/>
        <v>2030</v>
      </c>
      <c r="W44" s="130">
        <f t="shared" si="68"/>
        <v>2031</v>
      </c>
      <c r="X44" s="130">
        <f t="shared" si="68"/>
        <v>2032</v>
      </c>
      <c r="Y44" s="130">
        <f t="shared" si="68"/>
        <v>2033</v>
      </c>
      <c r="Z44" s="130">
        <f t="shared" si="68"/>
        <v>2034</v>
      </c>
      <c r="AA44" s="130">
        <f t="shared" si="68"/>
        <v>2035</v>
      </c>
      <c r="AB44" s="130">
        <f t="shared" si="68"/>
        <v>2036</v>
      </c>
      <c r="AC44" s="130">
        <f t="shared" si="68"/>
        <v>2037</v>
      </c>
      <c r="AD44" s="130">
        <f t="shared" si="68"/>
        <v>2038</v>
      </c>
      <c r="AE44" s="6"/>
      <c r="AF44" s="6" t="str">
        <f>A44</f>
        <v>Urban</v>
      </c>
      <c r="AG44" s="38"/>
      <c r="AH44" s="161">
        <f>AI44-1</f>
        <v>2018</v>
      </c>
      <c r="AI44" s="36">
        <f>Yr_Start</f>
        <v>2019</v>
      </c>
      <c r="AJ44" s="36">
        <f>AI44+1</f>
        <v>2020</v>
      </c>
      <c r="AK44" s="36">
        <f t="shared" ref="AK44:BB44" si="69">AJ44+1</f>
        <v>2021</v>
      </c>
      <c r="AL44" s="36">
        <f t="shared" si="69"/>
        <v>2022</v>
      </c>
      <c r="AM44" s="36">
        <f t="shared" si="69"/>
        <v>2023</v>
      </c>
      <c r="AN44" s="36">
        <f t="shared" si="69"/>
        <v>2024</v>
      </c>
      <c r="AO44" s="36">
        <f t="shared" si="69"/>
        <v>2025</v>
      </c>
      <c r="AP44" s="36">
        <f t="shared" si="69"/>
        <v>2026</v>
      </c>
      <c r="AQ44" s="36">
        <f t="shared" si="69"/>
        <v>2027</v>
      </c>
      <c r="AR44" s="36">
        <f t="shared" si="69"/>
        <v>2028</v>
      </c>
      <c r="AS44" s="36">
        <f t="shared" si="69"/>
        <v>2029</v>
      </c>
      <c r="AT44" s="36">
        <f t="shared" si="69"/>
        <v>2030</v>
      </c>
      <c r="AU44" s="36">
        <f t="shared" si="69"/>
        <v>2031</v>
      </c>
      <c r="AV44" s="36">
        <f t="shared" si="69"/>
        <v>2032</v>
      </c>
      <c r="AW44" s="36">
        <f t="shared" si="69"/>
        <v>2033</v>
      </c>
      <c r="AX44" s="36">
        <f t="shared" si="69"/>
        <v>2034</v>
      </c>
      <c r="AY44" s="36">
        <f t="shared" si="69"/>
        <v>2035</v>
      </c>
      <c r="AZ44" s="36">
        <f t="shared" si="69"/>
        <v>2036</v>
      </c>
      <c r="BA44" s="36">
        <f t="shared" si="69"/>
        <v>2037</v>
      </c>
      <c r="BB44" s="36">
        <f t="shared" si="69"/>
        <v>2038</v>
      </c>
    </row>
    <row r="45" spans="1:54" x14ac:dyDescent="0.25">
      <c r="B45" s="1" t="s">
        <v>52</v>
      </c>
      <c r="C45" s="14">
        <f ca="1">Pill_Base!C45</f>
        <v>1.56975E-2</v>
      </c>
      <c r="D45" s="14">
        <f ca="1">Pill_Base!D45</f>
        <v>5.5031000000000004E-3</v>
      </c>
      <c r="E45" s="14">
        <f ca="1">IF('User Settings'!$N$7="On",($D45-$C45)/($D$4-$C$4),0)</f>
        <v>-2.0388799999999999E-3</v>
      </c>
      <c r="F45" s="14">
        <f ca="1">Pill_Base!F45</f>
        <v>0</v>
      </c>
      <c r="G45" s="14"/>
      <c r="H45" s="14">
        <f ca="1">MAX(0,MIN(1,($D45+$E45*(H$4-$D$4))*$H$1))</f>
        <v>0</v>
      </c>
      <c r="I45" s="14">
        <f ca="1">($H45-$F45)/($H$4-$F$4)</f>
        <v>0</v>
      </c>
      <c r="J45" s="14">
        <f ca="1">K45-E45</f>
        <v>2.0388799999999999E-3</v>
      </c>
      <c r="K45" s="14">
        <f ca="1">MAX(0,MIN(1,D45+(K$4-D$4)*E45))</f>
        <v>0</v>
      </c>
      <c r="L45" s="15">
        <f ca="1">MAX(0,MIN(1,K45+$I45))</f>
        <v>0</v>
      </c>
      <c r="M45" s="15">
        <f t="shared" ref="M45" ca="1" si="70">MAX(0,MIN(1,L45+$I45))</f>
        <v>0</v>
      </c>
      <c r="N45" s="15">
        <f ca="1">MAX(0,MIN(1,M45+$I45))</f>
        <v>0</v>
      </c>
      <c r="O45" s="15">
        <f t="shared" ref="O45:AD45" ca="1" si="71">MAX(0,MIN(1,N45+$I45))</f>
        <v>0</v>
      </c>
      <c r="P45" s="15">
        <f t="shared" ca="1" si="71"/>
        <v>0</v>
      </c>
      <c r="Q45" s="15">
        <f t="shared" ca="1" si="71"/>
        <v>0</v>
      </c>
      <c r="R45" s="15">
        <f t="shared" ca="1" si="71"/>
        <v>0</v>
      </c>
      <c r="S45" s="15">
        <f t="shared" ca="1" si="71"/>
        <v>0</v>
      </c>
      <c r="T45" s="15">
        <f t="shared" ca="1" si="71"/>
        <v>0</v>
      </c>
      <c r="U45" s="15">
        <f t="shared" ca="1" si="71"/>
        <v>0</v>
      </c>
      <c r="V45" s="15">
        <f t="shared" ca="1" si="71"/>
        <v>0</v>
      </c>
      <c r="W45" s="15">
        <f t="shared" ca="1" si="71"/>
        <v>0</v>
      </c>
      <c r="X45" s="15">
        <f t="shared" ca="1" si="71"/>
        <v>0</v>
      </c>
      <c r="Y45" s="15">
        <f t="shared" ca="1" si="71"/>
        <v>0</v>
      </c>
      <c r="Z45" s="15">
        <f t="shared" ca="1" si="71"/>
        <v>0</v>
      </c>
      <c r="AA45" s="15">
        <f t="shared" ca="1" si="71"/>
        <v>0</v>
      </c>
      <c r="AB45" s="15">
        <f t="shared" ca="1" si="71"/>
        <v>0</v>
      </c>
      <c r="AC45" s="15">
        <f t="shared" ca="1" si="71"/>
        <v>0</v>
      </c>
      <c r="AD45" s="15">
        <f t="shared" ca="1" si="71"/>
        <v>0</v>
      </c>
      <c r="AE45" s="5"/>
      <c r="AG45" s="1" t="s">
        <v>52</v>
      </c>
      <c r="AH45" s="37">
        <f ca="1">J45*AH$51</f>
        <v>2989.2624312029288</v>
      </c>
      <c r="AI45" s="37">
        <f t="shared" ref="AI45:AI50" ca="1" si="72">K45*AI$51</f>
        <v>0</v>
      </c>
      <c r="AJ45" s="37">
        <f t="shared" ref="AJ45:AS50" ca="1" si="73">L45*AJ$51</f>
        <v>0</v>
      </c>
      <c r="AK45" s="37">
        <f t="shared" ca="1" si="73"/>
        <v>0</v>
      </c>
      <c r="AL45" s="37">
        <f t="shared" ca="1" si="73"/>
        <v>0</v>
      </c>
      <c r="AM45" s="37">
        <f t="shared" ca="1" si="73"/>
        <v>0</v>
      </c>
      <c r="AN45" s="37">
        <f t="shared" ca="1" si="73"/>
        <v>0</v>
      </c>
      <c r="AO45" s="37">
        <f t="shared" ca="1" si="73"/>
        <v>0</v>
      </c>
      <c r="AP45" s="37">
        <f t="shared" ca="1" si="73"/>
        <v>0</v>
      </c>
      <c r="AQ45" s="37">
        <f t="shared" ca="1" si="73"/>
        <v>0</v>
      </c>
      <c r="AR45" s="37">
        <f t="shared" ca="1" si="73"/>
        <v>0</v>
      </c>
      <c r="AS45" s="37">
        <f t="shared" ca="1" si="73"/>
        <v>0</v>
      </c>
      <c r="AT45" s="37">
        <f t="shared" ref="AT45:BB50" ca="1" si="74">V45*AT$51</f>
        <v>0</v>
      </c>
      <c r="AU45" s="37">
        <f t="shared" ca="1" si="74"/>
        <v>0</v>
      </c>
      <c r="AV45" s="37">
        <f t="shared" ca="1" si="74"/>
        <v>0</v>
      </c>
      <c r="AW45" s="37">
        <f t="shared" ca="1" si="74"/>
        <v>0</v>
      </c>
      <c r="AX45" s="37">
        <f t="shared" ca="1" si="74"/>
        <v>0</v>
      </c>
      <c r="AY45" s="37">
        <f t="shared" ca="1" si="74"/>
        <v>0</v>
      </c>
      <c r="AZ45" s="37" t="e">
        <f t="shared" ca="1" si="74"/>
        <v>#N/A</v>
      </c>
      <c r="BA45" s="37" t="e">
        <f t="shared" ca="1" si="74"/>
        <v>#N/A</v>
      </c>
      <c r="BB45" s="37" t="e">
        <f t="shared" ca="1" si="74"/>
        <v>#N/A</v>
      </c>
    </row>
    <row r="46" spans="1:54" x14ac:dyDescent="0.25">
      <c r="B46" s="1" t="s">
        <v>54</v>
      </c>
      <c r="C46" s="14">
        <f ca="1">Pill_Base!C46</f>
        <v>0</v>
      </c>
      <c r="D46" s="14">
        <f ca="1">Pill_Base!D46</f>
        <v>8.8520000000000005E-4</v>
      </c>
      <c r="E46" s="14">
        <f ca="1">IF('User Settings'!$N$7="On",($D46-$C46)/($D$4-$C$4),0)</f>
        <v>1.7704E-4</v>
      </c>
      <c r="F46" s="14">
        <f ca="1">Pill_Base!F46</f>
        <v>1.41632E-3</v>
      </c>
      <c r="G46" s="14"/>
      <c r="H46" s="14">
        <f t="shared" ref="H46:H50" ca="1" si="75">MAX(0,MIN(1,($D46+$E46*(H$4-$D$4))*$H$1))</f>
        <v>1.9474399999999999E-3</v>
      </c>
      <c r="I46" s="14">
        <f ca="1">($H46-$F46)/($H$4-$F$4)</f>
        <v>1.7703999999999997E-4</v>
      </c>
      <c r="J46" s="14">
        <f t="shared" ref="J46:J50" ca="1" si="76">K46-E46</f>
        <v>1.2392799999999999E-3</v>
      </c>
      <c r="K46" s="14">
        <f t="shared" ref="K46:K50" ca="1" si="77">MAX(0,MIN(1,D46+(K$4-D$4)*E46))</f>
        <v>1.41632E-3</v>
      </c>
      <c r="L46" s="15">
        <f t="shared" ref="L46:AD46" ca="1" si="78">MAX(0,MIN(1,K46+$I46))</f>
        <v>1.59336E-3</v>
      </c>
      <c r="M46" s="15">
        <f t="shared" ca="1" si="78"/>
        <v>1.7704000000000001E-3</v>
      </c>
      <c r="N46" s="15">
        <f t="shared" ca="1" si="78"/>
        <v>1.9474400000000002E-3</v>
      </c>
      <c r="O46" s="15">
        <f t="shared" ca="1" si="78"/>
        <v>2.1244800000000002E-3</v>
      </c>
      <c r="P46" s="15">
        <f t="shared" ca="1" si="78"/>
        <v>2.30152E-3</v>
      </c>
      <c r="Q46" s="15">
        <f t="shared" ca="1" si="78"/>
        <v>2.4785599999999999E-3</v>
      </c>
      <c r="R46" s="15">
        <f t="shared" ca="1" si="78"/>
        <v>2.6555999999999997E-3</v>
      </c>
      <c r="S46" s="15">
        <f t="shared" ca="1" si="78"/>
        <v>2.8326399999999996E-3</v>
      </c>
      <c r="T46" s="15">
        <f t="shared" ca="1" si="78"/>
        <v>3.0096799999999994E-3</v>
      </c>
      <c r="U46" s="15">
        <f t="shared" ca="1" si="78"/>
        <v>3.1867199999999992E-3</v>
      </c>
      <c r="V46" s="15">
        <f t="shared" ca="1" si="78"/>
        <v>3.3637599999999991E-3</v>
      </c>
      <c r="W46" s="15">
        <f t="shared" ca="1" si="78"/>
        <v>3.5407999999999989E-3</v>
      </c>
      <c r="X46" s="15">
        <f t="shared" ca="1" si="78"/>
        <v>3.7178399999999987E-3</v>
      </c>
      <c r="Y46" s="15">
        <f t="shared" ca="1" si="78"/>
        <v>3.8948799999999986E-3</v>
      </c>
      <c r="Z46" s="15">
        <f t="shared" ca="1" si="78"/>
        <v>4.0719199999999988E-3</v>
      </c>
      <c r="AA46" s="15">
        <f t="shared" ca="1" si="78"/>
        <v>4.2489599999999987E-3</v>
      </c>
      <c r="AB46" s="15">
        <f t="shared" ca="1" si="78"/>
        <v>4.4259999999999985E-3</v>
      </c>
      <c r="AC46" s="15">
        <f t="shared" ca="1" si="78"/>
        <v>4.6030399999999983E-3</v>
      </c>
      <c r="AD46" s="15">
        <f t="shared" ca="1" si="78"/>
        <v>4.7800799999999982E-3</v>
      </c>
      <c r="AE46" s="5"/>
      <c r="AG46" s="1" t="s">
        <v>54</v>
      </c>
      <c r="AH46" s="37">
        <f t="shared" ref="AH46:AH50" ca="1" si="79">J46*AH$51</f>
        <v>1816.9451589800112</v>
      </c>
      <c r="AI46" s="37">
        <f t="shared" ca="1" si="72"/>
        <v>2156.3617560425541</v>
      </c>
      <c r="AJ46" s="37">
        <f t="shared" ca="1" si="73"/>
        <v>2518.6438021378531</v>
      </c>
      <c r="AK46" s="37">
        <f t="shared" ca="1" si="73"/>
        <v>2901.1626340249345</v>
      </c>
      <c r="AL46" s="37">
        <f t="shared" ca="1" si="73"/>
        <v>3308.3474529622872</v>
      </c>
      <c r="AM46" s="37">
        <f t="shared" ca="1" si="73"/>
        <v>3740.8841172938032</v>
      </c>
      <c r="AN46" s="37">
        <f t="shared" ca="1" si="73"/>
        <v>4199.2459547085164</v>
      </c>
      <c r="AO46" s="37">
        <f t="shared" ca="1" si="73"/>
        <v>4684.0306037611008</v>
      </c>
      <c r="AP46" s="37">
        <f t="shared" ca="1" si="73"/>
        <v>5192.5051437849952</v>
      </c>
      <c r="AQ46" s="37">
        <f t="shared" ca="1" si="73"/>
        <v>5729.030865473198</v>
      </c>
      <c r="AR46" s="37">
        <f t="shared" ca="1" si="73"/>
        <v>6294.6028952100287</v>
      </c>
      <c r="AS46" s="37">
        <f t="shared" ca="1" si="73"/>
        <v>6890.5301036345336</v>
      </c>
      <c r="AT46" s="37">
        <f t="shared" ca="1" si="74"/>
        <v>7517.9710628988196</v>
      </c>
      <c r="AU46" s="37">
        <f t="shared" ca="1" si="74"/>
        <v>8173.1467994224786</v>
      </c>
      <c r="AV46" s="37">
        <f t="shared" ca="1" si="74"/>
        <v>8861.8869556583923</v>
      </c>
      <c r="AW46" s="37">
        <f t="shared" ca="1" si="74"/>
        <v>9584.7183692402323</v>
      </c>
      <c r="AX46" s="37">
        <f t="shared" ca="1" si="74"/>
        <v>10341.986450441578</v>
      </c>
      <c r="AY46" s="37">
        <f t="shared" ca="1" si="74"/>
        <v>11134.150382114283</v>
      </c>
      <c r="AZ46" s="37" t="e">
        <f t="shared" ca="1" si="74"/>
        <v>#N/A</v>
      </c>
      <c r="BA46" s="37" t="e">
        <f t="shared" ca="1" si="74"/>
        <v>#N/A</v>
      </c>
      <c r="BB46" s="37" t="e">
        <f t="shared" ca="1" si="74"/>
        <v>#N/A</v>
      </c>
    </row>
    <row r="47" spans="1:54" x14ac:dyDescent="0.25">
      <c r="B47" s="1" t="s">
        <v>170</v>
      </c>
      <c r="C47" s="14">
        <f ca="1">Pill_Base!C47</f>
        <v>0</v>
      </c>
      <c r="D47" s="14">
        <f ca="1">Pill_Base!D47</f>
        <v>2.9329999999999997E-4</v>
      </c>
      <c r="E47" s="14">
        <f ca="1">IF('User Settings'!$N$7="On",($D47-$C47)/($D$4-$C$4),0)</f>
        <v>5.8659999999999997E-5</v>
      </c>
      <c r="F47" s="14">
        <f ca="1">Pill_Base!F47</f>
        <v>4.6927999999999998E-4</v>
      </c>
      <c r="G47" s="14"/>
      <c r="H47" s="14">
        <f t="shared" ca="1" si="75"/>
        <v>6.4525999999999993E-4</v>
      </c>
      <c r="I47" s="14">
        <f t="shared" ref="I47:I50" ca="1" si="80">($H47-$F47)/($H$4-$F$4)</f>
        <v>5.8659999999999984E-5</v>
      </c>
      <c r="J47" s="14">
        <f t="shared" ca="1" si="76"/>
        <v>4.1062E-4</v>
      </c>
      <c r="K47" s="14">
        <f t="shared" ca="1" si="77"/>
        <v>4.6927999999999998E-4</v>
      </c>
      <c r="L47" s="15">
        <f t="shared" ref="L47:AD47" ca="1" si="81">MAX(0,MIN(1,K47+$I47))</f>
        <v>5.2793999999999996E-4</v>
      </c>
      <c r="M47" s="15">
        <f t="shared" ca="1" si="81"/>
        <v>5.8659999999999995E-4</v>
      </c>
      <c r="N47" s="15">
        <f t="shared" ca="1" si="81"/>
        <v>6.4525999999999993E-4</v>
      </c>
      <c r="O47" s="15">
        <f t="shared" ca="1" si="81"/>
        <v>7.0391999999999991E-4</v>
      </c>
      <c r="P47" s="15">
        <f t="shared" ca="1" si="81"/>
        <v>7.625799999999999E-4</v>
      </c>
      <c r="Q47" s="15">
        <f t="shared" ca="1" si="81"/>
        <v>8.2123999999999988E-4</v>
      </c>
      <c r="R47" s="15">
        <f t="shared" ca="1" si="81"/>
        <v>8.7989999999999987E-4</v>
      </c>
      <c r="S47" s="15">
        <f t="shared" ca="1" si="81"/>
        <v>9.3855999999999985E-4</v>
      </c>
      <c r="T47" s="15">
        <f t="shared" ca="1" si="81"/>
        <v>9.9721999999999983E-4</v>
      </c>
      <c r="U47" s="15">
        <f t="shared" ca="1" si="81"/>
        <v>1.0558799999999999E-3</v>
      </c>
      <c r="V47" s="15">
        <f t="shared" ca="1" si="81"/>
        <v>1.1145399999999998E-3</v>
      </c>
      <c r="W47" s="15">
        <f t="shared" ca="1" si="81"/>
        <v>1.1731999999999997E-3</v>
      </c>
      <c r="X47" s="15">
        <f t="shared" ca="1" si="81"/>
        <v>1.2318599999999996E-3</v>
      </c>
      <c r="Y47" s="15">
        <f t="shared" ca="1" si="81"/>
        <v>1.2905199999999994E-3</v>
      </c>
      <c r="Z47" s="15">
        <f t="shared" ca="1" si="81"/>
        <v>1.3491799999999993E-3</v>
      </c>
      <c r="AA47" s="15">
        <f t="shared" ca="1" si="81"/>
        <v>1.4078399999999992E-3</v>
      </c>
      <c r="AB47" s="15">
        <f t="shared" ca="1" si="81"/>
        <v>1.4664999999999991E-3</v>
      </c>
      <c r="AC47" s="15">
        <f t="shared" ca="1" si="81"/>
        <v>1.5251599999999989E-3</v>
      </c>
      <c r="AD47" s="15">
        <f t="shared" ca="1" si="81"/>
        <v>1.5838199999999988E-3</v>
      </c>
      <c r="AE47" s="5"/>
      <c r="AG47" s="1" t="s">
        <v>170</v>
      </c>
      <c r="AH47" s="37">
        <f t="shared" ca="1" si="79"/>
        <v>602.0221589797078</v>
      </c>
      <c r="AI47" s="37">
        <f t="shared" ca="1" si="72"/>
        <v>714.48362296348967</v>
      </c>
      <c r="AJ47" s="37">
        <f t="shared" ca="1" si="73"/>
        <v>834.52126882854975</v>
      </c>
      <c r="AK47" s="37">
        <f t="shared" ca="1" si="73"/>
        <v>961.2641217346511</v>
      </c>
      <c r="AL47" s="37">
        <f t="shared" ca="1" si="73"/>
        <v>1096.179742378941</v>
      </c>
      <c r="AM47" s="37">
        <f t="shared" ca="1" si="73"/>
        <v>1239.4953813853053</v>
      </c>
      <c r="AN47" s="37">
        <f t="shared" ca="1" si="73"/>
        <v>1391.367869990971</v>
      </c>
      <c r="AO47" s="37">
        <f t="shared" ca="1" si="73"/>
        <v>1551.9952282909294</v>
      </c>
      <c r="AP47" s="37">
        <f t="shared" ca="1" si="73"/>
        <v>1720.4719370448929</v>
      </c>
      <c r="AQ47" s="37">
        <f t="shared" ca="1" si="73"/>
        <v>1898.2430556295626</v>
      </c>
      <c r="AR47" s="37">
        <f t="shared" ca="1" si="73"/>
        <v>2085.6383067838924</v>
      </c>
      <c r="AS47" s="37">
        <f t="shared" ca="1" si="73"/>
        <v>2283.0913684997845</v>
      </c>
      <c r="AT47" s="37">
        <f t="shared" ca="1" si="74"/>
        <v>2490.9861192365838</v>
      </c>
      <c r="AU47" s="37">
        <f t="shared" ca="1" si="74"/>
        <v>2708.0704431434851</v>
      </c>
      <c r="AV47" s="37">
        <f t="shared" ca="1" si="74"/>
        <v>2936.2759196730754</v>
      </c>
      <c r="AW47" s="37">
        <f t="shared" ca="1" si="74"/>
        <v>3175.7771099165839</v>
      </c>
      <c r="AX47" s="37">
        <f t="shared" ca="1" si="74"/>
        <v>3426.688461268091</v>
      </c>
      <c r="AY47" s="37">
        <f t="shared" ca="1" si="74"/>
        <v>3689.1621182491172</v>
      </c>
      <c r="AZ47" s="37" t="e">
        <f t="shared" ca="1" si="74"/>
        <v>#N/A</v>
      </c>
      <c r="BA47" s="37" t="e">
        <f t="shared" ca="1" si="74"/>
        <v>#N/A</v>
      </c>
      <c r="BB47" s="37" t="e">
        <f t="shared" ca="1" si="74"/>
        <v>#N/A</v>
      </c>
    </row>
    <row r="48" spans="1:54" x14ac:dyDescent="0.25">
      <c r="B48" s="1" t="s">
        <v>59</v>
      </c>
      <c r="C48" s="14">
        <f ca="1">Pill_Base!C48</f>
        <v>2.4985299999999998E-2</v>
      </c>
      <c r="D48" s="14">
        <f ca="1">Pill_Base!D48</f>
        <v>2.0250500000000001E-2</v>
      </c>
      <c r="E48" s="14">
        <f ca="1">IF('User Settings'!$N$7="On",($D48-$C48)/($D$4-$C$4),0)</f>
        <v>-9.4695999999999951E-4</v>
      </c>
      <c r="F48" s="14">
        <f ca="1">Pill_Base!F48</f>
        <v>1.7409620000000001E-2</v>
      </c>
      <c r="G48" s="14"/>
      <c r="H48" s="14">
        <f t="shared" ca="1" si="75"/>
        <v>1.4568740000000004E-2</v>
      </c>
      <c r="I48" s="14">
        <f t="shared" ca="1" si="80"/>
        <v>-9.4695999999999897E-4</v>
      </c>
      <c r="J48" s="14">
        <f t="shared" ca="1" si="76"/>
        <v>1.8356580000000001E-2</v>
      </c>
      <c r="K48" s="14">
        <f t="shared" ca="1" si="77"/>
        <v>1.7409620000000001E-2</v>
      </c>
      <c r="L48" s="15">
        <f t="shared" ref="L48:AD48" ca="1" si="82">MAX(0,MIN(1,K48+$I48))</f>
        <v>1.646266E-2</v>
      </c>
      <c r="M48" s="15">
        <f t="shared" ca="1" si="82"/>
        <v>1.5515700000000002E-2</v>
      </c>
      <c r="N48" s="15">
        <f t="shared" ca="1" si="82"/>
        <v>1.4568740000000004E-2</v>
      </c>
      <c r="O48" s="15">
        <f t="shared" ca="1" si="82"/>
        <v>1.3621780000000005E-2</v>
      </c>
      <c r="P48" s="15">
        <f t="shared" ca="1" si="82"/>
        <v>1.2674820000000007E-2</v>
      </c>
      <c r="Q48" s="15">
        <f t="shared" ca="1" si="82"/>
        <v>1.1727860000000008E-2</v>
      </c>
      <c r="R48" s="15">
        <f t="shared" ca="1" si="82"/>
        <v>1.078090000000001E-2</v>
      </c>
      <c r="S48" s="15">
        <f t="shared" ca="1" si="82"/>
        <v>9.8339400000000115E-3</v>
      </c>
      <c r="T48" s="15">
        <f t="shared" ca="1" si="82"/>
        <v>8.8869800000000131E-3</v>
      </c>
      <c r="U48" s="15">
        <f t="shared" ca="1" si="82"/>
        <v>7.9400200000000146E-3</v>
      </c>
      <c r="V48" s="15">
        <f t="shared" ca="1" si="82"/>
        <v>6.9930600000000153E-3</v>
      </c>
      <c r="W48" s="15">
        <f t="shared" ca="1" si="82"/>
        <v>6.046100000000016E-3</v>
      </c>
      <c r="X48" s="15">
        <f t="shared" ca="1" si="82"/>
        <v>5.0991400000000167E-3</v>
      </c>
      <c r="Y48" s="15">
        <f t="shared" ca="1" si="82"/>
        <v>4.1521800000000175E-3</v>
      </c>
      <c r="Z48" s="15">
        <f t="shared" ca="1" si="82"/>
        <v>3.2052200000000186E-3</v>
      </c>
      <c r="AA48" s="15">
        <f t="shared" ca="1" si="82"/>
        <v>2.2582600000000197E-3</v>
      </c>
      <c r="AB48" s="15">
        <f t="shared" ca="1" si="82"/>
        <v>1.3113000000000209E-3</v>
      </c>
      <c r="AC48" s="15">
        <f t="shared" ca="1" si="82"/>
        <v>3.643400000000219E-4</v>
      </c>
      <c r="AD48" s="15">
        <f t="shared" ca="1" si="82"/>
        <v>0</v>
      </c>
      <c r="AE48" s="5"/>
      <c r="AG48" s="1" t="s">
        <v>59</v>
      </c>
      <c r="AH48" s="37">
        <f t="shared" ca="1" si="79"/>
        <v>26913.126304329369</v>
      </c>
      <c r="AI48" s="37">
        <f t="shared" ca="1" si="72"/>
        <v>26506.325375080189</v>
      </c>
      <c r="AJ48" s="37">
        <f t="shared" ca="1" si="73"/>
        <v>26022.729688019499</v>
      </c>
      <c r="AK48" s="37">
        <f t="shared" ca="1" si="73"/>
        <v>25425.649051480275</v>
      </c>
      <c r="AL48" s="37">
        <f t="shared" ca="1" si="73"/>
        <v>24749.647676883396</v>
      </c>
      <c r="AM48" s="37">
        <f t="shared" ca="1" si="73"/>
        <v>23985.869695770445</v>
      </c>
      <c r="AN48" s="37">
        <f t="shared" ca="1" si="73"/>
        <v>23125.884898527329</v>
      </c>
      <c r="AO48" s="37">
        <f t="shared" ca="1" si="73"/>
        <v>22163.536552121273</v>
      </c>
      <c r="AP48" s="37">
        <f t="shared" ca="1" si="73"/>
        <v>21079.936249673035</v>
      </c>
      <c r="AQ48" s="37">
        <f t="shared" ca="1" si="73"/>
        <v>19889.200812391115</v>
      </c>
      <c r="AR48" s="37">
        <f t="shared" ca="1" si="73"/>
        <v>18586.696937107503</v>
      </c>
      <c r="AS48" s="37">
        <f t="shared" ca="1" si="73"/>
        <v>17168.419827741498</v>
      </c>
      <c r="AT48" s="37">
        <f t="shared" ca="1" si="74"/>
        <v>15629.421457272621</v>
      </c>
      <c r="AU48" s="37">
        <f t="shared" ca="1" si="74"/>
        <v>13956.072882961025</v>
      </c>
      <c r="AV48" s="37">
        <f t="shared" ca="1" si="74"/>
        <v>12154.369809103162</v>
      </c>
      <c r="AW48" s="37">
        <f t="shared" ca="1" si="74"/>
        <v>10217.89526722058</v>
      </c>
      <c r="AX48" s="37">
        <f t="shared" ca="1" si="74"/>
        <v>8140.7153899596642</v>
      </c>
      <c r="AY48" s="37">
        <f t="shared" ca="1" si="74"/>
        <v>5917.6378318255829</v>
      </c>
      <c r="AZ48" s="37" t="e">
        <f t="shared" ca="1" si="74"/>
        <v>#N/A</v>
      </c>
      <c r="BA48" s="37" t="e">
        <f t="shared" ca="1" si="74"/>
        <v>#N/A</v>
      </c>
      <c r="BB48" s="37" t="e">
        <f t="shared" ca="1" si="74"/>
        <v>#N/A</v>
      </c>
    </row>
    <row r="49" spans="1:54" x14ac:dyDescent="0.25">
      <c r="B49" s="1" t="s">
        <v>171</v>
      </c>
      <c r="C49" s="14">
        <f ca="1">Pill_Base!C49</f>
        <v>0</v>
      </c>
      <c r="D49" s="14">
        <f ca="1">Pill_Base!D49</f>
        <v>0</v>
      </c>
      <c r="E49" s="14">
        <f ca="1">IF('User Settings'!$N$7="On",($D49-$C49)/($D$4-$C$4),0)</f>
        <v>0</v>
      </c>
      <c r="F49" s="14">
        <f ca="1">Pill_Base!F49</f>
        <v>0</v>
      </c>
      <c r="G49" s="14"/>
      <c r="H49" s="14">
        <f t="shared" ca="1" si="75"/>
        <v>0</v>
      </c>
      <c r="I49" s="14">
        <f t="shared" ca="1" si="80"/>
        <v>0</v>
      </c>
      <c r="J49" s="14">
        <f t="shared" ca="1" si="76"/>
        <v>0</v>
      </c>
      <c r="K49" s="14">
        <f t="shared" ca="1" si="77"/>
        <v>0</v>
      </c>
      <c r="L49" s="15">
        <f t="shared" ref="L49:AD49" ca="1" si="83">MAX(0,MIN(1,K49+$I49))</f>
        <v>0</v>
      </c>
      <c r="M49" s="15">
        <f t="shared" ca="1" si="83"/>
        <v>0</v>
      </c>
      <c r="N49" s="15">
        <f t="shared" ca="1" si="83"/>
        <v>0</v>
      </c>
      <c r="O49" s="15">
        <f t="shared" ca="1" si="83"/>
        <v>0</v>
      </c>
      <c r="P49" s="15">
        <f t="shared" ca="1" si="83"/>
        <v>0</v>
      </c>
      <c r="Q49" s="15">
        <f t="shared" ca="1" si="83"/>
        <v>0</v>
      </c>
      <c r="R49" s="15">
        <f t="shared" ca="1" si="83"/>
        <v>0</v>
      </c>
      <c r="S49" s="15">
        <f t="shared" ca="1" si="83"/>
        <v>0</v>
      </c>
      <c r="T49" s="15">
        <f t="shared" ca="1" si="83"/>
        <v>0</v>
      </c>
      <c r="U49" s="15">
        <f t="shared" ca="1" si="83"/>
        <v>0</v>
      </c>
      <c r="V49" s="15">
        <f t="shared" ca="1" si="83"/>
        <v>0</v>
      </c>
      <c r="W49" s="15">
        <f t="shared" ca="1" si="83"/>
        <v>0</v>
      </c>
      <c r="X49" s="15">
        <f t="shared" ca="1" si="83"/>
        <v>0</v>
      </c>
      <c r="Y49" s="15">
        <f t="shared" ca="1" si="83"/>
        <v>0</v>
      </c>
      <c r="Z49" s="15">
        <f t="shared" ca="1" si="83"/>
        <v>0</v>
      </c>
      <c r="AA49" s="15">
        <f t="shared" ca="1" si="83"/>
        <v>0</v>
      </c>
      <c r="AB49" s="15">
        <f t="shared" ca="1" si="83"/>
        <v>0</v>
      </c>
      <c r="AC49" s="15">
        <f t="shared" ca="1" si="83"/>
        <v>0</v>
      </c>
      <c r="AD49" s="15">
        <f t="shared" ca="1" si="83"/>
        <v>0</v>
      </c>
      <c r="AE49" s="5"/>
      <c r="AG49" s="1" t="s">
        <v>171</v>
      </c>
      <c r="AH49" s="37">
        <f t="shared" ca="1" si="79"/>
        <v>0</v>
      </c>
      <c r="AI49" s="37">
        <f t="shared" ca="1" si="72"/>
        <v>0</v>
      </c>
      <c r="AJ49" s="37">
        <f t="shared" ca="1" si="73"/>
        <v>0</v>
      </c>
      <c r="AK49" s="37">
        <f t="shared" ca="1" si="73"/>
        <v>0</v>
      </c>
      <c r="AL49" s="37">
        <f t="shared" ca="1" si="73"/>
        <v>0</v>
      </c>
      <c r="AM49" s="37">
        <f t="shared" ca="1" si="73"/>
        <v>0</v>
      </c>
      <c r="AN49" s="37">
        <f t="shared" ca="1" si="73"/>
        <v>0</v>
      </c>
      <c r="AO49" s="37">
        <f t="shared" ca="1" si="73"/>
        <v>0</v>
      </c>
      <c r="AP49" s="37">
        <f t="shared" ca="1" si="73"/>
        <v>0</v>
      </c>
      <c r="AQ49" s="37">
        <f t="shared" ca="1" si="73"/>
        <v>0</v>
      </c>
      <c r="AR49" s="37">
        <f t="shared" ca="1" si="73"/>
        <v>0</v>
      </c>
      <c r="AS49" s="37">
        <f t="shared" ca="1" si="73"/>
        <v>0</v>
      </c>
      <c r="AT49" s="37">
        <f t="shared" ca="1" si="74"/>
        <v>0</v>
      </c>
      <c r="AU49" s="37">
        <f t="shared" ca="1" si="74"/>
        <v>0</v>
      </c>
      <c r="AV49" s="37">
        <f t="shared" ca="1" si="74"/>
        <v>0</v>
      </c>
      <c r="AW49" s="37">
        <f t="shared" ca="1" si="74"/>
        <v>0</v>
      </c>
      <c r="AX49" s="37">
        <f t="shared" ca="1" si="74"/>
        <v>0</v>
      </c>
      <c r="AY49" s="37">
        <f t="shared" ca="1" si="74"/>
        <v>0</v>
      </c>
      <c r="AZ49" s="37" t="e">
        <f t="shared" ca="1" si="74"/>
        <v>#N/A</v>
      </c>
      <c r="BA49" s="37" t="e">
        <f t="shared" ca="1" si="74"/>
        <v>#N/A</v>
      </c>
      <c r="BB49" s="37" t="e">
        <f t="shared" ca="1" si="74"/>
        <v>#N/A</v>
      </c>
    </row>
    <row r="50" spans="1:54" x14ac:dyDescent="0.25">
      <c r="B50" s="1" t="s">
        <v>116</v>
      </c>
      <c r="C50" s="14">
        <f ca="1">Pill_Base!C50</f>
        <v>2.3169999999999999E-4</v>
      </c>
      <c r="D50" s="14">
        <f ca="1">Pill_Base!D50</f>
        <v>0</v>
      </c>
      <c r="E50" s="14">
        <f ca="1">IF('User Settings'!$N$7="On",($D50-$C50)/($D$4-$C$4),0)</f>
        <v>-4.634E-5</v>
      </c>
      <c r="F50" s="14">
        <f ca="1">Pill_Base!F50</f>
        <v>0</v>
      </c>
      <c r="G50" s="14"/>
      <c r="H50" s="14">
        <f t="shared" ca="1" si="75"/>
        <v>0</v>
      </c>
      <c r="I50" s="14">
        <f t="shared" ca="1" si="80"/>
        <v>0</v>
      </c>
      <c r="J50" s="14">
        <f t="shared" ca="1" si="76"/>
        <v>4.634E-5</v>
      </c>
      <c r="K50" s="14">
        <f t="shared" ca="1" si="77"/>
        <v>0</v>
      </c>
      <c r="L50" s="15">
        <f t="shared" ref="L50:AD50" ca="1" si="84">MAX(0,MIN(1,K50+$I50))</f>
        <v>0</v>
      </c>
      <c r="M50" s="15">
        <f t="shared" ca="1" si="84"/>
        <v>0</v>
      </c>
      <c r="N50" s="15">
        <f t="shared" ca="1" si="84"/>
        <v>0</v>
      </c>
      <c r="O50" s="15">
        <f t="shared" ca="1" si="84"/>
        <v>0</v>
      </c>
      <c r="P50" s="15">
        <f t="shared" ca="1" si="84"/>
        <v>0</v>
      </c>
      <c r="Q50" s="15">
        <f t="shared" ca="1" si="84"/>
        <v>0</v>
      </c>
      <c r="R50" s="15">
        <f t="shared" ca="1" si="84"/>
        <v>0</v>
      </c>
      <c r="S50" s="15">
        <f t="shared" ca="1" si="84"/>
        <v>0</v>
      </c>
      <c r="T50" s="15">
        <f t="shared" ca="1" si="84"/>
        <v>0</v>
      </c>
      <c r="U50" s="15">
        <f t="shared" ca="1" si="84"/>
        <v>0</v>
      </c>
      <c r="V50" s="15">
        <f t="shared" ca="1" si="84"/>
        <v>0</v>
      </c>
      <c r="W50" s="15">
        <f t="shared" ca="1" si="84"/>
        <v>0</v>
      </c>
      <c r="X50" s="15">
        <f t="shared" ca="1" si="84"/>
        <v>0</v>
      </c>
      <c r="Y50" s="15">
        <f t="shared" ca="1" si="84"/>
        <v>0</v>
      </c>
      <c r="Z50" s="15">
        <f t="shared" ca="1" si="84"/>
        <v>0</v>
      </c>
      <c r="AA50" s="15">
        <f t="shared" ca="1" si="84"/>
        <v>0</v>
      </c>
      <c r="AB50" s="15">
        <f t="shared" ca="1" si="84"/>
        <v>0</v>
      </c>
      <c r="AC50" s="15">
        <f t="shared" ca="1" si="84"/>
        <v>0</v>
      </c>
      <c r="AD50" s="15">
        <f t="shared" ca="1" si="84"/>
        <v>0</v>
      </c>
      <c r="AE50" s="5"/>
      <c r="AG50" s="1" t="s">
        <v>116</v>
      </c>
      <c r="AH50" s="37">
        <f t="shared" ca="1" si="79"/>
        <v>67.940448217621309</v>
      </c>
      <c r="AI50" s="37">
        <f t="shared" ca="1" si="72"/>
        <v>0</v>
      </c>
      <c r="AJ50" s="37">
        <f t="shared" ca="1" si="73"/>
        <v>0</v>
      </c>
      <c r="AK50" s="37">
        <f t="shared" ca="1" si="73"/>
        <v>0</v>
      </c>
      <c r="AL50" s="37">
        <f t="shared" ca="1" si="73"/>
        <v>0</v>
      </c>
      <c r="AM50" s="37">
        <f t="shared" ca="1" si="73"/>
        <v>0</v>
      </c>
      <c r="AN50" s="37">
        <f t="shared" ca="1" si="73"/>
        <v>0</v>
      </c>
      <c r="AO50" s="37">
        <f t="shared" ca="1" si="73"/>
        <v>0</v>
      </c>
      <c r="AP50" s="37">
        <f t="shared" ca="1" si="73"/>
        <v>0</v>
      </c>
      <c r="AQ50" s="37">
        <f t="shared" ca="1" si="73"/>
        <v>0</v>
      </c>
      <c r="AR50" s="37">
        <f t="shared" ca="1" si="73"/>
        <v>0</v>
      </c>
      <c r="AS50" s="37">
        <f t="shared" ca="1" si="73"/>
        <v>0</v>
      </c>
      <c r="AT50" s="37">
        <f t="shared" ca="1" si="74"/>
        <v>0</v>
      </c>
      <c r="AU50" s="37">
        <f t="shared" ca="1" si="74"/>
        <v>0</v>
      </c>
      <c r="AV50" s="37">
        <f t="shared" ca="1" si="74"/>
        <v>0</v>
      </c>
      <c r="AW50" s="37">
        <f t="shared" ca="1" si="74"/>
        <v>0</v>
      </c>
      <c r="AX50" s="37">
        <f t="shared" ca="1" si="74"/>
        <v>0</v>
      </c>
      <c r="AY50" s="37">
        <f t="shared" ca="1" si="74"/>
        <v>0</v>
      </c>
      <c r="AZ50" s="37" t="e">
        <f t="shared" ca="1" si="74"/>
        <v>#N/A</v>
      </c>
      <c r="BA50" s="37" t="e">
        <f t="shared" ca="1" si="74"/>
        <v>#N/A</v>
      </c>
      <c r="BB50" s="37" t="e">
        <f t="shared" ca="1" si="74"/>
        <v>#N/A</v>
      </c>
    </row>
    <row r="51" spans="1:54" x14ac:dyDescent="0.25">
      <c r="D51" s="5">
        <f ca="1">SUM(D45:D50)</f>
        <v>2.69321E-2</v>
      </c>
      <c r="F51" s="132">
        <f ca="1">SUM(F45:F50)</f>
        <v>1.9295220000000002E-2</v>
      </c>
      <c r="G51" s="132"/>
      <c r="H51" s="132">
        <f ca="1">SUM(H45:H50)</f>
        <v>1.7161440000000003E-2</v>
      </c>
      <c r="I51" s="132"/>
      <c r="J51" s="132">
        <f ca="1">SUM(J45:J50)</f>
        <v>2.2091699999999999E-2</v>
      </c>
      <c r="K51" s="132">
        <f ca="1">SUM(K45:K50)</f>
        <v>1.9295220000000002E-2</v>
      </c>
      <c r="L51" s="5">
        <f t="shared" ref="L51:AD51" ca="1" si="85">SUM(L45:L50)</f>
        <v>1.858396E-2</v>
      </c>
      <c r="M51" s="5">
        <f t="shared" ca="1" si="85"/>
        <v>1.7872700000000002E-2</v>
      </c>
      <c r="N51" s="5">
        <f t="shared" ca="1" si="85"/>
        <v>1.7161440000000003E-2</v>
      </c>
      <c r="O51" s="5">
        <f t="shared" ca="1" si="85"/>
        <v>1.6450180000000005E-2</v>
      </c>
      <c r="P51" s="5">
        <f t="shared" ca="1" si="85"/>
        <v>1.5738920000000007E-2</v>
      </c>
      <c r="Q51" s="5">
        <f t="shared" ca="1" si="85"/>
        <v>1.5027660000000009E-2</v>
      </c>
      <c r="R51" s="5">
        <f t="shared" ca="1" si="85"/>
        <v>1.431640000000001E-2</v>
      </c>
      <c r="S51" s="5">
        <f t="shared" ca="1" si="85"/>
        <v>1.360514000000001E-2</v>
      </c>
      <c r="T51" s="5">
        <f t="shared" ca="1" si="85"/>
        <v>1.2893880000000012E-2</v>
      </c>
      <c r="U51" s="5">
        <f t="shared" ca="1" si="85"/>
        <v>1.2182620000000014E-2</v>
      </c>
      <c r="V51" s="5">
        <f t="shared" ca="1" si="85"/>
        <v>1.1471360000000014E-2</v>
      </c>
      <c r="W51" s="5">
        <f t="shared" ca="1" si="85"/>
        <v>1.0760100000000015E-2</v>
      </c>
      <c r="X51" s="5">
        <f t="shared" ca="1" si="85"/>
        <v>1.0048840000000014E-2</v>
      </c>
      <c r="Y51" s="5">
        <f t="shared" ca="1" si="85"/>
        <v>9.3375800000000155E-3</v>
      </c>
      <c r="Z51" s="5">
        <f t="shared" ca="1" si="85"/>
        <v>8.6263200000000172E-3</v>
      </c>
      <c r="AA51" s="5">
        <f t="shared" ca="1" si="85"/>
        <v>7.9150600000000189E-3</v>
      </c>
      <c r="AB51" s="5">
        <f t="shared" ca="1" si="85"/>
        <v>7.2038000000000189E-3</v>
      </c>
      <c r="AC51" s="5">
        <f t="shared" ca="1" si="85"/>
        <v>6.4925400000000189E-3</v>
      </c>
      <c r="AD51" s="5">
        <f t="shared" ca="1" si="85"/>
        <v>6.363899999999997E-3</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86">IF(K54=Yr_Start,"Start Year",IF(K54=Yr_End,"End Year",""))</f>
        <v>Start Year</v>
      </c>
      <c r="L53" s="205" t="str">
        <f t="shared" si="86"/>
        <v/>
      </c>
      <c r="M53" s="205" t="str">
        <f t="shared" si="86"/>
        <v/>
      </c>
      <c r="N53" s="205" t="str">
        <f t="shared" si="86"/>
        <v>End Year</v>
      </c>
      <c r="O53" s="205" t="str">
        <f t="shared" si="86"/>
        <v/>
      </c>
      <c r="P53" s="205" t="str">
        <f t="shared" si="86"/>
        <v/>
      </c>
      <c r="Q53" s="205" t="str">
        <f t="shared" si="86"/>
        <v/>
      </c>
      <c r="R53" s="205" t="str">
        <f t="shared" si="86"/>
        <v/>
      </c>
      <c r="S53" s="205" t="str">
        <f t="shared" si="86"/>
        <v/>
      </c>
      <c r="T53" s="205" t="str">
        <f t="shared" si="86"/>
        <v/>
      </c>
      <c r="U53" s="205" t="str">
        <f t="shared" si="86"/>
        <v/>
      </c>
      <c r="V53" s="205" t="str">
        <f t="shared" si="86"/>
        <v/>
      </c>
      <c r="W53" s="205" t="str">
        <f t="shared" si="86"/>
        <v/>
      </c>
      <c r="X53" s="205" t="str">
        <f t="shared" si="86"/>
        <v/>
      </c>
      <c r="Y53" s="205" t="str">
        <f t="shared" si="86"/>
        <v/>
      </c>
      <c r="Z53" s="205" t="str">
        <f t="shared" si="86"/>
        <v/>
      </c>
      <c r="AA53" s="205" t="str">
        <f t="shared" si="86"/>
        <v/>
      </c>
      <c r="AB53" s="205" t="str">
        <f t="shared" si="86"/>
        <v/>
      </c>
      <c r="AC53" s="205" t="str">
        <f t="shared" si="86"/>
        <v/>
      </c>
      <c r="AD53" s="205" t="str">
        <f t="shared" si="86"/>
        <v/>
      </c>
      <c r="AE53" s="35"/>
      <c r="AF53" s="6" t="str">
        <f>A53</f>
        <v>Other</v>
      </c>
      <c r="AI53" s="205" t="str">
        <f t="shared" ref="AI53:BB53" si="87">IF(AI54=Yr_Start,"Start Year",IF(AI54=Yr_End,"End Year",""))</f>
        <v>Start Year</v>
      </c>
      <c r="AJ53" s="205" t="str">
        <f t="shared" si="87"/>
        <v/>
      </c>
      <c r="AK53" s="205" t="str">
        <f t="shared" si="87"/>
        <v/>
      </c>
      <c r="AL53" s="205" t="str">
        <f t="shared" si="87"/>
        <v>End Year</v>
      </c>
      <c r="AM53" s="205" t="str">
        <f t="shared" si="87"/>
        <v/>
      </c>
      <c r="AN53" s="205" t="str">
        <f t="shared" si="87"/>
        <v/>
      </c>
      <c r="AO53" s="205" t="str">
        <f t="shared" si="87"/>
        <v/>
      </c>
      <c r="AP53" s="205" t="str">
        <f t="shared" si="87"/>
        <v/>
      </c>
      <c r="AQ53" s="205" t="str">
        <f t="shared" si="87"/>
        <v/>
      </c>
      <c r="AR53" s="205" t="str">
        <f t="shared" si="87"/>
        <v/>
      </c>
      <c r="AS53" s="205" t="str">
        <f t="shared" si="87"/>
        <v/>
      </c>
      <c r="AT53" s="205" t="str">
        <f t="shared" si="87"/>
        <v/>
      </c>
      <c r="AU53" s="205" t="str">
        <f t="shared" si="87"/>
        <v/>
      </c>
      <c r="AV53" s="205" t="str">
        <f t="shared" si="87"/>
        <v/>
      </c>
      <c r="AW53" s="205" t="str">
        <f t="shared" si="87"/>
        <v/>
      </c>
      <c r="AX53" s="205" t="str">
        <f t="shared" si="87"/>
        <v/>
      </c>
      <c r="AY53" s="205" t="str">
        <f t="shared" si="87"/>
        <v/>
      </c>
      <c r="AZ53" s="205" t="str">
        <f t="shared" si="87"/>
        <v/>
      </c>
      <c r="BA53" s="205" t="str">
        <f t="shared" si="87"/>
        <v/>
      </c>
      <c r="BB53" s="205" t="str">
        <f t="shared" si="87"/>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88">L54+1</f>
        <v>2021</v>
      </c>
      <c r="N54" s="130">
        <f t="shared" si="88"/>
        <v>2022</v>
      </c>
      <c r="O54" s="130">
        <f t="shared" si="88"/>
        <v>2023</v>
      </c>
      <c r="P54" s="130">
        <f t="shared" si="88"/>
        <v>2024</v>
      </c>
      <c r="Q54" s="130">
        <f t="shared" si="88"/>
        <v>2025</v>
      </c>
      <c r="R54" s="130">
        <f t="shared" si="88"/>
        <v>2026</v>
      </c>
      <c r="S54" s="130">
        <f t="shared" si="88"/>
        <v>2027</v>
      </c>
      <c r="T54" s="130">
        <f t="shared" si="88"/>
        <v>2028</v>
      </c>
      <c r="U54" s="130">
        <f t="shared" si="88"/>
        <v>2029</v>
      </c>
      <c r="V54" s="130">
        <f t="shared" si="88"/>
        <v>2030</v>
      </c>
      <c r="W54" s="130">
        <f t="shared" si="88"/>
        <v>2031</v>
      </c>
      <c r="X54" s="130">
        <f t="shared" si="88"/>
        <v>2032</v>
      </c>
      <c r="Y54" s="130">
        <f t="shared" si="88"/>
        <v>2033</v>
      </c>
      <c r="Z54" s="130">
        <f t="shared" si="88"/>
        <v>2034</v>
      </c>
      <c r="AA54" s="130">
        <f t="shared" si="88"/>
        <v>2035</v>
      </c>
      <c r="AB54" s="130">
        <f t="shared" si="88"/>
        <v>2036</v>
      </c>
      <c r="AC54" s="130">
        <f t="shared" si="88"/>
        <v>2037</v>
      </c>
      <c r="AD54" s="130">
        <f t="shared" si="88"/>
        <v>2038</v>
      </c>
      <c r="AE54" s="6"/>
      <c r="AF54" s="6" t="str">
        <f>A54</f>
        <v>Rural</v>
      </c>
      <c r="AG54" s="38"/>
      <c r="AH54" s="161">
        <f>AI54-1</f>
        <v>2018</v>
      </c>
      <c r="AI54" s="36">
        <f>Yr_Start</f>
        <v>2019</v>
      </c>
      <c r="AJ54" s="36">
        <f>AI54+1</f>
        <v>2020</v>
      </c>
      <c r="AK54" s="36">
        <f t="shared" ref="AK54:BB54" si="89">AJ54+1</f>
        <v>2021</v>
      </c>
      <c r="AL54" s="36">
        <f t="shared" si="89"/>
        <v>2022</v>
      </c>
      <c r="AM54" s="36">
        <f t="shared" si="89"/>
        <v>2023</v>
      </c>
      <c r="AN54" s="36">
        <f t="shared" si="89"/>
        <v>2024</v>
      </c>
      <c r="AO54" s="36">
        <f t="shared" si="89"/>
        <v>2025</v>
      </c>
      <c r="AP54" s="36">
        <f t="shared" si="89"/>
        <v>2026</v>
      </c>
      <c r="AQ54" s="36">
        <f t="shared" si="89"/>
        <v>2027</v>
      </c>
      <c r="AR54" s="36">
        <f t="shared" si="89"/>
        <v>2028</v>
      </c>
      <c r="AS54" s="36">
        <f t="shared" si="89"/>
        <v>2029</v>
      </c>
      <c r="AT54" s="36">
        <f t="shared" si="89"/>
        <v>2030</v>
      </c>
      <c r="AU54" s="36">
        <f t="shared" si="89"/>
        <v>2031</v>
      </c>
      <c r="AV54" s="36">
        <f t="shared" si="89"/>
        <v>2032</v>
      </c>
      <c r="AW54" s="36">
        <f t="shared" si="89"/>
        <v>2033</v>
      </c>
      <c r="AX54" s="36">
        <f t="shared" si="89"/>
        <v>2034</v>
      </c>
      <c r="AY54" s="36">
        <f t="shared" si="89"/>
        <v>2035</v>
      </c>
      <c r="AZ54" s="36">
        <f t="shared" si="89"/>
        <v>2036</v>
      </c>
      <c r="BA54" s="36">
        <f t="shared" si="89"/>
        <v>2037</v>
      </c>
      <c r="BB54" s="36">
        <f t="shared" si="89"/>
        <v>2038</v>
      </c>
    </row>
    <row r="55" spans="1:54" x14ac:dyDescent="0.25">
      <c r="B55" s="1" t="s">
        <v>52</v>
      </c>
      <c r="C55" s="14">
        <f ca="1">Pill_Base!C55</f>
        <v>5.7631000000000002E-3</v>
      </c>
      <c r="D55" s="14">
        <f ca="1">Pill_Base!D55</f>
        <v>2.0022E-3</v>
      </c>
      <c r="E55" s="14">
        <f ca="1">IF('User Settings'!$N$7="On",($D55-$C55)/($D$4-$C$4),0)</f>
        <v>-7.5218000000000008E-4</v>
      </c>
      <c r="F55" s="14">
        <f ca="1">Pill_Base!F55</f>
        <v>0</v>
      </c>
      <c r="G55" s="14"/>
      <c r="H55" s="14">
        <f ca="1">MAX(0,MIN(1,($D55+$E55*(H$4-$D$4))*$H$1))</f>
        <v>0</v>
      </c>
      <c r="I55" s="14">
        <f ca="1">($H55-$F55)/($H$4-$F$4)</f>
        <v>0</v>
      </c>
      <c r="J55" s="14">
        <f ca="1">K55-E55</f>
        <v>7.5218000000000008E-4</v>
      </c>
      <c r="K55" s="14">
        <f ca="1">MAX(0,MIN(1,D55+(K$4-D$4)*E55))</f>
        <v>0</v>
      </c>
      <c r="L55" s="15">
        <f ca="1">MAX(0,MIN(1,K55+$I55))</f>
        <v>0</v>
      </c>
      <c r="M55" s="15">
        <f t="shared" ref="M55" ca="1" si="90">MAX(0,MIN(1,L55+$I55))</f>
        <v>0</v>
      </c>
      <c r="N55" s="15">
        <f ca="1">MAX(0,MIN(1,M55+$I55))</f>
        <v>0</v>
      </c>
      <c r="O55" s="15">
        <f t="shared" ref="O55:AD55" ca="1" si="91">MAX(0,MIN(1,N55+$I55))</f>
        <v>0</v>
      </c>
      <c r="P55" s="15">
        <f t="shared" ca="1" si="91"/>
        <v>0</v>
      </c>
      <c r="Q55" s="15">
        <f t="shared" ca="1" si="91"/>
        <v>0</v>
      </c>
      <c r="R55" s="15">
        <f t="shared" ca="1" si="91"/>
        <v>0</v>
      </c>
      <c r="S55" s="15">
        <f t="shared" ca="1" si="91"/>
        <v>0</v>
      </c>
      <c r="T55" s="15">
        <f t="shared" ca="1" si="91"/>
        <v>0</v>
      </c>
      <c r="U55" s="15">
        <f t="shared" ca="1" si="91"/>
        <v>0</v>
      </c>
      <c r="V55" s="15">
        <f t="shared" ca="1" si="91"/>
        <v>0</v>
      </c>
      <c r="W55" s="15">
        <f t="shared" ca="1" si="91"/>
        <v>0</v>
      </c>
      <c r="X55" s="15">
        <f t="shared" ca="1" si="91"/>
        <v>0</v>
      </c>
      <c r="Y55" s="15">
        <f t="shared" ca="1" si="91"/>
        <v>0</v>
      </c>
      <c r="Z55" s="15">
        <f t="shared" ca="1" si="91"/>
        <v>0</v>
      </c>
      <c r="AA55" s="15">
        <f t="shared" ca="1" si="91"/>
        <v>0</v>
      </c>
      <c r="AB55" s="15">
        <f t="shared" ca="1" si="91"/>
        <v>0</v>
      </c>
      <c r="AC55" s="15">
        <f t="shared" ca="1" si="91"/>
        <v>0</v>
      </c>
      <c r="AD55" s="15">
        <f t="shared" ca="1" si="91"/>
        <v>0</v>
      </c>
      <c r="AE55" s="5"/>
      <c r="AG55" s="1" t="s">
        <v>52</v>
      </c>
      <c r="AH55" s="37">
        <f ca="1">J55*AH$61</f>
        <v>3199.1900179781273</v>
      </c>
      <c r="AI55" s="37">
        <f t="shared" ref="AI55:AI60" ca="1" si="92">K55*AI$61</f>
        <v>0</v>
      </c>
      <c r="AJ55" s="37">
        <f t="shared" ref="AJ55:AS60" ca="1" si="93">L55*AJ$61</f>
        <v>0</v>
      </c>
      <c r="AK55" s="37">
        <f t="shared" ca="1" si="93"/>
        <v>0</v>
      </c>
      <c r="AL55" s="37">
        <f t="shared" ca="1" si="93"/>
        <v>0</v>
      </c>
      <c r="AM55" s="37">
        <f t="shared" ca="1" si="93"/>
        <v>0</v>
      </c>
      <c r="AN55" s="37">
        <f t="shared" ca="1" si="93"/>
        <v>0</v>
      </c>
      <c r="AO55" s="37">
        <f t="shared" ca="1" si="93"/>
        <v>0</v>
      </c>
      <c r="AP55" s="37">
        <f t="shared" ca="1" si="93"/>
        <v>0</v>
      </c>
      <c r="AQ55" s="37">
        <f t="shared" ca="1" si="93"/>
        <v>0</v>
      </c>
      <c r="AR55" s="37">
        <f t="shared" ca="1" si="93"/>
        <v>0</v>
      </c>
      <c r="AS55" s="37">
        <f t="shared" ca="1" si="93"/>
        <v>0</v>
      </c>
      <c r="AT55" s="37">
        <f t="shared" ref="AT55:BB60" ca="1" si="94">V55*AT$61</f>
        <v>0</v>
      </c>
      <c r="AU55" s="37">
        <f t="shared" ca="1" si="94"/>
        <v>0</v>
      </c>
      <c r="AV55" s="37">
        <f t="shared" ca="1" si="94"/>
        <v>0</v>
      </c>
      <c r="AW55" s="37">
        <f t="shared" ca="1" si="94"/>
        <v>0</v>
      </c>
      <c r="AX55" s="37">
        <f t="shared" ca="1" si="94"/>
        <v>0</v>
      </c>
      <c r="AY55" s="37">
        <f t="shared" ca="1" si="94"/>
        <v>0</v>
      </c>
      <c r="AZ55" s="37" t="e">
        <f t="shared" ca="1" si="94"/>
        <v>#N/A</v>
      </c>
      <c r="BA55" s="37" t="e">
        <f t="shared" ca="1" si="94"/>
        <v>#N/A</v>
      </c>
      <c r="BB55" s="37" t="e">
        <f t="shared" ca="1" si="94"/>
        <v>#N/A</v>
      </c>
    </row>
    <row r="56" spans="1:54" x14ac:dyDescent="0.25">
      <c r="B56" s="1" t="s">
        <v>54</v>
      </c>
      <c r="C56" s="14">
        <f ca="1">Pill_Base!C56</f>
        <v>0</v>
      </c>
      <c r="D56" s="14">
        <f ca="1">Pill_Base!D56</f>
        <v>0</v>
      </c>
      <c r="E56" s="14">
        <f ca="1">IF('User Settings'!$N$7="On",($D56-$C56)/($D$4-$C$4),0)</f>
        <v>0</v>
      </c>
      <c r="F56" s="14">
        <f ca="1">Pill_Base!F56</f>
        <v>0</v>
      </c>
      <c r="G56" s="14"/>
      <c r="H56" s="14">
        <f t="shared" ref="H56:H60" ca="1" si="95">MAX(0,MIN(1,($D56+$E56*(H$4-$D$4))*$H$1))</f>
        <v>0</v>
      </c>
      <c r="I56" s="14">
        <f ca="1">($H56-$F56)/($H$4-$F$4)</f>
        <v>0</v>
      </c>
      <c r="J56" s="14">
        <f t="shared" ref="J56:J60" ca="1" si="96">K56-E56</f>
        <v>0</v>
      </c>
      <c r="K56" s="14">
        <f t="shared" ref="K56:K60" ca="1" si="97">MAX(0,MIN(1,D56+(K$4-D$4)*E56))</f>
        <v>0</v>
      </c>
      <c r="L56" s="15">
        <f t="shared" ref="L56:AD56" ca="1" si="98">MAX(0,MIN(1,K56+$I56))</f>
        <v>0</v>
      </c>
      <c r="M56" s="15">
        <f t="shared" ca="1" si="98"/>
        <v>0</v>
      </c>
      <c r="N56" s="15">
        <f t="shared" ca="1" si="98"/>
        <v>0</v>
      </c>
      <c r="O56" s="15">
        <f t="shared" ca="1" si="98"/>
        <v>0</v>
      </c>
      <c r="P56" s="15">
        <f t="shared" ca="1" si="98"/>
        <v>0</v>
      </c>
      <c r="Q56" s="15">
        <f t="shared" ca="1" si="98"/>
        <v>0</v>
      </c>
      <c r="R56" s="15">
        <f t="shared" ca="1" si="98"/>
        <v>0</v>
      </c>
      <c r="S56" s="15">
        <f t="shared" ca="1" si="98"/>
        <v>0</v>
      </c>
      <c r="T56" s="15">
        <f t="shared" ca="1" si="98"/>
        <v>0</v>
      </c>
      <c r="U56" s="15">
        <f t="shared" ca="1" si="98"/>
        <v>0</v>
      </c>
      <c r="V56" s="15">
        <f t="shared" ca="1" si="98"/>
        <v>0</v>
      </c>
      <c r="W56" s="15">
        <f t="shared" ca="1" si="98"/>
        <v>0</v>
      </c>
      <c r="X56" s="15">
        <f t="shared" ca="1" si="98"/>
        <v>0</v>
      </c>
      <c r="Y56" s="15">
        <f t="shared" ca="1" si="98"/>
        <v>0</v>
      </c>
      <c r="Z56" s="15">
        <f t="shared" ca="1" si="98"/>
        <v>0</v>
      </c>
      <c r="AA56" s="15">
        <f t="shared" ca="1" si="98"/>
        <v>0</v>
      </c>
      <c r="AB56" s="15">
        <f t="shared" ca="1" si="98"/>
        <v>0</v>
      </c>
      <c r="AC56" s="15">
        <f t="shared" ca="1" si="98"/>
        <v>0</v>
      </c>
      <c r="AD56" s="15">
        <f t="shared" ca="1" si="98"/>
        <v>0</v>
      </c>
      <c r="AE56" s="5"/>
      <c r="AG56" s="1" t="s">
        <v>54</v>
      </c>
      <c r="AH56" s="37">
        <f t="shared" ref="AH56:AH60" ca="1" si="99">J56*AH$61</f>
        <v>0</v>
      </c>
      <c r="AI56" s="37">
        <f t="shared" ca="1" si="92"/>
        <v>0</v>
      </c>
      <c r="AJ56" s="37">
        <f t="shared" ca="1" si="93"/>
        <v>0</v>
      </c>
      <c r="AK56" s="37">
        <f t="shared" ca="1" si="93"/>
        <v>0</v>
      </c>
      <c r="AL56" s="37">
        <f t="shared" ca="1" si="93"/>
        <v>0</v>
      </c>
      <c r="AM56" s="37">
        <f t="shared" ca="1" si="93"/>
        <v>0</v>
      </c>
      <c r="AN56" s="37">
        <f t="shared" ca="1" si="93"/>
        <v>0</v>
      </c>
      <c r="AO56" s="37">
        <f t="shared" ca="1" si="93"/>
        <v>0</v>
      </c>
      <c r="AP56" s="37">
        <f t="shared" ca="1" si="93"/>
        <v>0</v>
      </c>
      <c r="AQ56" s="37">
        <f t="shared" ca="1" si="93"/>
        <v>0</v>
      </c>
      <c r="AR56" s="37">
        <f t="shared" ca="1" si="93"/>
        <v>0</v>
      </c>
      <c r="AS56" s="37">
        <f t="shared" ca="1" si="93"/>
        <v>0</v>
      </c>
      <c r="AT56" s="37">
        <f t="shared" ca="1" si="94"/>
        <v>0</v>
      </c>
      <c r="AU56" s="37">
        <f t="shared" ca="1" si="94"/>
        <v>0</v>
      </c>
      <c r="AV56" s="37">
        <f t="shared" ca="1" si="94"/>
        <v>0</v>
      </c>
      <c r="AW56" s="37">
        <f t="shared" ca="1" si="94"/>
        <v>0</v>
      </c>
      <c r="AX56" s="37">
        <f t="shared" ca="1" si="94"/>
        <v>0</v>
      </c>
      <c r="AY56" s="37">
        <f t="shared" ca="1" si="94"/>
        <v>0</v>
      </c>
      <c r="AZ56" s="37" t="e">
        <f t="shared" ca="1" si="94"/>
        <v>#N/A</v>
      </c>
      <c r="BA56" s="37" t="e">
        <f t="shared" ca="1" si="94"/>
        <v>#N/A</v>
      </c>
      <c r="BB56" s="37" t="e">
        <f t="shared" ca="1" si="94"/>
        <v>#N/A</v>
      </c>
    </row>
    <row r="57" spans="1:54" x14ac:dyDescent="0.25">
      <c r="B57" s="1" t="s">
        <v>170</v>
      </c>
      <c r="C57" s="14">
        <f ca="1">Pill_Base!C57</f>
        <v>0</v>
      </c>
      <c r="D57" s="14">
        <f ca="1">Pill_Base!D57</f>
        <v>0</v>
      </c>
      <c r="E57" s="14">
        <f ca="1">IF('User Settings'!$N$7="On",($D57-$C57)/($D$4-$C$4),0)</f>
        <v>0</v>
      </c>
      <c r="F57" s="14">
        <f ca="1">Pill_Base!F57</f>
        <v>0</v>
      </c>
      <c r="G57" s="14"/>
      <c r="H57" s="14">
        <f t="shared" ca="1" si="95"/>
        <v>0</v>
      </c>
      <c r="I57" s="14">
        <f t="shared" ref="I57:I60" ca="1" si="100">($H57-$F57)/($H$4-$F$4)</f>
        <v>0</v>
      </c>
      <c r="J57" s="14">
        <f t="shared" ca="1" si="96"/>
        <v>0</v>
      </c>
      <c r="K57" s="14">
        <f t="shared" ca="1" si="97"/>
        <v>0</v>
      </c>
      <c r="L57" s="15">
        <f t="shared" ref="L57:AD57" ca="1" si="101">MAX(0,MIN(1,K57+$I57))</f>
        <v>0</v>
      </c>
      <c r="M57" s="15">
        <f t="shared" ca="1" si="101"/>
        <v>0</v>
      </c>
      <c r="N57" s="15">
        <f t="shared" ca="1" si="101"/>
        <v>0</v>
      </c>
      <c r="O57" s="15">
        <f t="shared" ca="1" si="101"/>
        <v>0</v>
      </c>
      <c r="P57" s="15">
        <f t="shared" ca="1" si="101"/>
        <v>0</v>
      </c>
      <c r="Q57" s="15">
        <f t="shared" ca="1" si="101"/>
        <v>0</v>
      </c>
      <c r="R57" s="15">
        <f t="shared" ca="1" si="101"/>
        <v>0</v>
      </c>
      <c r="S57" s="15">
        <f t="shared" ca="1" si="101"/>
        <v>0</v>
      </c>
      <c r="T57" s="15">
        <f t="shared" ca="1" si="101"/>
        <v>0</v>
      </c>
      <c r="U57" s="15">
        <f t="shared" ca="1" si="101"/>
        <v>0</v>
      </c>
      <c r="V57" s="15">
        <f t="shared" ca="1" si="101"/>
        <v>0</v>
      </c>
      <c r="W57" s="15">
        <f t="shared" ca="1" si="101"/>
        <v>0</v>
      </c>
      <c r="X57" s="15">
        <f t="shared" ca="1" si="101"/>
        <v>0</v>
      </c>
      <c r="Y57" s="15">
        <f t="shared" ca="1" si="101"/>
        <v>0</v>
      </c>
      <c r="Z57" s="15">
        <f t="shared" ca="1" si="101"/>
        <v>0</v>
      </c>
      <c r="AA57" s="15">
        <f t="shared" ca="1" si="101"/>
        <v>0</v>
      </c>
      <c r="AB57" s="15">
        <f t="shared" ca="1" si="101"/>
        <v>0</v>
      </c>
      <c r="AC57" s="15">
        <f t="shared" ca="1" si="101"/>
        <v>0</v>
      </c>
      <c r="AD57" s="15">
        <f t="shared" ca="1" si="101"/>
        <v>0</v>
      </c>
      <c r="AE57" s="5"/>
      <c r="AG57" s="1" t="s">
        <v>170</v>
      </c>
      <c r="AH57" s="37">
        <f t="shared" ca="1" si="99"/>
        <v>0</v>
      </c>
      <c r="AI57" s="37">
        <f t="shared" ca="1" si="92"/>
        <v>0</v>
      </c>
      <c r="AJ57" s="37">
        <f t="shared" ca="1" si="93"/>
        <v>0</v>
      </c>
      <c r="AK57" s="37">
        <f t="shared" ca="1" si="93"/>
        <v>0</v>
      </c>
      <c r="AL57" s="37">
        <f t="shared" ca="1" si="93"/>
        <v>0</v>
      </c>
      <c r="AM57" s="37">
        <f t="shared" ca="1" si="93"/>
        <v>0</v>
      </c>
      <c r="AN57" s="37">
        <f t="shared" ca="1" si="93"/>
        <v>0</v>
      </c>
      <c r="AO57" s="37">
        <f t="shared" ca="1" si="93"/>
        <v>0</v>
      </c>
      <c r="AP57" s="37">
        <f t="shared" ca="1" si="93"/>
        <v>0</v>
      </c>
      <c r="AQ57" s="37">
        <f t="shared" ca="1" si="93"/>
        <v>0</v>
      </c>
      <c r="AR57" s="37">
        <f t="shared" ca="1" si="93"/>
        <v>0</v>
      </c>
      <c r="AS57" s="37">
        <f t="shared" ca="1" si="93"/>
        <v>0</v>
      </c>
      <c r="AT57" s="37">
        <f t="shared" ca="1" si="94"/>
        <v>0</v>
      </c>
      <c r="AU57" s="37">
        <f t="shared" ca="1" si="94"/>
        <v>0</v>
      </c>
      <c r="AV57" s="37">
        <f t="shared" ca="1" si="94"/>
        <v>0</v>
      </c>
      <c r="AW57" s="37">
        <f t="shared" ca="1" si="94"/>
        <v>0</v>
      </c>
      <c r="AX57" s="37">
        <f t="shared" ca="1" si="94"/>
        <v>0</v>
      </c>
      <c r="AY57" s="37">
        <f t="shared" ca="1" si="94"/>
        <v>0</v>
      </c>
      <c r="AZ57" s="37" t="e">
        <f t="shared" ca="1" si="94"/>
        <v>#N/A</v>
      </c>
      <c r="BA57" s="37" t="e">
        <f t="shared" ca="1" si="94"/>
        <v>#N/A</v>
      </c>
      <c r="BB57" s="37" t="e">
        <f t="shared" ca="1" si="94"/>
        <v>#N/A</v>
      </c>
    </row>
    <row r="58" spans="1:54" x14ac:dyDescent="0.25">
      <c r="B58" s="1" t="s">
        <v>59</v>
      </c>
      <c r="C58" s="14">
        <f ca="1">Pill_Base!C58</f>
        <v>3.8535000000000002E-3</v>
      </c>
      <c r="D58" s="14">
        <f ca="1">Pill_Base!D58</f>
        <v>4.3550999999999998E-3</v>
      </c>
      <c r="E58" s="14">
        <f ca="1">IF('User Settings'!$N$7="On",($D58-$C58)/($D$4-$C$4),0)</f>
        <v>1.0031999999999992E-4</v>
      </c>
      <c r="F58" s="14">
        <f ca="1">Pill_Base!F58</f>
        <v>4.6560599999999992E-3</v>
      </c>
      <c r="G58" s="14"/>
      <c r="H58" s="14">
        <f t="shared" ca="1" si="95"/>
        <v>4.9570199999999995E-3</v>
      </c>
      <c r="I58" s="14">
        <f t="shared" ca="1" si="100"/>
        <v>1.003200000000001E-4</v>
      </c>
      <c r="J58" s="14">
        <f t="shared" ca="1" si="96"/>
        <v>4.5557399999999991E-3</v>
      </c>
      <c r="K58" s="14">
        <f t="shared" ca="1" si="97"/>
        <v>4.6560599999999992E-3</v>
      </c>
      <c r="L58" s="15">
        <f t="shared" ref="L58:AD58" ca="1" si="102">MAX(0,MIN(1,K58+$I58))</f>
        <v>4.7563799999999993E-3</v>
      </c>
      <c r="M58" s="15">
        <f t="shared" ca="1" si="102"/>
        <v>4.8566999999999994E-3</v>
      </c>
      <c r="N58" s="15">
        <f t="shared" ca="1" si="102"/>
        <v>4.9570199999999995E-3</v>
      </c>
      <c r="O58" s="15">
        <f t="shared" ca="1" si="102"/>
        <v>5.0573399999999996E-3</v>
      </c>
      <c r="P58" s="15">
        <f t="shared" ca="1" si="102"/>
        <v>5.1576599999999997E-3</v>
      </c>
      <c r="Q58" s="15">
        <f t="shared" ca="1" si="102"/>
        <v>5.2579799999999998E-3</v>
      </c>
      <c r="R58" s="15">
        <f t="shared" ca="1" si="102"/>
        <v>5.3582999999999999E-3</v>
      </c>
      <c r="S58" s="15">
        <f t="shared" ca="1" si="102"/>
        <v>5.45862E-3</v>
      </c>
      <c r="T58" s="15">
        <f t="shared" ca="1" si="102"/>
        <v>5.5589400000000001E-3</v>
      </c>
      <c r="U58" s="15">
        <f t="shared" ca="1" si="102"/>
        <v>5.6592600000000002E-3</v>
      </c>
      <c r="V58" s="15">
        <f t="shared" ca="1" si="102"/>
        <v>5.7595800000000003E-3</v>
      </c>
      <c r="W58" s="15">
        <f t="shared" ca="1" si="102"/>
        <v>5.8599000000000004E-3</v>
      </c>
      <c r="X58" s="15">
        <f t="shared" ca="1" si="102"/>
        <v>5.9602200000000004E-3</v>
      </c>
      <c r="Y58" s="15">
        <f t="shared" ca="1" si="102"/>
        <v>6.0605400000000005E-3</v>
      </c>
      <c r="Z58" s="15">
        <f t="shared" ca="1" si="102"/>
        <v>6.1608600000000006E-3</v>
      </c>
      <c r="AA58" s="15">
        <f t="shared" ca="1" si="102"/>
        <v>6.2611800000000007E-3</v>
      </c>
      <c r="AB58" s="15">
        <f t="shared" ca="1" si="102"/>
        <v>6.3615000000000008E-3</v>
      </c>
      <c r="AC58" s="15">
        <f t="shared" ca="1" si="102"/>
        <v>6.4618200000000009E-3</v>
      </c>
      <c r="AD58" s="15">
        <f t="shared" ca="1" si="102"/>
        <v>6.562140000000001E-3</v>
      </c>
      <c r="AE58" s="5"/>
      <c r="AG58" s="1" t="s">
        <v>59</v>
      </c>
      <c r="AH58" s="37">
        <f t="shared" ca="1" si="99"/>
        <v>19376.582643122216</v>
      </c>
      <c r="AI58" s="37">
        <f t="shared" ca="1" si="92"/>
        <v>20564.808860690649</v>
      </c>
      <c r="AJ58" s="37">
        <f t="shared" ca="1" si="93"/>
        <v>21810.98414819083</v>
      </c>
      <c r="AK58" s="37">
        <f t="shared" ca="1" si="93"/>
        <v>23088.080518963812</v>
      </c>
      <c r="AL58" s="37">
        <f t="shared" ca="1" si="93"/>
        <v>24429.443590785741</v>
      </c>
      <c r="AM58" s="37">
        <f t="shared" ca="1" si="93"/>
        <v>25833.879895378839</v>
      </c>
      <c r="AN58" s="37">
        <f t="shared" ca="1" si="93"/>
        <v>27299.528419023143</v>
      </c>
      <c r="AO58" s="37">
        <f t="shared" ca="1" si="93"/>
        <v>28826.047197543976</v>
      </c>
      <c r="AP58" s="37">
        <f t="shared" ca="1" si="93"/>
        <v>30393.952251098312</v>
      </c>
      <c r="AQ58" s="37">
        <f t="shared" ca="1" si="93"/>
        <v>32027.166441700836</v>
      </c>
      <c r="AR58" s="37">
        <f t="shared" ca="1" si="93"/>
        <v>33727.634093556764</v>
      </c>
      <c r="AS58" s="37">
        <f t="shared" ca="1" si="93"/>
        <v>35498.847335748505</v>
      </c>
      <c r="AT58" s="37">
        <f t="shared" ca="1" si="94"/>
        <v>37343.269515060121</v>
      </c>
      <c r="AU58" s="37">
        <f t="shared" ca="1" si="94"/>
        <v>39239.54689288581</v>
      </c>
      <c r="AV58" s="37">
        <f t="shared" ca="1" si="94"/>
        <v>41213.896561947833</v>
      </c>
      <c r="AW58" s="37">
        <f t="shared" ca="1" si="94"/>
        <v>43265.574297193067</v>
      </c>
      <c r="AX58" s="37">
        <f t="shared" ca="1" si="94"/>
        <v>45393.319594202927</v>
      </c>
      <c r="AY58" s="37">
        <f t="shared" ca="1" si="94"/>
        <v>47596.663025441521</v>
      </c>
      <c r="AZ58" s="37" t="e">
        <f t="shared" ca="1" si="94"/>
        <v>#N/A</v>
      </c>
      <c r="BA58" s="37" t="e">
        <f t="shared" ca="1" si="94"/>
        <v>#N/A</v>
      </c>
      <c r="BB58" s="37" t="e">
        <f t="shared" ca="1" si="94"/>
        <v>#N/A</v>
      </c>
    </row>
    <row r="59" spans="1:54" x14ac:dyDescent="0.25">
      <c r="B59" s="1" t="s">
        <v>171</v>
      </c>
      <c r="C59" s="14">
        <f ca="1">Pill_Base!C59</f>
        <v>0</v>
      </c>
      <c r="D59" s="14">
        <f ca="1">Pill_Base!D59</f>
        <v>0</v>
      </c>
      <c r="E59" s="14">
        <f ca="1">IF('User Settings'!$N$7="On",($D59-$C59)/($D$4-$C$4),0)</f>
        <v>0</v>
      </c>
      <c r="F59" s="14">
        <f ca="1">Pill_Base!F59</f>
        <v>0</v>
      </c>
      <c r="G59" s="14"/>
      <c r="H59" s="14">
        <f t="shared" ca="1" si="95"/>
        <v>0</v>
      </c>
      <c r="I59" s="14">
        <f t="shared" ca="1" si="100"/>
        <v>0</v>
      </c>
      <c r="J59" s="14">
        <f t="shared" ca="1" si="96"/>
        <v>0</v>
      </c>
      <c r="K59" s="14">
        <f t="shared" ca="1" si="97"/>
        <v>0</v>
      </c>
      <c r="L59" s="15">
        <f t="shared" ref="L59:AD59" ca="1" si="103">MAX(0,MIN(1,K59+$I59))</f>
        <v>0</v>
      </c>
      <c r="M59" s="15">
        <f t="shared" ca="1" si="103"/>
        <v>0</v>
      </c>
      <c r="N59" s="15">
        <f t="shared" ca="1" si="103"/>
        <v>0</v>
      </c>
      <c r="O59" s="15">
        <f t="shared" ca="1" si="103"/>
        <v>0</v>
      </c>
      <c r="P59" s="15">
        <f t="shared" ca="1" si="103"/>
        <v>0</v>
      </c>
      <c r="Q59" s="15">
        <f t="shared" ca="1" si="103"/>
        <v>0</v>
      </c>
      <c r="R59" s="15">
        <f t="shared" ca="1" si="103"/>
        <v>0</v>
      </c>
      <c r="S59" s="15">
        <f t="shared" ca="1" si="103"/>
        <v>0</v>
      </c>
      <c r="T59" s="15">
        <f t="shared" ca="1" si="103"/>
        <v>0</v>
      </c>
      <c r="U59" s="15">
        <f t="shared" ca="1" si="103"/>
        <v>0</v>
      </c>
      <c r="V59" s="15">
        <f t="shared" ca="1" si="103"/>
        <v>0</v>
      </c>
      <c r="W59" s="15">
        <f t="shared" ca="1" si="103"/>
        <v>0</v>
      </c>
      <c r="X59" s="15">
        <f t="shared" ca="1" si="103"/>
        <v>0</v>
      </c>
      <c r="Y59" s="15">
        <f t="shared" ca="1" si="103"/>
        <v>0</v>
      </c>
      <c r="Z59" s="15">
        <f t="shared" ca="1" si="103"/>
        <v>0</v>
      </c>
      <c r="AA59" s="15">
        <f t="shared" ca="1" si="103"/>
        <v>0</v>
      </c>
      <c r="AB59" s="15">
        <f t="shared" ca="1" si="103"/>
        <v>0</v>
      </c>
      <c r="AC59" s="15">
        <f t="shared" ca="1" si="103"/>
        <v>0</v>
      </c>
      <c r="AD59" s="15">
        <f t="shared" ca="1" si="103"/>
        <v>0</v>
      </c>
      <c r="AE59" s="5"/>
      <c r="AG59" s="1" t="s">
        <v>171</v>
      </c>
      <c r="AH59" s="37">
        <f t="shared" ca="1" si="99"/>
        <v>0</v>
      </c>
      <c r="AI59" s="37">
        <f t="shared" ca="1" si="92"/>
        <v>0</v>
      </c>
      <c r="AJ59" s="37">
        <f t="shared" ca="1" si="93"/>
        <v>0</v>
      </c>
      <c r="AK59" s="37">
        <f t="shared" ca="1" si="93"/>
        <v>0</v>
      </c>
      <c r="AL59" s="37">
        <f t="shared" ca="1" si="93"/>
        <v>0</v>
      </c>
      <c r="AM59" s="37">
        <f t="shared" ca="1" si="93"/>
        <v>0</v>
      </c>
      <c r="AN59" s="37">
        <f t="shared" ca="1" si="93"/>
        <v>0</v>
      </c>
      <c r="AO59" s="37">
        <f t="shared" ca="1" si="93"/>
        <v>0</v>
      </c>
      <c r="AP59" s="37">
        <f t="shared" ca="1" si="93"/>
        <v>0</v>
      </c>
      <c r="AQ59" s="37">
        <f t="shared" ca="1" si="93"/>
        <v>0</v>
      </c>
      <c r="AR59" s="37">
        <f t="shared" ca="1" si="93"/>
        <v>0</v>
      </c>
      <c r="AS59" s="37">
        <f t="shared" ca="1" si="93"/>
        <v>0</v>
      </c>
      <c r="AT59" s="37">
        <f t="shared" ca="1" si="94"/>
        <v>0</v>
      </c>
      <c r="AU59" s="37">
        <f t="shared" ca="1" si="94"/>
        <v>0</v>
      </c>
      <c r="AV59" s="37">
        <f t="shared" ca="1" si="94"/>
        <v>0</v>
      </c>
      <c r="AW59" s="37">
        <f t="shared" ca="1" si="94"/>
        <v>0</v>
      </c>
      <c r="AX59" s="37">
        <f t="shared" ca="1" si="94"/>
        <v>0</v>
      </c>
      <c r="AY59" s="37">
        <f t="shared" ca="1" si="94"/>
        <v>0</v>
      </c>
      <c r="AZ59" s="37" t="e">
        <f t="shared" ca="1" si="94"/>
        <v>#N/A</v>
      </c>
      <c r="BA59" s="37" t="e">
        <f t="shared" ca="1" si="94"/>
        <v>#N/A</v>
      </c>
      <c r="BB59" s="37" t="e">
        <f t="shared" ca="1" si="94"/>
        <v>#N/A</v>
      </c>
    </row>
    <row r="60" spans="1:54" x14ac:dyDescent="0.25">
      <c r="B60" s="1" t="s">
        <v>116</v>
      </c>
      <c r="C60" s="14">
        <f ca="1">Pill_Base!C60</f>
        <v>0</v>
      </c>
      <c r="D60" s="14">
        <f ca="1">Pill_Base!D60</f>
        <v>1.08E-4</v>
      </c>
      <c r="E60" s="14">
        <f ca="1">IF('User Settings'!$N$7="On",($D60-$C60)/($D$4-$C$4),0)</f>
        <v>2.16E-5</v>
      </c>
      <c r="F60" s="14">
        <f ca="1">Pill_Base!F60</f>
        <v>1.728E-4</v>
      </c>
      <c r="G60" s="14"/>
      <c r="H60" s="14">
        <f t="shared" ca="1" si="95"/>
        <v>2.376E-4</v>
      </c>
      <c r="I60" s="14">
        <f t="shared" ca="1" si="100"/>
        <v>2.16E-5</v>
      </c>
      <c r="J60" s="14">
        <f t="shared" ca="1" si="96"/>
        <v>1.5119999999999999E-4</v>
      </c>
      <c r="K60" s="14">
        <f t="shared" ca="1" si="97"/>
        <v>1.728E-4</v>
      </c>
      <c r="L60" s="15">
        <f t="shared" ref="L60:AD60" ca="1" si="104">MAX(0,MIN(1,K60+$I60))</f>
        <v>1.9440000000000001E-4</v>
      </c>
      <c r="M60" s="15">
        <f t="shared" ca="1" si="104"/>
        <v>2.1600000000000002E-4</v>
      </c>
      <c r="N60" s="15">
        <f t="shared" ca="1" si="104"/>
        <v>2.3760000000000003E-4</v>
      </c>
      <c r="O60" s="15">
        <f t="shared" ca="1" si="104"/>
        <v>2.5920000000000001E-4</v>
      </c>
      <c r="P60" s="15">
        <f t="shared" ca="1" si="104"/>
        <v>2.8079999999999999E-4</v>
      </c>
      <c r="Q60" s="15">
        <f t="shared" ca="1" si="104"/>
        <v>3.0239999999999998E-4</v>
      </c>
      <c r="R60" s="15">
        <f t="shared" ca="1" si="104"/>
        <v>3.2399999999999996E-4</v>
      </c>
      <c r="S60" s="15">
        <f t="shared" ca="1" si="104"/>
        <v>3.4559999999999994E-4</v>
      </c>
      <c r="T60" s="15">
        <f t="shared" ca="1" si="104"/>
        <v>3.6719999999999993E-4</v>
      </c>
      <c r="U60" s="15">
        <f t="shared" ca="1" si="104"/>
        <v>3.8879999999999991E-4</v>
      </c>
      <c r="V60" s="15">
        <f t="shared" ca="1" si="104"/>
        <v>4.1039999999999989E-4</v>
      </c>
      <c r="W60" s="15">
        <f t="shared" ca="1" si="104"/>
        <v>4.3199999999999988E-4</v>
      </c>
      <c r="X60" s="15">
        <f t="shared" ca="1" si="104"/>
        <v>4.5359999999999986E-4</v>
      </c>
      <c r="Y60" s="15">
        <f t="shared" ca="1" si="104"/>
        <v>4.7519999999999984E-4</v>
      </c>
      <c r="Z60" s="15">
        <f t="shared" ca="1" si="104"/>
        <v>4.9679999999999982E-4</v>
      </c>
      <c r="AA60" s="15">
        <f t="shared" ca="1" si="104"/>
        <v>5.1839999999999981E-4</v>
      </c>
      <c r="AB60" s="15">
        <f t="shared" ca="1" si="104"/>
        <v>5.3999999999999979E-4</v>
      </c>
      <c r="AC60" s="15">
        <f t="shared" ca="1" si="104"/>
        <v>5.6159999999999977E-4</v>
      </c>
      <c r="AD60" s="15">
        <f t="shared" ca="1" si="104"/>
        <v>5.8319999999999976E-4</v>
      </c>
      <c r="AE60" s="5"/>
      <c r="AG60" s="1" t="s">
        <v>116</v>
      </c>
      <c r="AH60" s="37">
        <f t="shared" ca="1" si="99"/>
        <v>643.0874667211209</v>
      </c>
      <c r="AI60" s="37">
        <f t="shared" ca="1" si="92"/>
        <v>763.22018426037141</v>
      </c>
      <c r="AJ60" s="37">
        <f t="shared" ca="1" si="93"/>
        <v>891.44587236686266</v>
      </c>
      <c r="AK60" s="37">
        <f t="shared" ca="1" si="93"/>
        <v>1026.8341450153775</v>
      </c>
      <c r="AL60" s="37">
        <f t="shared" ca="1" si="93"/>
        <v>1170.9526685731937</v>
      </c>
      <c r="AM60" s="37">
        <f t="shared" ca="1" si="93"/>
        <v>1324.0441949487667</v>
      </c>
      <c r="AN60" s="37">
        <f t="shared" ca="1" si="93"/>
        <v>1486.2762531965463</v>
      </c>
      <c r="AO60" s="37">
        <f t="shared" ca="1" si="93"/>
        <v>1657.8603708148944</v>
      </c>
      <c r="AP60" s="37">
        <f t="shared" ca="1" si="93"/>
        <v>1837.8292610260442</v>
      </c>
      <c r="AQ60" s="37">
        <f t="shared" ca="1" si="93"/>
        <v>2027.726554010319</v>
      </c>
      <c r="AR60" s="37">
        <f t="shared" ca="1" si="93"/>
        <v>2227.9044636484728</v>
      </c>
      <c r="AS60" s="37">
        <f t="shared" ca="1" si="93"/>
        <v>2438.8262500996625</v>
      </c>
      <c r="AT60" s="37">
        <f t="shared" ca="1" si="94"/>
        <v>2660.9019770505261</v>
      </c>
      <c r="AU60" s="37">
        <f t="shared" ca="1" si="94"/>
        <v>2892.7941189656249</v>
      </c>
      <c r="AV60" s="37">
        <f t="shared" ca="1" si="94"/>
        <v>3136.5660127477731</v>
      </c>
      <c r="AW60" s="37">
        <f t="shared" ca="1" si="94"/>
        <v>3392.4041266992936</v>
      </c>
      <c r="AX60" s="37">
        <f t="shared" ca="1" si="94"/>
        <v>3660.4307149326564</v>
      </c>
      <c r="AY60" s="37">
        <f t="shared" ca="1" si="94"/>
        <v>3940.8083000950096</v>
      </c>
      <c r="AZ60" s="37" t="e">
        <f t="shared" ca="1" si="94"/>
        <v>#N/A</v>
      </c>
      <c r="BA60" s="37" t="e">
        <f t="shared" ca="1" si="94"/>
        <v>#N/A</v>
      </c>
      <c r="BB60" s="37" t="e">
        <f t="shared" ca="1" si="94"/>
        <v>#N/A</v>
      </c>
    </row>
    <row r="61" spans="1:54" x14ac:dyDescent="0.25">
      <c r="D61" s="5">
        <f ca="1">SUM(D55:D60)</f>
        <v>6.4652999999999993E-3</v>
      </c>
      <c r="F61" s="132">
        <f ca="1">SUM(F55:F60)</f>
        <v>4.8288599999999991E-3</v>
      </c>
      <c r="G61" s="132"/>
      <c r="H61" s="132">
        <f ca="1">SUM(H55:H60)</f>
        <v>5.1946199999999996E-3</v>
      </c>
      <c r="I61" s="132"/>
      <c r="J61" s="132">
        <f ca="1">SUM(J55:J60)</f>
        <v>5.4591199999999987E-3</v>
      </c>
      <c r="K61" s="132">
        <f ca="1">SUM(K55:K60)</f>
        <v>4.8288599999999991E-3</v>
      </c>
      <c r="L61" s="5">
        <f t="shared" ref="L61:AD61" ca="1" si="105">SUM(L55:L60)</f>
        <v>4.9507799999999992E-3</v>
      </c>
      <c r="M61" s="5">
        <f t="shared" ca="1" si="105"/>
        <v>5.0726999999999994E-3</v>
      </c>
      <c r="N61" s="5">
        <f t="shared" ca="1" si="105"/>
        <v>5.1946199999999996E-3</v>
      </c>
      <c r="O61" s="5">
        <f t="shared" ca="1" si="105"/>
        <v>5.3165399999999998E-3</v>
      </c>
      <c r="P61" s="5">
        <f t="shared" ca="1" si="105"/>
        <v>5.43846E-3</v>
      </c>
      <c r="Q61" s="5">
        <f t="shared" ca="1" si="105"/>
        <v>5.5603800000000002E-3</v>
      </c>
      <c r="R61" s="5">
        <f t="shared" ca="1" si="105"/>
        <v>5.6822999999999995E-3</v>
      </c>
      <c r="S61" s="5">
        <f t="shared" ca="1" si="105"/>
        <v>5.8042199999999997E-3</v>
      </c>
      <c r="T61" s="5">
        <f t="shared" ca="1" si="105"/>
        <v>5.9261399999999999E-3</v>
      </c>
      <c r="U61" s="5">
        <f t="shared" ca="1" si="105"/>
        <v>6.0480600000000001E-3</v>
      </c>
      <c r="V61" s="5">
        <f t="shared" ca="1" si="105"/>
        <v>6.1699800000000003E-3</v>
      </c>
      <c r="W61" s="5">
        <f t="shared" ca="1" si="105"/>
        <v>6.2919000000000004E-3</v>
      </c>
      <c r="X61" s="5">
        <f t="shared" ca="1" si="105"/>
        <v>6.4138200000000006E-3</v>
      </c>
      <c r="Y61" s="5">
        <f t="shared" ca="1" si="105"/>
        <v>6.53574E-3</v>
      </c>
      <c r="Z61" s="5">
        <f t="shared" ca="1" si="105"/>
        <v>6.6576600000000001E-3</v>
      </c>
      <c r="AA61" s="5">
        <f t="shared" ca="1" si="105"/>
        <v>6.7795800000000003E-3</v>
      </c>
      <c r="AB61" s="5">
        <f t="shared" ca="1" si="105"/>
        <v>6.9015000000000005E-3</v>
      </c>
      <c r="AC61" s="5">
        <f t="shared" ca="1" si="105"/>
        <v>7.0234200000000007E-3</v>
      </c>
      <c r="AD61" s="5">
        <f t="shared" ca="1" si="105"/>
        <v>7.1453400000000009E-3</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106">AJ66+1</f>
        <v>2021</v>
      </c>
      <c r="AL66" s="36">
        <f t="shared" si="106"/>
        <v>2022</v>
      </c>
      <c r="AM66" s="36">
        <f t="shared" si="106"/>
        <v>2023</v>
      </c>
      <c r="AN66" s="36">
        <f t="shared" si="106"/>
        <v>2024</v>
      </c>
      <c r="AO66" s="36">
        <f t="shared" si="106"/>
        <v>2025</v>
      </c>
      <c r="AP66" s="36">
        <f t="shared" si="106"/>
        <v>2026</v>
      </c>
      <c r="AQ66" s="36">
        <f t="shared" si="106"/>
        <v>2027</v>
      </c>
      <c r="AR66" s="36">
        <f t="shared" si="106"/>
        <v>2028</v>
      </c>
      <c r="AS66" s="36">
        <f t="shared" si="106"/>
        <v>2029</v>
      </c>
      <c r="AT66" s="36">
        <f t="shared" si="106"/>
        <v>2030</v>
      </c>
      <c r="AU66" s="36">
        <f t="shared" si="106"/>
        <v>2031</v>
      </c>
      <c r="AV66" s="36">
        <f t="shared" si="106"/>
        <v>2032</v>
      </c>
      <c r="AW66" s="36">
        <f t="shared" si="106"/>
        <v>2033</v>
      </c>
      <c r="AX66" s="36">
        <f t="shared" si="106"/>
        <v>2034</v>
      </c>
      <c r="AY66" s="36">
        <f t="shared" si="106"/>
        <v>2035</v>
      </c>
      <c r="AZ66" s="36">
        <f t="shared" si="106"/>
        <v>2036</v>
      </c>
      <c r="BA66" s="36">
        <f t="shared" si="106"/>
        <v>2037</v>
      </c>
      <c r="BB66" s="36">
        <f t="shared" si="106"/>
        <v>2038</v>
      </c>
    </row>
    <row r="67" spans="1:54" x14ac:dyDescent="0.25">
      <c r="A67"/>
      <c r="AF67"/>
      <c r="AH67" s="128">
        <f>AI67</f>
        <v>0.8</v>
      </c>
      <c r="AI67" s="128">
        <f>1-VLOOKUP($A$1,Dashboard!$U$4:$W$9,2,FALSE)</f>
        <v>0.8</v>
      </c>
      <c r="AJ67" s="128">
        <f>MAX(0,AI67-(VLOOKUP($A$1,Dashboard!$U$4:$W$9,3,FALSE)-VLOOKUP($A$1,Dashboard!$U$4:$W$9,2,FALSE))/(Yr_End-Yr_Start))</f>
        <v>0.70000000000000007</v>
      </c>
      <c r="AK67" s="128">
        <f>MAX(0,AJ67-(VLOOKUP($A$1,Dashboard!$U$4:$W$9,3,FALSE)-VLOOKUP($A$1,Dashboard!$U$4:$W$9,2,FALSE))/(Yr_End-Yr_Start))</f>
        <v>0.60000000000000009</v>
      </c>
      <c r="AL67" s="128">
        <f>MAX(0,AK67-(VLOOKUP($A$1,Dashboard!$U$4:$W$9,3,FALSE)-VLOOKUP($A$1,Dashboard!$U$4:$W$9,2,FALSE))/(Yr_End-Yr_Start))</f>
        <v>0.50000000000000011</v>
      </c>
      <c r="AM67" s="128">
        <f>MAX(0,AL67-(VLOOKUP($A$1,Dashboard!$U$4:$W$9,3,FALSE)-VLOOKUP($A$1,Dashboard!$U$4:$W$9,2,FALSE))/(Yr_End-Yr_Start))</f>
        <v>0.40000000000000013</v>
      </c>
      <c r="AN67" s="128">
        <f>MAX(0,AM67-(VLOOKUP($A$1,Dashboard!$U$4:$W$9,3,FALSE)-VLOOKUP($A$1,Dashboard!$U$4:$W$9,2,FALSE))/(Yr_End-Yr_Start))</f>
        <v>0.30000000000000016</v>
      </c>
      <c r="AO67" s="128">
        <f>MAX(0,AN67-(VLOOKUP($A$1,Dashboard!$U$4:$W$9,3,FALSE)-VLOOKUP($A$1,Dashboard!$U$4:$W$9,2,FALSE))/(Yr_End-Yr_Start))</f>
        <v>0.20000000000000018</v>
      </c>
      <c r="AP67" s="128">
        <f>MAX(0,AO67-(VLOOKUP($A$1,Dashboard!$U$4:$W$9,3,FALSE)-VLOOKUP($A$1,Dashboard!$U$4:$W$9,2,FALSE))/(Yr_End-Yr_Start))</f>
        <v>0.10000000000000019</v>
      </c>
      <c r="AQ67" s="128">
        <f>MAX(0,AP67-(VLOOKUP($A$1,Dashboard!$U$4:$W$9,3,FALSE)-VLOOKUP($A$1,Dashboard!$U$4:$W$9,2,FALSE))/(Yr_End-Yr_Start))</f>
        <v>1.9428902930940239E-16</v>
      </c>
      <c r="AR67" s="128">
        <f>MAX(0,AQ67-(VLOOKUP($A$1,Dashboard!$U$4:$W$9,3,FALSE)-VLOOKUP($A$1,Dashboard!$U$4:$W$9,2,FALSE))/(Yr_End-Yr_Start))</f>
        <v>0</v>
      </c>
      <c r="AS67" s="128">
        <f>MAX(0,AR67-(VLOOKUP($A$1,Dashboard!$U$4:$W$9,3,FALSE)-VLOOKUP($A$1,Dashboard!$U$4:$W$9,2,FALSE))/(Yr_End-Yr_Start))</f>
        <v>0</v>
      </c>
      <c r="AT67" s="128">
        <f>MAX(0,AS67-(VLOOKUP($A$1,Dashboard!$U$4:$W$9,3,FALSE)-VLOOKUP($A$1,Dashboard!$U$4:$W$9,2,FALSE))/(Yr_End-Yr_Start))</f>
        <v>0</v>
      </c>
      <c r="AU67" s="128">
        <f>MAX(0,AT67-(VLOOKUP($A$1,Dashboard!$U$4:$W$9,3,FALSE)-VLOOKUP($A$1,Dashboard!$U$4:$W$9,2,FALSE))/(Yr_End-Yr_Start))</f>
        <v>0</v>
      </c>
      <c r="AV67" s="128">
        <f>MAX(0,AU67-(VLOOKUP($A$1,Dashboard!$U$4:$W$9,3,FALSE)-VLOOKUP($A$1,Dashboard!$U$4:$W$9,2,FALSE))/(Yr_End-Yr_Start))</f>
        <v>0</v>
      </c>
      <c r="AW67" s="128">
        <f>MAX(0,AV67-(VLOOKUP($A$1,Dashboard!$U$4:$W$9,3,FALSE)-VLOOKUP($A$1,Dashboard!$U$4:$W$9,2,FALSE))/(Yr_End-Yr_Start))</f>
        <v>0</v>
      </c>
      <c r="AX67" s="128">
        <f>MAX(0,AW67-(VLOOKUP($A$1,Dashboard!$U$4:$W$9,3,FALSE)-VLOOKUP($A$1,Dashboard!$U$4:$W$9,2,FALSE))/(Yr_End-Yr_Start))</f>
        <v>0</v>
      </c>
      <c r="AY67" s="128">
        <f>MAX(0,AX67-(VLOOKUP($A$1,Dashboard!$U$4:$W$9,3,FALSE)-VLOOKUP($A$1,Dashboard!$U$4:$W$9,2,FALSE))/(Yr_End-Yr_Start))</f>
        <v>0</v>
      </c>
      <c r="AZ67" s="128">
        <f>MAX(0,AY67-(VLOOKUP($A$1,Dashboard!$U$4:$W$9,3,FALSE)-VLOOKUP($A$1,Dashboard!$U$4:$W$9,2,FALSE))/(Yr_End-Yr_Start))</f>
        <v>0</v>
      </c>
      <c r="BA67" s="128">
        <f>MAX(0,AZ67-(VLOOKUP($A$1,Dashboard!$U$4:$W$9,3,FALSE)-VLOOKUP($A$1,Dashboard!$U$4:$W$9,2,FALSE))/(Yr_End-Yr_Start))</f>
        <v>0</v>
      </c>
      <c r="BB67" s="128">
        <f>MAX(0,BA67-(VLOOKUP($A$1,Dashboard!$U$4:$W$9,3,FALSE)-VLOOKUP($A$1,Dashboard!$U$4:$W$9,2,FALSE))/(Yr_End-Yr_Start))</f>
        <v>0</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107">AJ70+1</f>
        <v>2021</v>
      </c>
      <c r="AL70" s="36">
        <f t="shared" si="107"/>
        <v>2022</v>
      </c>
      <c r="AM70" s="36">
        <f t="shared" si="107"/>
        <v>2023</v>
      </c>
      <c r="AN70" s="36">
        <f t="shared" si="107"/>
        <v>2024</v>
      </c>
      <c r="AO70" s="36">
        <f t="shared" si="107"/>
        <v>2025</v>
      </c>
      <c r="AP70" s="36">
        <f t="shared" si="107"/>
        <v>2026</v>
      </c>
      <c r="AQ70" s="36">
        <f t="shared" si="107"/>
        <v>2027</v>
      </c>
      <c r="AR70" s="36">
        <f t="shared" si="107"/>
        <v>2028</v>
      </c>
      <c r="AS70" s="36">
        <f t="shared" si="107"/>
        <v>2029</v>
      </c>
      <c r="AT70" s="36">
        <f t="shared" si="107"/>
        <v>2030</v>
      </c>
      <c r="AU70" s="36">
        <f t="shared" si="107"/>
        <v>2031</v>
      </c>
      <c r="AV70" s="36">
        <f t="shared" si="107"/>
        <v>2032</v>
      </c>
      <c r="AW70" s="36">
        <f t="shared" si="107"/>
        <v>2033</v>
      </c>
      <c r="AX70" s="36">
        <f t="shared" si="107"/>
        <v>2034</v>
      </c>
      <c r="AY70" s="36">
        <f t="shared" si="107"/>
        <v>2035</v>
      </c>
      <c r="AZ70" s="36">
        <f t="shared" si="107"/>
        <v>2036</v>
      </c>
      <c r="BA70" s="36">
        <f t="shared" si="107"/>
        <v>2037</v>
      </c>
      <c r="BB70" s="36">
        <f t="shared" si="107"/>
        <v>2038</v>
      </c>
    </row>
    <row r="71" spans="1:54" x14ac:dyDescent="0.25">
      <c r="A71"/>
      <c r="AF71" s="6" t="s">
        <v>179</v>
      </c>
      <c r="AG71" s="1" t="s">
        <v>52</v>
      </c>
      <c r="AH71" s="37">
        <f ca="1">SUM(AH35,AH25,AH15,AH5)</f>
        <v>9207.4505529153066</v>
      </c>
      <c r="AI71" s="37">
        <f ca="1">SUM(AI35,AI25,AI15,AI5)</f>
        <v>2566.2241513336935</v>
      </c>
      <c r="AJ71" s="37">
        <f t="shared" ref="AJ71:BB71" ca="1" si="108">SUM(AJ35,AJ25,AJ15,AJ5)</f>
        <v>1776.2166532081926</v>
      </c>
      <c r="AK71" s="37">
        <f t="shared" ca="1" si="108"/>
        <v>920.69073877413439</v>
      </c>
      <c r="AL71" s="37">
        <f t="shared" ca="1" si="108"/>
        <v>0</v>
      </c>
      <c r="AM71" s="37">
        <f t="shared" ca="1" si="108"/>
        <v>0</v>
      </c>
      <c r="AN71" s="37">
        <f t="shared" ca="1" si="108"/>
        <v>0</v>
      </c>
      <c r="AO71" s="37">
        <f t="shared" ca="1" si="108"/>
        <v>0</v>
      </c>
      <c r="AP71" s="37">
        <f t="shared" ca="1" si="108"/>
        <v>0</v>
      </c>
      <c r="AQ71" s="37">
        <f t="shared" ca="1" si="108"/>
        <v>0</v>
      </c>
      <c r="AR71" s="37">
        <f t="shared" ca="1" si="108"/>
        <v>0</v>
      </c>
      <c r="AS71" s="37">
        <f ca="1">SUM(AS35,AS25,AS15,AS5)</f>
        <v>0</v>
      </c>
      <c r="AT71" s="37">
        <f t="shared" ca="1" si="108"/>
        <v>0</v>
      </c>
      <c r="AU71" s="37">
        <f t="shared" ca="1" si="108"/>
        <v>0</v>
      </c>
      <c r="AV71" s="37">
        <f t="shared" ca="1" si="108"/>
        <v>0</v>
      </c>
      <c r="AW71" s="37">
        <f t="shared" ca="1" si="108"/>
        <v>0</v>
      </c>
      <c r="AX71" s="37">
        <f t="shared" ca="1" si="108"/>
        <v>0</v>
      </c>
      <c r="AY71" s="37">
        <f t="shared" ca="1" si="108"/>
        <v>0</v>
      </c>
      <c r="AZ71" s="37" t="e">
        <f t="shared" ca="1" si="108"/>
        <v>#N/A</v>
      </c>
      <c r="BA71" s="37" t="e">
        <f t="shared" ca="1" si="108"/>
        <v>#N/A</v>
      </c>
      <c r="BB71" s="37" t="e">
        <f t="shared" ca="1" si="108"/>
        <v>#N/A</v>
      </c>
    </row>
    <row r="72" spans="1:54" x14ac:dyDescent="0.25">
      <c r="B72" s="6"/>
      <c r="AG72" s="1" t="s">
        <v>54</v>
      </c>
      <c r="AH72" s="37">
        <f ca="1">SUM(AH36,AH26,AH16,AH6)+SUM(AH40,AH30,AH20,AH10)</f>
        <v>1223.6760042728047</v>
      </c>
      <c r="AI72" s="37">
        <f ca="1">SUM(AI36,AI26,AI16,AI6)+SUM(AI40,AI30,AI20,AI10)</f>
        <v>0</v>
      </c>
      <c r="AJ72" s="37">
        <f t="shared" ref="AJ72:BB72" ca="1" si="109">SUM(AJ36,AJ26,AJ16,AJ6)+SUM(AJ40,AJ30,AJ20,AJ10)</f>
        <v>0</v>
      </c>
      <c r="AK72" s="37">
        <f t="shared" ca="1" si="109"/>
        <v>0</v>
      </c>
      <c r="AL72" s="37">
        <f t="shared" ca="1" si="109"/>
        <v>0</v>
      </c>
      <c r="AM72" s="37">
        <f t="shared" ca="1" si="109"/>
        <v>0</v>
      </c>
      <c r="AN72" s="37">
        <f t="shared" ca="1" si="109"/>
        <v>0</v>
      </c>
      <c r="AO72" s="37">
        <f t="shared" ca="1" si="109"/>
        <v>0</v>
      </c>
      <c r="AP72" s="37">
        <f t="shared" ca="1" si="109"/>
        <v>0</v>
      </c>
      <c r="AQ72" s="37">
        <f t="shared" ca="1" si="109"/>
        <v>0</v>
      </c>
      <c r="AR72" s="37">
        <f t="shared" ca="1" si="109"/>
        <v>0</v>
      </c>
      <c r="AS72" s="37">
        <f t="shared" ca="1" si="109"/>
        <v>0</v>
      </c>
      <c r="AT72" s="37">
        <f t="shared" ca="1" si="109"/>
        <v>0</v>
      </c>
      <c r="AU72" s="37">
        <f t="shared" ca="1" si="109"/>
        <v>0</v>
      </c>
      <c r="AV72" s="37">
        <f t="shared" ca="1" si="109"/>
        <v>0</v>
      </c>
      <c r="AW72" s="37">
        <f t="shared" ca="1" si="109"/>
        <v>0</v>
      </c>
      <c r="AX72" s="37">
        <f t="shared" ca="1" si="109"/>
        <v>0</v>
      </c>
      <c r="AY72" s="37">
        <f t="shared" ca="1" si="109"/>
        <v>0</v>
      </c>
      <c r="AZ72" s="37" t="e">
        <f t="shared" ca="1" si="109"/>
        <v>#N/A</v>
      </c>
      <c r="BA72" s="37" t="e">
        <f t="shared" ca="1" si="109"/>
        <v>#N/A</v>
      </c>
      <c r="BB72" s="37" t="e">
        <f t="shared" ca="1" si="109"/>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52042.072775387889</v>
      </c>
      <c r="AI73" s="39">
        <f ca="1">SUM(AI37,AI27,AI17,AI7)+SUM(AI38,AI28,AI18,AI8)*AI67</f>
        <v>52430.488411973522</v>
      </c>
      <c r="AJ73" s="39">
        <f t="shared" ref="AJ73:BB73" ca="1" si="110">SUM(AJ37,AJ27,AJ17,AJ7)+SUM(AJ38,AJ28,AJ18,AJ8)*AJ67</f>
        <v>47139.16964009816</v>
      </c>
      <c r="AK73" s="39">
        <f t="shared" ca="1" si="110"/>
        <v>41481.994606859873</v>
      </c>
      <c r="AL73" s="39">
        <f t="shared" ca="1" si="110"/>
        <v>35529.321130446995</v>
      </c>
      <c r="AM73" s="39">
        <f ca="1">SUM(AM37,AM27,AM17,AM7)+SUM(AM38,AM28,AM18,AM8)*AM67</f>
        <v>29783.373358618854</v>
      </c>
      <c r="AN73" s="39">
        <f t="shared" ca="1" si="110"/>
        <v>23585.688669272084</v>
      </c>
      <c r="AO73" s="39">
        <f t="shared" ca="1" si="110"/>
        <v>16757.830269407528</v>
      </c>
      <c r="AP73" s="39">
        <f t="shared" ca="1" si="110"/>
        <v>9260.3555608901625</v>
      </c>
      <c r="AQ73" s="39">
        <f t="shared" ca="1" si="110"/>
        <v>1077.2084446535773</v>
      </c>
      <c r="AR73" s="39">
        <f t="shared" ca="1" si="110"/>
        <v>1124.6410864757941</v>
      </c>
      <c r="AS73" s="39">
        <f ca="1">SUM(AS37,AS27,AS17,AS7)+SUM(AS38,AS28,AS18,AS8)*AS67</f>
        <v>1173.7922162439581</v>
      </c>
      <c r="AT73" s="39">
        <f t="shared" ca="1" si="110"/>
        <v>1224.7178768521633</v>
      </c>
      <c r="AU73" s="39">
        <f t="shared" ca="1" si="110"/>
        <v>1276.6983289071977</v>
      </c>
      <c r="AV73" s="39">
        <f t="shared" ca="1" si="110"/>
        <v>1330.572795196284</v>
      </c>
      <c r="AW73" s="39">
        <f t="shared" ca="1" si="110"/>
        <v>1386.2915989985679</v>
      </c>
      <c r="AX73" s="39">
        <f t="shared" ca="1" si="110"/>
        <v>1443.791025308072</v>
      </c>
      <c r="AY73" s="39">
        <f ca="1">SUM(AY37,AY27,AY17,AY7)+SUM(AY38,AY28,AY18,AY8)*AY67</f>
        <v>1503.0350021026475</v>
      </c>
      <c r="AZ73" s="39" t="e">
        <f t="shared" ca="1" si="110"/>
        <v>#N/A</v>
      </c>
      <c r="BA73" s="39" t="e">
        <f t="shared" ca="1" si="110"/>
        <v>#N/A</v>
      </c>
      <c r="BB73" s="39" t="e">
        <f t="shared" ca="1" si="110"/>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697.09006237075369</v>
      </c>
      <c r="AI74" s="37">
        <f ca="1">SUM(AI39,AI29,AI19,AI9)</f>
        <v>0</v>
      </c>
      <c r="AJ74" s="37">
        <f t="shared" ref="AJ74:BB74" ca="1" si="111">SUM(AJ39,AJ29,AJ19,AJ9)</f>
        <v>0</v>
      </c>
      <c r="AK74" s="37">
        <f t="shared" ca="1" si="111"/>
        <v>0</v>
      </c>
      <c r="AL74" s="37">
        <f t="shared" ca="1" si="111"/>
        <v>0</v>
      </c>
      <c r="AM74" s="37">
        <f t="shared" ca="1" si="111"/>
        <v>0</v>
      </c>
      <c r="AN74" s="37">
        <f t="shared" ca="1" si="111"/>
        <v>0</v>
      </c>
      <c r="AO74" s="37">
        <f t="shared" ca="1" si="111"/>
        <v>0</v>
      </c>
      <c r="AP74" s="37">
        <f t="shared" ca="1" si="111"/>
        <v>0</v>
      </c>
      <c r="AQ74" s="37">
        <f t="shared" ca="1" si="111"/>
        <v>0</v>
      </c>
      <c r="AR74" s="37">
        <f t="shared" ca="1" si="111"/>
        <v>0</v>
      </c>
      <c r="AS74" s="37">
        <f t="shared" ca="1" si="111"/>
        <v>0</v>
      </c>
      <c r="AT74" s="37">
        <f t="shared" ca="1" si="111"/>
        <v>0</v>
      </c>
      <c r="AU74" s="37">
        <f t="shared" ca="1" si="111"/>
        <v>0</v>
      </c>
      <c r="AV74" s="37">
        <f t="shared" ca="1" si="111"/>
        <v>0</v>
      </c>
      <c r="AW74" s="37">
        <f t="shared" ca="1" si="111"/>
        <v>0</v>
      </c>
      <c r="AX74" s="37">
        <f t="shared" ca="1" si="111"/>
        <v>0</v>
      </c>
      <c r="AY74" s="37">
        <f t="shared" ca="1" si="111"/>
        <v>0</v>
      </c>
      <c r="AZ74" s="37" t="e">
        <f t="shared" ca="1" si="111"/>
        <v>#N/A</v>
      </c>
      <c r="BA74" s="37" t="e">
        <f t="shared" ca="1" si="111"/>
        <v>#N/A</v>
      </c>
      <c r="BB74" s="37" t="e">
        <f t="shared" ca="1" si="111"/>
        <v>#N/A</v>
      </c>
    </row>
    <row r="75" spans="1:54" x14ac:dyDescent="0.25">
      <c r="AG75" s="1" t="s">
        <v>59</v>
      </c>
      <c r="AH75" s="37">
        <f ca="1">+SUM(AH38,AH28,AH18,AH8)*(1-AH67)</f>
        <v>12852.841209754126</v>
      </c>
      <c r="AI75" s="37">
        <f ca="1">+SUM(AI38,AI28,AI18,AI8)*(1-AI67)</f>
        <v>12920.490082730967</v>
      </c>
      <c r="AJ75" s="37">
        <f t="shared" ref="AJ75:BB75" ca="1" si="112">+SUM(AJ38,AJ28,AJ18,AJ8)*(1-AJ67)</f>
        <v>19865.970780980955</v>
      </c>
      <c r="AK75" s="37">
        <f t="shared" ca="1" si="112"/>
        <v>27106.370801914076</v>
      </c>
      <c r="AL75" s="37">
        <f t="shared" ca="1" si="112"/>
        <v>34668.012390109703</v>
      </c>
      <c r="AM75" s="37">
        <f t="shared" ca="1" si="112"/>
        <v>43322.397386599187</v>
      </c>
      <c r="AN75" s="37">
        <f t="shared" ca="1" si="112"/>
        <v>52831.202397308662</v>
      </c>
      <c r="AO75" s="37">
        <f t="shared" ca="1" si="112"/>
        <v>63082.594325731807</v>
      </c>
      <c r="AP75" s="37">
        <f t="shared" ca="1" si="112"/>
        <v>74060.578574056053</v>
      </c>
      <c r="AQ75" s="37">
        <f t="shared" ca="1" si="112"/>
        <v>85845.860357213693</v>
      </c>
      <c r="AR75" s="37">
        <f t="shared" ca="1" si="112"/>
        <v>89525.264643220289</v>
      </c>
      <c r="AS75" s="37">
        <f ca="1">+SUM(AS38,AS28,AS18,AS8)*(1-AS67)</f>
        <v>93334.805337540922</v>
      </c>
      <c r="AT75" s="37">
        <f t="shared" ca="1" si="112"/>
        <v>97278.672246230592</v>
      </c>
      <c r="AU75" s="37">
        <f t="shared" ca="1" si="112"/>
        <v>102391.13317278904</v>
      </c>
      <c r="AV75" s="37">
        <f t="shared" ca="1" si="112"/>
        <v>108919.17519556616</v>
      </c>
      <c r="AW75" s="37">
        <f t="shared" ca="1" si="112"/>
        <v>115738.18541866941</v>
      </c>
      <c r="AX75" s="37">
        <f t="shared" ca="1" si="112"/>
        <v>122847.88967657807</v>
      </c>
      <c r="AY75" s="37">
        <f t="shared" ca="1" si="112"/>
        <v>130249.82511246635</v>
      </c>
      <c r="AZ75" s="37" t="e">
        <f t="shared" ca="1" si="112"/>
        <v>#N/A</v>
      </c>
      <c r="BA75" s="37" t="e">
        <f t="shared" ca="1" si="112"/>
        <v>#N/A</v>
      </c>
      <c r="BB75" s="37" t="e">
        <f t="shared" ca="1" si="112"/>
        <v>#N/A</v>
      </c>
    </row>
    <row r="76" spans="1:54" x14ac:dyDescent="0.25">
      <c r="AG76" s="12" t="s">
        <v>60</v>
      </c>
      <c r="AH76" s="45">
        <f ca="1">SUM(AH71:AH75)</f>
        <v>76023.130604700884</v>
      </c>
      <c r="AI76" s="45">
        <f ca="1">SUM(AI71:AI75)</f>
        <v>67917.202646038175</v>
      </c>
      <c r="AJ76" s="45">
        <f t="shared" ref="AJ76:BB76" ca="1" si="113">SUM(AJ71:AJ75)</f>
        <v>68781.357074287313</v>
      </c>
      <c r="AK76" s="45">
        <f t="shared" ca="1" si="113"/>
        <v>69509.056147548079</v>
      </c>
      <c r="AL76" s="45">
        <f t="shared" ca="1" si="113"/>
        <v>70197.333520556698</v>
      </c>
      <c r="AM76" s="45">
        <f t="shared" ca="1" si="113"/>
        <v>73105.770745218033</v>
      </c>
      <c r="AN76" s="45">
        <f t="shared" ca="1" si="113"/>
        <v>76416.891066580749</v>
      </c>
      <c r="AO76" s="45">
        <f t="shared" ca="1" si="113"/>
        <v>79840.424595139339</v>
      </c>
      <c r="AP76" s="45">
        <f t="shared" ca="1" si="113"/>
        <v>83320.934134946219</v>
      </c>
      <c r="AQ76" s="45">
        <f t="shared" ca="1" si="113"/>
        <v>86923.068801867266</v>
      </c>
      <c r="AR76" s="45">
        <f t="shared" ca="1" si="113"/>
        <v>90649.905729696082</v>
      </c>
      <c r="AS76" s="45">
        <f ca="1">SUM(AS71:AS75)</f>
        <v>94508.597553784886</v>
      </c>
      <c r="AT76" s="45">
        <f t="shared" ca="1" si="113"/>
        <v>98503.390123082761</v>
      </c>
      <c r="AU76" s="45">
        <f t="shared" ca="1" si="113"/>
        <v>103667.83150169623</v>
      </c>
      <c r="AV76" s="45">
        <f t="shared" ca="1" si="113"/>
        <v>110249.74799076245</v>
      </c>
      <c r="AW76" s="45">
        <f t="shared" ca="1" si="113"/>
        <v>117124.47701766797</v>
      </c>
      <c r="AX76" s="45">
        <f t="shared" ca="1" si="113"/>
        <v>124291.68070188614</v>
      </c>
      <c r="AY76" s="45">
        <f t="shared" ca="1" si="113"/>
        <v>131752.86011456899</v>
      </c>
      <c r="AZ76" s="45" t="e">
        <f t="shared" ca="1" si="113"/>
        <v>#N/A</v>
      </c>
      <c r="BA76" s="45" t="e">
        <f t="shared" ca="1" si="113"/>
        <v>#N/A</v>
      </c>
      <c r="BB76" s="45" t="e">
        <f t="shared" ca="1" si="113"/>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114">AJ79+1</f>
        <v>2021</v>
      </c>
      <c r="AL79" s="36">
        <f t="shared" si="114"/>
        <v>2022</v>
      </c>
      <c r="AM79" s="36">
        <f t="shared" si="114"/>
        <v>2023</v>
      </c>
      <c r="AN79" s="36">
        <f t="shared" si="114"/>
        <v>2024</v>
      </c>
      <c r="AO79" s="36">
        <f t="shared" si="114"/>
        <v>2025</v>
      </c>
      <c r="AP79" s="36">
        <f t="shared" si="114"/>
        <v>2026</v>
      </c>
      <c r="AQ79" s="36">
        <f t="shared" si="114"/>
        <v>2027</v>
      </c>
      <c r="AR79" s="36">
        <f t="shared" si="114"/>
        <v>2028</v>
      </c>
      <c r="AS79" s="36">
        <f t="shared" si="114"/>
        <v>2029</v>
      </c>
      <c r="AT79" s="36">
        <f t="shared" si="114"/>
        <v>2030</v>
      </c>
      <c r="AU79" s="36">
        <f t="shared" si="114"/>
        <v>2031</v>
      </c>
      <c r="AV79" s="36">
        <f t="shared" si="114"/>
        <v>2032</v>
      </c>
      <c r="AW79" s="36">
        <f t="shared" si="114"/>
        <v>2033</v>
      </c>
      <c r="AX79" s="36">
        <f t="shared" si="114"/>
        <v>2034</v>
      </c>
      <c r="AY79" s="36">
        <f t="shared" si="114"/>
        <v>2035</v>
      </c>
      <c r="AZ79" s="36">
        <f t="shared" si="114"/>
        <v>2036</v>
      </c>
      <c r="BA79" s="36">
        <f t="shared" si="114"/>
        <v>2037</v>
      </c>
      <c r="BB79" s="36">
        <f t="shared" si="114"/>
        <v>2038</v>
      </c>
    </row>
    <row r="80" spans="1:54" x14ac:dyDescent="0.25">
      <c r="AG80" s="1" t="s">
        <v>52</v>
      </c>
      <c r="AH80" s="37">
        <f ca="1">SUM(AH55,AH45)</f>
        <v>6188.4524491810562</v>
      </c>
      <c r="AI80" s="37">
        <f ca="1">SUM(AI55,AI45)</f>
        <v>0</v>
      </c>
      <c r="AJ80" s="37">
        <f t="shared" ref="AJ80:BB80" ca="1" si="115">SUM(AJ55,AJ45)</f>
        <v>0</v>
      </c>
      <c r="AK80" s="37">
        <f t="shared" ca="1" si="115"/>
        <v>0</v>
      </c>
      <c r="AL80" s="37">
        <f t="shared" ca="1" si="115"/>
        <v>0</v>
      </c>
      <c r="AM80" s="37">
        <f t="shared" ca="1" si="115"/>
        <v>0</v>
      </c>
      <c r="AN80" s="37">
        <f t="shared" ca="1" si="115"/>
        <v>0</v>
      </c>
      <c r="AO80" s="37">
        <f t="shared" ca="1" si="115"/>
        <v>0</v>
      </c>
      <c r="AP80" s="37">
        <f t="shared" ca="1" si="115"/>
        <v>0</v>
      </c>
      <c r="AQ80" s="37">
        <f t="shared" ca="1" si="115"/>
        <v>0</v>
      </c>
      <c r="AR80" s="37">
        <f t="shared" ca="1" si="115"/>
        <v>0</v>
      </c>
      <c r="AS80" s="37">
        <f t="shared" ca="1" si="115"/>
        <v>0</v>
      </c>
      <c r="AT80" s="37">
        <f t="shared" ca="1" si="115"/>
        <v>0</v>
      </c>
      <c r="AU80" s="37">
        <f t="shared" ca="1" si="115"/>
        <v>0</v>
      </c>
      <c r="AV80" s="37">
        <f t="shared" ca="1" si="115"/>
        <v>0</v>
      </c>
      <c r="AW80" s="37">
        <f t="shared" ca="1" si="115"/>
        <v>0</v>
      </c>
      <c r="AX80" s="37">
        <f t="shared" ca="1" si="115"/>
        <v>0</v>
      </c>
      <c r="AY80" s="37">
        <f t="shared" ca="1" si="115"/>
        <v>0</v>
      </c>
      <c r="AZ80" s="37" t="e">
        <f t="shared" ca="1" si="115"/>
        <v>#N/A</v>
      </c>
      <c r="BA80" s="37" t="e">
        <f t="shared" ca="1" si="115"/>
        <v>#N/A</v>
      </c>
      <c r="BB80" s="37" t="e">
        <f t="shared" ca="1" si="115"/>
        <v>#N/A</v>
      </c>
    </row>
    <row r="81" spans="12:54" x14ac:dyDescent="0.25">
      <c r="AG81" s="1" t="s">
        <v>54</v>
      </c>
      <c r="AH81" s="37">
        <f ca="1">SUM(AH56,AH46,AH50,AH60)</f>
        <v>2527.9730739187535</v>
      </c>
      <c r="AI81" s="37">
        <f ca="1">SUM(AI56,AI46,AI50,AI60)</f>
        <v>2919.5819403029254</v>
      </c>
      <c r="AJ81" s="37">
        <f t="shared" ref="AJ81:BB81" ca="1" si="116">SUM(AJ56,AJ46,AJ50,AJ60)</f>
        <v>3410.0896745047157</v>
      </c>
      <c r="AK81" s="37">
        <f t="shared" ca="1" si="116"/>
        <v>3927.996779040312</v>
      </c>
      <c r="AL81" s="37">
        <f t="shared" ca="1" si="116"/>
        <v>4479.3001215354807</v>
      </c>
      <c r="AM81" s="37">
        <f t="shared" ca="1" si="116"/>
        <v>5064.9283122425695</v>
      </c>
      <c r="AN81" s="37">
        <f t="shared" ca="1" si="116"/>
        <v>5685.5222079050627</v>
      </c>
      <c r="AO81" s="37">
        <f t="shared" ca="1" si="116"/>
        <v>6341.8909745759956</v>
      </c>
      <c r="AP81" s="37">
        <f t="shared" ca="1" si="116"/>
        <v>7030.3344048110393</v>
      </c>
      <c r="AQ81" s="37">
        <f t="shared" ca="1" si="116"/>
        <v>7756.757419483517</v>
      </c>
      <c r="AR81" s="37">
        <f t="shared" ca="1" si="116"/>
        <v>8522.5073588585019</v>
      </c>
      <c r="AS81" s="37">
        <f t="shared" ca="1" si="116"/>
        <v>9329.3563537341961</v>
      </c>
      <c r="AT81" s="37">
        <f t="shared" ca="1" si="116"/>
        <v>10178.873039949345</v>
      </c>
      <c r="AU81" s="37">
        <f t="shared" ca="1" si="116"/>
        <v>11065.940918388103</v>
      </c>
      <c r="AV81" s="37">
        <f t="shared" ca="1" si="116"/>
        <v>11998.452968406165</v>
      </c>
      <c r="AW81" s="37">
        <f t="shared" ca="1" si="116"/>
        <v>12977.122495939526</v>
      </c>
      <c r="AX81" s="37">
        <f t="shared" ca="1" si="116"/>
        <v>14002.417165374234</v>
      </c>
      <c r="AY81" s="37">
        <f t="shared" ca="1" si="116"/>
        <v>15074.958682209293</v>
      </c>
      <c r="AZ81" s="37" t="e">
        <f t="shared" ca="1" si="116"/>
        <v>#N/A</v>
      </c>
      <c r="BA81" s="37" t="e">
        <f t="shared" ca="1" si="116"/>
        <v>#N/A</v>
      </c>
      <c r="BB81" s="37" t="e">
        <f t="shared" ca="1" si="116"/>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37633.789316940973</v>
      </c>
      <c r="AI82" s="39">
        <f ca="1">SUM(AI57,AI47)+SUM(AI48,AI58)*AI67</f>
        <v>38371.391011580155</v>
      </c>
      <c r="AJ82" s="39">
        <f t="shared" ref="AJ82:BB82" ca="1" si="117">SUM(AJ57,AJ47)+SUM(AJ48,AJ58)*AJ67</f>
        <v>34318.120954175778</v>
      </c>
      <c r="AK82" s="39">
        <f t="shared" ca="1" si="117"/>
        <v>30069.501864001108</v>
      </c>
      <c r="AL82" s="39">
        <f t="shared" ca="1" si="117"/>
        <v>25685.725376213515</v>
      </c>
      <c r="AM82" s="39">
        <f t="shared" ca="1" si="117"/>
        <v>21167.395217845027</v>
      </c>
      <c r="AN82" s="39">
        <f t="shared" ca="1" si="117"/>
        <v>16518.991865256121</v>
      </c>
      <c r="AO82" s="39">
        <f t="shared" ca="1" si="117"/>
        <v>11749.911978223989</v>
      </c>
      <c r="AP82" s="39">
        <f t="shared" ca="1" si="117"/>
        <v>6867.8607871220374</v>
      </c>
      <c r="AQ82" s="39">
        <f t="shared" ca="1" si="117"/>
        <v>1898.2430556295726</v>
      </c>
      <c r="AR82" s="39">
        <f t="shared" ca="1" si="117"/>
        <v>2085.6383067838924</v>
      </c>
      <c r="AS82" s="39">
        <f t="shared" ca="1" si="117"/>
        <v>2283.0913684997845</v>
      </c>
      <c r="AT82" s="39">
        <f t="shared" ca="1" si="117"/>
        <v>2490.9861192365838</v>
      </c>
      <c r="AU82" s="39">
        <f t="shared" ca="1" si="117"/>
        <v>2708.0704431434851</v>
      </c>
      <c r="AV82" s="39">
        <f t="shared" ca="1" si="117"/>
        <v>2936.2759196730754</v>
      </c>
      <c r="AW82" s="39">
        <f t="shared" ca="1" si="117"/>
        <v>3175.7771099165839</v>
      </c>
      <c r="AX82" s="39">
        <f t="shared" ca="1" si="117"/>
        <v>3426.688461268091</v>
      </c>
      <c r="AY82" s="39">
        <f t="shared" ca="1" si="117"/>
        <v>3689.1621182491172</v>
      </c>
      <c r="AZ82" s="39" t="e">
        <f t="shared" ca="1" si="117"/>
        <v>#N/A</v>
      </c>
      <c r="BA82" s="39" t="e">
        <f t="shared" ca="1" si="117"/>
        <v>#N/A</v>
      </c>
      <c r="BB82" s="39" t="e">
        <f t="shared" ca="1" si="117"/>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0</v>
      </c>
      <c r="AI83" s="37">
        <f ca="1">SUM(AI59,AI49)</f>
        <v>0</v>
      </c>
      <c r="AJ83" s="37">
        <f t="shared" ref="AJ83:BB83" ca="1" si="118">SUM(AJ59,AJ49)</f>
        <v>0</v>
      </c>
      <c r="AK83" s="37">
        <f t="shared" ca="1" si="118"/>
        <v>0</v>
      </c>
      <c r="AL83" s="37">
        <f t="shared" ca="1" si="118"/>
        <v>0</v>
      </c>
      <c r="AM83" s="37">
        <f t="shared" ca="1" si="118"/>
        <v>0</v>
      </c>
      <c r="AN83" s="37">
        <f t="shared" ca="1" si="118"/>
        <v>0</v>
      </c>
      <c r="AO83" s="37">
        <f t="shared" ca="1" si="118"/>
        <v>0</v>
      </c>
      <c r="AP83" s="37">
        <f t="shared" ca="1" si="118"/>
        <v>0</v>
      </c>
      <c r="AQ83" s="37">
        <f t="shared" ca="1" si="118"/>
        <v>0</v>
      </c>
      <c r="AR83" s="37">
        <f t="shared" ca="1" si="118"/>
        <v>0</v>
      </c>
      <c r="AS83" s="37">
        <f t="shared" ca="1" si="118"/>
        <v>0</v>
      </c>
      <c r="AT83" s="37">
        <f t="shared" ca="1" si="118"/>
        <v>0</v>
      </c>
      <c r="AU83" s="37">
        <f t="shared" ca="1" si="118"/>
        <v>0</v>
      </c>
      <c r="AV83" s="37">
        <f t="shared" ca="1" si="118"/>
        <v>0</v>
      </c>
      <c r="AW83" s="37">
        <f t="shared" ca="1" si="118"/>
        <v>0</v>
      </c>
      <c r="AX83" s="37">
        <f t="shared" ca="1" si="118"/>
        <v>0</v>
      </c>
      <c r="AY83" s="37">
        <f t="shared" ca="1" si="118"/>
        <v>0</v>
      </c>
      <c r="AZ83" s="37" t="e">
        <f t="shared" ca="1" si="118"/>
        <v>#N/A</v>
      </c>
      <c r="BA83" s="37" t="e">
        <f t="shared" ca="1" si="118"/>
        <v>#N/A</v>
      </c>
      <c r="BB83" s="37" t="e">
        <f t="shared" ca="1" si="118"/>
        <v>#N/A</v>
      </c>
    </row>
    <row r="84" spans="12:54" x14ac:dyDescent="0.25">
      <c r="AG84" s="1" t="s">
        <v>59</v>
      </c>
      <c r="AH84" s="37">
        <f ca="1">SUM(AH48,AH58)*(1-AH67)</f>
        <v>9257.9417894903145</v>
      </c>
      <c r="AI84" s="37">
        <f ca="1">SUM(AI48,AI58)*(1-AI67)</f>
        <v>9414.2268471541647</v>
      </c>
      <c r="AJ84" s="37">
        <f t="shared" ref="AJ84:BB84" ca="1" si="119">SUM(AJ48,AJ58)*(1-AJ67)</f>
        <v>14350.114150863095</v>
      </c>
      <c r="AK84" s="37">
        <f t="shared" ca="1" si="119"/>
        <v>19405.491828177634</v>
      </c>
      <c r="AL84" s="37">
        <f t="shared" ca="1" si="119"/>
        <v>24589.545633834561</v>
      </c>
      <c r="AM84" s="37">
        <f t="shared" ca="1" si="119"/>
        <v>29891.849754689567</v>
      </c>
      <c r="AN84" s="37">
        <f t="shared" ca="1" si="119"/>
        <v>35297.789322285324</v>
      </c>
      <c r="AO84" s="37">
        <f t="shared" ca="1" si="119"/>
        <v>40791.666999732195</v>
      </c>
      <c r="AP84" s="37">
        <f t="shared" ca="1" si="119"/>
        <v>46326.499650694204</v>
      </c>
      <c r="AQ84" s="37">
        <f t="shared" ca="1" si="119"/>
        <v>51916.367254091936</v>
      </c>
      <c r="AR84" s="37">
        <f t="shared" ca="1" si="119"/>
        <v>52314.331030664267</v>
      </c>
      <c r="AS84" s="37">
        <f t="shared" ca="1" si="119"/>
        <v>52667.267163490003</v>
      </c>
      <c r="AT84" s="37">
        <f t="shared" ca="1" si="119"/>
        <v>52972.690972332741</v>
      </c>
      <c r="AU84" s="37">
        <f t="shared" ca="1" si="119"/>
        <v>53195.619775846833</v>
      </c>
      <c r="AV84" s="37">
        <f t="shared" ca="1" si="119"/>
        <v>53368.266371050995</v>
      </c>
      <c r="AW84" s="37">
        <f t="shared" ca="1" si="119"/>
        <v>53483.469564413645</v>
      </c>
      <c r="AX84" s="37">
        <f t="shared" ca="1" si="119"/>
        <v>53534.034984162594</v>
      </c>
      <c r="AY84" s="37">
        <f t="shared" ca="1" si="119"/>
        <v>53514.300857267102</v>
      </c>
      <c r="AZ84" s="37" t="e">
        <f t="shared" ca="1" si="119"/>
        <v>#N/A</v>
      </c>
      <c r="BA84" s="37" t="e">
        <f t="shared" ca="1" si="119"/>
        <v>#N/A</v>
      </c>
      <c r="BB84" s="37" t="e">
        <f t="shared" ca="1" si="119"/>
        <v>#N/A</v>
      </c>
    </row>
    <row r="85" spans="12:54" x14ac:dyDescent="0.25">
      <c r="AG85" s="12" t="s">
        <v>60</v>
      </c>
      <c r="AH85" s="45">
        <f ca="1">SUM(AH80:AH84)</f>
        <v>55608.156629531099</v>
      </c>
      <c r="AI85" s="45">
        <f ca="1">SUM(AI80:AI84)</f>
        <v>50705.199799037247</v>
      </c>
      <c r="AJ85" s="45">
        <f t="shared" ref="AJ85:BB85" ca="1" si="120">SUM(AJ80:AJ84)</f>
        <v>52078.324779543589</v>
      </c>
      <c r="AK85" s="45">
        <f t="shared" ca="1" si="120"/>
        <v>53402.990471219055</v>
      </c>
      <c r="AL85" s="45">
        <f t="shared" ca="1" si="120"/>
        <v>54754.571131583558</v>
      </c>
      <c r="AM85" s="45">
        <f t="shared" ca="1" si="120"/>
        <v>56124.173284777164</v>
      </c>
      <c r="AN85" s="45">
        <f t="shared" ca="1" si="120"/>
        <v>57502.303395446506</v>
      </c>
      <c r="AO85" s="45">
        <f t="shared" ca="1" si="120"/>
        <v>58883.469952532178</v>
      </c>
      <c r="AP85" s="45">
        <f t="shared" ca="1" si="120"/>
        <v>60224.694842627279</v>
      </c>
      <c r="AQ85" s="45">
        <f t="shared" ca="1" si="120"/>
        <v>61571.367729205027</v>
      </c>
      <c r="AR85" s="45">
        <f t="shared" ca="1" si="120"/>
        <v>62922.476696306665</v>
      </c>
      <c r="AS85" s="45">
        <f t="shared" ca="1" si="120"/>
        <v>64279.714885723981</v>
      </c>
      <c r="AT85" s="45">
        <f t="shared" ca="1" si="120"/>
        <v>65642.55013151867</v>
      </c>
      <c r="AU85" s="45">
        <f t="shared" ca="1" si="120"/>
        <v>66969.631137378427</v>
      </c>
      <c r="AV85" s="45">
        <f t="shared" ca="1" si="120"/>
        <v>68302.995259130228</v>
      </c>
      <c r="AW85" s="45">
        <f t="shared" ca="1" si="120"/>
        <v>69636.369170269754</v>
      </c>
      <c r="AX85" s="45">
        <f t="shared" ca="1" si="120"/>
        <v>70963.140610804927</v>
      </c>
      <c r="AY85" s="45">
        <f t="shared" ca="1" si="120"/>
        <v>72278.421657725514</v>
      </c>
      <c r="AZ85" s="45" t="e">
        <f t="shared" ca="1" si="120"/>
        <v>#N/A</v>
      </c>
      <c r="BA85" s="45" t="e">
        <f t="shared" ca="1" si="120"/>
        <v>#N/A</v>
      </c>
      <c r="BB85" s="45" t="e">
        <f t="shared" ca="1" si="120"/>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180</v>
      </c>
      <c r="AH87" s="6"/>
    </row>
    <row r="88" spans="12:54" x14ac:dyDescent="0.25">
      <c r="AF88" s="6" t="s">
        <v>178</v>
      </c>
      <c r="AG88" s="38"/>
      <c r="AH88" s="36">
        <f>AI88-1</f>
        <v>2018</v>
      </c>
      <c r="AI88" s="36">
        <f>Yr_Start</f>
        <v>2019</v>
      </c>
      <c r="AJ88" s="36">
        <f>AI88+1</f>
        <v>2020</v>
      </c>
      <c r="AK88" s="36">
        <f t="shared" ref="AK88:BB88" si="121">AJ88+1</f>
        <v>2021</v>
      </c>
      <c r="AL88" s="36">
        <f t="shared" si="121"/>
        <v>2022</v>
      </c>
      <c r="AM88" s="36">
        <f t="shared" si="121"/>
        <v>2023</v>
      </c>
      <c r="AN88" s="36">
        <f t="shared" si="121"/>
        <v>2024</v>
      </c>
      <c r="AO88" s="36">
        <f t="shared" si="121"/>
        <v>2025</v>
      </c>
      <c r="AP88" s="36">
        <f t="shared" si="121"/>
        <v>2026</v>
      </c>
      <c r="AQ88" s="36">
        <f t="shared" si="121"/>
        <v>2027</v>
      </c>
      <c r="AR88" s="36">
        <f t="shared" si="121"/>
        <v>2028</v>
      </c>
      <c r="AS88" s="36">
        <f t="shared" si="121"/>
        <v>2029</v>
      </c>
      <c r="AT88" s="36">
        <f t="shared" si="121"/>
        <v>2030</v>
      </c>
      <c r="AU88" s="36">
        <f t="shared" si="121"/>
        <v>2031</v>
      </c>
      <c r="AV88" s="36">
        <f t="shared" si="121"/>
        <v>2032</v>
      </c>
      <c r="AW88" s="36">
        <f t="shared" si="121"/>
        <v>2033</v>
      </c>
      <c r="AX88" s="36">
        <f t="shared" si="121"/>
        <v>2034</v>
      </c>
      <c r="AY88" s="36">
        <f t="shared" si="121"/>
        <v>2035</v>
      </c>
      <c r="AZ88" s="36">
        <f t="shared" si="121"/>
        <v>2036</v>
      </c>
      <c r="BA88" s="36">
        <f t="shared" si="121"/>
        <v>2037</v>
      </c>
      <c r="BB88" s="36">
        <f t="shared" si="121"/>
        <v>2038</v>
      </c>
    </row>
    <row r="89" spans="12:54" x14ac:dyDescent="0.25">
      <c r="AG89" s="1" t="s">
        <v>52</v>
      </c>
      <c r="AH89" s="1"/>
      <c r="AI89" s="39">
        <f ca="1">AI71*13</f>
        <v>33360.913967338012</v>
      </c>
      <c r="AJ89" s="37">
        <f ca="1">AJ71*13</f>
        <v>23090.816491706504</v>
      </c>
      <c r="AK89" s="37">
        <f t="shared" ref="AK89:BB93" ca="1" si="122">AK71*13</f>
        <v>11968.979604063747</v>
      </c>
      <c r="AL89" s="37">
        <f t="shared" ca="1" si="122"/>
        <v>0</v>
      </c>
      <c r="AM89" s="37">
        <f t="shared" ca="1" si="122"/>
        <v>0</v>
      </c>
      <c r="AN89" s="37">
        <f t="shared" ca="1" si="122"/>
        <v>0</v>
      </c>
      <c r="AO89" s="37">
        <f t="shared" ca="1" si="122"/>
        <v>0</v>
      </c>
      <c r="AP89" s="37">
        <f t="shared" ca="1" si="122"/>
        <v>0</v>
      </c>
      <c r="AQ89" s="37">
        <f t="shared" ca="1" si="122"/>
        <v>0</v>
      </c>
      <c r="AR89" s="37">
        <f t="shared" ca="1" si="122"/>
        <v>0</v>
      </c>
      <c r="AS89" s="39">
        <f ca="1">AS71*13</f>
        <v>0</v>
      </c>
      <c r="AT89" s="37">
        <f t="shared" ca="1" si="122"/>
        <v>0</v>
      </c>
      <c r="AU89" s="37">
        <f t="shared" ca="1" si="122"/>
        <v>0</v>
      </c>
      <c r="AV89" s="37">
        <f t="shared" ca="1" si="122"/>
        <v>0</v>
      </c>
      <c r="AW89" s="37">
        <f t="shared" ca="1" si="122"/>
        <v>0</v>
      </c>
      <c r="AX89" s="37">
        <f t="shared" ca="1" si="122"/>
        <v>0</v>
      </c>
      <c r="AY89" s="37">
        <f t="shared" ca="1" si="122"/>
        <v>0</v>
      </c>
      <c r="AZ89" s="37" t="e">
        <f t="shared" ca="1" si="122"/>
        <v>#N/A</v>
      </c>
      <c r="BA89" s="37" t="e">
        <f t="shared" ca="1" si="122"/>
        <v>#N/A</v>
      </c>
      <c r="BB89" s="37" t="e">
        <f t="shared" ca="1" si="122"/>
        <v>#N/A</v>
      </c>
    </row>
    <row r="90" spans="12:54" x14ac:dyDescent="0.25">
      <c r="AG90" s="1" t="s">
        <v>54</v>
      </c>
      <c r="AH90" s="1"/>
      <c r="AI90" s="37">
        <f t="shared" ref="AI90:AY93" ca="1" si="123">AI72*13</f>
        <v>0</v>
      </c>
      <c r="AJ90" s="37">
        <f t="shared" ca="1" si="123"/>
        <v>0</v>
      </c>
      <c r="AK90" s="37">
        <f t="shared" ca="1" si="123"/>
        <v>0</v>
      </c>
      <c r="AL90" s="37">
        <f t="shared" ca="1" si="123"/>
        <v>0</v>
      </c>
      <c r="AM90" s="37">
        <f t="shared" ca="1" si="123"/>
        <v>0</v>
      </c>
      <c r="AN90" s="37">
        <f t="shared" ca="1" si="123"/>
        <v>0</v>
      </c>
      <c r="AO90" s="37">
        <f t="shared" ca="1" si="123"/>
        <v>0</v>
      </c>
      <c r="AP90" s="37">
        <f t="shared" ca="1" si="123"/>
        <v>0</v>
      </c>
      <c r="AQ90" s="37">
        <f t="shared" ca="1" si="123"/>
        <v>0</v>
      </c>
      <c r="AR90" s="37">
        <f t="shared" ca="1" si="123"/>
        <v>0</v>
      </c>
      <c r="AS90" s="37">
        <f t="shared" ca="1" si="123"/>
        <v>0</v>
      </c>
      <c r="AT90" s="37">
        <f t="shared" ca="1" si="123"/>
        <v>0</v>
      </c>
      <c r="AU90" s="37">
        <f t="shared" ca="1" si="123"/>
        <v>0</v>
      </c>
      <c r="AV90" s="37">
        <f t="shared" ca="1" si="123"/>
        <v>0</v>
      </c>
      <c r="AW90" s="37">
        <f t="shared" ca="1" si="123"/>
        <v>0</v>
      </c>
      <c r="AX90" s="37">
        <f t="shared" ca="1" si="123"/>
        <v>0</v>
      </c>
      <c r="AY90" s="37">
        <f t="shared" ca="1" si="123"/>
        <v>0</v>
      </c>
      <c r="AZ90" s="37" t="e">
        <f t="shared" ca="1" si="122"/>
        <v>#N/A</v>
      </c>
      <c r="BA90" s="37" t="e">
        <f t="shared" ca="1" si="122"/>
        <v>#N/A</v>
      </c>
      <c r="BB90" s="37" t="e">
        <f t="shared" ca="1" si="122"/>
        <v>#N/A</v>
      </c>
    </row>
    <row r="91" spans="12:54" x14ac:dyDescent="0.25">
      <c r="AG91" s="1" t="s">
        <v>56</v>
      </c>
      <c r="AH91" s="1"/>
      <c r="AI91" s="37">
        <f t="shared" ca="1" si="123"/>
        <v>681596.34935565572</v>
      </c>
      <c r="AJ91" s="37">
        <f t="shared" ca="1" si="123"/>
        <v>612809.20532127609</v>
      </c>
      <c r="AK91" s="37">
        <f t="shared" ca="1" si="122"/>
        <v>539265.92988917837</v>
      </c>
      <c r="AL91" s="37">
        <f t="shared" ca="1" si="122"/>
        <v>461881.17469581094</v>
      </c>
      <c r="AM91" s="37">
        <f t="shared" ca="1" si="122"/>
        <v>387183.85366204509</v>
      </c>
      <c r="AN91" s="37">
        <f t="shared" ca="1" si="122"/>
        <v>306613.95270053711</v>
      </c>
      <c r="AO91" s="37">
        <f t="shared" ca="1" si="122"/>
        <v>217851.79350229786</v>
      </c>
      <c r="AP91" s="37">
        <f t="shared" ca="1" si="122"/>
        <v>120384.62229157212</v>
      </c>
      <c r="AQ91" s="37">
        <f t="shared" ca="1" si="122"/>
        <v>14003.709780496505</v>
      </c>
      <c r="AR91" s="37">
        <f t="shared" ca="1" si="122"/>
        <v>14620.334124185323</v>
      </c>
      <c r="AS91" s="37">
        <f ca="1">AS73*13</f>
        <v>15259.298811171455</v>
      </c>
      <c r="AT91" s="37">
        <f t="shared" ca="1" si="122"/>
        <v>15921.332399078123</v>
      </c>
      <c r="AU91" s="37">
        <f t="shared" ca="1" si="122"/>
        <v>16597.07827579357</v>
      </c>
      <c r="AV91" s="37">
        <f t="shared" ca="1" si="122"/>
        <v>17297.446337551693</v>
      </c>
      <c r="AW91" s="37">
        <f t="shared" ca="1" si="122"/>
        <v>18021.790786981383</v>
      </c>
      <c r="AX91" s="37">
        <f t="shared" ca="1" si="122"/>
        <v>18769.283329004935</v>
      </c>
      <c r="AY91" s="37">
        <f t="shared" ca="1" si="122"/>
        <v>19539.455027334418</v>
      </c>
      <c r="AZ91" s="37" t="e">
        <f t="shared" ca="1" si="122"/>
        <v>#N/A</v>
      </c>
      <c r="BA91" s="37" t="e">
        <f t="shared" ca="1" si="122"/>
        <v>#N/A</v>
      </c>
      <c r="BB91" s="37" t="e">
        <f t="shared" ca="1" si="122"/>
        <v>#N/A</v>
      </c>
    </row>
    <row r="92" spans="12:54" x14ac:dyDescent="0.25">
      <c r="AG92" s="1" t="s">
        <v>57</v>
      </c>
      <c r="AH92" s="1"/>
      <c r="AI92" s="37">
        <f t="shared" ca="1" si="123"/>
        <v>0</v>
      </c>
      <c r="AJ92" s="37">
        <f t="shared" ca="1" si="123"/>
        <v>0</v>
      </c>
      <c r="AK92" s="37">
        <f t="shared" ca="1" si="122"/>
        <v>0</v>
      </c>
      <c r="AL92" s="37">
        <f t="shared" ca="1" si="122"/>
        <v>0</v>
      </c>
      <c r="AM92" s="37">
        <f t="shared" ca="1" si="122"/>
        <v>0</v>
      </c>
      <c r="AN92" s="37">
        <f t="shared" ca="1" si="122"/>
        <v>0</v>
      </c>
      <c r="AO92" s="37">
        <f t="shared" ca="1" si="122"/>
        <v>0</v>
      </c>
      <c r="AP92" s="37">
        <f t="shared" ca="1" si="122"/>
        <v>0</v>
      </c>
      <c r="AQ92" s="37">
        <f t="shared" ca="1" si="122"/>
        <v>0</v>
      </c>
      <c r="AR92" s="37">
        <f t="shared" ca="1" si="122"/>
        <v>0</v>
      </c>
      <c r="AS92" s="37">
        <f t="shared" ca="1" si="122"/>
        <v>0</v>
      </c>
      <c r="AT92" s="37">
        <f t="shared" ca="1" si="122"/>
        <v>0</v>
      </c>
      <c r="AU92" s="37">
        <f t="shared" ca="1" si="122"/>
        <v>0</v>
      </c>
      <c r="AV92" s="37">
        <f t="shared" ca="1" si="122"/>
        <v>0</v>
      </c>
      <c r="AW92" s="37">
        <f t="shared" ca="1" si="122"/>
        <v>0</v>
      </c>
      <c r="AX92" s="37">
        <f t="shared" ca="1" si="122"/>
        <v>0</v>
      </c>
      <c r="AY92" s="37">
        <f t="shared" ca="1" si="122"/>
        <v>0</v>
      </c>
      <c r="AZ92" s="37" t="e">
        <f t="shared" ca="1" si="122"/>
        <v>#N/A</v>
      </c>
      <c r="BA92" s="37" t="e">
        <f t="shared" ca="1" si="122"/>
        <v>#N/A</v>
      </c>
      <c r="BB92" s="37" t="e">
        <f t="shared" ca="1" si="122"/>
        <v>#N/A</v>
      </c>
    </row>
    <row r="93" spans="12:54" x14ac:dyDescent="0.25">
      <c r="AG93" s="1" t="s">
        <v>59</v>
      </c>
      <c r="AH93" s="1"/>
      <c r="AI93" s="37">
        <f t="shared" ca="1" si="123"/>
        <v>167966.37107550257</v>
      </c>
      <c r="AJ93" s="37">
        <f t="shared" ca="1" si="123"/>
        <v>258257.62015275241</v>
      </c>
      <c r="AK93" s="37">
        <f t="shared" ca="1" si="122"/>
        <v>352382.82042488299</v>
      </c>
      <c r="AL93" s="37">
        <f t="shared" ca="1" si="122"/>
        <v>450684.16107142612</v>
      </c>
      <c r="AM93" s="37">
        <f t="shared" ca="1" si="122"/>
        <v>563191.16602578945</v>
      </c>
      <c r="AN93" s="37">
        <f t="shared" ca="1" si="122"/>
        <v>686805.6311650126</v>
      </c>
      <c r="AO93" s="37">
        <f t="shared" ca="1" si="122"/>
        <v>820073.72623451345</v>
      </c>
      <c r="AP93" s="37">
        <f t="shared" ca="1" si="122"/>
        <v>962787.52146272874</v>
      </c>
      <c r="AQ93" s="37">
        <f t="shared" ca="1" si="122"/>
        <v>1115996.184643778</v>
      </c>
      <c r="AR93" s="37">
        <f t="shared" ca="1" si="122"/>
        <v>1163828.4403618637</v>
      </c>
      <c r="AS93" s="39">
        <f ca="1">AS75*13</f>
        <v>1213352.4693880319</v>
      </c>
      <c r="AT93" s="37">
        <f t="shared" ca="1" si="122"/>
        <v>1264622.7392009976</v>
      </c>
      <c r="AU93" s="37">
        <f t="shared" ca="1" si="122"/>
        <v>1331084.7312462574</v>
      </c>
      <c r="AV93" s="37">
        <f t="shared" ca="1" si="122"/>
        <v>1415949.2775423601</v>
      </c>
      <c r="AW93" s="37">
        <f t="shared" ca="1" si="122"/>
        <v>1504596.4104427022</v>
      </c>
      <c r="AX93" s="37">
        <f t="shared" ca="1" si="122"/>
        <v>1597022.565795515</v>
      </c>
      <c r="AY93" s="37">
        <f t="shared" ca="1" si="122"/>
        <v>1693247.7264620624</v>
      </c>
      <c r="AZ93" s="37" t="e">
        <f t="shared" ca="1" si="122"/>
        <v>#N/A</v>
      </c>
      <c r="BA93" s="37" t="e">
        <f t="shared" ca="1" si="122"/>
        <v>#N/A</v>
      </c>
      <c r="BB93" s="37" t="e">
        <f t="shared" ca="1" si="122"/>
        <v>#N/A</v>
      </c>
    </row>
    <row r="94" spans="12:54" x14ac:dyDescent="0.25">
      <c r="AG94" s="12" t="s">
        <v>60</v>
      </c>
      <c r="AH94" s="12"/>
      <c r="AI94" s="45">
        <f ca="1">SUM(AI89:AI93)</f>
        <v>882923.63439849636</v>
      </c>
      <c r="AJ94" s="45">
        <f ca="1">SUM(AJ89:AJ93)</f>
        <v>894157.64196573501</v>
      </c>
      <c r="AK94" s="45">
        <f t="shared" ref="AK94:BB94" ca="1" si="124">SUM(AK89:AK93)</f>
        <v>903617.72991812509</v>
      </c>
      <c r="AL94" s="45">
        <f t="shared" ca="1" si="124"/>
        <v>912565.335767237</v>
      </c>
      <c r="AM94" s="45">
        <f t="shared" ca="1" si="124"/>
        <v>950375.01968783455</v>
      </c>
      <c r="AN94" s="45">
        <f t="shared" ca="1" si="124"/>
        <v>993419.58386554965</v>
      </c>
      <c r="AO94" s="45">
        <f t="shared" ca="1" si="124"/>
        <v>1037925.5197368113</v>
      </c>
      <c r="AP94" s="45">
        <f t="shared" ca="1" si="124"/>
        <v>1083172.1437543009</v>
      </c>
      <c r="AQ94" s="45">
        <f t="shared" ca="1" si="124"/>
        <v>1129999.8944242746</v>
      </c>
      <c r="AR94" s="45">
        <f t="shared" ca="1" si="124"/>
        <v>1178448.7744860491</v>
      </c>
      <c r="AS94" s="45">
        <f t="shared" ca="1" si="124"/>
        <v>1228611.7681992033</v>
      </c>
      <c r="AT94" s="45">
        <f t="shared" ca="1" si="124"/>
        <v>1280544.0716000758</v>
      </c>
      <c r="AU94" s="45">
        <f t="shared" ca="1" si="124"/>
        <v>1347681.8095220509</v>
      </c>
      <c r="AV94" s="45">
        <f t="shared" ca="1" si="124"/>
        <v>1433246.7238799119</v>
      </c>
      <c r="AW94" s="45">
        <f t="shared" ca="1" si="124"/>
        <v>1522618.2012296836</v>
      </c>
      <c r="AX94" s="45">
        <f t="shared" ca="1" si="124"/>
        <v>1615791.8491245199</v>
      </c>
      <c r="AY94" s="45">
        <f t="shared" ca="1" si="124"/>
        <v>1712787.1814893968</v>
      </c>
      <c r="AZ94" s="45" t="e">
        <f t="shared" ca="1" si="124"/>
        <v>#N/A</v>
      </c>
      <c r="BA94" s="45" t="e">
        <f t="shared" ca="1" si="124"/>
        <v>#N/A</v>
      </c>
      <c r="BB94" s="45" t="e">
        <f t="shared" ca="1" si="124"/>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180</v>
      </c>
      <c r="AH96" s="6"/>
      <c r="AS96" s="142"/>
    </row>
    <row r="97" spans="32:54" x14ac:dyDescent="0.25">
      <c r="AF97" s="6" t="s">
        <v>178</v>
      </c>
      <c r="AG97" s="38"/>
      <c r="AH97" s="36">
        <f>AI97-1</f>
        <v>2018</v>
      </c>
      <c r="AI97" s="36">
        <f>Yr_Start</f>
        <v>2019</v>
      </c>
      <c r="AJ97" s="36">
        <f>AI97+1</f>
        <v>2020</v>
      </c>
      <c r="AK97" s="36">
        <f t="shared" ref="AK97:BB97" si="125">AJ97+1</f>
        <v>2021</v>
      </c>
      <c r="AL97" s="36">
        <f t="shared" si="125"/>
        <v>2022</v>
      </c>
      <c r="AM97" s="36">
        <f t="shared" si="125"/>
        <v>2023</v>
      </c>
      <c r="AN97" s="36">
        <f t="shared" si="125"/>
        <v>2024</v>
      </c>
      <c r="AO97" s="36">
        <f t="shared" si="125"/>
        <v>2025</v>
      </c>
      <c r="AP97" s="36">
        <f t="shared" si="125"/>
        <v>2026</v>
      </c>
      <c r="AQ97" s="36">
        <f t="shared" si="125"/>
        <v>2027</v>
      </c>
      <c r="AR97" s="36">
        <f t="shared" si="125"/>
        <v>2028</v>
      </c>
      <c r="AS97" s="36">
        <f t="shared" si="125"/>
        <v>2029</v>
      </c>
      <c r="AT97" s="36">
        <f t="shared" si="125"/>
        <v>2030</v>
      </c>
      <c r="AU97" s="36">
        <f t="shared" si="125"/>
        <v>2031</v>
      </c>
      <c r="AV97" s="36">
        <f t="shared" si="125"/>
        <v>2032</v>
      </c>
      <c r="AW97" s="36">
        <f t="shared" si="125"/>
        <v>2033</v>
      </c>
      <c r="AX97" s="36">
        <f t="shared" si="125"/>
        <v>2034</v>
      </c>
      <c r="AY97" s="36">
        <f t="shared" si="125"/>
        <v>2035</v>
      </c>
      <c r="AZ97" s="36">
        <f t="shared" si="125"/>
        <v>2036</v>
      </c>
      <c r="BA97" s="36">
        <f t="shared" si="125"/>
        <v>2037</v>
      </c>
      <c r="BB97" s="36">
        <f t="shared" si="125"/>
        <v>2038</v>
      </c>
    </row>
    <row r="98" spans="32:54" x14ac:dyDescent="0.25">
      <c r="AG98" s="1" t="s">
        <v>52</v>
      </c>
      <c r="AH98" s="1"/>
      <c r="AI98" s="39">
        <f ca="1">AI80*13</f>
        <v>0</v>
      </c>
      <c r="AJ98" s="39">
        <f ca="1">AJ80*13</f>
        <v>0</v>
      </c>
      <c r="AK98" s="37">
        <f t="shared" ref="AK98:AR98" ca="1" si="126">AK80*13</f>
        <v>0</v>
      </c>
      <c r="AL98" s="37">
        <f t="shared" ca="1" si="126"/>
        <v>0</v>
      </c>
      <c r="AM98" s="37">
        <f t="shared" ca="1" si="126"/>
        <v>0</v>
      </c>
      <c r="AN98" s="37">
        <f t="shared" ca="1" si="126"/>
        <v>0</v>
      </c>
      <c r="AO98" s="37">
        <f t="shared" ca="1" si="126"/>
        <v>0</v>
      </c>
      <c r="AP98" s="37">
        <f t="shared" ca="1" si="126"/>
        <v>0</v>
      </c>
      <c r="AQ98" s="37">
        <f t="shared" ca="1" si="126"/>
        <v>0</v>
      </c>
      <c r="AR98" s="37">
        <f t="shared" ca="1" si="126"/>
        <v>0</v>
      </c>
      <c r="AS98" s="39">
        <f ca="1">AS80*13</f>
        <v>0</v>
      </c>
      <c r="AT98" s="37">
        <f t="shared" ref="AT98:BB98" ca="1" si="127">AT80*13</f>
        <v>0</v>
      </c>
      <c r="AU98" s="37">
        <f t="shared" ca="1" si="127"/>
        <v>0</v>
      </c>
      <c r="AV98" s="37">
        <f t="shared" ca="1" si="127"/>
        <v>0</v>
      </c>
      <c r="AW98" s="37">
        <f t="shared" ca="1" si="127"/>
        <v>0</v>
      </c>
      <c r="AX98" s="37">
        <f t="shared" ca="1" si="127"/>
        <v>0</v>
      </c>
      <c r="AY98" s="37">
        <f t="shared" ca="1" si="127"/>
        <v>0</v>
      </c>
      <c r="AZ98" s="37" t="e">
        <f t="shared" ca="1" si="127"/>
        <v>#N/A</v>
      </c>
      <c r="BA98" s="37" t="e">
        <f t="shared" ca="1" si="127"/>
        <v>#N/A</v>
      </c>
      <c r="BB98" s="37" t="e">
        <f t="shared" ca="1" si="127"/>
        <v>#N/A</v>
      </c>
    </row>
    <row r="99" spans="32:54" x14ac:dyDescent="0.25">
      <c r="AG99" s="1" t="s">
        <v>54</v>
      </c>
      <c r="AH99" s="1"/>
      <c r="AI99" s="37">
        <f t="shared" ref="AI99:BB102" ca="1" si="128">AI81*13</f>
        <v>37954.565223938029</v>
      </c>
      <c r="AJ99" s="37">
        <f t="shared" ca="1" si="128"/>
        <v>44331.165768561303</v>
      </c>
      <c r="AK99" s="37">
        <f t="shared" ca="1" si="128"/>
        <v>51063.958127524056</v>
      </c>
      <c r="AL99" s="37">
        <f t="shared" ca="1" si="128"/>
        <v>58230.901579961246</v>
      </c>
      <c r="AM99" s="37">
        <f t="shared" ca="1" si="128"/>
        <v>65844.068059153404</v>
      </c>
      <c r="AN99" s="37">
        <f t="shared" ca="1" si="128"/>
        <v>73911.788702765814</v>
      </c>
      <c r="AO99" s="37">
        <f t="shared" ca="1" si="128"/>
        <v>82444.582669487951</v>
      </c>
      <c r="AP99" s="37">
        <f t="shared" ca="1" si="128"/>
        <v>91394.34726254351</v>
      </c>
      <c r="AQ99" s="37">
        <f t="shared" ca="1" si="128"/>
        <v>100837.84645328572</v>
      </c>
      <c r="AR99" s="37">
        <f t="shared" ca="1" si="128"/>
        <v>110792.59566516052</v>
      </c>
      <c r="AS99" s="37">
        <f t="shared" ca="1" si="128"/>
        <v>121281.63259854454</v>
      </c>
      <c r="AT99" s="37">
        <f t="shared" ca="1" si="128"/>
        <v>132325.34951934149</v>
      </c>
      <c r="AU99" s="37">
        <f t="shared" ca="1" si="128"/>
        <v>143857.23193904533</v>
      </c>
      <c r="AV99" s="37">
        <f t="shared" ca="1" si="128"/>
        <v>155979.88858928016</v>
      </c>
      <c r="AW99" s="37">
        <f t="shared" ca="1" si="128"/>
        <v>168702.59244721383</v>
      </c>
      <c r="AX99" s="37">
        <f t="shared" ca="1" si="128"/>
        <v>182031.42314986503</v>
      </c>
      <c r="AY99" s="37">
        <f t="shared" ca="1" si="128"/>
        <v>195974.46286872082</v>
      </c>
      <c r="AZ99" s="37" t="e">
        <f t="shared" ca="1" si="128"/>
        <v>#N/A</v>
      </c>
      <c r="BA99" s="37" t="e">
        <f t="shared" ca="1" si="128"/>
        <v>#N/A</v>
      </c>
      <c r="BB99" s="37" t="e">
        <f t="shared" ca="1" si="128"/>
        <v>#N/A</v>
      </c>
    </row>
    <row r="100" spans="32:54" x14ac:dyDescent="0.25">
      <c r="AG100" s="1" t="s">
        <v>56</v>
      </c>
      <c r="AH100" s="1"/>
      <c r="AI100" s="37">
        <f t="shared" ca="1" si="128"/>
        <v>498828.08315054199</v>
      </c>
      <c r="AJ100" s="37">
        <f t="shared" ca="1" si="128"/>
        <v>446135.57240428514</v>
      </c>
      <c r="AK100" s="37">
        <f t="shared" ca="1" si="128"/>
        <v>390903.52423201437</v>
      </c>
      <c r="AL100" s="37">
        <f t="shared" ca="1" si="128"/>
        <v>333914.4298907757</v>
      </c>
      <c r="AM100" s="37">
        <f t="shared" ca="1" si="128"/>
        <v>275176.13783198537</v>
      </c>
      <c r="AN100" s="37">
        <f t="shared" ca="1" si="128"/>
        <v>214746.89424832957</v>
      </c>
      <c r="AO100" s="37">
        <f t="shared" ca="1" si="128"/>
        <v>152748.85571691184</v>
      </c>
      <c r="AP100" s="37">
        <f t="shared" ca="1" si="128"/>
        <v>89282.190232586494</v>
      </c>
      <c r="AQ100" s="37">
        <f t="shared" ca="1" si="128"/>
        <v>24677.159723184443</v>
      </c>
      <c r="AR100" s="37">
        <f t="shared" ca="1" si="128"/>
        <v>27113.297988190599</v>
      </c>
      <c r="AS100" s="37">
        <f ca="1">AS82*13</f>
        <v>29680.187790497199</v>
      </c>
      <c r="AT100" s="37">
        <f t="shared" ca="1" si="128"/>
        <v>32382.81955007559</v>
      </c>
      <c r="AU100" s="37">
        <f t="shared" ca="1" si="128"/>
        <v>35204.915760865304</v>
      </c>
      <c r="AV100" s="37">
        <f t="shared" ca="1" si="128"/>
        <v>38171.586955749983</v>
      </c>
      <c r="AW100" s="37">
        <f t="shared" ca="1" si="128"/>
        <v>41285.10242891559</v>
      </c>
      <c r="AX100" s="37">
        <f t="shared" ca="1" si="128"/>
        <v>44546.949996485186</v>
      </c>
      <c r="AY100" s="37">
        <f t="shared" ca="1" si="128"/>
        <v>47959.107537238524</v>
      </c>
      <c r="AZ100" s="37" t="e">
        <f t="shared" ca="1" si="128"/>
        <v>#N/A</v>
      </c>
      <c r="BA100" s="37" t="e">
        <f t="shared" ca="1" si="128"/>
        <v>#N/A</v>
      </c>
      <c r="BB100" s="37" t="e">
        <f t="shared" ca="1" si="128"/>
        <v>#N/A</v>
      </c>
    </row>
    <row r="101" spans="32:54" x14ac:dyDescent="0.25">
      <c r="AG101" s="1" t="s">
        <v>57</v>
      </c>
      <c r="AH101" s="1"/>
      <c r="AI101" s="37">
        <f t="shared" ca="1" si="128"/>
        <v>0</v>
      </c>
      <c r="AJ101" s="37">
        <f t="shared" ca="1" si="128"/>
        <v>0</v>
      </c>
      <c r="AK101" s="37">
        <f t="shared" ca="1" si="128"/>
        <v>0</v>
      </c>
      <c r="AL101" s="37">
        <f t="shared" ca="1" si="128"/>
        <v>0</v>
      </c>
      <c r="AM101" s="37">
        <f t="shared" ca="1" si="128"/>
        <v>0</v>
      </c>
      <c r="AN101" s="37">
        <f t="shared" ca="1" si="128"/>
        <v>0</v>
      </c>
      <c r="AO101" s="37">
        <f t="shared" ca="1" si="128"/>
        <v>0</v>
      </c>
      <c r="AP101" s="37">
        <f t="shared" ca="1" si="128"/>
        <v>0</v>
      </c>
      <c r="AQ101" s="37">
        <f t="shared" ca="1" si="128"/>
        <v>0</v>
      </c>
      <c r="AR101" s="37">
        <f t="shared" ca="1" si="128"/>
        <v>0</v>
      </c>
      <c r="AS101" s="37">
        <f t="shared" ca="1" si="128"/>
        <v>0</v>
      </c>
      <c r="AT101" s="37">
        <f t="shared" ca="1" si="128"/>
        <v>0</v>
      </c>
      <c r="AU101" s="37">
        <f t="shared" ca="1" si="128"/>
        <v>0</v>
      </c>
      <c r="AV101" s="37">
        <f t="shared" ca="1" si="128"/>
        <v>0</v>
      </c>
      <c r="AW101" s="37">
        <f t="shared" ca="1" si="128"/>
        <v>0</v>
      </c>
      <c r="AX101" s="37">
        <f t="shared" ca="1" si="128"/>
        <v>0</v>
      </c>
      <c r="AY101" s="37">
        <f t="shared" ca="1" si="128"/>
        <v>0</v>
      </c>
      <c r="AZ101" s="37" t="e">
        <f t="shared" ca="1" si="128"/>
        <v>#N/A</v>
      </c>
      <c r="BA101" s="37" t="e">
        <f t="shared" ca="1" si="128"/>
        <v>#N/A</v>
      </c>
      <c r="BB101" s="37" t="e">
        <f t="shared" ca="1" si="128"/>
        <v>#N/A</v>
      </c>
    </row>
    <row r="102" spans="32:54" x14ac:dyDescent="0.25">
      <c r="AG102" s="1" t="s">
        <v>59</v>
      </c>
      <c r="AH102" s="1"/>
      <c r="AI102" s="37">
        <f t="shared" ca="1" si="128"/>
        <v>122384.94901300414</v>
      </c>
      <c r="AJ102" s="37">
        <f t="shared" ca="1" si="128"/>
        <v>186551.48396122025</v>
      </c>
      <c r="AK102" s="37">
        <f t="shared" ca="1" si="128"/>
        <v>252271.39376630925</v>
      </c>
      <c r="AL102" s="37">
        <f t="shared" ca="1" si="128"/>
        <v>319664.09323984932</v>
      </c>
      <c r="AM102" s="37">
        <f t="shared" ca="1" si="128"/>
        <v>388594.04681096436</v>
      </c>
      <c r="AN102" s="37">
        <f t="shared" ca="1" si="128"/>
        <v>458871.26118970918</v>
      </c>
      <c r="AO102" s="37">
        <f t="shared" ca="1" si="128"/>
        <v>530291.67099651857</v>
      </c>
      <c r="AP102" s="37">
        <f t="shared" ca="1" si="128"/>
        <v>602244.49545902468</v>
      </c>
      <c r="AQ102" s="37">
        <f t="shared" ca="1" si="128"/>
        <v>674912.77430319518</v>
      </c>
      <c r="AR102" s="37">
        <f t="shared" ca="1" si="128"/>
        <v>680086.30339863547</v>
      </c>
      <c r="AS102" s="39">
        <f ca="1">AS84*13</f>
        <v>684674.47312536999</v>
      </c>
      <c r="AT102" s="37">
        <f t="shared" ca="1" si="128"/>
        <v>688644.98264032567</v>
      </c>
      <c r="AU102" s="37">
        <f t="shared" ca="1" si="128"/>
        <v>691543.05708600883</v>
      </c>
      <c r="AV102" s="37">
        <f t="shared" ca="1" si="128"/>
        <v>693787.46282366291</v>
      </c>
      <c r="AW102" s="37">
        <f t="shared" ca="1" si="128"/>
        <v>695285.10433737736</v>
      </c>
      <c r="AX102" s="37">
        <f t="shared" ca="1" si="128"/>
        <v>695942.45479411376</v>
      </c>
      <c r="AY102" s="37">
        <f t="shared" ca="1" si="128"/>
        <v>695685.91114447231</v>
      </c>
      <c r="AZ102" s="37" t="e">
        <f t="shared" ca="1" si="128"/>
        <v>#N/A</v>
      </c>
      <c r="BA102" s="37" t="e">
        <f t="shared" ca="1" si="128"/>
        <v>#N/A</v>
      </c>
      <c r="BB102" s="37" t="e">
        <f t="shared" ca="1" si="128"/>
        <v>#N/A</v>
      </c>
    </row>
    <row r="103" spans="32:54" x14ac:dyDescent="0.25">
      <c r="AG103" s="12" t="s">
        <v>60</v>
      </c>
      <c r="AH103" s="12"/>
      <c r="AI103" s="45">
        <f ca="1">SUM(AI98:AI102)</f>
        <v>659167.59738748404</v>
      </c>
      <c r="AJ103" s="45">
        <f ca="1">SUM(AJ98:AJ102)</f>
        <v>677018.22213406675</v>
      </c>
      <c r="AK103" s="45">
        <f t="shared" ref="AK103:BB103" ca="1" si="129">SUM(AK98:AK102)</f>
        <v>694238.87612584769</v>
      </c>
      <c r="AL103" s="45">
        <f t="shared" ca="1" si="129"/>
        <v>711809.4247105862</v>
      </c>
      <c r="AM103" s="45">
        <f t="shared" ca="1" si="129"/>
        <v>729614.25270210311</v>
      </c>
      <c r="AN103" s="45">
        <f t="shared" ca="1" si="129"/>
        <v>747529.94414080458</v>
      </c>
      <c r="AO103" s="45">
        <f t="shared" ca="1" si="129"/>
        <v>765485.10938291834</v>
      </c>
      <c r="AP103" s="45">
        <f t="shared" ca="1" si="129"/>
        <v>782921.03295415465</v>
      </c>
      <c r="AQ103" s="45">
        <f t="shared" ca="1" si="129"/>
        <v>800427.78047966538</v>
      </c>
      <c r="AR103" s="45">
        <f t="shared" ca="1" si="129"/>
        <v>817992.19705198659</v>
      </c>
      <c r="AS103" s="45">
        <f t="shared" ca="1" si="129"/>
        <v>835636.29351441166</v>
      </c>
      <c r="AT103" s="45">
        <f t="shared" ca="1" si="129"/>
        <v>853353.15170974273</v>
      </c>
      <c r="AU103" s="45">
        <f t="shared" ca="1" si="129"/>
        <v>870605.20478591952</v>
      </c>
      <c r="AV103" s="45">
        <f t="shared" ca="1" si="129"/>
        <v>887938.93836869299</v>
      </c>
      <c r="AW103" s="45">
        <f t="shared" ca="1" si="129"/>
        <v>905272.79921350675</v>
      </c>
      <c r="AX103" s="45">
        <f t="shared" ca="1" si="129"/>
        <v>922520.82794046402</v>
      </c>
      <c r="AY103" s="45">
        <f t="shared" ca="1" si="129"/>
        <v>939619.48155043158</v>
      </c>
      <c r="AZ103" s="45" t="e">
        <f t="shared" ca="1" si="129"/>
        <v>#N/A</v>
      </c>
      <c r="BA103" s="45" t="e">
        <f t="shared" ca="1" si="129"/>
        <v>#N/A</v>
      </c>
      <c r="BB103" s="45" t="e">
        <f t="shared" ca="1" si="129"/>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30">AJ107+1</f>
        <v>2021</v>
      </c>
      <c r="AL107" s="36">
        <f t="shared" si="130"/>
        <v>2022</v>
      </c>
      <c r="AM107" s="36">
        <f t="shared" si="130"/>
        <v>2023</v>
      </c>
      <c r="AN107" s="36">
        <f t="shared" si="130"/>
        <v>2024</v>
      </c>
      <c r="AO107" s="36">
        <f t="shared" si="130"/>
        <v>2025</v>
      </c>
      <c r="AP107" s="36">
        <f t="shared" si="130"/>
        <v>2026</v>
      </c>
      <c r="AQ107" s="36">
        <f t="shared" si="130"/>
        <v>2027</v>
      </c>
      <c r="AR107" s="36">
        <f t="shared" si="130"/>
        <v>2028</v>
      </c>
      <c r="AS107" s="36">
        <f t="shared" si="130"/>
        <v>2029</v>
      </c>
      <c r="AT107" s="36">
        <f t="shared" si="130"/>
        <v>2030</v>
      </c>
      <c r="AU107" s="36">
        <f t="shared" si="130"/>
        <v>2031</v>
      </c>
      <c r="AV107" s="36">
        <f t="shared" si="130"/>
        <v>2032</v>
      </c>
      <c r="AW107" s="36">
        <f t="shared" si="130"/>
        <v>2033</v>
      </c>
      <c r="AX107" s="36">
        <f t="shared" si="130"/>
        <v>2034</v>
      </c>
      <c r="AY107" s="36">
        <f t="shared" si="130"/>
        <v>2035</v>
      </c>
      <c r="AZ107" s="36">
        <f t="shared" si="130"/>
        <v>2036</v>
      </c>
      <c r="BA107" s="36">
        <f t="shared" si="130"/>
        <v>2037</v>
      </c>
      <c r="BB107" s="36">
        <f t="shared" si="130"/>
        <v>2038</v>
      </c>
    </row>
    <row r="108" spans="32:54" x14ac:dyDescent="0.25">
      <c r="AF108"/>
      <c r="AG108" s="1" t="s">
        <v>52</v>
      </c>
      <c r="AH108" s="1"/>
      <c r="AI108" s="37">
        <f ca="1">AI89+AI98</f>
        <v>33360.913967338012</v>
      </c>
      <c r="AJ108" s="37">
        <f ca="1">AJ89+AJ98</f>
        <v>23090.816491706504</v>
      </c>
      <c r="AK108" s="37">
        <f t="shared" ref="AK108:BB108" ca="1" si="131">AK89+AK98</f>
        <v>11968.979604063747</v>
      </c>
      <c r="AL108" s="37">
        <f t="shared" ca="1" si="131"/>
        <v>0</v>
      </c>
      <c r="AM108" s="37">
        <f t="shared" ca="1" si="131"/>
        <v>0</v>
      </c>
      <c r="AN108" s="37">
        <f t="shared" ca="1" si="131"/>
        <v>0</v>
      </c>
      <c r="AO108" s="37">
        <f t="shared" ca="1" si="131"/>
        <v>0</v>
      </c>
      <c r="AP108" s="37">
        <f t="shared" ca="1" si="131"/>
        <v>0</v>
      </c>
      <c r="AQ108" s="37">
        <f t="shared" ca="1" si="131"/>
        <v>0</v>
      </c>
      <c r="AR108" s="37">
        <f t="shared" ca="1" si="131"/>
        <v>0</v>
      </c>
      <c r="AS108" s="37">
        <f t="shared" ca="1" si="131"/>
        <v>0</v>
      </c>
      <c r="AT108" s="37">
        <f t="shared" ca="1" si="131"/>
        <v>0</v>
      </c>
      <c r="AU108" s="37">
        <f t="shared" ca="1" si="131"/>
        <v>0</v>
      </c>
      <c r="AV108" s="37">
        <f t="shared" ca="1" si="131"/>
        <v>0</v>
      </c>
      <c r="AW108" s="37">
        <f t="shared" ca="1" si="131"/>
        <v>0</v>
      </c>
      <c r="AX108" s="37">
        <f t="shared" ca="1" si="131"/>
        <v>0</v>
      </c>
      <c r="AY108" s="37">
        <f t="shared" ca="1" si="131"/>
        <v>0</v>
      </c>
      <c r="AZ108" s="37" t="e">
        <f t="shared" ca="1" si="131"/>
        <v>#N/A</v>
      </c>
      <c r="BA108" s="37" t="e">
        <f t="shared" ca="1" si="131"/>
        <v>#N/A</v>
      </c>
      <c r="BB108" s="37" t="e">
        <f t="shared" ca="1" si="131"/>
        <v>#N/A</v>
      </c>
    </row>
    <row r="109" spans="32:54" x14ac:dyDescent="0.25">
      <c r="AF109"/>
      <c r="AG109" s="1" t="s">
        <v>54</v>
      </c>
      <c r="AH109" s="1"/>
      <c r="AI109" s="37">
        <f t="shared" ref="AI109:BB112" ca="1" si="132">AI90+AI99</f>
        <v>37954.565223938029</v>
      </c>
      <c r="AJ109" s="37">
        <f t="shared" ca="1" si="132"/>
        <v>44331.165768561303</v>
      </c>
      <c r="AK109" s="37">
        <f t="shared" ca="1" si="132"/>
        <v>51063.958127524056</v>
      </c>
      <c r="AL109" s="37">
        <f t="shared" ca="1" si="132"/>
        <v>58230.901579961246</v>
      </c>
      <c r="AM109" s="37">
        <f t="shared" ca="1" si="132"/>
        <v>65844.068059153404</v>
      </c>
      <c r="AN109" s="37">
        <f t="shared" ca="1" si="132"/>
        <v>73911.788702765814</v>
      </c>
      <c r="AO109" s="37">
        <f t="shared" ca="1" si="132"/>
        <v>82444.582669487951</v>
      </c>
      <c r="AP109" s="37">
        <f t="shared" ca="1" si="132"/>
        <v>91394.34726254351</v>
      </c>
      <c r="AQ109" s="37">
        <f t="shared" ca="1" si="132"/>
        <v>100837.84645328572</v>
      </c>
      <c r="AR109" s="37">
        <f t="shared" ca="1" si="132"/>
        <v>110792.59566516052</v>
      </c>
      <c r="AS109" s="37">
        <f t="shared" ca="1" si="132"/>
        <v>121281.63259854454</v>
      </c>
      <c r="AT109" s="37">
        <f t="shared" ca="1" si="132"/>
        <v>132325.34951934149</v>
      </c>
      <c r="AU109" s="37">
        <f t="shared" ca="1" si="132"/>
        <v>143857.23193904533</v>
      </c>
      <c r="AV109" s="37">
        <f t="shared" ca="1" si="132"/>
        <v>155979.88858928016</v>
      </c>
      <c r="AW109" s="37">
        <f t="shared" ca="1" si="132"/>
        <v>168702.59244721383</v>
      </c>
      <c r="AX109" s="37">
        <f t="shared" ca="1" si="132"/>
        <v>182031.42314986503</v>
      </c>
      <c r="AY109" s="37">
        <f t="shared" ca="1" si="132"/>
        <v>195974.46286872082</v>
      </c>
      <c r="AZ109" s="37" t="e">
        <f t="shared" ca="1" si="132"/>
        <v>#N/A</v>
      </c>
      <c r="BA109" s="37" t="e">
        <f t="shared" ca="1" si="132"/>
        <v>#N/A</v>
      </c>
      <c r="BB109" s="37" t="e">
        <f t="shared" ca="1" si="132"/>
        <v>#N/A</v>
      </c>
    </row>
    <row r="110" spans="32:54" x14ac:dyDescent="0.25">
      <c r="AF110"/>
      <c r="AG110" s="1" t="s">
        <v>56</v>
      </c>
      <c r="AH110" s="1"/>
      <c r="AI110" s="37">
        <f t="shared" ca="1" si="132"/>
        <v>1180424.4325061976</v>
      </c>
      <c r="AJ110" s="37">
        <f t="shared" ca="1" si="132"/>
        <v>1058944.7777255613</v>
      </c>
      <c r="AK110" s="37">
        <f t="shared" ca="1" si="132"/>
        <v>930169.45412119268</v>
      </c>
      <c r="AL110" s="37">
        <f t="shared" ca="1" si="132"/>
        <v>795795.60458658659</v>
      </c>
      <c r="AM110" s="37">
        <f t="shared" ca="1" si="132"/>
        <v>662359.99149403046</v>
      </c>
      <c r="AN110" s="37">
        <f t="shared" ca="1" si="132"/>
        <v>521360.84694886667</v>
      </c>
      <c r="AO110" s="37">
        <f t="shared" ca="1" si="132"/>
        <v>370600.64921920968</v>
      </c>
      <c r="AP110" s="37">
        <f t="shared" ca="1" si="132"/>
        <v>209666.81252415862</v>
      </c>
      <c r="AQ110" s="37">
        <f t="shared" ca="1" si="132"/>
        <v>38680.869503680951</v>
      </c>
      <c r="AR110" s="37">
        <f t="shared" ca="1" si="132"/>
        <v>41733.632112375926</v>
      </c>
      <c r="AS110" s="37">
        <f t="shared" ca="1" si="132"/>
        <v>44939.486601668657</v>
      </c>
      <c r="AT110" s="37">
        <f t="shared" ca="1" si="132"/>
        <v>48304.151949153711</v>
      </c>
      <c r="AU110" s="37">
        <f t="shared" ca="1" si="132"/>
        <v>51801.994036658871</v>
      </c>
      <c r="AV110" s="37">
        <f t="shared" ca="1" si="132"/>
        <v>55469.033293301676</v>
      </c>
      <c r="AW110" s="37">
        <f t="shared" ca="1" si="132"/>
        <v>59306.893215896969</v>
      </c>
      <c r="AX110" s="37">
        <f t="shared" ca="1" si="132"/>
        <v>63316.233325490117</v>
      </c>
      <c r="AY110" s="37">
        <f t="shared" ca="1" si="132"/>
        <v>67498.562564572945</v>
      </c>
      <c r="AZ110" s="37" t="e">
        <f t="shared" ca="1" si="132"/>
        <v>#N/A</v>
      </c>
      <c r="BA110" s="37" t="e">
        <f t="shared" ca="1" si="132"/>
        <v>#N/A</v>
      </c>
      <c r="BB110" s="37" t="e">
        <f t="shared" ca="1" si="132"/>
        <v>#N/A</v>
      </c>
    </row>
    <row r="111" spans="32:54" x14ac:dyDescent="0.25">
      <c r="AF111"/>
      <c r="AG111" s="1" t="s">
        <v>57</v>
      </c>
      <c r="AH111" s="1"/>
      <c r="AI111" s="37">
        <f t="shared" ca="1" si="132"/>
        <v>0</v>
      </c>
      <c r="AJ111" s="37">
        <f t="shared" ca="1" si="132"/>
        <v>0</v>
      </c>
      <c r="AK111" s="37">
        <f t="shared" ca="1" si="132"/>
        <v>0</v>
      </c>
      <c r="AL111" s="37">
        <f t="shared" ca="1" si="132"/>
        <v>0</v>
      </c>
      <c r="AM111" s="37">
        <f t="shared" ca="1" si="132"/>
        <v>0</v>
      </c>
      <c r="AN111" s="37">
        <f t="shared" ca="1" si="132"/>
        <v>0</v>
      </c>
      <c r="AO111" s="37">
        <f t="shared" ca="1" si="132"/>
        <v>0</v>
      </c>
      <c r="AP111" s="37">
        <f t="shared" ca="1" si="132"/>
        <v>0</v>
      </c>
      <c r="AQ111" s="37">
        <f t="shared" ca="1" si="132"/>
        <v>0</v>
      </c>
      <c r="AR111" s="37">
        <f t="shared" ca="1" si="132"/>
        <v>0</v>
      </c>
      <c r="AS111" s="37">
        <f t="shared" ca="1" si="132"/>
        <v>0</v>
      </c>
      <c r="AT111" s="37">
        <f t="shared" ca="1" si="132"/>
        <v>0</v>
      </c>
      <c r="AU111" s="37">
        <f t="shared" ca="1" si="132"/>
        <v>0</v>
      </c>
      <c r="AV111" s="37">
        <f t="shared" ca="1" si="132"/>
        <v>0</v>
      </c>
      <c r="AW111" s="37">
        <f t="shared" ca="1" si="132"/>
        <v>0</v>
      </c>
      <c r="AX111" s="37">
        <f t="shared" ca="1" si="132"/>
        <v>0</v>
      </c>
      <c r="AY111" s="37">
        <f t="shared" ca="1" si="132"/>
        <v>0</v>
      </c>
      <c r="AZ111" s="37" t="e">
        <f t="shared" ca="1" si="132"/>
        <v>#N/A</v>
      </c>
      <c r="BA111" s="37" t="e">
        <f t="shared" ca="1" si="132"/>
        <v>#N/A</v>
      </c>
      <c r="BB111" s="37" t="e">
        <f t="shared" ca="1" si="132"/>
        <v>#N/A</v>
      </c>
    </row>
    <row r="112" spans="32:54" x14ac:dyDescent="0.25">
      <c r="AF112"/>
      <c r="AG112" s="1" t="s">
        <v>59</v>
      </c>
      <c r="AH112" s="1"/>
      <c r="AI112" s="37">
        <f t="shared" ca="1" si="132"/>
        <v>290351.32008850668</v>
      </c>
      <c r="AJ112" s="37">
        <f ca="1">AJ93+AJ102</f>
        <v>444809.10411397263</v>
      </c>
      <c r="AK112" s="37">
        <f t="shared" ca="1" si="132"/>
        <v>604654.2141911923</v>
      </c>
      <c r="AL112" s="37">
        <f t="shared" ca="1" si="132"/>
        <v>770348.25431127544</v>
      </c>
      <c r="AM112" s="37">
        <f t="shared" ca="1" si="132"/>
        <v>951785.21283675381</v>
      </c>
      <c r="AN112" s="37">
        <f t="shared" ca="1" si="132"/>
        <v>1145676.8923547217</v>
      </c>
      <c r="AO112" s="37">
        <f t="shared" ca="1" si="132"/>
        <v>1350365.3972310321</v>
      </c>
      <c r="AP112" s="37">
        <f t="shared" ca="1" si="132"/>
        <v>1565032.0169217535</v>
      </c>
      <c r="AQ112" s="37">
        <f t="shared" ca="1" si="132"/>
        <v>1790908.9589469731</v>
      </c>
      <c r="AR112" s="37">
        <f t="shared" ca="1" si="132"/>
        <v>1843914.7437604992</v>
      </c>
      <c r="AS112" s="37">
        <f t="shared" ca="1" si="132"/>
        <v>1898026.9425134019</v>
      </c>
      <c r="AT112" s="37">
        <f t="shared" ca="1" si="132"/>
        <v>1953267.7218413232</v>
      </c>
      <c r="AU112" s="37">
        <f t="shared" ca="1" si="132"/>
        <v>2022627.7883322663</v>
      </c>
      <c r="AV112" s="37">
        <f t="shared" ca="1" si="132"/>
        <v>2109736.740366023</v>
      </c>
      <c r="AW112" s="37">
        <f t="shared" ca="1" si="132"/>
        <v>2199881.5147800795</v>
      </c>
      <c r="AX112" s="37">
        <f t="shared" ca="1" si="132"/>
        <v>2292965.0205896287</v>
      </c>
      <c r="AY112" s="37">
        <f t="shared" ca="1" si="132"/>
        <v>2388933.6376065346</v>
      </c>
      <c r="AZ112" s="37" t="e">
        <f t="shared" ca="1" si="132"/>
        <v>#N/A</v>
      </c>
      <c r="BA112" s="37" t="e">
        <f t="shared" ca="1" si="132"/>
        <v>#N/A</v>
      </c>
      <c r="BB112" s="37" t="e">
        <f t="shared" ca="1" si="132"/>
        <v>#N/A</v>
      </c>
    </row>
    <row r="113" spans="32:54" x14ac:dyDescent="0.25">
      <c r="AF113"/>
      <c r="AG113" s="12" t="s">
        <v>60</v>
      </c>
      <c r="AH113" s="12"/>
      <c r="AI113" s="45">
        <f ca="1">SUM(AI108:AI112)</f>
        <v>1542091.2317859803</v>
      </c>
      <c r="AJ113" s="45">
        <f ca="1">SUM(AJ108:AJ112)</f>
        <v>1571175.8640998015</v>
      </c>
      <c r="AK113" s="45">
        <f t="shared" ref="AK113:BB113" ca="1" si="133">SUM(AK108:AK112)</f>
        <v>1597856.6060439728</v>
      </c>
      <c r="AL113" s="45">
        <f t="shared" ca="1" si="133"/>
        <v>1624374.7604778232</v>
      </c>
      <c r="AM113" s="45">
        <f t="shared" ca="1" si="133"/>
        <v>1679989.2723899377</v>
      </c>
      <c r="AN113" s="45">
        <f t="shared" ca="1" si="133"/>
        <v>1740949.5280063541</v>
      </c>
      <c r="AO113" s="45">
        <f t="shared" ca="1" si="133"/>
        <v>1803410.6291197296</v>
      </c>
      <c r="AP113" s="45">
        <f t="shared" ca="1" si="133"/>
        <v>1866093.1767084557</v>
      </c>
      <c r="AQ113" s="45">
        <f t="shared" ca="1" si="133"/>
        <v>1930427.6749039397</v>
      </c>
      <c r="AR113" s="45">
        <f t="shared" ca="1" si="133"/>
        <v>1996440.9715380357</v>
      </c>
      <c r="AS113" s="45">
        <f t="shared" ca="1" si="133"/>
        <v>2064248.061713615</v>
      </c>
      <c r="AT113" s="45">
        <f t="shared" ca="1" si="133"/>
        <v>2133897.2233098182</v>
      </c>
      <c r="AU113" s="45">
        <f t="shared" ca="1" si="133"/>
        <v>2218287.0143079706</v>
      </c>
      <c r="AV113" s="45">
        <f t="shared" ca="1" si="133"/>
        <v>2321185.6622486049</v>
      </c>
      <c r="AW113" s="45">
        <f t="shared" ca="1" si="133"/>
        <v>2427891.0004431903</v>
      </c>
      <c r="AX113" s="45">
        <f t="shared" ca="1" si="133"/>
        <v>2538312.6770649841</v>
      </c>
      <c r="AY113" s="45">
        <f t="shared" ca="1" si="133"/>
        <v>2652406.6630398287</v>
      </c>
      <c r="AZ113" s="45" t="e">
        <f t="shared" ca="1" si="133"/>
        <v>#N/A</v>
      </c>
      <c r="BA113" s="45" t="e">
        <f t="shared" ca="1" si="133"/>
        <v>#N/A</v>
      </c>
      <c r="BB113" s="45" t="e">
        <f t="shared" ca="1" si="133"/>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34">AJ116+1</f>
        <v>2021</v>
      </c>
      <c r="AL116" s="36">
        <f t="shared" si="134"/>
        <v>2022</v>
      </c>
      <c r="AM116" s="36">
        <f t="shared" si="134"/>
        <v>2023</v>
      </c>
      <c r="AN116" s="36">
        <f t="shared" si="134"/>
        <v>2024</v>
      </c>
      <c r="AO116" s="36">
        <f t="shared" si="134"/>
        <v>2025</v>
      </c>
      <c r="AP116" s="36">
        <f t="shared" si="134"/>
        <v>2026</v>
      </c>
      <c r="AQ116" s="36">
        <f t="shared" si="134"/>
        <v>2027</v>
      </c>
      <c r="AR116" s="36">
        <f t="shared" si="134"/>
        <v>2028</v>
      </c>
      <c r="AS116" s="36">
        <f t="shared" si="134"/>
        <v>2029</v>
      </c>
      <c r="AT116" s="36">
        <f t="shared" si="134"/>
        <v>2030</v>
      </c>
      <c r="AU116" s="36">
        <f t="shared" si="134"/>
        <v>2031</v>
      </c>
      <c r="AV116" s="36">
        <f t="shared" si="134"/>
        <v>2032</v>
      </c>
      <c r="AW116" s="36">
        <f t="shared" si="134"/>
        <v>2033</v>
      </c>
      <c r="AX116" s="36">
        <f t="shared" si="134"/>
        <v>2034</v>
      </c>
      <c r="AY116" s="36">
        <f t="shared" si="134"/>
        <v>2035</v>
      </c>
      <c r="AZ116" s="36">
        <f t="shared" si="134"/>
        <v>2036</v>
      </c>
      <c r="BA116" s="36">
        <f t="shared" si="134"/>
        <v>2037</v>
      </c>
      <c r="BB116" s="36">
        <f t="shared" si="134"/>
        <v>2038</v>
      </c>
    </row>
    <row r="117" spans="32:54" x14ac:dyDescent="0.25">
      <c r="AF117"/>
      <c r="AG117" s="1" t="s">
        <v>52</v>
      </c>
      <c r="AH117" s="1"/>
      <c r="AI117" s="37">
        <f ca="1">AI71+AI80</f>
        <v>2566.2241513336935</v>
      </c>
      <c r="AJ117" s="37">
        <f t="shared" ref="AJ117:BB117" ca="1" si="135">AJ71+AJ80</f>
        <v>1776.2166532081926</v>
      </c>
      <c r="AK117" s="37">
        <f t="shared" ca="1" si="135"/>
        <v>920.69073877413439</v>
      </c>
      <c r="AL117" s="37">
        <f t="shared" ca="1" si="135"/>
        <v>0</v>
      </c>
      <c r="AM117" s="37">
        <f t="shared" ca="1" si="135"/>
        <v>0</v>
      </c>
      <c r="AN117" s="37">
        <f t="shared" ca="1" si="135"/>
        <v>0</v>
      </c>
      <c r="AO117" s="37">
        <f t="shared" ca="1" si="135"/>
        <v>0</v>
      </c>
      <c r="AP117" s="37">
        <f t="shared" ca="1" si="135"/>
        <v>0</v>
      </c>
      <c r="AQ117" s="37">
        <f t="shared" ca="1" si="135"/>
        <v>0</v>
      </c>
      <c r="AR117" s="37">
        <f t="shared" ca="1" si="135"/>
        <v>0</v>
      </c>
      <c r="AS117" s="37">
        <f t="shared" ca="1" si="135"/>
        <v>0</v>
      </c>
      <c r="AT117" s="37">
        <f t="shared" ca="1" si="135"/>
        <v>0</v>
      </c>
      <c r="AU117" s="37">
        <f t="shared" ca="1" si="135"/>
        <v>0</v>
      </c>
      <c r="AV117" s="37">
        <f t="shared" ca="1" si="135"/>
        <v>0</v>
      </c>
      <c r="AW117" s="37">
        <f t="shared" ca="1" si="135"/>
        <v>0</v>
      </c>
      <c r="AX117" s="37">
        <f t="shared" ca="1" si="135"/>
        <v>0</v>
      </c>
      <c r="AY117" s="37">
        <f t="shared" ca="1" si="135"/>
        <v>0</v>
      </c>
      <c r="AZ117" s="37" t="e">
        <f t="shared" ca="1" si="135"/>
        <v>#N/A</v>
      </c>
      <c r="BA117" s="37" t="e">
        <f t="shared" ca="1" si="135"/>
        <v>#N/A</v>
      </c>
      <c r="BB117" s="37" t="e">
        <f t="shared" ca="1" si="135"/>
        <v>#N/A</v>
      </c>
    </row>
    <row r="118" spans="32:54" x14ac:dyDescent="0.25">
      <c r="AF118"/>
      <c r="AG118" s="1" t="s">
        <v>54</v>
      </c>
      <c r="AH118" s="1"/>
      <c r="AI118" s="37">
        <f t="shared" ref="AI118:BB121" ca="1" si="136">AI72+AI81</f>
        <v>2919.5819403029254</v>
      </c>
      <c r="AJ118" s="37">
        <f t="shared" ca="1" si="136"/>
        <v>3410.0896745047157</v>
      </c>
      <c r="AK118" s="37">
        <f t="shared" ca="1" si="136"/>
        <v>3927.996779040312</v>
      </c>
      <c r="AL118" s="37">
        <f t="shared" ca="1" si="136"/>
        <v>4479.3001215354807</v>
      </c>
      <c r="AM118" s="37">
        <f t="shared" ca="1" si="136"/>
        <v>5064.9283122425695</v>
      </c>
      <c r="AN118" s="37">
        <f t="shared" ca="1" si="136"/>
        <v>5685.5222079050627</v>
      </c>
      <c r="AO118" s="37">
        <f t="shared" ca="1" si="136"/>
        <v>6341.8909745759956</v>
      </c>
      <c r="AP118" s="37">
        <f t="shared" ca="1" si="136"/>
        <v>7030.3344048110393</v>
      </c>
      <c r="AQ118" s="37">
        <f t="shared" ca="1" si="136"/>
        <v>7756.757419483517</v>
      </c>
      <c r="AR118" s="37">
        <f t="shared" ca="1" si="136"/>
        <v>8522.5073588585019</v>
      </c>
      <c r="AS118" s="37">
        <f t="shared" ca="1" si="136"/>
        <v>9329.3563537341961</v>
      </c>
      <c r="AT118" s="37">
        <f t="shared" ca="1" si="136"/>
        <v>10178.873039949345</v>
      </c>
      <c r="AU118" s="37">
        <f t="shared" ca="1" si="136"/>
        <v>11065.940918388103</v>
      </c>
      <c r="AV118" s="37">
        <f t="shared" ca="1" si="136"/>
        <v>11998.452968406165</v>
      </c>
      <c r="AW118" s="37">
        <f t="shared" ca="1" si="136"/>
        <v>12977.122495939526</v>
      </c>
      <c r="AX118" s="37">
        <f t="shared" ca="1" si="136"/>
        <v>14002.417165374234</v>
      </c>
      <c r="AY118" s="37">
        <f t="shared" ca="1" si="136"/>
        <v>15074.958682209293</v>
      </c>
      <c r="AZ118" s="37" t="e">
        <f t="shared" ca="1" si="136"/>
        <v>#N/A</v>
      </c>
      <c r="BA118" s="37" t="e">
        <f t="shared" ca="1" si="136"/>
        <v>#N/A</v>
      </c>
      <c r="BB118" s="37" t="e">
        <f t="shared" ca="1" si="136"/>
        <v>#N/A</v>
      </c>
    </row>
    <row r="119" spans="32:54" x14ac:dyDescent="0.25">
      <c r="AF119"/>
      <c r="AG119" s="1" t="s">
        <v>56</v>
      </c>
      <c r="AH119" s="1"/>
      <c r="AI119" s="37">
        <f t="shared" ca="1" si="136"/>
        <v>90801.879423553677</v>
      </c>
      <c r="AJ119" s="37">
        <f t="shared" ca="1" si="136"/>
        <v>81457.290594273945</v>
      </c>
      <c r="AK119" s="37">
        <f t="shared" ca="1" si="136"/>
        <v>71551.496470860977</v>
      </c>
      <c r="AL119" s="37">
        <f t="shared" ca="1" si="136"/>
        <v>61215.04650666051</v>
      </c>
      <c r="AM119" s="37">
        <f t="shared" ca="1" si="136"/>
        <v>50950.768576463881</v>
      </c>
      <c r="AN119" s="37">
        <f t="shared" ca="1" si="136"/>
        <v>40104.680534528205</v>
      </c>
      <c r="AO119" s="37">
        <f t="shared" ca="1" si="136"/>
        <v>28507.742247631519</v>
      </c>
      <c r="AP119" s="37">
        <f t="shared" ca="1" si="136"/>
        <v>16128.2163480122</v>
      </c>
      <c r="AQ119" s="37">
        <f t="shared" ca="1" si="136"/>
        <v>2975.4515002831499</v>
      </c>
      <c r="AR119" s="37">
        <f t="shared" ca="1" si="136"/>
        <v>3210.2793932596865</v>
      </c>
      <c r="AS119" s="37">
        <f t="shared" ca="1" si="136"/>
        <v>3456.8835847437426</v>
      </c>
      <c r="AT119" s="37">
        <f t="shared" ca="1" si="136"/>
        <v>3715.7039960887469</v>
      </c>
      <c r="AU119" s="37">
        <f t="shared" ca="1" si="136"/>
        <v>3984.7687720506829</v>
      </c>
      <c r="AV119" s="37">
        <f t="shared" ca="1" si="136"/>
        <v>4266.8487148693594</v>
      </c>
      <c r="AW119" s="37">
        <f t="shared" ca="1" si="136"/>
        <v>4562.0687089151515</v>
      </c>
      <c r="AX119" s="37">
        <f t="shared" ca="1" si="136"/>
        <v>4870.4794865761633</v>
      </c>
      <c r="AY119" s="37">
        <f t="shared" ca="1" si="136"/>
        <v>5192.1971203517642</v>
      </c>
      <c r="AZ119" s="37" t="e">
        <f t="shared" ca="1" si="136"/>
        <v>#N/A</v>
      </c>
      <c r="BA119" s="37" t="e">
        <f t="shared" ca="1" si="136"/>
        <v>#N/A</v>
      </c>
      <c r="BB119" s="37" t="e">
        <f t="shared" ca="1" si="136"/>
        <v>#N/A</v>
      </c>
    </row>
    <row r="120" spans="32:54" x14ac:dyDescent="0.25">
      <c r="AF120"/>
      <c r="AG120" s="1" t="s">
        <v>57</v>
      </c>
      <c r="AH120" s="1"/>
      <c r="AI120" s="37">
        <f t="shared" ca="1" si="136"/>
        <v>0</v>
      </c>
      <c r="AJ120" s="37">
        <f t="shared" ca="1" si="136"/>
        <v>0</v>
      </c>
      <c r="AK120" s="37">
        <f t="shared" ca="1" si="136"/>
        <v>0</v>
      </c>
      <c r="AL120" s="37">
        <f t="shared" ca="1" si="136"/>
        <v>0</v>
      </c>
      <c r="AM120" s="37">
        <f t="shared" ca="1" si="136"/>
        <v>0</v>
      </c>
      <c r="AN120" s="37">
        <f t="shared" ca="1" si="136"/>
        <v>0</v>
      </c>
      <c r="AO120" s="37">
        <f t="shared" ca="1" si="136"/>
        <v>0</v>
      </c>
      <c r="AP120" s="37">
        <f t="shared" ca="1" si="136"/>
        <v>0</v>
      </c>
      <c r="AQ120" s="37">
        <f t="shared" ca="1" si="136"/>
        <v>0</v>
      </c>
      <c r="AR120" s="37">
        <f t="shared" ca="1" si="136"/>
        <v>0</v>
      </c>
      <c r="AS120" s="37">
        <f t="shared" ca="1" si="136"/>
        <v>0</v>
      </c>
      <c r="AT120" s="37">
        <f t="shared" ca="1" si="136"/>
        <v>0</v>
      </c>
      <c r="AU120" s="37">
        <f t="shared" ca="1" si="136"/>
        <v>0</v>
      </c>
      <c r="AV120" s="37">
        <f t="shared" ca="1" si="136"/>
        <v>0</v>
      </c>
      <c r="AW120" s="37">
        <f t="shared" ca="1" si="136"/>
        <v>0</v>
      </c>
      <c r="AX120" s="37">
        <f t="shared" ca="1" si="136"/>
        <v>0</v>
      </c>
      <c r="AY120" s="37">
        <f t="shared" ca="1" si="136"/>
        <v>0</v>
      </c>
      <c r="AZ120" s="37" t="e">
        <f t="shared" ca="1" si="136"/>
        <v>#N/A</v>
      </c>
      <c r="BA120" s="37" t="e">
        <f t="shared" ca="1" si="136"/>
        <v>#N/A</v>
      </c>
      <c r="BB120" s="37" t="e">
        <f t="shared" ca="1" si="136"/>
        <v>#N/A</v>
      </c>
    </row>
    <row r="121" spans="32:54" x14ac:dyDescent="0.25">
      <c r="AF121"/>
      <c r="AG121" s="1" t="s">
        <v>59</v>
      </c>
      <c r="AH121" s="1"/>
      <c r="AI121" s="37">
        <f t="shared" ca="1" si="136"/>
        <v>22334.71692988513</v>
      </c>
      <c r="AJ121" s="37">
        <f t="shared" ca="1" si="136"/>
        <v>34216.084931844052</v>
      </c>
      <c r="AK121" s="37">
        <f t="shared" ca="1" si="136"/>
        <v>46511.862630091709</v>
      </c>
      <c r="AL121" s="37">
        <f t="shared" ca="1" si="136"/>
        <v>59257.558023944264</v>
      </c>
      <c r="AM121" s="37">
        <f t="shared" ca="1" si="136"/>
        <v>73214.247141288753</v>
      </c>
      <c r="AN121" s="37">
        <f t="shared" ca="1" si="136"/>
        <v>88128.991719593992</v>
      </c>
      <c r="AO121" s="37">
        <f t="shared" ca="1" si="136"/>
        <v>103874.261325464</v>
      </c>
      <c r="AP121" s="37">
        <f t="shared" ca="1" si="136"/>
        <v>120387.07822475026</v>
      </c>
      <c r="AQ121" s="37">
        <f t="shared" ca="1" si="136"/>
        <v>137762.22761130563</v>
      </c>
      <c r="AR121" s="37">
        <f t="shared" ca="1" si="136"/>
        <v>141839.59567388456</v>
      </c>
      <c r="AS121" s="37">
        <f t="shared" ca="1" si="136"/>
        <v>146002.07250103093</v>
      </c>
      <c r="AT121" s="37">
        <f t="shared" ca="1" si="136"/>
        <v>150251.36321856332</v>
      </c>
      <c r="AU121" s="37">
        <f t="shared" ca="1" si="136"/>
        <v>155586.75294863587</v>
      </c>
      <c r="AV121" s="37">
        <f t="shared" ca="1" si="136"/>
        <v>162287.44156661717</v>
      </c>
      <c r="AW121" s="37">
        <f t="shared" ca="1" si="136"/>
        <v>169221.65498308305</v>
      </c>
      <c r="AX121" s="37">
        <f t="shared" ca="1" si="136"/>
        <v>176381.92466074065</v>
      </c>
      <c r="AY121" s="37">
        <f t="shared" ca="1" si="136"/>
        <v>183764.12596973346</v>
      </c>
      <c r="AZ121" s="37" t="e">
        <f t="shared" ca="1" si="136"/>
        <v>#N/A</v>
      </c>
      <c r="BA121" s="37" t="e">
        <f t="shared" ca="1" si="136"/>
        <v>#N/A</v>
      </c>
      <c r="BB121" s="37" t="e">
        <f t="shared" ca="1" si="136"/>
        <v>#N/A</v>
      </c>
    </row>
    <row r="122" spans="32:54" x14ac:dyDescent="0.25">
      <c r="AF122"/>
      <c r="AG122" s="12" t="s">
        <v>60</v>
      </c>
      <c r="AH122" s="12"/>
      <c r="AI122" s="45">
        <f ca="1">SUM(AI117:AI121)</f>
        <v>118622.40244507542</v>
      </c>
      <c r="AJ122" s="45">
        <f ca="1">SUM(AJ117:AJ121)</f>
        <v>120859.6818538309</v>
      </c>
      <c r="AK122" s="45">
        <f t="shared" ref="AK122:BB122" ca="1" si="137">SUM(AK117:AK121)</f>
        <v>122912.04661876713</v>
      </c>
      <c r="AL122" s="45">
        <f t="shared" ca="1" si="137"/>
        <v>124951.90465214025</v>
      </c>
      <c r="AM122" s="45">
        <f t="shared" ca="1" si="137"/>
        <v>129229.94402999521</v>
      </c>
      <c r="AN122" s="45">
        <f t="shared" ca="1" si="137"/>
        <v>133919.19446202726</v>
      </c>
      <c r="AO122" s="45">
        <f t="shared" ca="1" si="137"/>
        <v>138723.89454767152</v>
      </c>
      <c r="AP122" s="45">
        <f t="shared" ca="1" si="137"/>
        <v>143545.62897757351</v>
      </c>
      <c r="AQ122" s="45">
        <f t="shared" ca="1" si="137"/>
        <v>148494.43653107231</v>
      </c>
      <c r="AR122" s="45">
        <f t="shared" ca="1" si="137"/>
        <v>153572.38242600273</v>
      </c>
      <c r="AS122" s="45">
        <f t="shared" ca="1" si="137"/>
        <v>158788.31243950885</v>
      </c>
      <c r="AT122" s="45">
        <f t="shared" ca="1" si="137"/>
        <v>164145.94025460142</v>
      </c>
      <c r="AU122" s="45">
        <f t="shared" ca="1" si="137"/>
        <v>170637.46263907466</v>
      </c>
      <c r="AV122" s="45">
        <f t="shared" ca="1" si="137"/>
        <v>178552.74324989269</v>
      </c>
      <c r="AW122" s="45">
        <f t="shared" ca="1" si="137"/>
        <v>186760.84618793771</v>
      </c>
      <c r="AX122" s="45">
        <f t="shared" ca="1" si="137"/>
        <v>195254.82131269106</v>
      </c>
      <c r="AY122" s="45">
        <f t="shared" ca="1" si="137"/>
        <v>204031.28177229452</v>
      </c>
      <c r="AZ122" s="45" t="e">
        <f t="shared" ca="1" si="137"/>
        <v>#N/A</v>
      </c>
      <c r="BA122" s="45" t="e">
        <f t="shared" ca="1" si="137"/>
        <v>#N/A</v>
      </c>
      <c r="BB122" s="45" t="e">
        <f t="shared" ca="1" si="137"/>
        <v>#N/A</v>
      </c>
    </row>
    <row r="123" spans="32:54" x14ac:dyDescent="0.25">
      <c r="AF123"/>
    </row>
  </sheetData>
  <conditionalFormatting sqref="AJ77">
    <cfRule type="cellIs" dxfId="128" priority="10" operator="equal">
      <formula>"Check"</formula>
    </cfRule>
  </conditionalFormatting>
  <conditionalFormatting sqref="AK77:BB77">
    <cfRule type="cellIs" dxfId="127" priority="14" operator="equal">
      <formula>"Check"</formula>
    </cfRule>
  </conditionalFormatting>
  <conditionalFormatting sqref="AK86:BB86">
    <cfRule type="cellIs" dxfId="126" priority="13" operator="equal">
      <formula>"Check"</formula>
    </cfRule>
  </conditionalFormatting>
  <conditionalFormatting sqref="AK95:BB95">
    <cfRule type="cellIs" dxfId="125" priority="12" operator="equal">
      <formula>"Check"</formula>
    </cfRule>
  </conditionalFormatting>
  <conditionalFormatting sqref="AK104:BB104">
    <cfRule type="cellIs" dxfId="124" priority="11" operator="equal">
      <formula>"Check"</formula>
    </cfRule>
  </conditionalFormatting>
  <conditionalFormatting sqref="AI77">
    <cfRule type="cellIs" dxfId="123" priority="9" operator="equal">
      <formula>"Check"</formula>
    </cfRule>
  </conditionalFormatting>
  <conditionalFormatting sqref="AI86:AJ86">
    <cfRule type="cellIs" dxfId="122" priority="8" operator="equal">
      <formula>"Check"</formula>
    </cfRule>
  </conditionalFormatting>
  <conditionalFormatting sqref="K11:AE11 K21:AE21 K31:AE31 K41:AE41 K51:AE51 K61:AE61">
    <cfRule type="expression" dxfId="121" priority="7">
      <formula>K11&gt;1</formula>
    </cfRule>
  </conditionalFormatting>
  <conditionalFormatting sqref="J11">
    <cfRule type="expression" dxfId="120" priority="6">
      <formula>J11&gt;1</formula>
    </cfRule>
  </conditionalFormatting>
  <conditionalFormatting sqref="J21">
    <cfRule type="expression" dxfId="119" priority="5">
      <formula>J21&gt;1</formula>
    </cfRule>
  </conditionalFormatting>
  <conditionalFormatting sqref="J31">
    <cfRule type="expression" dxfId="118" priority="4">
      <formula>J31&gt;1</formula>
    </cfRule>
  </conditionalFormatting>
  <conditionalFormatting sqref="J41">
    <cfRule type="expression" dxfId="117" priority="3">
      <formula>J41&gt;1</formula>
    </cfRule>
  </conditionalFormatting>
  <conditionalFormatting sqref="J51">
    <cfRule type="expression" dxfId="116" priority="2">
      <formula>J51&gt;1</formula>
    </cfRule>
  </conditionalFormatting>
  <conditionalFormatting sqref="J61">
    <cfRule type="expression" dxfId="115" priority="1">
      <formula>J61&gt;1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zoomScale="70" zoomScaleNormal="70" workbookViewId="0">
      <pane xSplit="1" topLeftCell="L1" activePane="topRight" state="frozen"/>
      <selection activeCell="G24" sqref="G24"/>
      <selection pane="topRight"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2.42578125"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s>
  <sheetData>
    <row r="1" spans="1:54" x14ac:dyDescent="0.25">
      <c r="A1" s="6" t="s">
        <v>16</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36"/>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INDEX(Data_FP!$2:$1048576,MATCH(C$4&amp;$A$4&amp;$B5&amp;$A$1,Data_FP!$A$2:$A$1048576,0),MATCH($A$3,Data_FP!$2:$2,0))</f>
        <v>3.1392999999999998E-3</v>
      </c>
      <c r="D5" s="14">
        <f ca="1">INDEX(Data_FP!$2:$1048576,MATCH(D$4&amp;$A$4&amp;$B5&amp;$A$1,Data_FP!$A$2:$A$1048576,0),MATCH($A$3,Data_FP!$2:$2,0))</f>
        <v>9.8592000000000003E-3</v>
      </c>
      <c r="E5" s="14">
        <f ca="1">IF('User Settings'!$N$7="On",($D5-$C5)/($D$4-$C$4),0)</f>
        <v>1.3439800000000003E-3</v>
      </c>
      <c r="F5" s="14">
        <f ca="1">MAX(0,MIN(1,($D5+$E5*(F$4-$D$4))))</f>
        <v>1.3891140000000001E-2</v>
      </c>
      <c r="G5" s="14"/>
      <c r="H5" s="14">
        <f ca="1">MAX(0,MIN(1,($D5+$E5*(H$4-$D$4))*$H$1))</f>
        <v>1.7923080000000001E-2</v>
      </c>
      <c r="I5" s="14">
        <f t="shared" ref="I5:I10" ca="1" si="4">($H5-$F5)/($H$4-$F$4)</f>
        <v>1.3439799999999998E-3</v>
      </c>
      <c r="J5" s="14">
        <f ca="1">K5-E5</f>
        <v>1.2547160000000002E-2</v>
      </c>
      <c r="K5" s="14">
        <f ca="1">MAX(0,MIN(1,D5+(K$4-D$4)*E5))</f>
        <v>1.3891140000000001E-2</v>
      </c>
      <c r="L5" s="15">
        <f ca="1">MAX(0,MIN(1,K5+$I5))</f>
        <v>1.5235120000000001E-2</v>
      </c>
      <c r="M5" s="15">
        <f t="shared" ref="M5:AD5" ca="1" si="5">MAX(0,MIN(1,L5+$I5))</f>
        <v>1.6579099999999999E-2</v>
      </c>
      <c r="N5" s="15">
        <f ca="1">MAX(0,MIN(1,M5+$I5))</f>
        <v>1.7923080000000001E-2</v>
      </c>
      <c r="O5" s="15">
        <f t="shared" ca="1" si="5"/>
        <v>1.9267060000000003E-2</v>
      </c>
      <c r="P5" s="15">
        <f t="shared" ca="1" si="5"/>
        <v>2.0611040000000004E-2</v>
      </c>
      <c r="Q5" s="15">
        <f t="shared" ca="1" si="5"/>
        <v>2.1955020000000006E-2</v>
      </c>
      <c r="R5" s="15">
        <f t="shared" ca="1" si="5"/>
        <v>2.3299000000000007E-2</v>
      </c>
      <c r="S5" s="15">
        <f t="shared" ca="1" si="5"/>
        <v>2.4642980000000009E-2</v>
      </c>
      <c r="T5" s="15">
        <f t="shared" ca="1" si="5"/>
        <v>2.598696000000001E-2</v>
      </c>
      <c r="U5" s="15">
        <f t="shared" ca="1" si="5"/>
        <v>2.7330940000000012E-2</v>
      </c>
      <c r="V5" s="15">
        <f t="shared" ca="1" si="5"/>
        <v>2.8674920000000013E-2</v>
      </c>
      <c r="W5" s="15">
        <f t="shared" ca="1" si="5"/>
        <v>3.0018900000000015E-2</v>
      </c>
      <c r="X5" s="15">
        <f t="shared" ca="1" si="5"/>
        <v>3.1362880000000017E-2</v>
      </c>
      <c r="Y5" s="15">
        <f t="shared" ca="1" si="5"/>
        <v>3.2706860000000018E-2</v>
      </c>
      <c r="Z5" s="15">
        <f t="shared" ca="1" si="5"/>
        <v>3.405084000000002E-2</v>
      </c>
      <c r="AA5" s="15">
        <f t="shared" ca="1" si="5"/>
        <v>3.5394820000000021E-2</v>
      </c>
      <c r="AB5" s="15">
        <f t="shared" ca="1" si="5"/>
        <v>3.6738800000000023E-2</v>
      </c>
      <c r="AC5" s="15">
        <f t="shared" ca="1" si="5"/>
        <v>3.8082780000000024E-2</v>
      </c>
      <c r="AD5" s="15">
        <f t="shared" ca="1" si="5"/>
        <v>3.9426760000000026E-2</v>
      </c>
      <c r="AE5" s="5"/>
      <c r="AG5" s="1" t="s">
        <v>52</v>
      </c>
      <c r="AH5" s="37">
        <f ca="1">J5*AH$11</f>
        <v>8052.4015403562817</v>
      </c>
      <c r="AI5" s="37">
        <f t="shared" ref="AI5:AI10" ca="1" si="6">K5*AI$11</f>
        <v>9257.7559988964222</v>
      </c>
      <c r="AJ5" s="37">
        <f t="shared" ref="AJ5:AS10" ca="1" si="7">L5*AJ$11</f>
        <v>10541.5950705828</v>
      </c>
      <c r="AK5" s="37">
        <f t="shared" ca="1" si="7"/>
        <v>11892.392499945168</v>
      </c>
      <c r="AL5" s="37">
        <f t="shared" ca="1" si="7"/>
        <v>13328.070470797493</v>
      </c>
      <c r="AM5" s="37">
        <f t="shared" ca="1" si="7"/>
        <v>14850.622785522935</v>
      </c>
      <c r="AN5" s="37">
        <f t="shared" ca="1" si="7"/>
        <v>16461.297897472527</v>
      </c>
      <c r="AO5" s="37">
        <f t="shared" ca="1" si="7"/>
        <v>18161.918953006039</v>
      </c>
      <c r="AP5" s="37">
        <f t="shared" ca="1" si="7"/>
        <v>19941.561662396896</v>
      </c>
      <c r="AQ5" s="37">
        <f t="shared" ca="1" si="7"/>
        <v>21816.777976495476</v>
      </c>
      <c r="AR5" s="37">
        <f t="shared" ca="1" si="7"/>
        <v>23790.912610771829</v>
      </c>
      <c r="AS5" s="37">
        <f t="shared" ca="1" si="7"/>
        <v>25868.479714926249</v>
      </c>
      <c r="AT5" s="37">
        <f t="shared" ref="AT5:BB10" ca="1" si="8">V5*AT$11</f>
        <v>28053.397906318107</v>
      </c>
      <c r="AU5" s="37">
        <f t="shared" ca="1" si="8"/>
        <v>30331.248408054056</v>
      </c>
      <c r="AV5" s="37">
        <f t="shared" ca="1" si="8"/>
        <v>32723.447797218683</v>
      </c>
      <c r="AW5" s="37">
        <f t="shared" ca="1" si="8"/>
        <v>35231.54880834942</v>
      </c>
      <c r="AX5" s="37">
        <f t="shared" ca="1" si="8"/>
        <v>37856.474492189336</v>
      </c>
      <c r="AY5" s="37">
        <f t="shared" ca="1" si="8"/>
        <v>40599.600217509076</v>
      </c>
      <c r="AZ5" s="37" t="e">
        <f t="shared" ca="1" si="8"/>
        <v>#N/A</v>
      </c>
      <c r="BA5" s="37" t="e">
        <f t="shared" ca="1" si="8"/>
        <v>#N/A</v>
      </c>
      <c r="BB5" s="37" t="e">
        <f t="shared" ca="1" si="8"/>
        <v>#N/A</v>
      </c>
    </row>
    <row r="6" spans="1:54" x14ac:dyDescent="0.25">
      <c r="B6" s="1" t="s">
        <v>54</v>
      </c>
      <c r="C6" s="14">
        <f ca="1">INDEX(Data_FP!$2:$1048576,MATCH(C$4&amp;$A$4&amp;$B6&amp;$A$1,Data_FP!$A$2:$A$1048576,0),MATCH($A$3,Data_FP!$2:$2,0))</f>
        <v>0</v>
      </c>
      <c r="D6" s="14">
        <f ca="1">INDEX(Data_FP!$2:$1048576,MATCH(D$4&amp;$A$4&amp;$B6&amp;$A$1,Data_FP!$A$2:$A$1048576,0),MATCH($A$3,Data_FP!$2:$2,0))</f>
        <v>8.097E-4</v>
      </c>
      <c r="E6" s="14">
        <f ca="1">IF('User Settings'!$N$7="On",($D6-$C6)/($D$4-$C$4),0)</f>
        <v>1.6194000000000001E-4</v>
      </c>
      <c r="F6" s="14">
        <f t="shared" ref="F6:F10" ca="1" si="9">MAX(0,MIN(1,($D6+$E6*(F$4-$D$4))))</f>
        <v>1.2955200000000001E-3</v>
      </c>
      <c r="G6" s="14"/>
      <c r="H6" s="14">
        <f t="shared" ref="H6:H10" ca="1" si="10">MAX(0,MIN(1,($D6+$E6*(H$4-$D$4))*$H$1))</f>
        <v>1.7813400000000002E-3</v>
      </c>
      <c r="I6" s="14">
        <f t="shared" ca="1" si="4"/>
        <v>1.6194000000000004E-4</v>
      </c>
      <c r="J6" s="14">
        <f t="shared" ref="J6:J10" ca="1" si="11">K6-E6</f>
        <v>1.1335800000000001E-3</v>
      </c>
      <c r="K6" s="14">
        <f t="shared" ref="K6:K10" ca="1" si="12">MAX(0,MIN(1,D6+(K$4-D$4)*E6))</f>
        <v>1.2955200000000001E-3</v>
      </c>
      <c r="L6" s="15">
        <f t="shared" ref="L6:AD10" ca="1" si="13">MAX(0,MIN(1,K6+$I6))</f>
        <v>1.45746E-3</v>
      </c>
      <c r="M6" s="15">
        <f t="shared" ca="1" si="13"/>
        <v>1.6194E-3</v>
      </c>
      <c r="N6" s="15">
        <f t="shared" ca="1" si="13"/>
        <v>1.78134E-3</v>
      </c>
      <c r="O6" s="15">
        <f t="shared" ca="1" si="13"/>
        <v>1.9432799999999999E-3</v>
      </c>
      <c r="P6" s="15">
        <f t="shared" ca="1" si="13"/>
        <v>2.1052200000000001E-3</v>
      </c>
      <c r="Q6" s="15">
        <f t="shared" ca="1" si="13"/>
        <v>2.2671600000000003E-3</v>
      </c>
      <c r="R6" s="15">
        <f t="shared" ca="1" si="13"/>
        <v>2.4291000000000004E-3</v>
      </c>
      <c r="S6" s="15">
        <f t="shared" ca="1" si="13"/>
        <v>2.5910400000000006E-3</v>
      </c>
      <c r="T6" s="15">
        <f t="shared" ca="1" si="13"/>
        <v>2.7529800000000008E-3</v>
      </c>
      <c r="U6" s="15">
        <f t="shared" ca="1" si="13"/>
        <v>2.914920000000001E-3</v>
      </c>
      <c r="V6" s="15">
        <f t="shared" ca="1" si="13"/>
        <v>3.0768600000000011E-3</v>
      </c>
      <c r="W6" s="15">
        <f t="shared" ca="1" si="13"/>
        <v>3.2388000000000013E-3</v>
      </c>
      <c r="X6" s="15">
        <f t="shared" ca="1" si="13"/>
        <v>3.4007400000000015E-3</v>
      </c>
      <c r="Y6" s="15">
        <f t="shared" ca="1" si="13"/>
        <v>3.5626800000000017E-3</v>
      </c>
      <c r="Z6" s="15">
        <f t="shared" ca="1" si="13"/>
        <v>3.7246200000000018E-3</v>
      </c>
      <c r="AA6" s="15">
        <f t="shared" ca="1" si="13"/>
        <v>3.886560000000002E-3</v>
      </c>
      <c r="AB6" s="15">
        <f t="shared" ca="1" si="13"/>
        <v>4.0485000000000018E-3</v>
      </c>
      <c r="AC6" s="15">
        <f t="shared" ca="1" si="13"/>
        <v>4.2104400000000019E-3</v>
      </c>
      <c r="AD6" s="15">
        <f t="shared" ca="1" si="13"/>
        <v>4.3723800000000021E-3</v>
      </c>
      <c r="AE6" s="5"/>
      <c r="AG6" s="1" t="s">
        <v>54</v>
      </c>
      <c r="AH6" s="37">
        <f t="shared" ref="AH6:AH10" ca="1" si="14">J6*AH$11</f>
        <v>727.49860033004074</v>
      </c>
      <c r="AI6" s="37">
        <f t="shared" ca="1" si="6"/>
        <v>863.39983987565404</v>
      </c>
      <c r="AJ6" s="37">
        <f t="shared" ca="1" si="7"/>
        <v>1008.4563266696689</v>
      </c>
      <c r="AK6" s="37">
        <f t="shared" ca="1" si="7"/>
        <v>1161.6155529800294</v>
      </c>
      <c r="AL6" s="37">
        <f t="shared" ca="1" si="7"/>
        <v>1324.6509557760387</v>
      </c>
      <c r="AM6" s="37">
        <f t="shared" ca="1" si="7"/>
        <v>1497.8371503826222</v>
      </c>
      <c r="AN6" s="37">
        <f t="shared" ca="1" si="7"/>
        <v>1681.3636555805583</v>
      </c>
      <c r="AO6" s="37">
        <f t="shared" ca="1" si="7"/>
        <v>1875.4697637942106</v>
      </c>
      <c r="AP6" s="37">
        <f t="shared" ca="1" si="7"/>
        <v>2079.0612229764492</v>
      </c>
      <c r="AQ6" s="37">
        <f t="shared" ca="1" si="7"/>
        <v>2293.8842789394312</v>
      </c>
      <c r="AR6" s="37">
        <f t="shared" ca="1" si="7"/>
        <v>2520.3373768691154</v>
      </c>
      <c r="AS6" s="37">
        <f t="shared" ca="1" si="7"/>
        <v>2758.9445840733183</v>
      </c>
      <c r="AT6" s="37">
        <f t="shared" ca="1" si="8"/>
        <v>3010.1697888619715</v>
      </c>
      <c r="AU6" s="37">
        <f t="shared" ca="1" si="8"/>
        <v>3272.4999031945031</v>
      </c>
      <c r="AV6" s="37">
        <f t="shared" ca="1" si="8"/>
        <v>3548.269095883843</v>
      </c>
      <c r="AW6" s="37">
        <f t="shared" ca="1" si="8"/>
        <v>3837.6883109087912</v>
      </c>
      <c r="AX6" s="37">
        <f t="shared" ca="1" si="8"/>
        <v>4140.8958493563814</v>
      </c>
      <c r="AY6" s="37">
        <f t="shared" ca="1" si="8"/>
        <v>4458.0755664631733</v>
      </c>
      <c r="AZ6" s="37" t="e">
        <f t="shared" ca="1" si="8"/>
        <v>#N/A</v>
      </c>
      <c r="BA6" s="37" t="e">
        <f t="shared" ca="1" si="8"/>
        <v>#N/A</v>
      </c>
      <c r="BB6" s="37" t="e">
        <f t="shared" ca="1" si="8"/>
        <v>#N/A</v>
      </c>
    </row>
    <row r="7" spans="1:54" x14ac:dyDescent="0.25">
      <c r="B7" s="1" t="s">
        <v>170</v>
      </c>
      <c r="C7" s="14">
        <f ca="1">INDEX(Data_FP!$2:$1048576,MATCH(C$4&amp;$A$4&amp;$B7&amp;$A$1,Data_FP!$A$2:$A$1048576,0),MATCH($A$3,Data_FP!$2:$2,0))</f>
        <v>0</v>
      </c>
      <c r="D7" s="14">
        <f ca="1">INDEX(Data_FP!$2:$1048576,MATCH(D$4&amp;$A$4&amp;$B7&amp;$A$1,Data_FP!$A$2:$A$1048576,0),MATCH($A$3,Data_FP!$2:$2,0))</f>
        <v>0</v>
      </c>
      <c r="E7" s="14">
        <f ca="1">IF('User Settings'!$N$7="On",($D7-$C7)/($D$4-$C$4),0)</f>
        <v>0</v>
      </c>
      <c r="F7" s="14">
        <f t="shared" ca="1" si="9"/>
        <v>0</v>
      </c>
      <c r="G7" s="14"/>
      <c r="H7" s="14">
        <f t="shared" ca="1" si="10"/>
        <v>0</v>
      </c>
      <c r="I7" s="14">
        <f t="shared" ca="1" si="4"/>
        <v>0</v>
      </c>
      <c r="J7" s="14">
        <f t="shared" ca="1" si="11"/>
        <v>0</v>
      </c>
      <c r="K7" s="14">
        <f t="shared" ca="1" si="12"/>
        <v>0</v>
      </c>
      <c r="L7" s="15">
        <f t="shared" ca="1" si="13"/>
        <v>0</v>
      </c>
      <c r="M7" s="15">
        <f t="shared" ca="1" si="13"/>
        <v>0</v>
      </c>
      <c r="N7" s="15">
        <f t="shared" ca="1" si="13"/>
        <v>0</v>
      </c>
      <c r="O7" s="15">
        <f t="shared" ca="1" si="13"/>
        <v>0</v>
      </c>
      <c r="P7" s="15">
        <f t="shared" ca="1" si="13"/>
        <v>0</v>
      </c>
      <c r="Q7" s="15">
        <f t="shared" ca="1" si="13"/>
        <v>0</v>
      </c>
      <c r="R7" s="15">
        <f t="shared" ca="1" si="13"/>
        <v>0</v>
      </c>
      <c r="S7" s="15">
        <f t="shared" ca="1" si="13"/>
        <v>0</v>
      </c>
      <c r="T7" s="15">
        <f t="shared" ca="1" si="13"/>
        <v>0</v>
      </c>
      <c r="U7" s="15">
        <f t="shared" ca="1" si="13"/>
        <v>0</v>
      </c>
      <c r="V7" s="15">
        <f t="shared" ca="1" si="13"/>
        <v>0</v>
      </c>
      <c r="W7" s="15">
        <f t="shared" ca="1" si="13"/>
        <v>0</v>
      </c>
      <c r="X7" s="15">
        <f t="shared" ca="1" si="13"/>
        <v>0</v>
      </c>
      <c r="Y7" s="15">
        <f t="shared" ca="1" si="13"/>
        <v>0</v>
      </c>
      <c r="Z7" s="15">
        <f t="shared" ca="1" si="13"/>
        <v>0</v>
      </c>
      <c r="AA7" s="15">
        <f t="shared" ca="1" si="13"/>
        <v>0</v>
      </c>
      <c r="AB7" s="15">
        <f t="shared" ca="1" si="13"/>
        <v>0</v>
      </c>
      <c r="AC7" s="15">
        <f t="shared" ca="1" si="13"/>
        <v>0</v>
      </c>
      <c r="AD7" s="15">
        <f t="shared" ca="1" si="13"/>
        <v>0</v>
      </c>
      <c r="AE7" s="5"/>
      <c r="AG7" s="1" t="s">
        <v>170</v>
      </c>
      <c r="AH7" s="37">
        <f t="shared" ca="1" si="14"/>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INDEX(Data_FP!$2:$1048576,MATCH(C$4&amp;$A$4&amp;$B8&amp;$A$1,Data_FP!$A$2:$A$1048576,0),MATCH($A$3,Data_FP!$2:$2,0))</f>
        <v>1.48472E-2</v>
      </c>
      <c r="D8" s="14">
        <f ca="1">INDEX(Data_FP!$2:$1048576,MATCH(D$4&amp;$A$4&amp;$B8&amp;$A$1,Data_FP!$A$2:$A$1048576,0),MATCH($A$3,Data_FP!$2:$2,0))</f>
        <v>1.9955799999999999E-2</v>
      </c>
      <c r="E8" s="14">
        <f ca="1">IF('User Settings'!$N$7="On",($D8-$C8)/($D$4-$C$4),0)</f>
        <v>1.0217199999999998E-3</v>
      </c>
      <c r="F8" s="14">
        <f t="shared" ca="1" si="9"/>
        <v>2.302096E-2</v>
      </c>
      <c r="G8" s="14"/>
      <c r="H8" s="14">
        <f t="shared" ca="1" si="10"/>
        <v>2.6086119999999997E-2</v>
      </c>
      <c r="I8" s="14">
        <f t="shared" ca="1" si="4"/>
        <v>1.0217199999999992E-3</v>
      </c>
      <c r="J8" s="14">
        <f t="shared" ca="1" si="11"/>
        <v>2.199924E-2</v>
      </c>
      <c r="K8" s="14">
        <f t="shared" ca="1" si="12"/>
        <v>2.302096E-2</v>
      </c>
      <c r="L8" s="15">
        <f t="shared" ca="1" si="13"/>
        <v>2.404268E-2</v>
      </c>
      <c r="M8" s="15">
        <f t="shared" ca="1" si="13"/>
        <v>2.5064400000000001E-2</v>
      </c>
      <c r="N8" s="15">
        <f t="shared" ca="1" si="13"/>
        <v>2.6086120000000001E-2</v>
      </c>
      <c r="O8" s="15">
        <f t="shared" ca="1" si="13"/>
        <v>2.7107840000000001E-2</v>
      </c>
      <c r="P8" s="15">
        <f t="shared" ca="1" si="13"/>
        <v>2.8129560000000001E-2</v>
      </c>
      <c r="Q8" s="15">
        <f t="shared" ca="1" si="13"/>
        <v>2.9151280000000002E-2</v>
      </c>
      <c r="R8" s="15">
        <f t="shared" ca="1" si="13"/>
        <v>3.0173000000000002E-2</v>
      </c>
      <c r="S8" s="15">
        <f t="shared" ca="1" si="13"/>
        <v>3.1194720000000002E-2</v>
      </c>
      <c r="T8" s="15">
        <f t="shared" ca="1" si="13"/>
        <v>3.2216439999999999E-2</v>
      </c>
      <c r="U8" s="15">
        <f t="shared" ca="1" si="13"/>
        <v>3.3238159999999996E-2</v>
      </c>
      <c r="V8" s="15">
        <f t="shared" ca="1" si="13"/>
        <v>3.4259879999999993E-2</v>
      </c>
      <c r="W8" s="15">
        <f t="shared" ca="1" si="13"/>
        <v>3.5281599999999989E-2</v>
      </c>
      <c r="X8" s="15">
        <f t="shared" ca="1" si="13"/>
        <v>3.6303319999999986E-2</v>
      </c>
      <c r="Y8" s="15">
        <f t="shared" ca="1" si="13"/>
        <v>3.7325039999999983E-2</v>
      </c>
      <c r="Z8" s="15">
        <f t="shared" ca="1" si="13"/>
        <v>3.834675999999998E-2</v>
      </c>
      <c r="AA8" s="15">
        <f t="shared" ca="1" si="13"/>
        <v>3.9368479999999977E-2</v>
      </c>
      <c r="AB8" s="15">
        <f t="shared" ca="1" si="13"/>
        <v>4.0390199999999973E-2</v>
      </c>
      <c r="AC8" s="15">
        <f t="shared" ca="1" si="13"/>
        <v>4.141191999999997E-2</v>
      </c>
      <c r="AD8" s="15">
        <f t="shared" ca="1" si="13"/>
        <v>4.2433639999999967E-2</v>
      </c>
      <c r="AE8" s="5"/>
      <c r="AG8" s="1" t="s">
        <v>59</v>
      </c>
      <c r="AH8" s="37">
        <f t="shared" ca="1" si="14"/>
        <v>14118.470957783873</v>
      </c>
      <c r="AI8" s="37">
        <f t="shared" ca="1" si="6"/>
        <v>15342.328314332342</v>
      </c>
      <c r="AJ8" s="37">
        <f t="shared" ca="1" si="7"/>
        <v>16635.786063490123</v>
      </c>
      <c r="AK8" s="37">
        <f t="shared" ca="1" si="7"/>
        <v>17979.002634378565</v>
      </c>
      <c r="AL8" s="37">
        <f t="shared" ca="1" si="7"/>
        <v>19398.32024795291</v>
      </c>
      <c r="AM8" s="37">
        <f t="shared" ca="1" si="7"/>
        <v>20894.122215341107</v>
      </c>
      <c r="AN8" s="37">
        <f t="shared" ca="1" si="7"/>
        <v>22466.069974383983</v>
      </c>
      <c r="AO8" s="37">
        <f t="shared" ca="1" si="7"/>
        <v>24114.903322173508</v>
      </c>
      <c r="AP8" s="37">
        <f t="shared" ca="1" si="7"/>
        <v>25825.002791514715</v>
      </c>
      <c r="AQ8" s="37">
        <f t="shared" ca="1" si="7"/>
        <v>27617.125862170189</v>
      </c>
      <c r="AR8" s="37">
        <f t="shared" ca="1" si="7"/>
        <v>29493.965768607552</v>
      </c>
      <c r="AS8" s="37">
        <f t="shared" ca="1" si="7"/>
        <v>31459.608331124819</v>
      </c>
      <c r="AT8" s="37">
        <f t="shared" ca="1" si="8"/>
        <v>33517.305222218893</v>
      </c>
      <c r="AU8" s="37">
        <f t="shared" ca="1" si="8"/>
        <v>35648.707108974646</v>
      </c>
      <c r="AV8" s="37">
        <f t="shared" ca="1" si="8"/>
        <v>37878.211340467584</v>
      </c>
      <c r="AW8" s="37">
        <f t="shared" ca="1" si="8"/>
        <v>40206.212657943717</v>
      </c>
      <c r="AX8" s="37">
        <f t="shared" ca="1" si="8"/>
        <v>42632.520718963315</v>
      </c>
      <c r="AY8" s="37">
        <f t="shared" ca="1" si="8"/>
        <v>45157.583769913217</v>
      </c>
      <c r="AZ8" s="37" t="e">
        <f t="shared" ca="1" si="8"/>
        <v>#N/A</v>
      </c>
      <c r="BA8" s="37" t="e">
        <f t="shared" ca="1" si="8"/>
        <v>#N/A</v>
      </c>
      <c r="BB8" s="37" t="e">
        <f t="shared" ca="1" si="8"/>
        <v>#N/A</v>
      </c>
    </row>
    <row r="9" spans="1:54" x14ac:dyDescent="0.25">
      <c r="B9" s="1" t="s">
        <v>171</v>
      </c>
      <c r="C9" s="14">
        <f ca="1">INDEX(Data_FP!$2:$1048576,MATCH(C$4&amp;$A$4&amp;$B9&amp;$A$1,Data_FP!$A$2:$A$1048576,0),MATCH($A$3,Data_FP!$2:$2,0))</f>
        <v>0</v>
      </c>
      <c r="D9" s="14">
        <f ca="1">INDEX(Data_FP!$2:$1048576,MATCH(D$4&amp;$A$4&amp;$B9&amp;$A$1,Data_FP!$A$2:$A$1048576,0),MATCH($A$3,Data_FP!$2:$2,0))</f>
        <v>0</v>
      </c>
      <c r="E9" s="14">
        <f ca="1">IF('User Settings'!$N$7="On",($D9-$C9)/($D$4-$C$4),0)</f>
        <v>0</v>
      </c>
      <c r="F9" s="14">
        <f t="shared" ca="1" si="9"/>
        <v>0</v>
      </c>
      <c r="G9" s="14"/>
      <c r="H9" s="14">
        <f t="shared" ca="1" si="10"/>
        <v>0</v>
      </c>
      <c r="I9" s="14">
        <f t="shared" ca="1" si="4"/>
        <v>0</v>
      </c>
      <c r="J9" s="14">
        <f t="shared" ca="1" si="11"/>
        <v>0</v>
      </c>
      <c r="K9" s="14">
        <f t="shared" ca="1" si="12"/>
        <v>0</v>
      </c>
      <c r="L9" s="15">
        <f t="shared" ca="1" si="13"/>
        <v>0</v>
      </c>
      <c r="M9" s="15">
        <f t="shared" ca="1" si="13"/>
        <v>0</v>
      </c>
      <c r="N9" s="15">
        <f t="shared" ca="1" si="13"/>
        <v>0</v>
      </c>
      <c r="O9" s="15">
        <f t="shared" ca="1" si="13"/>
        <v>0</v>
      </c>
      <c r="P9" s="15">
        <f t="shared" ca="1" si="13"/>
        <v>0</v>
      </c>
      <c r="Q9" s="15">
        <f t="shared" ca="1" si="13"/>
        <v>0</v>
      </c>
      <c r="R9" s="15">
        <f t="shared" ca="1" si="13"/>
        <v>0</v>
      </c>
      <c r="S9" s="15">
        <f t="shared" ca="1" si="13"/>
        <v>0</v>
      </c>
      <c r="T9" s="15">
        <f t="shared" ca="1" si="13"/>
        <v>0</v>
      </c>
      <c r="U9" s="15">
        <f t="shared" ca="1" si="13"/>
        <v>0</v>
      </c>
      <c r="V9" s="15">
        <f t="shared" ca="1" si="13"/>
        <v>0</v>
      </c>
      <c r="W9" s="15">
        <f t="shared" ca="1" si="13"/>
        <v>0</v>
      </c>
      <c r="X9" s="15">
        <f t="shared" ca="1" si="13"/>
        <v>0</v>
      </c>
      <c r="Y9" s="15">
        <f t="shared" ca="1" si="13"/>
        <v>0</v>
      </c>
      <c r="Z9" s="15">
        <f t="shared" ca="1" si="13"/>
        <v>0</v>
      </c>
      <c r="AA9" s="15">
        <f t="shared" ca="1" si="13"/>
        <v>0</v>
      </c>
      <c r="AB9" s="15">
        <f t="shared" ca="1" si="13"/>
        <v>0</v>
      </c>
      <c r="AC9" s="15">
        <f t="shared" ca="1" si="13"/>
        <v>0</v>
      </c>
      <c r="AD9" s="15">
        <f t="shared" ca="1" si="13"/>
        <v>0</v>
      </c>
      <c r="AE9" s="5"/>
      <c r="AG9" s="1" t="s">
        <v>171</v>
      </c>
      <c r="AH9" s="37">
        <f t="shared" ca="1" si="14"/>
        <v>0</v>
      </c>
      <c r="AI9" s="37">
        <f t="shared" ca="1" si="6"/>
        <v>0</v>
      </c>
      <c r="AJ9" s="37">
        <f t="shared" ca="1" si="7"/>
        <v>0</v>
      </c>
      <c r="AK9" s="37">
        <f t="shared" ca="1" si="7"/>
        <v>0</v>
      </c>
      <c r="AL9" s="37">
        <f t="shared" ca="1" si="7"/>
        <v>0</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INDEX(Data_FP!$2:$1048576,MATCH(C$4&amp;$A$4&amp;$B10&amp;$A$1,Data_FP!$A$2:$A$1048576,0),MATCH($A$3,Data_FP!$2:$2,0))</f>
        <v>0</v>
      </c>
      <c r="D10" s="14">
        <f ca="1">INDEX(Data_FP!$2:$1048576,MATCH(D$4&amp;$A$4&amp;$B10&amp;$A$1,Data_FP!$A$2:$A$1048576,0),MATCH($A$3,Data_FP!$2:$2,0))</f>
        <v>0</v>
      </c>
      <c r="E10" s="14">
        <f ca="1">IF('User Settings'!$N$7="On",($D10-$C10)/($D$4-$C$4),0)</f>
        <v>0</v>
      </c>
      <c r="F10" s="14">
        <f t="shared" ca="1" si="9"/>
        <v>0</v>
      </c>
      <c r="G10" s="14"/>
      <c r="H10" s="14">
        <f t="shared" ca="1" si="10"/>
        <v>0</v>
      </c>
      <c r="I10" s="14">
        <f t="shared" ca="1" si="4"/>
        <v>0</v>
      </c>
      <c r="J10" s="14">
        <f t="shared" ca="1" si="11"/>
        <v>0</v>
      </c>
      <c r="K10" s="14">
        <f t="shared" ca="1" si="12"/>
        <v>0</v>
      </c>
      <c r="L10" s="15">
        <f t="shared" ca="1" si="13"/>
        <v>0</v>
      </c>
      <c r="M10" s="15">
        <f t="shared" ca="1" si="13"/>
        <v>0</v>
      </c>
      <c r="N10" s="15">
        <f t="shared" ca="1" si="13"/>
        <v>0</v>
      </c>
      <c r="O10" s="15">
        <f t="shared" ca="1" si="13"/>
        <v>0</v>
      </c>
      <c r="P10" s="15">
        <f t="shared" ca="1" si="13"/>
        <v>0</v>
      </c>
      <c r="Q10" s="15">
        <f t="shared" ca="1" si="13"/>
        <v>0</v>
      </c>
      <c r="R10" s="15">
        <f t="shared" ca="1" si="13"/>
        <v>0</v>
      </c>
      <c r="S10" s="15">
        <f t="shared" ca="1" si="13"/>
        <v>0</v>
      </c>
      <c r="T10" s="15">
        <f t="shared" ca="1" si="13"/>
        <v>0</v>
      </c>
      <c r="U10" s="15">
        <f t="shared" ca="1" si="13"/>
        <v>0</v>
      </c>
      <c r="V10" s="15">
        <f t="shared" ca="1" si="13"/>
        <v>0</v>
      </c>
      <c r="W10" s="15">
        <f t="shared" ca="1" si="13"/>
        <v>0</v>
      </c>
      <c r="X10" s="15">
        <f t="shared" ca="1" si="13"/>
        <v>0</v>
      </c>
      <c r="Y10" s="15">
        <f t="shared" ca="1" si="13"/>
        <v>0</v>
      </c>
      <c r="Z10" s="15">
        <f t="shared" ca="1" si="13"/>
        <v>0</v>
      </c>
      <c r="AA10" s="15">
        <f t="shared" ca="1" si="13"/>
        <v>0</v>
      </c>
      <c r="AB10" s="15">
        <f t="shared" ca="1" si="13"/>
        <v>0</v>
      </c>
      <c r="AC10" s="15">
        <f t="shared" ca="1" si="13"/>
        <v>0</v>
      </c>
      <c r="AD10" s="15">
        <f t="shared" ca="1" si="13"/>
        <v>0</v>
      </c>
      <c r="AE10" s="5"/>
      <c r="AG10" s="1" t="s">
        <v>116</v>
      </c>
      <c r="AH10" s="37">
        <f t="shared" ca="1" si="14"/>
        <v>0</v>
      </c>
      <c r="AI10" s="37">
        <f t="shared" ca="1" si="6"/>
        <v>0</v>
      </c>
      <c r="AJ10" s="37">
        <f t="shared" ca="1" si="7"/>
        <v>0</v>
      </c>
      <c r="AK10" s="37">
        <f t="shared" ca="1" si="7"/>
        <v>0</v>
      </c>
      <c r="AL10" s="37">
        <f t="shared" ca="1" si="7"/>
        <v>0</v>
      </c>
      <c r="AM10" s="37">
        <f t="shared" ca="1" si="7"/>
        <v>0</v>
      </c>
      <c r="AN10" s="37">
        <f t="shared" ca="1" si="7"/>
        <v>0</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1.7986499999999999E-2</v>
      </c>
      <c r="D11" s="5">
        <f ca="1">SUM(D5:D10)</f>
        <v>3.0624699999999998E-2</v>
      </c>
      <c r="E11" s="143"/>
      <c r="F11" s="132">
        <f ca="1">SUM(F5:F10)</f>
        <v>3.8207619999999998E-2</v>
      </c>
      <c r="G11" s="132"/>
      <c r="H11" s="132">
        <f ca="1">SUM(H5:H10)</f>
        <v>4.5790539999999998E-2</v>
      </c>
      <c r="I11" s="132"/>
      <c r="J11" s="132">
        <f ca="1">SUM(J5:J10)</f>
        <v>3.567998E-2</v>
      </c>
      <c r="K11" s="132">
        <f ca="1">SUM(K5:K10)</f>
        <v>3.8207619999999998E-2</v>
      </c>
      <c r="L11" s="5">
        <f t="shared" ref="L11:AD11" ca="1" si="15">SUM(L5:L10)</f>
        <v>4.0735260000000002E-2</v>
      </c>
      <c r="M11" s="5">
        <f t="shared" ca="1" si="15"/>
        <v>4.32629E-2</v>
      </c>
      <c r="N11" s="5">
        <f t="shared" ca="1" si="15"/>
        <v>4.5790540000000005E-2</v>
      </c>
      <c r="O11" s="5">
        <f t="shared" ca="1" si="15"/>
        <v>4.8318180000000002E-2</v>
      </c>
      <c r="P11" s="5">
        <f t="shared" ca="1" si="15"/>
        <v>5.0845820000000007E-2</v>
      </c>
      <c r="Q11" s="5">
        <f t="shared" ca="1" si="15"/>
        <v>5.3373460000000011E-2</v>
      </c>
      <c r="R11" s="5">
        <f t="shared" ca="1" si="15"/>
        <v>5.5901100000000009E-2</v>
      </c>
      <c r="S11" s="5">
        <f t="shared" ca="1" si="15"/>
        <v>5.8428740000000007E-2</v>
      </c>
      <c r="T11" s="5">
        <f t="shared" ca="1" si="15"/>
        <v>6.0956380000000011E-2</v>
      </c>
      <c r="U11" s="5">
        <f t="shared" ca="1" si="15"/>
        <v>6.3484020000000002E-2</v>
      </c>
      <c r="V11" s="5">
        <f t="shared" ca="1" si="15"/>
        <v>6.601166E-2</v>
      </c>
      <c r="W11" s="5">
        <f t="shared" ca="1" si="15"/>
        <v>6.8539299999999997E-2</v>
      </c>
      <c r="X11" s="5">
        <f t="shared" ca="1" si="15"/>
        <v>7.1066939999999995E-2</v>
      </c>
      <c r="Y11" s="5">
        <f t="shared" ca="1" si="15"/>
        <v>7.3594579999999993E-2</v>
      </c>
      <c r="Z11" s="5">
        <f t="shared" ca="1" si="15"/>
        <v>7.6122220000000004E-2</v>
      </c>
      <c r="AA11" s="5">
        <f t="shared" ca="1" si="15"/>
        <v>7.8649860000000002E-2</v>
      </c>
      <c r="AB11" s="5">
        <f t="shared" ca="1" si="15"/>
        <v>8.11775E-2</v>
      </c>
      <c r="AC11" s="5">
        <f t="shared" ca="1" si="15"/>
        <v>8.3705139999999997E-2</v>
      </c>
      <c r="AD11" s="5">
        <f t="shared" ca="1" si="15"/>
        <v>8.6232779999999995E-2</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AI12" s="7"/>
      <c r="AJ12" s="7"/>
      <c r="AK12" s="7"/>
      <c r="AL12" s="7"/>
      <c r="AM12" s="7"/>
      <c r="AN12" s="7"/>
      <c r="AO12" s="7"/>
      <c r="AP12" s="7"/>
      <c r="AQ12" s="7"/>
      <c r="AR12" s="7"/>
      <c r="AS12" s="7"/>
      <c r="AT12" s="7"/>
    </row>
    <row r="13" spans="1:54" x14ac:dyDescent="0.25">
      <c r="A13" s="6" t="s">
        <v>162</v>
      </c>
      <c r="C13" s="4" t="s">
        <v>163</v>
      </c>
      <c r="D13" s="4" t="s">
        <v>164</v>
      </c>
      <c r="F13" s="4" t="s">
        <v>165</v>
      </c>
      <c r="G13" s="4"/>
      <c r="H13" s="4" t="s">
        <v>167</v>
      </c>
      <c r="K13" s="205" t="str">
        <f t="shared" ref="K13:AD13" si="16">IF(K14=Yr_Start,"Start Year",IF(K14=Yr_End,"End Year",""))</f>
        <v>Start Year</v>
      </c>
      <c r="L13" s="205" t="str">
        <f t="shared" si="16"/>
        <v/>
      </c>
      <c r="M13" s="205" t="str">
        <f t="shared" si="16"/>
        <v/>
      </c>
      <c r="N13" s="205" t="str">
        <f t="shared" si="16"/>
        <v>End Year</v>
      </c>
      <c r="O13" s="205" t="str">
        <f t="shared" si="16"/>
        <v/>
      </c>
      <c r="P13" s="205" t="str">
        <f t="shared" si="16"/>
        <v/>
      </c>
      <c r="Q13" s="205" t="str">
        <f t="shared" si="16"/>
        <v/>
      </c>
      <c r="R13" s="205" t="str">
        <f t="shared" si="16"/>
        <v/>
      </c>
      <c r="S13" s="205" t="str">
        <f t="shared" si="16"/>
        <v/>
      </c>
      <c r="T13" s="205" t="str">
        <f t="shared" si="16"/>
        <v/>
      </c>
      <c r="U13" s="205" t="str">
        <f t="shared" si="16"/>
        <v/>
      </c>
      <c r="V13" s="205" t="str">
        <f t="shared" si="16"/>
        <v/>
      </c>
      <c r="W13" s="205" t="str">
        <f t="shared" si="16"/>
        <v/>
      </c>
      <c r="X13" s="205" t="str">
        <f t="shared" si="16"/>
        <v/>
      </c>
      <c r="Y13" s="205" t="str">
        <f t="shared" si="16"/>
        <v/>
      </c>
      <c r="Z13" s="205" t="str">
        <f t="shared" si="16"/>
        <v/>
      </c>
      <c r="AA13" s="205" t="str">
        <f t="shared" si="16"/>
        <v/>
      </c>
      <c r="AB13" s="205" t="str">
        <f t="shared" si="16"/>
        <v/>
      </c>
      <c r="AC13" s="205" t="str">
        <f t="shared" si="16"/>
        <v/>
      </c>
      <c r="AD13" s="205" t="str">
        <f t="shared" si="16"/>
        <v/>
      </c>
      <c r="AE13" s="35"/>
      <c r="AF13" s="6" t="str">
        <f>A13</f>
        <v>Richest</v>
      </c>
      <c r="AI13" s="205" t="str">
        <f t="shared" ref="AI13:BB13" si="17">IF(AI14=Yr_Start,"Start Year",IF(AI14=Yr_End,"End Year",""))</f>
        <v>Start Year</v>
      </c>
      <c r="AJ13" s="205" t="str">
        <f t="shared" si="17"/>
        <v/>
      </c>
      <c r="AK13" s="205" t="str">
        <f t="shared" si="17"/>
        <v/>
      </c>
      <c r="AL13" s="205" t="str">
        <f t="shared" si="17"/>
        <v>End Year</v>
      </c>
      <c r="AM13" s="205" t="str">
        <f t="shared" si="17"/>
        <v/>
      </c>
      <c r="AN13" s="205" t="str">
        <f t="shared" si="17"/>
        <v/>
      </c>
      <c r="AO13" s="205" t="str">
        <f t="shared" si="17"/>
        <v/>
      </c>
      <c r="AP13" s="205" t="str">
        <f t="shared" si="17"/>
        <v/>
      </c>
      <c r="AQ13" s="205" t="str">
        <f t="shared" si="17"/>
        <v/>
      </c>
      <c r="AR13" s="205" t="str">
        <f t="shared" si="17"/>
        <v/>
      </c>
      <c r="AS13" s="205" t="str">
        <f t="shared" si="17"/>
        <v/>
      </c>
      <c r="AT13" s="205" t="str">
        <f t="shared" si="17"/>
        <v/>
      </c>
      <c r="AU13" s="205" t="str">
        <f t="shared" si="17"/>
        <v/>
      </c>
      <c r="AV13" s="205" t="str">
        <f t="shared" si="17"/>
        <v/>
      </c>
      <c r="AW13" s="205" t="str">
        <f t="shared" si="17"/>
        <v/>
      </c>
      <c r="AX13" s="205" t="str">
        <f t="shared" si="17"/>
        <v/>
      </c>
      <c r="AY13" s="205" t="str">
        <f t="shared" si="17"/>
        <v/>
      </c>
      <c r="AZ13" s="205" t="str">
        <f t="shared" si="17"/>
        <v/>
      </c>
      <c r="BA13" s="205" t="str">
        <f t="shared" si="17"/>
        <v/>
      </c>
      <c r="BB13" s="205" t="str">
        <f t="shared" si="17"/>
        <v/>
      </c>
    </row>
    <row r="14" spans="1:54" x14ac:dyDescent="0.25">
      <c r="A14" s="6" t="s">
        <v>21</v>
      </c>
      <c r="B14" s="36"/>
      <c r="C14" s="36">
        <f>Yr_DHS1</f>
        <v>2011</v>
      </c>
      <c r="D14" s="36">
        <f>Yr_DHS2</f>
        <v>2016</v>
      </c>
      <c r="E14" s="36" t="s">
        <v>168</v>
      </c>
      <c r="F14" s="36">
        <f>Yr_Start</f>
        <v>2019</v>
      </c>
      <c r="G14" s="36"/>
      <c r="H14" s="36">
        <f>Yr_End</f>
        <v>2022</v>
      </c>
      <c r="I14" s="36" t="s">
        <v>169</v>
      </c>
      <c r="J14" s="130">
        <f>K14-1</f>
        <v>2018</v>
      </c>
      <c r="K14" s="130">
        <f>Yr_Start</f>
        <v>2019</v>
      </c>
      <c r="L14" s="130">
        <f>K14+1</f>
        <v>2020</v>
      </c>
      <c r="M14" s="130">
        <f t="shared" ref="M14:AD14" si="18">L14+1</f>
        <v>2021</v>
      </c>
      <c r="N14" s="130">
        <f t="shared" si="18"/>
        <v>2022</v>
      </c>
      <c r="O14" s="130">
        <f t="shared" si="18"/>
        <v>2023</v>
      </c>
      <c r="P14" s="130">
        <f t="shared" si="18"/>
        <v>2024</v>
      </c>
      <c r="Q14" s="130">
        <f t="shared" si="18"/>
        <v>2025</v>
      </c>
      <c r="R14" s="130">
        <f t="shared" si="18"/>
        <v>2026</v>
      </c>
      <c r="S14" s="130">
        <f t="shared" si="18"/>
        <v>2027</v>
      </c>
      <c r="T14" s="130">
        <f t="shared" si="18"/>
        <v>2028</v>
      </c>
      <c r="U14" s="130">
        <f t="shared" si="18"/>
        <v>2029</v>
      </c>
      <c r="V14" s="130">
        <f t="shared" si="18"/>
        <v>2030</v>
      </c>
      <c r="W14" s="130">
        <f t="shared" si="18"/>
        <v>2031</v>
      </c>
      <c r="X14" s="130">
        <f t="shared" si="18"/>
        <v>2032</v>
      </c>
      <c r="Y14" s="130">
        <f t="shared" si="18"/>
        <v>2033</v>
      </c>
      <c r="Z14" s="130">
        <f t="shared" si="18"/>
        <v>2034</v>
      </c>
      <c r="AA14" s="130">
        <f t="shared" si="18"/>
        <v>2035</v>
      </c>
      <c r="AB14" s="130">
        <f t="shared" si="18"/>
        <v>2036</v>
      </c>
      <c r="AC14" s="130">
        <f t="shared" si="18"/>
        <v>2037</v>
      </c>
      <c r="AD14" s="130">
        <f t="shared" si="18"/>
        <v>2038</v>
      </c>
      <c r="AE14" s="6"/>
      <c r="AF14" s="6" t="str">
        <f>A14</f>
        <v>Rural</v>
      </c>
      <c r="AG14" s="38"/>
      <c r="AH14" s="161">
        <f>AI14-1</f>
        <v>2018</v>
      </c>
      <c r="AI14" s="36">
        <f>Yr_Start</f>
        <v>2019</v>
      </c>
      <c r="AJ14" s="36">
        <f>AI14+1</f>
        <v>2020</v>
      </c>
      <c r="AK14" s="36">
        <f t="shared" ref="AK14:BB14" si="19">AJ14+1</f>
        <v>2021</v>
      </c>
      <c r="AL14" s="36">
        <f t="shared" si="19"/>
        <v>2022</v>
      </c>
      <c r="AM14" s="36">
        <f t="shared" si="19"/>
        <v>2023</v>
      </c>
      <c r="AN14" s="36">
        <f t="shared" si="19"/>
        <v>2024</v>
      </c>
      <c r="AO14" s="36">
        <f t="shared" si="19"/>
        <v>2025</v>
      </c>
      <c r="AP14" s="36">
        <f t="shared" si="19"/>
        <v>2026</v>
      </c>
      <c r="AQ14" s="36">
        <f t="shared" si="19"/>
        <v>2027</v>
      </c>
      <c r="AR14" s="36">
        <f t="shared" si="19"/>
        <v>2028</v>
      </c>
      <c r="AS14" s="36">
        <f t="shared" si="19"/>
        <v>2029</v>
      </c>
      <c r="AT14" s="36">
        <f t="shared" si="19"/>
        <v>2030</v>
      </c>
      <c r="AU14" s="36">
        <f t="shared" si="19"/>
        <v>2031</v>
      </c>
      <c r="AV14" s="36">
        <f t="shared" si="19"/>
        <v>2032</v>
      </c>
      <c r="AW14" s="36">
        <f t="shared" si="19"/>
        <v>2033</v>
      </c>
      <c r="AX14" s="36">
        <f t="shared" si="19"/>
        <v>2034</v>
      </c>
      <c r="AY14" s="36">
        <f t="shared" si="19"/>
        <v>2035</v>
      </c>
      <c r="AZ14" s="36">
        <f t="shared" si="19"/>
        <v>2036</v>
      </c>
      <c r="BA14" s="36">
        <f t="shared" si="19"/>
        <v>2037</v>
      </c>
      <c r="BB14" s="36">
        <f t="shared" si="19"/>
        <v>2038</v>
      </c>
    </row>
    <row r="15" spans="1:54" x14ac:dyDescent="0.25">
      <c r="B15" s="1" t="s">
        <v>52</v>
      </c>
      <c r="C15" s="14">
        <f ca="1">INDEX(Data_FP!$2:$1048576,MATCH(C$4&amp;$A$14&amp;$B15&amp;$A$1,Data_FP!$A$2:$A$1048576,0),MATCH($A$13,Data_FP!$2:$2,0))</f>
        <v>1.0392999999999999E-3</v>
      </c>
      <c r="D15" s="14">
        <f ca="1">INDEX(Data_FP!$2:$1048576,MATCH(D$4&amp;$A$14&amp;$B15&amp;$A$1,Data_FP!$A$2:$A$1048576,0),MATCH($A$13,Data_FP!$2:$2,0))</f>
        <v>1.0446799999999999E-2</v>
      </c>
      <c r="E15" s="14">
        <f ca="1">IF('User Settings'!$N$7="On",($D15-$C15)/($D$4-$C$4),0)</f>
        <v>1.8814999999999999E-3</v>
      </c>
      <c r="F15" s="14">
        <f ca="1">MAX(0,MIN(1,($D15+$E15*(F$4-$D$4))))</f>
        <v>1.6091299999999999E-2</v>
      </c>
      <c r="G15" s="14"/>
      <c r="H15" s="14">
        <f ca="1">MAX(0,MIN(1,($D15+$E15*(H$4-$D$4))*$H$1))</f>
        <v>2.17358E-2</v>
      </c>
      <c r="I15" s="14">
        <f ca="1">($H15-$F15)/($H$4-$F$4)</f>
        <v>1.8815000000000001E-3</v>
      </c>
      <c r="J15" s="14">
        <f ca="1">K15-E15</f>
        <v>1.42098E-2</v>
      </c>
      <c r="K15" s="14">
        <f ca="1">MAX(0,MIN(1,D15+(K$4-D$4)*E15))</f>
        <v>1.6091299999999999E-2</v>
      </c>
      <c r="L15" s="15">
        <f ca="1">MAX(0,MIN(1,K15+$I15))</f>
        <v>1.7972800000000001E-2</v>
      </c>
      <c r="M15" s="15">
        <f t="shared" ref="M15" ca="1" si="20">MAX(0,MIN(1,L15+$I15))</f>
        <v>1.9854300000000002E-2</v>
      </c>
      <c r="N15" s="15">
        <f ca="1">MAX(0,MIN(1,M15+$I15))</f>
        <v>2.1735800000000003E-2</v>
      </c>
      <c r="O15" s="15">
        <f t="shared" ref="O15:AD15" ca="1" si="21">MAX(0,MIN(1,N15+$I15))</f>
        <v>2.3617300000000004E-2</v>
      </c>
      <c r="P15" s="15">
        <f t="shared" ca="1" si="21"/>
        <v>2.5498800000000005E-2</v>
      </c>
      <c r="Q15" s="15">
        <f t="shared" ca="1" si="21"/>
        <v>2.7380300000000007E-2</v>
      </c>
      <c r="R15" s="15">
        <f t="shared" ca="1" si="21"/>
        <v>2.9261800000000008E-2</v>
      </c>
      <c r="S15" s="15">
        <f t="shared" ca="1" si="21"/>
        <v>3.1143300000000009E-2</v>
      </c>
      <c r="T15" s="15">
        <f t="shared" ca="1" si="21"/>
        <v>3.3024800000000007E-2</v>
      </c>
      <c r="U15" s="15">
        <f t="shared" ca="1" si="21"/>
        <v>3.4906300000000008E-2</v>
      </c>
      <c r="V15" s="15">
        <f t="shared" ca="1" si="21"/>
        <v>3.6787800000000009E-2</v>
      </c>
      <c r="W15" s="15">
        <f t="shared" ca="1" si="21"/>
        <v>3.8669300000000011E-2</v>
      </c>
      <c r="X15" s="15">
        <f t="shared" ca="1" si="21"/>
        <v>4.0550800000000012E-2</v>
      </c>
      <c r="Y15" s="15">
        <f t="shared" ca="1" si="21"/>
        <v>4.2432300000000013E-2</v>
      </c>
      <c r="Z15" s="15">
        <f t="shared" ca="1" si="21"/>
        <v>4.4313800000000014E-2</v>
      </c>
      <c r="AA15" s="15">
        <f t="shared" ca="1" si="21"/>
        <v>4.6195300000000016E-2</v>
      </c>
      <c r="AB15" s="15">
        <f t="shared" ca="1" si="21"/>
        <v>4.8076800000000017E-2</v>
      </c>
      <c r="AC15" s="15">
        <f t="shared" ca="1" si="21"/>
        <v>4.9958300000000018E-2</v>
      </c>
      <c r="AD15" s="15">
        <f t="shared" ca="1" si="21"/>
        <v>5.1839800000000019E-2</v>
      </c>
      <c r="AE15" s="5"/>
      <c r="AG15" s="1" t="s">
        <v>52</v>
      </c>
      <c r="AH15" s="37">
        <f ca="1">J15*AH$21</f>
        <v>23538.11468531677</v>
      </c>
      <c r="AI15" s="37">
        <f t="shared" ref="AI15:AI20" ca="1" si="22">K15*AI$21</f>
        <v>27679.783926137185</v>
      </c>
      <c r="AJ15" s="37">
        <f t="shared" ref="AJ15:AS20" ca="1" si="23">L15*AJ$21</f>
        <v>32098.143485562749</v>
      </c>
      <c r="AK15" s="37">
        <f t="shared" ca="1" si="23"/>
        <v>36759.245194981988</v>
      </c>
      <c r="AL15" s="37">
        <f t="shared" ca="1" si="23"/>
        <v>41719.009465166499</v>
      </c>
      <c r="AM15" s="37">
        <f t="shared" ca="1" si="23"/>
        <v>46985.427793140268</v>
      </c>
      <c r="AN15" s="37">
        <f t="shared" ca="1" si="23"/>
        <v>52563.906342662645</v>
      </c>
      <c r="AO15" s="37">
        <f t="shared" ca="1" si="23"/>
        <v>58461.482006236351</v>
      </c>
      <c r="AP15" s="37">
        <f t="shared" ca="1" si="23"/>
        <v>64643.76518625248</v>
      </c>
      <c r="AQ15" s="37">
        <f t="shared" ca="1" si="23"/>
        <v>71164.882841386425</v>
      </c>
      <c r="AR15" s="37">
        <f t="shared" ca="1" si="23"/>
        <v>78036.816122549935</v>
      </c>
      <c r="AS15" s="37">
        <f t="shared" ca="1" si="23"/>
        <v>85275.421797862422</v>
      </c>
      <c r="AT15" s="37">
        <f t="shared" ref="AT15:BB20" ca="1" si="24">V15*AT$21</f>
        <v>92894.669850879305</v>
      </c>
      <c r="AU15" s="37">
        <f t="shared" ca="1" si="24"/>
        <v>100847.59467035689</v>
      </c>
      <c r="AV15" s="37">
        <f t="shared" ca="1" si="24"/>
        <v>109205.9415518875</v>
      </c>
      <c r="AW15" s="37">
        <f t="shared" ca="1" si="24"/>
        <v>117975.86723440423</v>
      </c>
      <c r="AX15" s="37">
        <f t="shared" ca="1" si="24"/>
        <v>127161.32710742269</v>
      </c>
      <c r="AY15" s="37">
        <f t="shared" ca="1" si="24"/>
        <v>136767.70610720816</v>
      </c>
      <c r="AZ15" s="37" t="e">
        <f t="shared" ca="1" si="24"/>
        <v>#N/A</v>
      </c>
      <c r="BA15" s="37" t="e">
        <f t="shared" ca="1" si="24"/>
        <v>#N/A</v>
      </c>
      <c r="BB15" s="37" t="e">
        <f t="shared" ca="1" si="24"/>
        <v>#N/A</v>
      </c>
    </row>
    <row r="16" spans="1:54" x14ac:dyDescent="0.25">
      <c r="B16" s="1" t="s">
        <v>54</v>
      </c>
      <c r="C16" s="14">
        <f ca="1">INDEX(Data_FP!$2:$1048576,MATCH(C$4&amp;$A$14&amp;$B16&amp;$A$1,Data_FP!$A$2:$A$1048576,0),MATCH($A$13,Data_FP!$2:$2,0))</f>
        <v>0</v>
      </c>
      <c r="D16" s="14">
        <f ca="1">INDEX(Data_FP!$2:$1048576,MATCH(D$4&amp;$A$14&amp;$B16&amp;$A$1,Data_FP!$A$2:$A$1048576,0),MATCH($A$13,Data_FP!$2:$2,0))</f>
        <v>1.9432E-3</v>
      </c>
      <c r="E16" s="14">
        <f ca="1">IF('User Settings'!$N$7="On",($D16-$C16)/($D$4-$C$4),0)</f>
        <v>3.8863999999999999E-4</v>
      </c>
      <c r="F16" s="14">
        <f t="shared" ref="F16:F20" ca="1" si="25">MAX(0,MIN(1,($D16+$E16*(F$4-$D$4))))</f>
        <v>3.1091199999999999E-3</v>
      </c>
      <c r="G16" s="14"/>
      <c r="H16" s="14">
        <f t="shared" ref="H16:H20" ca="1" si="26">MAX(0,MIN(1,($D16+$E16*(H$4-$D$4))*$H$1))</f>
        <v>4.2750399999999999E-3</v>
      </c>
      <c r="I16" s="14">
        <f ca="1">($H16-$F16)/($H$4-$F$4)</f>
        <v>3.8863999999999999E-4</v>
      </c>
      <c r="J16" s="14">
        <f t="shared" ref="J16:J20" ca="1" si="27">K16-E16</f>
        <v>2.7204799999999999E-3</v>
      </c>
      <c r="K16" s="14">
        <f t="shared" ref="K16:K20" ca="1" si="28">MAX(0,MIN(1,D16+(K$4-D$4)*E16))</f>
        <v>3.1091199999999999E-3</v>
      </c>
      <c r="L16" s="15">
        <f t="shared" ref="L16:AD16" ca="1" si="29">MAX(0,MIN(1,K16+$I16))</f>
        <v>3.4977599999999999E-3</v>
      </c>
      <c r="M16" s="15">
        <f t="shared" ca="1" si="29"/>
        <v>3.8863999999999999E-3</v>
      </c>
      <c r="N16" s="15">
        <f t="shared" ca="1" si="29"/>
        <v>4.2750399999999999E-3</v>
      </c>
      <c r="O16" s="15">
        <f t="shared" ca="1" si="29"/>
        <v>4.6636799999999999E-3</v>
      </c>
      <c r="P16" s="15">
        <f t="shared" ca="1" si="29"/>
        <v>5.0523199999999999E-3</v>
      </c>
      <c r="Q16" s="15">
        <f t="shared" ca="1" si="29"/>
        <v>5.4409599999999999E-3</v>
      </c>
      <c r="R16" s="15">
        <f t="shared" ca="1" si="29"/>
        <v>5.8295999999999999E-3</v>
      </c>
      <c r="S16" s="15">
        <f t="shared" ca="1" si="29"/>
        <v>6.2182399999999999E-3</v>
      </c>
      <c r="T16" s="15">
        <f t="shared" ca="1" si="29"/>
        <v>6.6068799999999999E-3</v>
      </c>
      <c r="U16" s="15">
        <f t="shared" ca="1" si="29"/>
        <v>6.9955199999999999E-3</v>
      </c>
      <c r="V16" s="15">
        <f t="shared" ca="1" si="29"/>
        <v>7.3841599999999999E-3</v>
      </c>
      <c r="W16" s="15">
        <f t="shared" ca="1" si="29"/>
        <v>7.7727999999999998E-3</v>
      </c>
      <c r="X16" s="15">
        <f t="shared" ca="1" si="29"/>
        <v>8.161439999999999E-3</v>
      </c>
      <c r="Y16" s="15">
        <f t="shared" ca="1" si="29"/>
        <v>8.5500799999999981E-3</v>
      </c>
      <c r="Z16" s="15">
        <f t="shared" ca="1" si="29"/>
        <v>8.9387199999999972E-3</v>
      </c>
      <c r="AA16" s="15">
        <f t="shared" ca="1" si="29"/>
        <v>9.3273599999999963E-3</v>
      </c>
      <c r="AB16" s="15">
        <f t="shared" ca="1" si="29"/>
        <v>9.7159999999999955E-3</v>
      </c>
      <c r="AC16" s="15">
        <f t="shared" ca="1" si="29"/>
        <v>1.0104639999999995E-2</v>
      </c>
      <c r="AD16" s="15">
        <f t="shared" ca="1" si="29"/>
        <v>1.0493279999999994E-2</v>
      </c>
      <c r="AE16" s="5"/>
      <c r="AG16" s="1" t="s">
        <v>54</v>
      </c>
      <c r="AH16" s="37">
        <f t="shared" ref="AH16:AH20" ca="1" si="30">J16*AH$21</f>
        <v>4506.3948992322603</v>
      </c>
      <c r="AI16" s="37">
        <f t="shared" ca="1" si="22"/>
        <v>5348.2173472890099</v>
      </c>
      <c r="AJ16" s="37">
        <f t="shared" ca="1" si="23"/>
        <v>6246.7507766214476</v>
      </c>
      <c r="AK16" s="37">
        <f t="shared" ca="1" si="23"/>
        <v>7195.4755657856476</v>
      </c>
      <c r="AL16" s="37">
        <f t="shared" ca="1" si="23"/>
        <v>8205.3770380646365</v>
      </c>
      <c r="AM16" s="37">
        <f t="shared" ca="1" si="23"/>
        <v>9278.1562621600424</v>
      </c>
      <c r="AN16" s="37">
        <f t="shared" ca="1" si="23"/>
        <v>10414.98718736416</v>
      </c>
      <c r="AO16" s="37">
        <f t="shared" ca="1" si="23"/>
        <v>11617.352079292472</v>
      </c>
      <c r="AP16" s="37">
        <f t="shared" ca="1" si="23"/>
        <v>12878.47273680284</v>
      </c>
      <c r="AQ16" s="37">
        <f t="shared" ca="1" si="23"/>
        <v>14209.166051112843</v>
      </c>
      <c r="AR16" s="37">
        <f t="shared" ca="1" si="23"/>
        <v>15611.900138797286</v>
      </c>
      <c r="AS16" s="37">
        <f t="shared" ca="1" si="23"/>
        <v>17089.921266229376</v>
      </c>
      <c r="AT16" s="37">
        <f t="shared" ca="1" si="24"/>
        <v>18646.102928853281</v>
      </c>
      <c r="AU16" s="37">
        <f t="shared" ca="1" si="24"/>
        <v>20271.072500762875</v>
      </c>
      <c r="AV16" s="37">
        <f t="shared" ca="1" si="24"/>
        <v>21979.288685284544</v>
      </c>
      <c r="AW16" s="37">
        <f t="shared" ca="1" si="24"/>
        <v>23772.058147296619</v>
      </c>
      <c r="AX16" s="37">
        <f t="shared" ca="1" si="24"/>
        <v>25650.237574788454</v>
      </c>
      <c r="AY16" s="37">
        <f t="shared" ca="1" si="24"/>
        <v>27614.965834968669</v>
      </c>
      <c r="AZ16" s="37" t="e">
        <f t="shared" ca="1" si="24"/>
        <v>#N/A</v>
      </c>
      <c r="BA16" s="37" t="e">
        <f t="shared" ca="1" si="24"/>
        <v>#N/A</v>
      </c>
      <c r="BB16" s="37" t="e">
        <f t="shared" ca="1" si="24"/>
        <v>#N/A</v>
      </c>
    </row>
    <row r="17" spans="1:54" x14ac:dyDescent="0.25">
      <c r="B17" s="1" t="s">
        <v>170</v>
      </c>
      <c r="C17" s="14">
        <f ca="1">INDEX(Data_FP!$2:$1048576,MATCH(C$4&amp;$A$14&amp;$B17&amp;$A$1,Data_FP!$A$2:$A$1048576,0),MATCH($A$13,Data_FP!$2:$2,0))</f>
        <v>0</v>
      </c>
      <c r="D17" s="14">
        <f ca="1">INDEX(Data_FP!$2:$1048576,MATCH(D$4&amp;$A$14&amp;$B17&amp;$A$1,Data_FP!$A$2:$A$1048576,0),MATCH($A$13,Data_FP!$2:$2,0))</f>
        <v>2.4719999999999999E-4</v>
      </c>
      <c r="E17" s="14">
        <f ca="1">IF('User Settings'!$N$7="On",($D17-$C17)/($D$4-$C$4),0)</f>
        <v>4.9440000000000001E-5</v>
      </c>
      <c r="F17" s="14">
        <f t="shared" ca="1" si="25"/>
        <v>3.9552000000000001E-4</v>
      </c>
      <c r="G17" s="14"/>
      <c r="H17" s="14">
        <f t="shared" ca="1" si="26"/>
        <v>5.4384000000000008E-4</v>
      </c>
      <c r="I17" s="14">
        <f t="shared" ref="I17:I20" ca="1" si="31">($H17-$F17)/($H$4-$F$4)</f>
        <v>4.9440000000000021E-5</v>
      </c>
      <c r="J17" s="14">
        <f t="shared" ca="1" si="27"/>
        <v>3.4608000000000002E-4</v>
      </c>
      <c r="K17" s="14">
        <f t="shared" ca="1" si="28"/>
        <v>3.9552000000000001E-4</v>
      </c>
      <c r="L17" s="15">
        <f t="shared" ref="L17:AD17" ca="1" si="32">MAX(0,MIN(1,K17+$I17))</f>
        <v>4.4496000000000005E-4</v>
      </c>
      <c r="M17" s="15">
        <f t="shared" ca="1" si="32"/>
        <v>4.9440000000000009E-4</v>
      </c>
      <c r="N17" s="15">
        <f t="shared" ca="1" si="32"/>
        <v>5.4384000000000008E-4</v>
      </c>
      <c r="O17" s="15">
        <f t="shared" ca="1" si="32"/>
        <v>5.9328000000000007E-4</v>
      </c>
      <c r="P17" s="15">
        <f t="shared" ca="1" si="32"/>
        <v>6.4272000000000005E-4</v>
      </c>
      <c r="Q17" s="15">
        <f t="shared" ca="1" si="32"/>
        <v>6.9216000000000004E-4</v>
      </c>
      <c r="R17" s="15">
        <f t="shared" ca="1" si="32"/>
        <v>7.4160000000000003E-4</v>
      </c>
      <c r="S17" s="15">
        <f t="shared" ca="1" si="32"/>
        <v>7.9104000000000002E-4</v>
      </c>
      <c r="T17" s="15">
        <f t="shared" ca="1" si="32"/>
        <v>8.4048E-4</v>
      </c>
      <c r="U17" s="15">
        <f t="shared" ca="1" si="32"/>
        <v>8.8991999999999999E-4</v>
      </c>
      <c r="V17" s="15">
        <f t="shared" ca="1" si="32"/>
        <v>9.3935999999999998E-4</v>
      </c>
      <c r="W17" s="15">
        <f t="shared" ca="1" si="32"/>
        <v>9.8879999999999997E-4</v>
      </c>
      <c r="X17" s="15">
        <f t="shared" ca="1" si="32"/>
        <v>1.03824E-3</v>
      </c>
      <c r="Y17" s="15">
        <f t="shared" ca="1" si="32"/>
        <v>1.0876799999999999E-3</v>
      </c>
      <c r="Z17" s="15">
        <f t="shared" ca="1" si="32"/>
        <v>1.1371199999999999E-3</v>
      </c>
      <c r="AA17" s="15">
        <f t="shared" ca="1" si="32"/>
        <v>1.1865599999999999E-3</v>
      </c>
      <c r="AB17" s="15">
        <f t="shared" ca="1" si="32"/>
        <v>1.2359999999999999E-3</v>
      </c>
      <c r="AC17" s="15">
        <f t="shared" ca="1" si="32"/>
        <v>1.2854399999999999E-3</v>
      </c>
      <c r="AD17" s="15">
        <f t="shared" ca="1" si="32"/>
        <v>1.3348799999999999E-3</v>
      </c>
      <c r="AE17" s="5"/>
      <c r="AG17" s="1" t="s">
        <v>170</v>
      </c>
      <c r="AH17" s="37">
        <f t="shared" ca="1" si="30"/>
        <v>573.2713148879244</v>
      </c>
      <c r="AI17" s="37">
        <f t="shared" ca="1" si="22"/>
        <v>680.36194331506965</v>
      </c>
      <c r="AJ17" s="37">
        <f t="shared" ca="1" si="23"/>
        <v>794.66693700124642</v>
      </c>
      <c r="AK17" s="37">
        <f t="shared" ca="1" si="23"/>
        <v>915.35691635560534</v>
      </c>
      <c r="AL17" s="37">
        <f t="shared" ca="1" si="23"/>
        <v>1043.8293556039412</v>
      </c>
      <c r="AM17" s="37">
        <f t="shared" ca="1" si="23"/>
        <v>1180.3006525349747</v>
      </c>
      <c r="AN17" s="37">
        <f t="shared" ca="1" si="23"/>
        <v>1324.9201485778206</v>
      </c>
      <c r="AO17" s="37">
        <f t="shared" ca="1" si="23"/>
        <v>1477.8764069581614</v>
      </c>
      <c r="AP17" s="37">
        <f t="shared" ca="1" si="23"/>
        <v>1638.3071534261335</v>
      </c>
      <c r="AQ17" s="37">
        <f t="shared" ca="1" si="23"/>
        <v>1807.5884354853308</v>
      </c>
      <c r="AR17" s="37">
        <f t="shared" ca="1" si="23"/>
        <v>1986.0342292665136</v>
      </c>
      <c r="AS17" s="37">
        <f t="shared" ca="1" si="23"/>
        <v>2174.0575015499699</v>
      </c>
      <c r="AT17" s="37">
        <f t="shared" ca="1" si="24"/>
        <v>2372.0237978656501</v>
      </c>
      <c r="AU17" s="37">
        <f t="shared" ca="1" si="24"/>
        <v>2578.7407998088629</v>
      </c>
      <c r="AV17" s="37">
        <f t="shared" ca="1" si="24"/>
        <v>2796.0478401617638</v>
      </c>
      <c r="AW17" s="37">
        <f t="shared" ca="1" si="24"/>
        <v>3024.1111434807149</v>
      </c>
      <c r="AX17" s="37">
        <f t="shared" ca="1" si="24"/>
        <v>3263.0396914819412</v>
      </c>
      <c r="AY17" s="37">
        <f t="shared" ca="1" si="24"/>
        <v>3512.9783627028905</v>
      </c>
      <c r="AZ17" s="37" t="e">
        <f t="shared" ca="1" si="24"/>
        <v>#N/A</v>
      </c>
      <c r="BA17" s="37" t="e">
        <f t="shared" ca="1" si="24"/>
        <v>#N/A</v>
      </c>
      <c r="BB17" s="37" t="e">
        <f t="shared" ca="1" si="24"/>
        <v>#N/A</v>
      </c>
    </row>
    <row r="18" spans="1:54" x14ac:dyDescent="0.25">
      <c r="B18" s="1" t="s">
        <v>59</v>
      </c>
      <c r="C18" s="14">
        <f ca="1">INDEX(Data_FP!$2:$1048576,MATCH(C$4&amp;$A$14&amp;$B18&amp;$A$1,Data_FP!$A$2:$A$1048576,0),MATCH($A$13,Data_FP!$2:$2,0))</f>
        <v>1.1640000000000001E-3</v>
      </c>
      <c r="D18" s="14">
        <f ca="1">INDEX(Data_FP!$2:$1048576,MATCH(D$4&amp;$A$14&amp;$B18&amp;$A$1,Data_FP!$A$2:$A$1048576,0),MATCH($A$13,Data_FP!$2:$2,0))</f>
        <v>6.5265000000000002E-3</v>
      </c>
      <c r="E18" s="14">
        <f ca="1">IF('User Settings'!$N$7="On",($D18-$C18)/($D$4-$C$4),0)</f>
        <v>1.0725000000000001E-3</v>
      </c>
      <c r="F18" s="14">
        <f t="shared" ca="1" si="25"/>
        <v>9.7440000000000009E-3</v>
      </c>
      <c r="G18" s="14"/>
      <c r="H18" s="14">
        <f t="shared" ca="1" si="26"/>
        <v>1.2961500000000001E-2</v>
      </c>
      <c r="I18" s="14">
        <f t="shared" ca="1" si="31"/>
        <v>1.0724999999999999E-3</v>
      </c>
      <c r="J18" s="14">
        <f t="shared" ca="1" si="27"/>
        <v>8.6715000000000004E-3</v>
      </c>
      <c r="K18" s="14">
        <f t="shared" ca="1" si="28"/>
        <v>9.7440000000000009E-3</v>
      </c>
      <c r="L18" s="15">
        <f t="shared" ref="L18:AD18" ca="1" si="33">MAX(0,MIN(1,K18+$I18))</f>
        <v>1.0816500000000001E-2</v>
      </c>
      <c r="M18" s="15">
        <f t="shared" ca="1" si="33"/>
        <v>1.1889000000000002E-2</v>
      </c>
      <c r="N18" s="15">
        <f t="shared" ca="1" si="33"/>
        <v>1.2961500000000003E-2</v>
      </c>
      <c r="O18" s="15">
        <f t="shared" ca="1" si="33"/>
        <v>1.4034000000000003E-2</v>
      </c>
      <c r="P18" s="15">
        <f t="shared" ca="1" si="33"/>
        <v>1.5106500000000004E-2</v>
      </c>
      <c r="Q18" s="15">
        <f t="shared" ca="1" si="33"/>
        <v>1.6179000000000002E-2</v>
      </c>
      <c r="R18" s="15">
        <f t="shared" ca="1" si="33"/>
        <v>1.7251500000000003E-2</v>
      </c>
      <c r="S18" s="15">
        <f t="shared" ca="1" si="33"/>
        <v>1.8324000000000003E-2</v>
      </c>
      <c r="T18" s="15">
        <f t="shared" ca="1" si="33"/>
        <v>1.9396500000000004E-2</v>
      </c>
      <c r="U18" s="15">
        <f t="shared" ca="1" si="33"/>
        <v>2.0469000000000005E-2</v>
      </c>
      <c r="V18" s="15">
        <f t="shared" ca="1" si="33"/>
        <v>2.1541500000000005E-2</v>
      </c>
      <c r="W18" s="15">
        <f t="shared" ca="1" si="33"/>
        <v>2.2614000000000006E-2</v>
      </c>
      <c r="X18" s="15">
        <f t="shared" ca="1" si="33"/>
        <v>2.3686500000000006E-2</v>
      </c>
      <c r="Y18" s="15">
        <f t="shared" ca="1" si="33"/>
        <v>2.4759000000000007E-2</v>
      </c>
      <c r="Z18" s="15">
        <f t="shared" ca="1" si="33"/>
        <v>2.5831500000000007E-2</v>
      </c>
      <c r="AA18" s="15">
        <f t="shared" ca="1" si="33"/>
        <v>2.6904000000000008E-2</v>
      </c>
      <c r="AB18" s="15">
        <f t="shared" ca="1" si="33"/>
        <v>2.7976500000000008E-2</v>
      </c>
      <c r="AC18" s="15">
        <f t="shared" ca="1" si="33"/>
        <v>2.9049000000000009E-2</v>
      </c>
      <c r="AD18" s="15">
        <f t="shared" ca="1" si="33"/>
        <v>3.0121500000000009E-2</v>
      </c>
      <c r="AE18" s="5"/>
      <c r="AG18" s="1" t="s">
        <v>59</v>
      </c>
      <c r="AH18" s="37">
        <f t="shared" ca="1" si="30"/>
        <v>14364.084047187462</v>
      </c>
      <c r="AI18" s="37">
        <f t="shared" ca="1" si="22"/>
        <v>16761.343991863974</v>
      </c>
      <c r="AJ18" s="37">
        <f t="shared" ca="1" si="23"/>
        <v>19317.500278843003</v>
      </c>
      <c r="AK18" s="37">
        <f t="shared" ca="1" si="23"/>
        <v>22011.889924255243</v>
      </c>
      <c r="AL18" s="37">
        <f t="shared" ca="1" si="23"/>
        <v>24877.894587857616</v>
      </c>
      <c r="AM18" s="37">
        <f t="shared" ca="1" si="23"/>
        <v>27919.935540850587</v>
      </c>
      <c r="AN18" s="37">
        <f t="shared" ca="1" si="23"/>
        <v>31140.941972384317</v>
      </c>
      <c r="AO18" s="37">
        <f t="shared" ca="1" si="23"/>
        <v>34544.84857283879</v>
      </c>
      <c r="AP18" s="37">
        <f t="shared" ca="1" si="23"/>
        <v>38111.186431136659</v>
      </c>
      <c r="AQ18" s="37">
        <f t="shared" ca="1" si="23"/>
        <v>41871.777017386237</v>
      </c>
      <c r="AR18" s="37">
        <f t="shared" ca="1" si="23"/>
        <v>45833.467694612533</v>
      </c>
      <c r="AS18" s="37">
        <f t="shared" ca="1" si="23"/>
        <v>50005.374639547757</v>
      </c>
      <c r="AT18" s="37">
        <f t="shared" ca="1" si="24"/>
        <v>54395.493359013497</v>
      </c>
      <c r="AU18" s="37">
        <f t="shared" ca="1" si="24"/>
        <v>58976.177636405388</v>
      </c>
      <c r="AV18" s="37">
        <f t="shared" ca="1" si="24"/>
        <v>63789.284910995179</v>
      </c>
      <c r="AW18" s="37">
        <f t="shared" ca="1" si="24"/>
        <v>68838.23165033746</v>
      </c>
      <c r="AX18" s="37">
        <f t="shared" ca="1" si="24"/>
        <v>74125.166904562211</v>
      </c>
      <c r="AY18" s="37">
        <f t="shared" ca="1" si="24"/>
        <v>79653.089494133121</v>
      </c>
      <c r="AZ18" s="37" t="e">
        <f t="shared" ca="1" si="24"/>
        <v>#N/A</v>
      </c>
      <c r="BA18" s="37" t="e">
        <f t="shared" ca="1" si="24"/>
        <v>#N/A</v>
      </c>
      <c r="BB18" s="37" t="e">
        <f t="shared" ca="1" si="24"/>
        <v>#N/A</v>
      </c>
    </row>
    <row r="19" spans="1:54" x14ac:dyDescent="0.25">
      <c r="B19" s="1" t="s">
        <v>171</v>
      </c>
      <c r="C19" s="14">
        <f ca="1">INDEX(Data_FP!$2:$1048576,MATCH(C$4&amp;$A$14&amp;$B19&amp;$A$1,Data_FP!$A$2:$A$1048576,0),MATCH($A$13,Data_FP!$2:$2,0))</f>
        <v>0</v>
      </c>
      <c r="D19" s="14">
        <f ca="1">INDEX(Data_FP!$2:$1048576,MATCH(D$4&amp;$A$14&amp;$B19&amp;$A$1,Data_FP!$A$2:$A$1048576,0),MATCH($A$13,Data_FP!$2:$2,0))</f>
        <v>0</v>
      </c>
      <c r="E19" s="14">
        <f ca="1">IF('User Settings'!$N$7="On",($D19-$C19)/($D$4-$C$4),0)</f>
        <v>0</v>
      </c>
      <c r="F19" s="14">
        <f t="shared" ca="1" si="25"/>
        <v>0</v>
      </c>
      <c r="G19" s="14"/>
      <c r="H19" s="14">
        <f t="shared" ca="1" si="26"/>
        <v>0</v>
      </c>
      <c r="I19" s="14">
        <f t="shared" ca="1" si="31"/>
        <v>0</v>
      </c>
      <c r="J19" s="14">
        <f t="shared" ca="1" si="27"/>
        <v>0</v>
      </c>
      <c r="K19" s="14">
        <f t="shared" ca="1" si="28"/>
        <v>0</v>
      </c>
      <c r="L19" s="15">
        <f t="shared" ref="L19:AD19" ca="1" si="34">MAX(0,MIN(1,K19+$I19))</f>
        <v>0</v>
      </c>
      <c r="M19" s="15">
        <f t="shared" ca="1" si="34"/>
        <v>0</v>
      </c>
      <c r="N19" s="15">
        <f t="shared" ca="1" si="34"/>
        <v>0</v>
      </c>
      <c r="O19" s="15">
        <f t="shared" ca="1" si="34"/>
        <v>0</v>
      </c>
      <c r="P19" s="15">
        <f t="shared" ca="1" si="34"/>
        <v>0</v>
      </c>
      <c r="Q19" s="15">
        <f t="shared" ca="1" si="34"/>
        <v>0</v>
      </c>
      <c r="R19" s="15">
        <f t="shared" ca="1" si="34"/>
        <v>0</v>
      </c>
      <c r="S19" s="15">
        <f t="shared" ca="1" si="34"/>
        <v>0</v>
      </c>
      <c r="T19" s="15">
        <f t="shared" ca="1" si="34"/>
        <v>0</v>
      </c>
      <c r="U19" s="15">
        <f t="shared" ca="1" si="34"/>
        <v>0</v>
      </c>
      <c r="V19" s="15">
        <f t="shared" ca="1" si="34"/>
        <v>0</v>
      </c>
      <c r="W19" s="15">
        <f t="shared" ca="1" si="34"/>
        <v>0</v>
      </c>
      <c r="X19" s="15">
        <f t="shared" ca="1" si="34"/>
        <v>0</v>
      </c>
      <c r="Y19" s="15">
        <f t="shared" ca="1" si="34"/>
        <v>0</v>
      </c>
      <c r="Z19" s="15">
        <f t="shared" ca="1" si="34"/>
        <v>0</v>
      </c>
      <c r="AA19" s="15">
        <f t="shared" ca="1" si="34"/>
        <v>0</v>
      </c>
      <c r="AB19" s="15">
        <f t="shared" ca="1" si="34"/>
        <v>0</v>
      </c>
      <c r="AC19" s="15">
        <f t="shared" ca="1" si="34"/>
        <v>0</v>
      </c>
      <c r="AD19" s="15">
        <f t="shared" ca="1" si="34"/>
        <v>0</v>
      </c>
      <c r="AE19" s="5"/>
      <c r="AG19" s="1" t="s">
        <v>171</v>
      </c>
      <c r="AH19" s="37">
        <f t="shared" ca="1" si="30"/>
        <v>0</v>
      </c>
      <c r="AI19" s="37">
        <f t="shared" ca="1" si="22"/>
        <v>0</v>
      </c>
      <c r="AJ19" s="37">
        <f t="shared" ca="1" si="23"/>
        <v>0</v>
      </c>
      <c r="AK19" s="37">
        <f t="shared" ca="1" si="23"/>
        <v>0</v>
      </c>
      <c r="AL19" s="37">
        <f t="shared" ca="1" si="23"/>
        <v>0</v>
      </c>
      <c r="AM19" s="37">
        <f t="shared" ca="1" si="23"/>
        <v>0</v>
      </c>
      <c r="AN19" s="37">
        <f t="shared" ca="1" si="23"/>
        <v>0</v>
      </c>
      <c r="AO19" s="37">
        <f t="shared" ca="1" si="23"/>
        <v>0</v>
      </c>
      <c r="AP19" s="37">
        <f t="shared" ca="1" si="23"/>
        <v>0</v>
      </c>
      <c r="AQ19" s="37">
        <f t="shared" ca="1" si="23"/>
        <v>0</v>
      </c>
      <c r="AR19" s="37">
        <f t="shared" ca="1" si="23"/>
        <v>0</v>
      </c>
      <c r="AS19" s="37">
        <f t="shared" ca="1" si="23"/>
        <v>0</v>
      </c>
      <c r="AT19" s="37">
        <f t="shared" ca="1" si="24"/>
        <v>0</v>
      </c>
      <c r="AU19" s="37">
        <f t="shared" ca="1" si="24"/>
        <v>0</v>
      </c>
      <c r="AV19" s="37">
        <f t="shared" ca="1" si="24"/>
        <v>0</v>
      </c>
      <c r="AW19" s="37">
        <f t="shared" ca="1" si="24"/>
        <v>0</v>
      </c>
      <c r="AX19" s="37">
        <f t="shared" ca="1" si="24"/>
        <v>0</v>
      </c>
      <c r="AY19" s="37">
        <f t="shared" ca="1" si="24"/>
        <v>0</v>
      </c>
      <c r="AZ19" s="37" t="e">
        <f t="shared" ca="1" si="24"/>
        <v>#N/A</v>
      </c>
      <c r="BA19" s="37" t="e">
        <f t="shared" ca="1" si="24"/>
        <v>#N/A</v>
      </c>
      <c r="BB19" s="37" t="e">
        <f t="shared" ca="1" si="24"/>
        <v>#N/A</v>
      </c>
    </row>
    <row r="20" spans="1:54" x14ac:dyDescent="0.25">
      <c r="B20" s="1" t="s">
        <v>116</v>
      </c>
      <c r="C20" s="14">
        <f ca="1">INDEX(Data_FP!$2:$1048576,MATCH(C$4&amp;$A$14&amp;$B20&amp;$A$1,Data_FP!$A$2:$A$1048576,0),MATCH($A$13,Data_FP!$2:$2,0))</f>
        <v>1.4414E-3</v>
      </c>
      <c r="D20" s="14">
        <f ca="1">INDEX(Data_FP!$2:$1048576,MATCH(D$4&amp;$A$14&amp;$B20&amp;$A$1,Data_FP!$A$2:$A$1048576,0),MATCH($A$13,Data_FP!$2:$2,0))</f>
        <v>0</v>
      </c>
      <c r="E20" s="14">
        <f ca="1">IF('User Settings'!$N$7="On",($D20-$C20)/($D$4-$C$4),0)</f>
        <v>-2.8828000000000002E-4</v>
      </c>
      <c r="F20" s="14">
        <f t="shared" ca="1" si="25"/>
        <v>0</v>
      </c>
      <c r="G20" s="14"/>
      <c r="H20" s="14">
        <f t="shared" ca="1" si="26"/>
        <v>0</v>
      </c>
      <c r="I20" s="14">
        <f t="shared" ca="1" si="31"/>
        <v>0</v>
      </c>
      <c r="J20" s="14">
        <f t="shared" ca="1" si="27"/>
        <v>2.8828000000000002E-4</v>
      </c>
      <c r="K20" s="14">
        <f t="shared" ca="1" si="28"/>
        <v>0</v>
      </c>
      <c r="L20" s="15">
        <f t="shared" ref="L20:AD20" ca="1" si="35">MAX(0,MIN(1,K20+$I20))</f>
        <v>0</v>
      </c>
      <c r="M20" s="15">
        <f t="shared" ca="1" si="35"/>
        <v>0</v>
      </c>
      <c r="N20" s="15">
        <f t="shared" ca="1" si="35"/>
        <v>0</v>
      </c>
      <c r="O20" s="15">
        <f t="shared" ca="1" si="35"/>
        <v>0</v>
      </c>
      <c r="P20" s="15">
        <f t="shared" ca="1" si="35"/>
        <v>0</v>
      </c>
      <c r="Q20" s="15">
        <f t="shared" ca="1" si="35"/>
        <v>0</v>
      </c>
      <c r="R20" s="15">
        <f t="shared" ca="1" si="35"/>
        <v>0</v>
      </c>
      <c r="S20" s="15">
        <f t="shared" ca="1" si="35"/>
        <v>0</v>
      </c>
      <c r="T20" s="15">
        <f t="shared" ca="1" si="35"/>
        <v>0</v>
      </c>
      <c r="U20" s="15">
        <f t="shared" ca="1" si="35"/>
        <v>0</v>
      </c>
      <c r="V20" s="15">
        <f t="shared" ca="1" si="35"/>
        <v>0</v>
      </c>
      <c r="W20" s="15">
        <f t="shared" ca="1" si="35"/>
        <v>0</v>
      </c>
      <c r="X20" s="15">
        <f t="shared" ca="1" si="35"/>
        <v>0</v>
      </c>
      <c r="Y20" s="15">
        <f t="shared" ca="1" si="35"/>
        <v>0</v>
      </c>
      <c r="Z20" s="15">
        <f t="shared" ca="1" si="35"/>
        <v>0</v>
      </c>
      <c r="AA20" s="15">
        <f t="shared" ca="1" si="35"/>
        <v>0</v>
      </c>
      <c r="AB20" s="15">
        <f t="shared" ca="1" si="35"/>
        <v>0</v>
      </c>
      <c r="AC20" s="15">
        <f t="shared" ca="1" si="35"/>
        <v>0</v>
      </c>
      <c r="AD20" s="15">
        <f t="shared" ca="1" si="35"/>
        <v>0</v>
      </c>
      <c r="AE20" s="5"/>
      <c r="AG20" s="1" t="s">
        <v>116</v>
      </c>
      <c r="AH20" s="37">
        <f t="shared" ca="1" si="30"/>
        <v>477.52731927846412</v>
      </c>
      <c r="AI20" s="37">
        <f t="shared" ca="1" si="22"/>
        <v>0</v>
      </c>
      <c r="AJ20" s="37">
        <f t="shared" ca="1" si="23"/>
        <v>0</v>
      </c>
      <c r="AK20" s="37">
        <f t="shared" ca="1" si="23"/>
        <v>0</v>
      </c>
      <c r="AL20" s="37">
        <f t="shared" ca="1" si="23"/>
        <v>0</v>
      </c>
      <c r="AM20" s="37">
        <f t="shared" ca="1" si="23"/>
        <v>0</v>
      </c>
      <c r="AN20" s="37">
        <f t="shared" ca="1" si="23"/>
        <v>0</v>
      </c>
      <c r="AO20" s="37">
        <f t="shared" ca="1" si="23"/>
        <v>0</v>
      </c>
      <c r="AP20" s="37">
        <f t="shared" ca="1" si="23"/>
        <v>0</v>
      </c>
      <c r="AQ20" s="37">
        <f t="shared" ca="1" si="23"/>
        <v>0</v>
      </c>
      <c r="AR20" s="37">
        <f t="shared" ca="1" si="23"/>
        <v>0</v>
      </c>
      <c r="AS20" s="37">
        <f t="shared" ca="1" si="23"/>
        <v>0</v>
      </c>
      <c r="AT20" s="37">
        <f t="shared" ca="1" si="24"/>
        <v>0</v>
      </c>
      <c r="AU20" s="37">
        <f t="shared" ca="1" si="24"/>
        <v>0</v>
      </c>
      <c r="AV20" s="37">
        <f t="shared" ca="1" si="24"/>
        <v>0</v>
      </c>
      <c r="AW20" s="37">
        <f t="shared" ca="1" si="24"/>
        <v>0</v>
      </c>
      <c r="AX20" s="37">
        <f t="shared" ca="1" si="24"/>
        <v>0</v>
      </c>
      <c r="AY20" s="37">
        <f t="shared" ca="1" si="24"/>
        <v>0</v>
      </c>
      <c r="AZ20" s="37" t="e">
        <f t="shared" ca="1" si="24"/>
        <v>#N/A</v>
      </c>
      <c r="BA20" s="37" t="e">
        <f t="shared" ca="1" si="24"/>
        <v>#N/A</v>
      </c>
      <c r="BB20" s="37" t="e">
        <f t="shared" ca="1" si="24"/>
        <v>#N/A</v>
      </c>
    </row>
    <row r="21" spans="1:54" x14ac:dyDescent="0.25">
      <c r="C21" s="5">
        <f ca="1">SUM(C15:C20)</f>
        <v>3.6446999999999998E-3</v>
      </c>
      <c r="D21" s="5">
        <f ca="1">SUM(D15:D20)</f>
        <v>1.9163699999999999E-2</v>
      </c>
      <c r="E21" s="131"/>
      <c r="F21" s="132">
        <f ca="1">SUM(F15:F20)</f>
        <v>2.9339940000000002E-2</v>
      </c>
      <c r="G21" s="132"/>
      <c r="H21" s="132">
        <f ca="1">SUM(H15:H20)</f>
        <v>3.9516179999999998E-2</v>
      </c>
      <c r="I21" s="132"/>
      <c r="J21" s="132">
        <f ca="1">SUM(J15:J20)</f>
        <v>2.6236139999999995E-2</v>
      </c>
      <c r="K21" s="132">
        <f ca="1">SUM(K15:K20)</f>
        <v>2.9339940000000002E-2</v>
      </c>
      <c r="L21" s="5">
        <f t="shared" ref="L21:AD21" ca="1" si="36">SUM(L15:L20)</f>
        <v>3.2732020000000001E-2</v>
      </c>
      <c r="M21" s="5">
        <f t="shared" ca="1" si="36"/>
        <v>3.6124100000000006E-2</v>
      </c>
      <c r="N21" s="5">
        <f t="shared" ca="1" si="36"/>
        <v>3.9516180000000005E-2</v>
      </c>
      <c r="O21" s="5">
        <f t="shared" ca="1" si="36"/>
        <v>4.2908260000000011E-2</v>
      </c>
      <c r="P21" s="5">
        <f t="shared" ca="1" si="36"/>
        <v>4.6300340000000009E-2</v>
      </c>
      <c r="Q21" s="5">
        <f t="shared" ca="1" si="36"/>
        <v>4.9692420000000001E-2</v>
      </c>
      <c r="R21" s="5">
        <f t="shared" ca="1" si="36"/>
        <v>5.3084500000000014E-2</v>
      </c>
      <c r="S21" s="5">
        <f t="shared" ca="1" si="36"/>
        <v>5.6476580000000012E-2</v>
      </c>
      <c r="T21" s="5">
        <f t="shared" ca="1" si="36"/>
        <v>5.9868660000000011E-2</v>
      </c>
      <c r="U21" s="5">
        <f t="shared" ca="1" si="36"/>
        <v>6.326074000000001E-2</v>
      </c>
      <c r="V21" s="5">
        <f t="shared" ca="1" si="36"/>
        <v>6.6652820000000015E-2</v>
      </c>
      <c r="W21" s="5">
        <f t="shared" ca="1" si="36"/>
        <v>7.0044900000000021E-2</v>
      </c>
      <c r="X21" s="5">
        <f t="shared" ca="1" si="36"/>
        <v>7.3436980000000013E-2</v>
      </c>
      <c r="Y21" s="5">
        <f t="shared" ca="1" si="36"/>
        <v>7.6829060000000018E-2</v>
      </c>
      <c r="Z21" s="5">
        <f t="shared" ca="1" si="36"/>
        <v>8.0221140000000024E-2</v>
      </c>
      <c r="AA21" s="5">
        <f t="shared" ca="1" si="36"/>
        <v>8.361322000000003E-2</v>
      </c>
      <c r="AB21" s="5">
        <f t="shared" ca="1" si="36"/>
        <v>8.7005300000000022E-2</v>
      </c>
      <c r="AC21" s="5">
        <f t="shared" ca="1" si="36"/>
        <v>9.0397380000000013E-2</v>
      </c>
      <c r="AD21" s="5">
        <f t="shared" ca="1" si="36"/>
        <v>9.3789460000000019E-2</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G23" s="4"/>
      <c r="H23" s="4" t="s">
        <v>167</v>
      </c>
      <c r="K23" s="205" t="str">
        <f t="shared" ref="K23:AD23" si="37">IF(K24=Yr_Start,"Start Year",IF(K24=Yr_End,"End Year",""))</f>
        <v>Start Year</v>
      </c>
      <c r="L23" s="205" t="str">
        <f t="shared" si="37"/>
        <v/>
      </c>
      <c r="M23" s="205" t="str">
        <f t="shared" si="37"/>
        <v/>
      </c>
      <c r="N23" s="205" t="str">
        <f t="shared" si="37"/>
        <v>End Year</v>
      </c>
      <c r="O23" s="205" t="str">
        <f t="shared" si="37"/>
        <v/>
      </c>
      <c r="P23" s="205" t="str">
        <f t="shared" si="37"/>
        <v/>
      </c>
      <c r="Q23" s="205" t="str">
        <f t="shared" si="37"/>
        <v/>
      </c>
      <c r="R23" s="205" t="str">
        <f t="shared" si="37"/>
        <v/>
      </c>
      <c r="S23" s="205" t="str">
        <f t="shared" si="37"/>
        <v/>
      </c>
      <c r="T23" s="205" t="str">
        <f t="shared" si="37"/>
        <v/>
      </c>
      <c r="U23" s="205" t="str">
        <f t="shared" si="37"/>
        <v/>
      </c>
      <c r="V23" s="205" t="str">
        <f t="shared" si="37"/>
        <v/>
      </c>
      <c r="W23" s="205" t="str">
        <f t="shared" si="37"/>
        <v/>
      </c>
      <c r="X23" s="205" t="str">
        <f t="shared" si="37"/>
        <v/>
      </c>
      <c r="Y23" s="205" t="str">
        <f t="shared" si="37"/>
        <v/>
      </c>
      <c r="Z23" s="205" t="str">
        <f t="shared" si="37"/>
        <v/>
      </c>
      <c r="AA23" s="205" t="str">
        <f t="shared" si="37"/>
        <v/>
      </c>
      <c r="AB23" s="205" t="str">
        <f t="shared" si="37"/>
        <v/>
      </c>
      <c r="AC23" s="205" t="str">
        <f t="shared" si="37"/>
        <v/>
      </c>
      <c r="AD23" s="205" t="str">
        <f t="shared" si="37"/>
        <v/>
      </c>
      <c r="AE23" s="35"/>
      <c r="AF23" s="6" t="str">
        <f>A23</f>
        <v>Richer</v>
      </c>
      <c r="AI23" s="205" t="str">
        <f t="shared" ref="AI23:BB23" si="38">IF(AI24=Yr_Start,"Start Year",IF(AI24=Yr_End,"End Year",""))</f>
        <v>Start Year</v>
      </c>
      <c r="AJ23" s="205" t="str">
        <f t="shared" si="38"/>
        <v/>
      </c>
      <c r="AK23" s="205" t="str">
        <f t="shared" si="38"/>
        <v/>
      </c>
      <c r="AL23" s="205" t="str">
        <f t="shared" si="38"/>
        <v>End Year</v>
      </c>
      <c r="AM23" s="205" t="str">
        <f t="shared" si="38"/>
        <v/>
      </c>
      <c r="AN23" s="205" t="str">
        <f t="shared" si="38"/>
        <v/>
      </c>
      <c r="AO23" s="205" t="str">
        <f t="shared" si="38"/>
        <v/>
      </c>
      <c r="AP23" s="205" t="str">
        <f t="shared" si="38"/>
        <v/>
      </c>
      <c r="AQ23" s="205" t="str">
        <f t="shared" si="38"/>
        <v/>
      </c>
      <c r="AR23" s="205" t="str">
        <f t="shared" si="38"/>
        <v/>
      </c>
      <c r="AS23" s="205" t="str">
        <f t="shared" si="38"/>
        <v/>
      </c>
      <c r="AT23" s="205" t="str">
        <f t="shared" si="38"/>
        <v/>
      </c>
      <c r="AU23" s="205" t="str">
        <f t="shared" si="38"/>
        <v/>
      </c>
      <c r="AV23" s="205" t="str">
        <f t="shared" si="38"/>
        <v/>
      </c>
      <c r="AW23" s="205" t="str">
        <f t="shared" si="38"/>
        <v/>
      </c>
      <c r="AX23" s="205" t="str">
        <f t="shared" si="38"/>
        <v/>
      </c>
      <c r="AY23" s="205" t="str">
        <f t="shared" si="38"/>
        <v/>
      </c>
      <c r="AZ23" s="205" t="str">
        <f t="shared" si="38"/>
        <v/>
      </c>
      <c r="BA23" s="205" t="str">
        <f t="shared" si="38"/>
        <v/>
      </c>
      <c r="BB23" s="205" t="str">
        <f t="shared" si="38"/>
        <v/>
      </c>
    </row>
    <row r="24" spans="1:54" x14ac:dyDescent="0.25">
      <c r="A24" s="6" t="s">
        <v>20</v>
      </c>
      <c r="B24" s="36"/>
      <c r="C24" s="36">
        <f>Yr_DHS1</f>
        <v>2011</v>
      </c>
      <c r="D24" s="36">
        <f>Yr_DHS2</f>
        <v>2016</v>
      </c>
      <c r="E24" s="36" t="s">
        <v>168</v>
      </c>
      <c r="F24" s="36">
        <f>Yr_Start</f>
        <v>2019</v>
      </c>
      <c r="G24" s="36"/>
      <c r="H24" s="36">
        <f>Yr_End</f>
        <v>2022</v>
      </c>
      <c r="I24" s="36" t="s">
        <v>169</v>
      </c>
      <c r="J24" s="130">
        <f>K24-1</f>
        <v>2018</v>
      </c>
      <c r="K24" s="130">
        <f>Yr_Start</f>
        <v>2019</v>
      </c>
      <c r="L24" s="130">
        <f>K24+1</f>
        <v>2020</v>
      </c>
      <c r="M24" s="130">
        <f t="shared" ref="M24:AD24" si="39">L24+1</f>
        <v>2021</v>
      </c>
      <c r="N24" s="130">
        <f t="shared" si="39"/>
        <v>2022</v>
      </c>
      <c r="O24" s="130">
        <f t="shared" si="39"/>
        <v>2023</v>
      </c>
      <c r="P24" s="130">
        <f t="shared" si="39"/>
        <v>2024</v>
      </c>
      <c r="Q24" s="130">
        <f t="shared" si="39"/>
        <v>2025</v>
      </c>
      <c r="R24" s="130">
        <f t="shared" si="39"/>
        <v>2026</v>
      </c>
      <c r="S24" s="130">
        <f t="shared" si="39"/>
        <v>2027</v>
      </c>
      <c r="T24" s="130">
        <f t="shared" si="39"/>
        <v>2028</v>
      </c>
      <c r="U24" s="130">
        <f t="shared" si="39"/>
        <v>2029</v>
      </c>
      <c r="V24" s="130">
        <f t="shared" si="39"/>
        <v>2030</v>
      </c>
      <c r="W24" s="130">
        <f t="shared" si="39"/>
        <v>2031</v>
      </c>
      <c r="X24" s="130">
        <f t="shared" si="39"/>
        <v>2032</v>
      </c>
      <c r="Y24" s="130">
        <f t="shared" si="39"/>
        <v>2033</v>
      </c>
      <c r="Z24" s="130">
        <f t="shared" si="39"/>
        <v>2034</v>
      </c>
      <c r="AA24" s="130">
        <f t="shared" si="39"/>
        <v>2035</v>
      </c>
      <c r="AB24" s="130">
        <f t="shared" si="39"/>
        <v>2036</v>
      </c>
      <c r="AC24" s="130">
        <f t="shared" si="39"/>
        <v>2037</v>
      </c>
      <c r="AD24" s="130">
        <f t="shared" si="39"/>
        <v>2038</v>
      </c>
      <c r="AE24" s="6"/>
      <c r="AF24" s="6" t="str">
        <f>A24</f>
        <v>Urban</v>
      </c>
      <c r="AG24" s="38"/>
      <c r="AH24" s="161">
        <f>AI24-1</f>
        <v>2018</v>
      </c>
      <c r="AI24" s="36">
        <f>Yr_Start</f>
        <v>2019</v>
      </c>
      <c r="AJ24" s="36">
        <f>AI24+1</f>
        <v>2020</v>
      </c>
      <c r="AK24" s="36">
        <f t="shared" ref="AK24:BB24" si="40">AJ24+1</f>
        <v>2021</v>
      </c>
      <c r="AL24" s="36">
        <f t="shared" si="40"/>
        <v>2022</v>
      </c>
      <c r="AM24" s="36">
        <f t="shared" si="40"/>
        <v>2023</v>
      </c>
      <c r="AN24" s="36">
        <f t="shared" si="40"/>
        <v>2024</v>
      </c>
      <c r="AO24" s="36">
        <f t="shared" si="40"/>
        <v>2025</v>
      </c>
      <c r="AP24" s="36">
        <f t="shared" si="40"/>
        <v>2026</v>
      </c>
      <c r="AQ24" s="36">
        <f t="shared" si="40"/>
        <v>2027</v>
      </c>
      <c r="AR24" s="36">
        <f t="shared" si="40"/>
        <v>2028</v>
      </c>
      <c r="AS24" s="36">
        <f t="shared" si="40"/>
        <v>2029</v>
      </c>
      <c r="AT24" s="36">
        <f t="shared" si="40"/>
        <v>2030</v>
      </c>
      <c r="AU24" s="36">
        <f t="shared" si="40"/>
        <v>2031</v>
      </c>
      <c r="AV24" s="36">
        <f t="shared" si="40"/>
        <v>2032</v>
      </c>
      <c r="AW24" s="36">
        <f t="shared" si="40"/>
        <v>2033</v>
      </c>
      <c r="AX24" s="36">
        <f t="shared" si="40"/>
        <v>2034</v>
      </c>
      <c r="AY24" s="36">
        <f t="shared" si="40"/>
        <v>2035</v>
      </c>
      <c r="AZ24" s="36">
        <f t="shared" si="40"/>
        <v>2036</v>
      </c>
      <c r="BA24" s="36">
        <f t="shared" si="40"/>
        <v>2037</v>
      </c>
      <c r="BB24" s="36">
        <f t="shared" si="40"/>
        <v>2038</v>
      </c>
    </row>
    <row r="25" spans="1:54" x14ac:dyDescent="0.25">
      <c r="B25" s="1" t="s">
        <v>52</v>
      </c>
      <c r="C25" s="14">
        <f ca="1">INDEX(Data_FP!$2:$1048576,MATCH(C$4&amp;$A$24&amp;$B25&amp;$A$1,Data_FP!$A$2:$A$1048576,0),MATCH($A$23,Data_FP!$2:$2,0))</f>
        <v>1.8724E-3</v>
      </c>
      <c r="D25" s="14">
        <f ca="1">INDEX(Data_FP!$2:$1048576,MATCH(D$4&amp;$A$24&amp;$B25&amp;$A$1,Data_FP!$A$2:$A$1048576,0),MATCH($A$23,Data_FP!$2:$2,0))</f>
        <v>5.5352999999999999E-3</v>
      </c>
      <c r="E25" s="14">
        <f ca="1">IF('User Settings'!$N$7="On",($D25-$C25)/($D$4-$C$4),0)</f>
        <v>7.3258000000000004E-4</v>
      </c>
      <c r="F25" s="14">
        <f ca="1">MAX(0,MIN(1,($D25+$E25*(F$4-$D$4))))</f>
        <v>7.7330400000000001E-3</v>
      </c>
      <c r="G25" s="14"/>
      <c r="H25" s="14">
        <f ca="1">MAX(0,MIN(1,($D25+$E25*(H$4-$D$4))*$H$1))</f>
        <v>9.9307800000000002E-3</v>
      </c>
      <c r="I25" s="14">
        <f ca="1">($H25-$F25)/($H$4-$F$4)</f>
        <v>7.3258000000000004E-4</v>
      </c>
      <c r="J25" s="14">
        <f ca="1">K25-E25</f>
        <v>7.00046E-3</v>
      </c>
      <c r="K25" s="14">
        <f ca="1">MAX(0,MIN(1,D25+(K$4-D$4)*E25))</f>
        <v>7.7330400000000001E-3</v>
      </c>
      <c r="L25" s="15">
        <f ca="1">MAX(0,MIN(1,K25+$I25))</f>
        <v>8.4656200000000001E-3</v>
      </c>
      <c r="M25" s="15">
        <f t="shared" ref="M25" ca="1" si="41">MAX(0,MIN(1,L25+$I25))</f>
        <v>9.1982000000000001E-3</v>
      </c>
      <c r="N25" s="15">
        <f ca="1">MAX(0,MIN(1,M25+$I25))</f>
        <v>9.9307800000000002E-3</v>
      </c>
      <c r="O25" s="15">
        <f t="shared" ref="O25:AD25" ca="1" si="42">MAX(0,MIN(1,N25+$I25))</f>
        <v>1.066336E-2</v>
      </c>
      <c r="P25" s="15">
        <f t="shared" ca="1" si="42"/>
        <v>1.139594E-2</v>
      </c>
      <c r="Q25" s="15">
        <f t="shared" ca="1" si="42"/>
        <v>1.212852E-2</v>
      </c>
      <c r="R25" s="15">
        <f t="shared" ca="1" si="42"/>
        <v>1.28611E-2</v>
      </c>
      <c r="S25" s="15">
        <f t="shared" ca="1" si="42"/>
        <v>1.359368E-2</v>
      </c>
      <c r="T25" s="15">
        <f t="shared" ca="1" si="42"/>
        <v>1.432626E-2</v>
      </c>
      <c r="U25" s="15">
        <f t="shared" ca="1" si="42"/>
        <v>1.505884E-2</v>
      </c>
      <c r="V25" s="15">
        <f t="shared" ca="1" si="42"/>
        <v>1.579142E-2</v>
      </c>
      <c r="W25" s="15">
        <f t="shared" ca="1" si="42"/>
        <v>1.6524E-2</v>
      </c>
      <c r="X25" s="15">
        <f t="shared" ca="1" si="42"/>
        <v>1.7256580000000001E-2</v>
      </c>
      <c r="Y25" s="15">
        <f t="shared" ca="1" si="42"/>
        <v>1.7989160000000001E-2</v>
      </c>
      <c r="Z25" s="15">
        <f t="shared" ca="1" si="42"/>
        <v>1.8721740000000001E-2</v>
      </c>
      <c r="AA25" s="15">
        <f t="shared" ca="1" si="42"/>
        <v>1.9454320000000001E-2</v>
      </c>
      <c r="AB25" s="15">
        <f t="shared" ca="1" si="42"/>
        <v>2.0186900000000001E-2</v>
      </c>
      <c r="AC25" s="15">
        <f t="shared" ca="1" si="42"/>
        <v>2.0919480000000001E-2</v>
      </c>
      <c r="AD25" s="15">
        <f t="shared" ca="1" si="42"/>
        <v>2.1652060000000001E-2</v>
      </c>
      <c r="AE25" s="5"/>
      <c r="AG25" s="1" t="s">
        <v>52</v>
      </c>
      <c r="AH25" s="37">
        <f ca="1">J25*AH$31</f>
        <v>4219.623915526503</v>
      </c>
      <c r="AI25" s="37">
        <f t="shared" ref="AI25:AI30" ca="1" si="43">K25*AI$31</f>
        <v>4840.4448687785198</v>
      </c>
      <c r="AJ25" s="37">
        <f t="shared" ref="AJ25:AS30" ca="1" si="44">L25*AJ$31</f>
        <v>5501.5669235775777</v>
      </c>
      <c r="AK25" s="37">
        <f t="shared" ca="1" si="44"/>
        <v>6196.9545533926721</v>
      </c>
      <c r="AL25" s="37">
        <f t="shared" ca="1" si="44"/>
        <v>6935.9376037873772</v>
      </c>
      <c r="AM25" s="37">
        <f t="shared" ca="1" si="44"/>
        <v>7719.5230450502268</v>
      </c>
      <c r="AN25" s="37">
        <f t="shared" ca="1" si="44"/>
        <v>8548.3343778287999</v>
      </c>
      <c r="AO25" s="37">
        <f t="shared" ca="1" si="44"/>
        <v>9423.2971133129649</v>
      </c>
      <c r="AP25" s="37">
        <f t="shared" ca="1" si="44"/>
        <v>10338.729649077841</v>
      </c>
      <c r="AQ25" s="37">
        <f t="shared" ca="1" si="44"/>
        <v>11303.205128999676</v>
      </c>
      <c r="AR25" s="37">
        <f t="shared" ca="1" si="44"/>
        <v>12318.437716682378</v>
      </c>
      <c r="AS25" s="37">
        <f t="shared" ca="1" si="44"/>
        <v>13386.746389493521</v>
      </c>
      <c r="AT25" s="37">
        <f t="shared" ref="AT25:BB30" ca="1" si="45">V25*AT$31</f>
        <v>14510.140605724115</v>
      </c>
      <c r="AU25" s="37">
        <f t="shared" ca="1" si="45"/>
        <v>15681.148861878621</v>
      </c>
      <c r="AV25" s="37">
        <f t="shared" ca="1" si="45"/>
        <v>16910.83404938586</v>
      </c>
      <c r="AW25" s="37">
        <f t="shared" ca="1" si="45"/>
        <v>18199.981546481929</v>
      </c>
      <c r="AX25" s="37">
        <f t="shared" ca="1" si="45"/>
        <v>19549.053070573416</v>
      </c>
      <c r="AY25" s="37">
        <f t="shared" ca="1" si="45"/>
        <v>20958.745485854961</v>
      </c>
      <c r="AZ25" s="37" t="e">
        <f t="shared" ca="1" si="45"/>
        <v>#N/A</v>
      </c>
      <c r="BA25" s="37" t="e">
        <f t="shared" ca="1" si="45"/>
        <v>#N/A</v>
      </c>
      <c r="BB25" s="37" t="e">
        <f t="shared" ca="1" si="45"/>
        <v>#N/A</v>
      </c>
    </row>
    <row r="26" spans="1:54" x14ac:dyDescent="0.25">
      <c r="B26" s="1" t="s">
        <v>54</v>
      </c>
      <c r="C26" s="14">
        <f ca="1">INDEX(Data_FP!$2:$1048576,MATCH(C$4&amp;$A$24&amp;$B26&amp;$A$1,Data_FP!$A$2:$A$1048576,0),MATCH($A$23,Data_FP!$2:$2,0))</f>
        <v>0</v>
      </c>
      <c r="D26" s="14">
        <f ca="1">INDEX(Data_FP!$2:$1048576,MATCH(D$4&amp;$A$24&amp;$B26&amp;$A$1,Data_FP!$A$2:$A$1048576,0),MATCH($A$23,Data_FP!$2:$2,0))</f>
        <v>0</v>
      </c>
      <c r="E26" s="14">
        <f ca="1">IF('User Settings'!$N$7="On",($D26-$C26)/($D$4-$C$4),0)</f>
        <v>0</v>
      </c>
      <c r="F26" s="14">
        <f t="shared" ref="F26:F30" ca="1" si="46">MAX(0,MIN(1,($D26+$E26*(F$4-$D$4))))</f>
        <v>0</v>
      </c>
      <c r="G26" s="14"/>
      <c r="H26" s="14">
        <f t="shared" ref="H26:H30" ca="1" si="47">MAX(0,MIN(1,($D26+$E26*(H$4-$D$4))*$H$1))</f>
        <v>0</v>
      </c>
      <c r="I26" s="14">
        <f ca="1">($H26-$F26)/($H$4-$F$4)</f>
        <v>0</v>
      </c>
      <c r="J26" s="14">
        <f t="shared" ref="J26:J30" ca="1" si="48">K26-E26</f>
        <v>0</v>
      </c>
      <c r="K26" s="14">
        <f t="shared" ref="K26:K30" ca="1" si="49">MAX(0,MIN(1,D26+(K$4-D$4)*E26))</f>
        <v>0</v>
      </c>
      <c r="L26" s="15">
        <f t="shared" ref="L26:AD26" ca="1" si="50">MAX(0,MIN(1,K26+$I26))</f>
        <v>0</v>
      </c>
      <c r="M26" s="15">
        <f t="shared" ca="1" si="50"/>
        <v>0</v>
      </c>
      <c r="N26" s="15">
        <f t="shared" ca="1" si="50"/>
        <v>0</v>
      </c>
      <c r="O26" s="15">
        <f t="shared" ca="1" si="50"/>
        <v>0</v>
      </c>
      <c r="P26" s="15">
        <f t="shared" ca="1" si="50"/>
        <v>0</v>
      </c>
      <c r="Q26" s="15">
        <f t="shared" ca="1" si="50"/>
        <v>0</v>
      </c>
      <c r="R26" s="15">
        <f t="shared" ca="1" si="50"/>
        <v>0</v>
      </c>
      <c r="S26" s="15">
        <f t="shared" ca="1" si="50"/>
        <v>0</v>
      </c>
      <c r="T26" s="15">
        <f t="shared" ca="1" si="50"/>
        <v>0</v>
      </c>
      <c r="U26" s="15">
        <f t="shared" ca="1" si="50"/>
        <v>0</v>
      </c>
      <c r="V26" s="15">
        <f t="shared" ca="1" si="50"/>
        <v>0</v>
      </c>
      <c r="W26" s="15">
        <f t="shared" ca="1" si="50"/>
        <v>0</v>
      </c>
      <c r="X26" s="15">
        <f t="shared" ca="1" si="50"/>
        <v>0</v>
      </c>
      <c r="Y26" s="15">
        <f t="shared" ca="1" si="50"/>
        <v>0</v>
      </c>
      <c r="Z26" s="15">
        <f t="shared" ca="1" si="50"/>
        <v>0</v>
      </c>
      <c r="AA26" s="15">
        <f t="shared" ca="1" si="50"/>
        <v>0</v>
      </c>
      <c r="AB26" s="15">
        <f t="shared" ca="1" si="50"/>
        <v>0</v>
      </c>
      <c r="AC26" s="15">
        <f t="shared" ca="1" si="50"/>
        <v>0</v>
      </c>
      <c r="AD26" s="15">
        <f t="shared" ca="1" si="50"/>
        <v>0</v>
      </c>
      <c r="AE26" s="5"/>
      <c r="AG26" s="1" t="s">
        <v>54</v>
      </c>
      <c r="AH26" s="37">
        <f t="shared" ref="AH26:AH30" ca="1" si="51">J26*AH$31</f>
        <v>0</v>
      </c>
      <c r="AI26" s="37">
        <f t="shared" ca="1" si="43"/>
        <v>0</v>
      </c>
      <c r="AJ26" s="37">
        <f t="shared" ca="1" si="44"/>
        <v>0</v>
      </c>
      <c r="AK26" s="37">
        <f t="shared" ca="1" si="44"/>
        <v>0</v>
      </c>
      <c r="AL26" s="37">
        <f t="shared" ca="1" si="44"/>
        <v>0</v>
      </c>
      <c r="AM26" s="37">
        <f t="shared" ca="1" si="44"/>
        <v>0</v>
      </c>
      <c r="AN26" s="37">
        <f t="shared" ca="1" si="44"/>
        <v>0</v>
      </c>
      <c r="AO26" s="37">
        <f t="shared" ca="1" si="44"/>
        <v>0</v>
      </c>
      <c r="AP26" s="37">
        <f t="shared" ca="1" si="44"/>
        <v>0</v>
      </c>
      <c r="AQ26" s="37">
        <f t="shared" ca="1" si="44"/>
        <v>0</v>
      </c>
      <c r="AR26" s="37">
        <f t="shared" ca="1" si="44"/>
        <v>0</v>
      </c>
      <c r="AS26" s="37">
        <f t="shared" ca="1" si="44"/>
        <v>0</v>
      </c>
      <c r="AT26" s="37">
        <f t="shared" ca="1" si="45"/>
        <v>0</v>
      </c>
      <c r="AU26" s="37">
        <f t="shared" ca="1" si="45"/>
        <v>0</v>
      </c>
      <c r="AV26" s="37">
        <f t="shared" ca="1" si="45"/>
        <v>0</v>
      </c>
      <c r="AW26" s="37">
        <f t="shared" ca="1" si="45"/>
        <v>0</v>
      </c>
      <c r="AX26" s="37">
        <f t="shared" ca="1" si="45"/>
        <v>0</v>
      </c>
      <c r="AY26" s="37">
        <f t="shared" ca="1" si="45"/>
        <v>0</v>
      </c>
      <c r="AZ26" s="37" t="e">
        <f t="shared" ca="1" si="45"/>
        <v>#N/A</v>
      </c>
      <c r="BA26" s="37" t="e">
        <f t="shared" ca="1" si="45"/>
        <v>#N/A</v>
      </c>
      <c r="BB26" s="37" t="e">
        <f t="shared" ca="1" si="45"/>
        <v>#N/A</v>
      </c>
    </row>
    <row r="27" spans="1:54" x14ac:dyDescent="0.25">
      <c r="B27" s="1" t="s">
        <v>170</v>
      </c>
      <c r="C27" s="14">
        <f ca="1">INDEX(Data_FP!$2:$1048576,MATCH(C$4&amp;$A$24&amp;$B27&amp;$A$1,Data_FP!$A$2:$A$1048576,0),MATCH($A$23,Data_FP!$2:$2,0))</f>
        <v>0</v>
      </c>
      <c r="D27" s="14">
        <f ca="1">INDEX(Data_FP!$2:$1048576,MATCH(D$4&amp;$A$24&amp;$B27&amp;$A$1,Data_FP!$A$2:$A$1048576,0),MATCH($A$23,Data_FP!$2:$2,0))</f>
        <v>0</v>
      </c>
      <c r="E27" s="14">
        <f ca="1">IF('User Settings'!$N$7="On",($D27-$C27)/($D$4-$C$4),0)</f>
        <v>0</v>
      </c>
      <c r="F27" s="14">
        <f t="shared" ca="1" si="46"/>
        <v>0</v>
      </c>
      <c r="G27" s="14"/>
      <c r="H27" s="14">
        <f t="shared" ca="1" si="47"/>
        <v>0</v>
      </c>
      <c r="I27" s="14">
        <f t="shared" ref="I27:I30" ca="1" si="52">($H27-$F27)/($H$4-$F$4)</f>
        <v>0</v>
      </c>
      <c r="J27" s="14">
        <f t="shared" ca="1" si="48"/>
        <v>0</v>
      </c>
      <c r="K27" s="14">
        <f t="shared" ca="1" si="49"/>
        <v>0</v>
      </c>
      <c r="L27" s="15">
        <f t="shared" ref="L27:AD27" ca="1" si="53">MAX(0,MIN(1,K27+$I27))</f>
        <v>0</v>
      </c>
      <c r="M27" s="15">
        <f t="shared" ca="1" si="53"/>
        <v>0</v>
      </c>
      <c r="N27" s="15">
        <f t="shared" ca="1" si="53"/>
        <v>0</v>
      </c>
      <c r="O27" s="15">
        <f t="shared" ca="1" si="53"/>
        <v>0</v>
      </c>
      <c r="P27" s="15">
        <f t="shared" ca="1" si="53"/>
        <v>0</v>
      </c>
      <c r="Q27" s="15">
        <f t="shared" ca="1" si="53"/>
        <v>0</v>
      </c>
      <c r="R27" s="15">
        <f t="shared" ca="1" si="53"/>
        <v>0</v>
      </c>
      <c r="S27" s="15">
        <f t="shared" ca="1" si="53"/>
        <v>0</v>
      </c>
      <c r="T27" s="15">
        <f t="shared" ca="1" si="53"/>
        <v>0</v>
      </c>
      <c r="U27" s="15">
        <f t="shared" ca="1" si="53"/>
        <v>0</v>
      </c>
      <c r="V27" s="15">
        <f t="shared" ca="1" si="53"/>
        <v>0</v>
      </c>
      <c r="W27" s="15">
        <f t="shared" ca="1" si="53"/>
        <v>0</v>
      </c>
      <c r="X27" s="15">
        <f t="shared" ca="1" si="53"/>
        <v>0</v>
      </c>
      <c r="Y27" s="15">
        <f t="shared" ca="1" si="53"/>
        <v>0</v>
      </c>
      <c r="Z27" s="15">
        <f t="shared" ca="1" si="53"/>
        <v>0</v>
      </c>
      <c r="AA27" s="15">
        <f t="shared" ca="1" si="53"/>
        <v>0</v>
      </c>
      <c r="AB27" s="15">
        <f t="shared" ca="1" si="53"/>
        <v>0</v>
      </c>
      <c r="AC27" s="15">
        <f t="shared" ca="1" si="53"/>
        <v>0</v>
      </c>
      <c r="AD27" s="15">
        <f t="shared" ca="1" si="53"/>
        <v>0</v>
      </c>
      <c r="AE27" s="5"/>
      <c r="AG27" s="1" t="s">
        <v>170</v>
      </c>
      <c r="AH27" s="37">
        <f t="shared" ca="1" si="51"/>
        <v>0</v>
      </c>
      <c r="AI27" s="37">
        <f t="shared" ca="1" si="43"/>
        <v>0</v>
      </c>
      <c r="AJ27" s="37">
        <f t="shared" ca="1" si="44"/>
        <v>0</v>
      </c>
      <c r="AK27" s="37">
        <f t="shared" ca="1" si="44"/>
        <v>0</v>
      </c>
      <c r="AL27" s="37">
        <f t="shared" ca="1" si="44"/>
        <v>0</v>
      </c>
      <c r="AM27" s="37">
        <f t="shared" ca="1" si="44"/>
        <v>0</v>
      </c>
      <c r="AN27" s="37">
        <f t="shared" ca="1" si="44"/>
        <v>0</v>
      </c>
      <c r="AO27" s="37">
        <f t="shared" ca="1" si="44"/>
        <v>0</v>
      </c>
      <c r="AP27" s="37">
        <f t="shared" ca="1" si="44"/>
        <v>0</v>
      </c>
      <c r="AQ27" s="37">
        <f t="shared" ca="1" si="44"/>
        <v>0</v>
      </c>
      <c r="AR27" s="37">
        <f t="shared" ca="1" si="44"/>
        <v>0</v>
      </c>
      <c r="AS27" s="37">
        <f t="shared" ca="1" si="44"/>
        <v>0</v>
      </c>
      <c r="AT27" s="37">
        <f t="shared" ca="1" si="45"/>
        <v>0</v>
      </c>
      <c r="AU27" s="37">
        <f t="shared" ca="1" si="45"/>
        <v>0</v>
      </c>
      <c r="AV27" s="37">
        <f t="shared" ca="1" si="45"/>
        <v>0</v>
      </c>
      <c r="AW27" s="37">
        <f t="shared" ca="1" si="45"/>
        <v>0</v>
      </c>
      <c r="AX27" s="37">
        <f t="shared" ca="1" si="45"/>
        <v>0</v>
      </c>
      <c r="AY27" s="37">
        <f t="shared" ca="1" si="45"/>
        <v>0</v>
      </c>
      <c r="AZ27" s="37" t="e">
        <f t="shared" ca="1" si="45"/>
        <v>#N/A</v>
      </c>
      <c r="BA27" s="37" t="e">
        <f t="shared" ca="1" si="45"/>
        <v>#N/A</v>
      </c>
      <c r="BB27" s="37" t="e">
        <f t="shared" ca="1" si="45"/>
        <v>#N/A</v>
      </c>
    </row>
    <row r="28" spans="1:54" x14ac:dyDescent="0.25">
      <c r="B28" s="1" t="s">
        <v>59</v>
      </c>
      <c r="C28" s="14">
        <f ca="1">INDEX(Data_FP!$2:$1048576,MATCH(C$4&amp;$A$24&amp;$B28&amp;$A$1,Data_FP!$A$2:$A$1048576,0),MATCH($A$23,Data_FP!$2:$2,0))</f>
        <v>1.1983600000000001E-2</v>
      </c>
      <c r="D28" s="14">
        <f ca="1">INDEX(Data_FP!$2:$1048576,MATCH(D$4&amp;$A$24&amp;$B28&amp;$A$1,Data_FP!$A$2:$A$1048576,0),MATCH($A$23,Data_FP!$2:$2,0))</f>
        <v>4.0061999999999997E-3</v>
      </c>
      <c r="E28" s="14">
        <f ca="1">IF('User Settings'!$N$7="On",($D28-$C28)/($D$4-$C$4),0)</f>
        <v>-1.5954800000000002E-3</v>
      </c>
      <c r="F28" s="14">
        <f t="shared" ca="1" si="46"/>
        <v>0</v>
      </c>
      <c r="G28" s="14"/>
      <c r="H28" s="14">
        <f t="shared" ca="1" si="47"/>
        <v>0</v>
      </c>
      <c r="I28" s="14">
        <f t="shared" ca="1" si="52"/>
        <v>0</v>
      </c>
      <c r="J28" s="14">
        <f t="shared" ca="1" si="48"/>
        <v>1.5954800000000002E-3</v>
      </c>
      <c r="K28" s="14">
        <f t="shared" ca="1" si="49"/>
        <v>0</v>
      </c>
      <c r="L28" s="15">
        <f t="shared" ref="L28:AD28" ca="1" si="54">MAX(0,MIN(1,K28+$I28))</f>
        <v>0</v>
      </c>
      <c r="M28" s="15">
        <f t="shared" ca="1" si="54"/>
        <v>0</v>
      </c>
      <c r="N28" s="15">
        <f t="shared" ca="1" si="54"/>
        <v>0</v>
      </c>
      <c r="O28" s="15">
        <f t="shared" ca="1" si="54"/>
        <v>0</v>
      </c>
      <c r="P28" s="15">
        <f t="shared" ca="1" si="54"/>
        <v>0</v>
      </c>
      <c r="Q28" s="15">
        <f t="shared" ca="1" si="54"/>
        <v>0</v>
      </c>
      <c r="R28" s="15">
        <f t="shared" ca="1" si="54"/>
        <v>0</v>
      </c>
      <c r="S28" s="15">
        <f t="shared" ca="1" si="54"/>
        <v>0</v>
      </c>
      <c r="T28" s="15">
        <f t="shared" ca="1" si="54"/>
        <v>0</v>
      </c>
      <c r="U28" s="15">
        <f t="shared" ca="1" si="54"/>
        <v>0</v>
      </c>
      <c r="V28" s="15">
        <f t="shared" ca="1" si="54"/>
        <v>0</v>
      </c>
      <c r="W28" s="15">
        <f t="shared" ca="1" si="54"/>
        <v>0</v>
      </c>
      <c r="X28" s="15">
        <f t="shared" ca="1" si="54"/>
        <v>0</v>
      </c>
      <c r="Y28" s="15">
        <f t="shared" ca="1" si="54"/>
        <v>0</v>
      </c>
      <c r="Z28" s="15">
        <f t="shared" ca="1" si="54"/>
        <v>0</v>
      </c>
      <c r="AA28" s="15">
        <f t="shared" ca="1" si="54"/>
        <v>0</v>
      </c>
      <c r="AB28" s="15">
        <f t="shared" ca="1" si="54"/>
        <v>0</v>
      </c>
      <c r="AC28" s="15">
        <f t="shared" ca="1" si="54"/>
        <v>0</v>
      </c>
      <c r="AD28" s="15">
        <f t="shared" ca="1" si="54"/>
        <v>0</v>
      </c>
      <c r="AE28" s="5"/>
      <c r="AG28" s="1" t="s">
        <v>59</v>
      </c>
      <c r="AH28" s="37">
        <f t="shared" ca="1" si="51"/>
        <v>961.69759769275538</v>
      </c>
      <c r="AI28" s="37">
        <f t="shared" ca="1" si="43"/>
        <v>0</v>
      </c>
      <c r="AJ28" s="37">
        <f t="shared" ca="1" si="44"/>
        <v>0</v>
      </c>
      <c r="AK28" s="37">
        <f t="shared" ca="1" si="44"/>
        <v>0</v>
      </c>
      <c r="AL28" s="37">
        <f t="shared" ca="1" si="44"/>
        <v>0</v>
      </c>
      <c r="AM28" s="37">
        <f t="shared" ca="1" si="44"/>
        <v>0</v>
      </c>
      <c r="AN28" s="37">
        <f t="shared" ca="1" si="44"/>
        <v>0</v>
      </c>
      <c r="AO28" s="37">
        <f t="shared" ca="1" si="44"/>
        <v>0</v>
      </c>
      <c r="AP28" s="37">
        <f t="shared" ca="1" si="44"/>
        <v>0</v>
      </c>
      <c r="AQ28" s="37">
        <f t="shared" ca="1" si="44"/>
        <v>0</v>
      </c>
      <c r="AR28" s="37">
        <f t="shared" ca="1" si="44"/>
        <v>0</v>
      </c>
      <c r="AS28" s="37">
        <f t="shared" ca="1" si="44"/>
        <v>0</v>
      </c>
      <c r="AT28" s="37">
        <f t="shared" ca="1" si="45"/>
        <v>0</v>
      </c>
      <c r="AU28" s="37">
        <f t="shared" ca="1" si="45"/>
        <v>0</v>
      </c>
      <c r="AV28" s="37">
        <f t="shared" ca="1" si="45"/>
        <v>0</v>
      </c>
      <c r="AW28" s="37">
        <f t="shared" ca="1" si="45"/>
        <v>0</v>
      </c>
      <c r="AX28" s="37">
        <f t="shared" ca="1" si="45"/>
        <v>0</v>
      </c>
      <c r="AY28" s="37">
        <f t="shared" ca="1" si="45"/>
        <v>0</v>
      </c>
      <c r="AZ28" s="37" t="e">
        <f t="shared" ca="1" si="45"/>
        <v>#N/A</v>
      </c>
      <c r="BA28" s="37" t="e">
        <f t="shared" ca="1" si="45"/>
        <v>#N/A</v>
      </c>
      <c r="BB28" s="37" t="e">
        <f t="shared" ca="1" si="45"/>
        <v>#N/A</v>
      </c>
    </row>
    <row r="29" spans="1:54" x14ac:dyDescent="0.25">
      <c r="B29" s="1" t="s">
        <v>171</v>
      </c>
      <c r="C29" s="14">
        <f ca="1">INDEX(Data_FP!$2:$1048576,MATCH(C$4&amp;$A$24&amp;$B29&amp;$A$1,Data_FP!$A$2:$A$1048576,0),MATCH($A$23,Data_FP!$2:$2,0))</f>
        <v>0</v>
      </c>
      <c r="D29" s="14">
        <f ca="1">INDEX(Data_FP!$2:$1048576,MATCH(D$4&amp;$A$24&amp;$B29&amp;$A$1,Data_FP!$A$2:$A$1048576,0),MATCH($A$23,Data_FP!$2:$2,0))</f>
        <v>0</v>
      </c>
      <c r="E29" s="14">
        <f ca="1">IF('User Settings'!$N$7="On",($D29-$C29)/($D$4-$C$4),0)</f>
        <v>0</v>
      </c>
      <c r="F29" s="14">
        <f t="shared" ca="1" si="46"/>
        <v>0</v>
      </c>
      <c r="G29" s="14"/>
      <c r="H29" s="14">
        <f t="shared" ca="1" si="47"/>
        <v>0</v>
      </c>
      <c r="I29" s="14">
        <f t="shared" ca="1" si="52"/>
        <v>0</v>
      </c>
      <c r="J29" s="14">
        <f t="shared" ca="1" si="48"/>
        <v>0</v>
      </c>
      <c r="K29" s="14">
        <f t="shared" ca="1" si="49"/>
        <v>0</v>
      </c>
      <c r="L29" s="15">
        <f t="shared" ref="L29:AD29" ca="1" si="55">MAX(0,MIN(1,K29+$I29))</f>
        <v>0</v>
      </c>
      <c r="M29" s="15">
        <f t="shared" ca="1" si="55"/>
        <v>0</v>
      </c>
      <c r="N29" s="15">
        <f t="shared" ca="1" si="55"/>
        <v>0</v>
      </c>
      <c r="O29" s="15">
        <f t="shared" ca="1" si="55"/>
        <v>0</v>
      </c>
      <c r="P29" s="15">
        <f t="shared" ca="1" si="55"/>
        <v>0</v>
      </c>
      <c r="Q29" s="15">
        <f t="shared" ca="1" si="55"/>
        <v>0</v>
      </c>
      <c r="R29" s="15">
        <f t="shared" ca="1" si="55"/>
        <v>0</v>
      </c>
      <c r="S29" s="15">
        <f t="shared" ca="1" si="55"/>
        <v>0</v>
      </c>
      <c r="T29" s="15">
        <f t="shared" ca="1" si="55"/>
        <v>0</v>
      </c>
      <c r="U29" s="15">
        <f t="shared" ca="1" si="55"/>
        <v>0</v>
      </c>
      <c r="V29" s="15">
        <f t="shared" ca="1" si="55"/>
        <v>0</v>
      </c>
      <c r="W29" s="15">
        <f t="shared" ca="1" si="55"/>
        <v>0</v>
      </c>
      <c r="X29" s="15">
        <f t="shared" ca="1" si="55"/>
        <v>0</v>
      </c>
      <c r="Y29" s="15">
        <f t="shared" ca="1" si="55"/>
        <v>0</v>
      </c>
      <c r="Z29" s="15">
        <f t="shared" ca="1" si="55"/>
        <v>0</v>
      </c>
      <c r="AA29" s="15">
        <f t="shared" ca="1" si="55"/>
        <v>0</v>
      </c>
      <c r="AB29" s="15">
        <f t="shared" ca="1" si="55"/>
        <v>0</v>
      </c>
      <c r="AC29" s="15">
        <f t="shared" ca="1" si="55"/>
        <v>0</v>
      </c>
      <c r="AD29" s="15">
        <f t="shared" ca="1" si="55"/>
        <v>0</v>
      </c>
      <c r="AE29" s="5"/>
      <c r="AG29" s="1" t="s">
        <v>171</v>
      </c>
      <c r="AH29" s="37">
        <f t="shared" ca="1" si="51"/>
        <v>0</v>
      </c>
      <c r="AI29" s="37">
        <f t="shared" ca="1" si="43"/>
        <v>0</v>
      </c>
      <c r="AJ29" s="37">
        <f t="shared" ca="1" si="44"/>
        <v>0</v>
      </c>
      <c r="AK29" s="37">
        <f t="shared" ca="1" si="44"/>
        <v>0</v>
      </c>
      <c r="AL29" s="37">
        <f t="shared" ca="1" si="44"/>
        <v>0</v>
      </c>
      <c r="AM29" s="37">
        <f t="shared" ca="1" si="44"/>
        <v>0</v>
      </c>
      <c r="AN29" s="37">
        <f t="shared" ca="1" si="44"/>
        <v>0</v>
      </c>
      <c r="AO29" s="37">
        <f t="shared" ca="1" si="44"/>
        <v>0</v>
      </c>
      <c r="AP29" s="37">
        <f t="shared" ca="1" si="44"/>
        <v>0</v>
      </c>
      <c r="AQ29" s="37">
        <f t="shared" ca="1" si="44"/>
        <v>0</v>
      </c>
      <c r="AR29" s="37">
        <f t="shared" ca="1" si="44"/>
        <v>0</v>
      </c>
      <c r="AS29" s="37">
        <f t="shared" ca="1" si="44"/>
        <v>0</v>
      </c>
      <c r="AT29" s="37">
        <f t="shared" ca="1" si="45"/>
        <v>0</v>
      </c>
      <c r="AU29" s="37">
        <f t="shared" ca="1" si="45"/>
        <v>0</v>
      </c>
      <c r="AV29" s="37">
        <f t="shared" ca="1" si="45"/>
        <v>0</v>
      </c>
      <c r="AW29" s="37">
        <f t="shared" ca="1" si="45"/>
        <v>0</v>
      </c>
      <c r="AX29" s="37">
        <f t="shared" ca="1" si="45"/>
        <v>0</v>
      </c>
      <c r="AY29" s="37">
        <f t="shared" ca="1" si="45"/>
        <v>0</v>
      </c>
      <c r="AZ29" s="37" t="e">
        <f t="shared" ca="1" si="45"/>
        <v>#N/A</v>
      </c>
      <c r="BA29" s="37" t="e">
        <f t="shared" ca="1" si="45"/>
        <v>#N/A</v>
      </c>
      <c r="BB29" s="37" t="e">
        <f t="shared" ca="1" si="45"/>
        <v>#N/A</v>
      </c>
    </row>
    <row r="30" spans="1:54" ht="15.75" customHeight="1" x14ac:dyDescent="0.25">
      <c r="B30" s="1" t="s">
        <v>116</v>
      </c>
      <c r="C30" s="14">
        <f ca="1">INDEX(Data_FP!$2:$1048576,MATCH(C$4&amp;$A$24&amp;$B30&amp;$A$1,Data_FP!$A$2:$A$1048576,0),MATCH($A$23,Data_FP!$2:$2,0))</f>
        <v>0</v>
      </c>
      <c r="D30" s="14">
        <f ca="1">INDEX(Data_FP!$2:$1048576,MATCH(D$4&amp;$A$24&amp;$B30&amp;$A$1,Data_FP!$A$2:$A$1048576,0),MATCH($A$23,Data_FP!$2:$2,0))</f>
        <v>0</v>
      </c>
      <c r="E30" s="14">
        <f ca="1">IF('User Settings'!$N$7="On",($D30-$C30)/($D$4-$C$4),0)</f>
        <v>0</v>
      </c>
      <c r="F30" s="14">
        <f t="shared" ca="1" si="46"/>
        <v>0</v>
      </c>
      <c r="G30" s="14"/>
      <c r="H30" s="14">
        <f t="shared" ca="1" si="47"/>
        <v>0</v>
      </c>
      <c r="I30" s="14">
        <f t="shared" ca="1" si="52"/>
        <v>0</v>
      </c>
      <c r="J30" s="14">
        <f t="shared" ca="1" si="48"/>
        <v>0</v>
      </c>
      <c r="K30" s="14">
        <f t="shared" ca="1" si="49"/>
        <v>0</v>
      </c>
      <c r="L30" s="15">
        <f t="shared" ref="L30:AD30" ca="1" si="56">MAX(0,MIN(1,K30+$I30))</f>
        <v>0</v>
      </c>
      <c r="M30" s="15">
        <f t="shared" ca="1" si="56"/>
        <v>0</v>
      </c>
      <c r="N30" s="15">
        <f t="shared" ca="1" si="56"/>
        <v>0</v>
      </c>
      <c r="O30" s="15">
        <f t="shared" ca="1" si="56"/>
        <v>0</v>
      </c>
      <c r="P30" s="15">
        <f t="shared" ca="1" si="56"/>
        <v>0</v>
      </c>
      <c r="Q30" s="15">
        <f t="shared" ca="1" si="56"/>
        <v>0</v>
      </c>
      <c r="R30" s="15">
        <f t="shared" ca="1" si="56"/>
        <v>0</v>
      </c>
      <c r="S30" s="15">
        <f t="shared" ca="1" si="56"/>
        <v>0</v>
      </c>
      <c r="T30" s="15">
        <f t="shared" ca="1" si="56"/>
        <v>0</v>
      </c>
      <c r="U30" s="15">
        <f t="shared" ca="1" si="56"/>
        <v>0</v>
      </c>
      <c r="V30" s="15">
        <f t="shared" ca="1" si="56"/>
        <v>0</v>
      </c>
      <c r="W30" s="15">
        <f t="shared" ca="1" si="56"/>
        <v>0</v>
      </c>
      <c r="X30" s="15">
        <f t="shared" ca="1" si="56"/>
        <v>0</v>
      </c>
      <c r="Y30" s="15">
        <f t="shared" ca="1" si="56"/>
        <v>0</v>
      </c>
      <c r="Z30" s="15">
        <f t="shared" ca="1" si="56"/>
        <v>0</v>
      </c>
      <c r="AA30" s="15">
        <f t="shared" ca="1" si="56"/>
        <v>0</v>
      </c>
      <c r="AB30" s="15">
        <f t="shared" ca="1" si="56"/>
        <v>0</v>
      </c>
      <c r="AC30" s="15">
        <f t="shared" ca="1" si="56"/>
        <v>0</v>
      </c>
      <c r="AD30" s="15">
        <f t="shared" ca="1" si="56"/>
        <v>0</v>
      </c>
      <c r="AE30" s="5"/>
      <c r="AG30" s="1" t="s">
        <v>116</v>
      </c>
      <c r="AH30" s="37">
        <f t="shared" ca="1" si="51"/>
        <v>0</v>
      </c>
      <c r="AI30" s="37">
        <f t="shared" ca="1" si="43"/>
        <v>0</v>
      </c>
      <c r="AJ30" s="37">
        <f t="shared" ca="1" si="44"/>
        <v>0</v>
      </c>
      <c r="AK30" s="37">
        <f t="shared" ca="1" si="44"/>
        <v>0</v>
      </c>
      <c r="AL30" s="37">
        <f t="shared" ca="1" si="44"/>
        <v>0</v>
      </c>
      <c r="AM30" s="37">
        <f t="shared" ca="1" si="44"/>
        <v>0</v>
      </c>
      <c r="AN30" s="37">
        <f t="shared" ca="1" si="44"/>
        <v>0</v>
      </c>
      <c r="AO30" s="37">
        <f t="shared" ca="1" si="44"/>
        <v>0</v>
      </c>
      <c r="AP30" s="37">
        <f t="shared" ca="1" si="44"/>
        <v>0</v>
      </c>
      <c r="AQ30" s="37">
        <f t="shared" ca="1" si="44"/>
        <v>0</v>
      </c>
      <c r="AR30" s="37">
        <f t="shared" ca="1" si="44"/>
        <v>0</v>
      </c>
      <c r="AS30" s="37">
        <f t="shared" ca="1" si="44"/>
        <v>0</v>
      </c>
      <c r="AT30" s="37">
        <f t="shared" ca="1" si="45"/>
        <v>0</v>
      </c>
      <c r="AU30" s="37">
        <f t="shared" ca="1" si="45"/>
        <v>0</v>
      </c>
      <c r="AV30" s="37">
        <f t="shared" ca="1" si="45"/>
        <v>0</v>
      </c>
      <c r="AW30" s="37">
        <f t="shared" ca="1" si="45"/>
        <v>0</v>
      </c>
      <c r="AX30" s="37">
        <f t="shared" ca="1" si="45"/>
        <v>0</v>
      </c>
      <c r="AY30" s="37">
        <f t="shared" ca="1" si="45"/>
        <v>0</v>
      </c>
      <c r="AZ30" s="37" t="e">
        <f t="shared" ca="1" si="45"/>
        <v>#N/A</v>
      </c>
      <c r="BA30" s="37" t="e">
        <f t="shared" ca="1" si="45"/>
        <v>#N/A</v>
      </c>
      <c r="BB30" s="37" t="e">
        <f t="shared" ca="1" si="45"/>
        <v>#N/A</v>
      </c>
    </row>
    <row r="31" spans="1:54" x14ac:dyDescent="0.25">
      <c r="C31" s="5">
        <f ca="1">SUM(C25:C30)</f>
        <v>1.3856E-2</v>
      </c>
      <c r="D31" s="5">
        <f ca="1">SUM(D25:D30)</f>
        <v>9.5414999999999996E-3</v>
      </c>
      <c r="E31" s="131"/>
      <c r="F31" s="132">
        <f ca="1">SUM(F25:F30)</f>
        <v>7.7330400000000001E-3</v>
      </c>
      <c r="G31" s="132"/>
      <c r="H31" s="132">
        <f ca="1">SUM(H25:H30)</f>
        <v>9.9307800000000002E-3</v>
      </c>
      <c r="I31" s="132"/>
      <c r="J31" s="132">
        <f ca="1">SUM(J25:J30)</f>
        <v>8.5959399999999998E-3</v>
      </c>
      <c r="K31" s="132">
        <f ca="1">SUM(K25:K30)</f>
        <v>7.7330400000000001E-3</v>
      </c>
      <c r="L31" s="5">
        <f t="shared" ref="L31:AD31" ca="1" si="57">SUM(L25:L30)</f>
        <v>8.4656200000000001E-3</v>
      </c>
      <c r="M31" s="5">
        <f t="shared" ca="1" si="57"/>
        <v>9.1982000000000001E-3</v>
      </c>
      <c r="N31" s="5">
        <f t="shared" ca="1" si="57"/>
        <v>9.9307800000000002E-3</v>
      </c>
      <c r="O31" s="5">
        <f t="shared" ca="1" si="57"/>
        <v>1.066336E-2</v>
      </c>
      <c r="P31" s="5">
        <f t="shared" ca="1" si="57"/>
        <v>1.139594E-2</v>
      </c>
      <c r="Q31" s="5">
        <f t="shared" ca="1" si="57"/>
        <v>1.212852E-2</v>
      </c>
      <c r="R31" s="5">
        <f t="shared" ca="1" si="57"/>
        <v>1.28611E-2</v>
      </c>
      <c r="S31" s="5">
        <f t="shared" ca="1" si="57"/>
        <v>1.359368E-2</v>
      </c>
      <c r="T31" s="5">
        <f t="shared" ca="1" si="57"/>
        <v>1.432626E-2</v>
      </c>
      <c r="U31" s="5">
        <f t="shared" ca="1" si="57"/>
        <v>1.505884E-2</v>
      </c>
      <c r="V31" s="5">
        <f t="shared" ca="1" si="57"/>
        <v>1.579142E-2</v>
      </c>
      <c r="W31" s="5">
        <f t="shared" ca="1" si="57"/>
        <v>1.6524E-2</v>
      </c>
      <c r="X31" s="5">
        <f t="shared" ca="1" si="57"/>
        <v>1.7256580000000001E-2</v>
      </c>
      <c r="Y31" s="5">
        <f t="shared" ca="1" si="57"/>
        <v>1.7989160000000001E-2</v>
      </c>
      <c r="Z31" s="5">
        <f t="shared" ca="1" si="57"/>
        <v>1.8721740000000001E-2</v>
      </c>
      <c r="AA31" s="5">
        <f t="shared" ca="1" si="57"/>
        <v>1.9454320000000001E-2</v>
      </c>
      <c r="AB31" s="5">
        <f t="shared" ca="1" si="57"/>
        <v>2.0186900000000001E-2</v>
      </c>
      <c r="AC31" s="5">
        <f t="shared" ca="1" si="57"/>
        <v>2.0919480000000001E-2</v>
      </c>
      <c r="AD31" s="5">
        <f t="shared" ca="1" si="57"/>
        <v>2.1652060000000001E-2</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G33" s="4"/>
      <c r="H33" s="4" t="s">
        <v>167</v>
      </c>
      <c r="K33" s="205" t="str">
        <f t="shared" ref="K33:AD33" si="58">IF(K34=Yr_Start,"Start Year",IF(K34=Yr_End,"End Year",""))</f>
        <v>Start Year</v>
      </c>
      <c r="L33" s="205" t="str">
        <f t="shared" si="58"/>
        <v/>
      </c>
      <c r="M33" s="205" t="str">
        <f t="shared" si="58"/>
        <v/>
      </c>
      <c r="N33" s="205" t="str">
        <f t="shared" si="58"/>
        <v>End Year</v>
      </c>
      <c r="O33" s="205" t="str">
        <f t="shared" si="58"/>
        <v/>
      </c>
      <c r="P33" s="205" t="str">
        <f t="shared" si="58"/>
        <v/>
      </c>
      <c r="Q33" s="205" t="str">
        <f t="shared" si="58"/>
        <v/>
      </c>
      <c r="R33" s="205" t="str">
        <f t="shared" si="58"/>
        <v/>
      </c>
      <c r="S33" s="205" t="str">
        <f t="shared" si="58"/>
        <v/>
      </c>
      <c r="T33" s="205" t="str">
        <f t="shared" si="58"/>
        <v/>
      </c>
      <c r="U33" s="205" t="str">
        <f t="shared" si="58"/>
        <v/>
      </c>
      <c r="V33" s="205" t="str">
        <f t="shared" si="58"/>
        <v/>
      </c>
      <c r="W33" s="205" t="str">
        <f t="shared" si="58"/>
        <v/>
      </c>
      <c r="X33" s="205" t="str">
        <f t="shared" si="58"/>
        <v/>
      </c>
      <c r="Y33" s="205" t="str">
        <f t="shared" si="58"/>
        <v/>
      </c>
      <c r="Z33" s="205" t="str">
        <f t="shared" si="58"/>
        <v/>
      </c>
      <c r="AA33" s="205" t="str">
        <f t="shared" si="58"/>
        <v/>
      </c>
      <c r="AB33" s="205" t="str">
        <f t="shared" si="58"/>
        <v/>
      </c>
      <c r="AC33" s="205" t="str">
        <f t="shared" si="58"/>
        <v/>
      </c>
      <c r="AD33" s="205" t="str">
        <f t="shared" si="58"/>
        <v/>
      </c>
      <c r="AE33" s="35"/>
      <c r="AF33" s="6" t="str">
        <f>A33</f>
        <v>Richer</v>
      </c>
      <c r="AI33" s="205" t="str">
        <f t="shared" ref="AI33:BB33" si="59">IF(AI34=Yr_Start,"Start Year",IF(AI34=Yr_End,"End Year",""))</f>
        <v>Start Year</v>
      </c>
      <c r="AJ33" s="205" t="str">
        <f t="shared" si="59"/>
        <v/>
      </c>
      <c r="AK33" s="205" t="str">
        <f t="shared" si="59"/>
        <v/>
      </c>
      <c r="AL33" s="205" t="str">
        <f t="shared" si="59"/>
        <v>End Year</v>
      </c>
      <c r="AM33" s="205" t="str">
        <f t="shared" si="59"/>
        <v/>
      </c>
      <c r="AN33" s="205" t="str">
        <f t="shared" si="59"/>
        <v/>
      </c>
      <c r="AO33" s="205" t="str">
        <f t="shared" si="59"/>
        <v/>
      </c>
      <c r="AP33" s="205" t="str">
        <f t="shared" si="59"/>
        <v/>
      </c>
      <c r="AQ33" s="205" t="str">
        <f t="shared" si="59"/>
        <v/>
      </c>
      <c r="AR33" s="205" t="str">
        <f t="shared" si="59"/>
        <v/>
      </c>
      <c r="AS33" s="205" t="str">
        <f t="shared" si="59"/>
        <v/>
      </c>
      <c r="AT33" s="205" t="str">
        <f t="shared" si="59"/>
        <v/>
      </c>
      <c r="AU33" s="205" t="str">
        <f t="shared" si="59"/>
        <v/>
      </c>
      <c r="AV33" s="205" t="str">
        <f t="shared" si="59"/>
        <v/>
      </c>
      <c r="AW33" s="205" t="str">
        <f t="shared" si="59"/>
        <v/>
      </c>
      <c r="AX33" s="205" t="str">
        <f t="shared" si="59"/>
        <v/>
      </c>
      <c r="AY33" s="205" t="str">
        <f t="shared" si="59"/>
        <v/>
      </c>
      <c r="AZ33" s="205" t="str">
        <f t="shared" si="59"/>
        <v/>
      </c>
      <c r="BA33" s="205" t="str">
        <f t="shared" si="59"/>
        <v/>
      </c>
      <c r="BB33" s="205" t="str">
        <f t="shared" si="59"/>
        <v/>
      </c>
    </row>
    <row r="34" spans="1:54" x14ac:dyDescent="0.25">
      <c r="A34" s="6" t="s">
        <v>21</v>
      </c>
      <c r="B34" s="36"/>
      <c r="C34" s="36">
        <f>Yr_DHS1</f>
        <v>2011</v>
      </c>
      <c r="D34" s="36">
        <f>Yr_DHS2</f>
        <v>2016</v>
      </c>
      <c r="E34" s="36" t="s">
        <v>168</v>
      </c>
      <c r="F34" s="36">
        <f>Yr_Start</f>
        <v>2019</v>
      </c>
      <c r="G34" s="36"/>
      <c r="H34" s="36">
        <f>Yr_End</f>
        <v>2022</v>
      </c>
      <c r="I34" s="36" t="s">
        <v>169</v>
      </c>
      <c r="J34" s="130">
        <f>K34-1</f>
        <v>2018</v>
      </c>
      <c r="K34" s="130">
        <f>Yr_Start</f>
        <v>2019</v>
      </c>
      <c r="L34" s="130">
        <f>K34+1</f>
        <v>2020</v>
      </c>
      <c r="M34" s="130">
        <f t="shared" ref="M34:AD34" si="60">L34+1</f>
        <v>2021</v>
      </c>
      <c r="N34" s="130">
        <f t="shared" si="60"/>
        <v>2022</v>
      </c>
      <c r="O34" s="130">
        <f t="shared" si="60"/>
        <v>2023</v>
      </c>
      <c r="P34" s="130">
        <f t="shared" si="60"/>
        <v>2024</v>
      </c>
      <c r="Q34" s="130">
        <f t="shared" si="60"/>
        <v>2025</v>
      </c>
      <c r="R34" s="130">
        <f t="shared" si="60"/>
        <v>2026</v>
      </c>
      <c r="S34" s="130">
        <f t="shared" si="60"/>
        <v>2027</v>
      </c>
      <c r="T34" s="130">
        <f t="shared" si="60"/>
        <v>2028</v>
      </c>
      <c r="U34" s="130">
        <f t="shared" si="60"/>
        <v>2029</v>
      </c>
      <c r="V34" s="130">
        <f t="shared" si="60"/>
        <v>2030</v>
      </c>
      <c r="W34" s="130">
        <f t="shared" si="60"/>
        <v>2031</v>
      </c>
      <c r="X34" s="130">
        <f t="shared" si="60"/>
        <v>2032</v>
      </c>
      <c r="Y34" s="130">
        <f t="shared" si="60"/>
        <v>2033</v>
      </c>
      <c r="Z34" s="130">
        <f t="shared" si="60"/>
        <v>2034</v>
      </c>
      <c r="AA34" s="130">
        <f t="shared" si="60"/>
        <v>2035</v>
      </c>
      <c r="AB34" s="130">
        <f t="shared" si="60"/>
        <v>2036</v>
      </c>
      <c r="AC34" s="130">
        <f t="shared" si="60"/>
        <v>2037</v>
      </c>
      <c r="AD34" s="130">
        <f t="shared" si="60"/>
        <v>2038</v>
      </c>
      <c r="AE34" s="6"/>
      <c r="AF34" s="6" t="str">
        <f>A34</f>
        <v>Rural</v>
      </c>
      <c r="AG34" s="38"/>
      <c r="AH34" s="161">
        <f>AI34-1</f>
        <v>2018</v>
      </c>
      <c r="AI34" s="36">
        <f>Yr_Start</f>
        <v>2019</v>
      </c>
      <c r="AJ34" s="36">
        <f>AI34+1</f>
        <v>2020</v>
      </c>
      <c r="AK34" s="36">
        <f t="shared" ref="AK34:BB34" si="61">AJ34+1</f>
        <v>2021</v>
      </c>
      <c r="AL34" s="36">
        <f t="shared" si="61"/>
        <v>2022</v>
      </c>
      <c r="AM34" s="36">
        <f t="shared" si="61"/>
        <v>2023</v>
      </c>
      <c r="AN34" s="36">
        <f t="shared" si="61"/>
        <v>2024</v>
      </c>
      <c r="AO34" s="36">
        <f t="shared" si="61"/>
        <v>2025</v>
      </c>
      <c r="AP34" s="36">
        <f t="shared" si="61"/>
        <v>2026</v>
      </c>
      <c r="AQ34" s="36">
        <f t="shared" si="61"/>
        <v>2027</v>
      </c>
      <c r="AR34" s="36">
        <f t="shared" si="61"/>
        <v>2028</v>
      </c>
      <c r="AS34" s="36">
        <f t="shared" si="61"/>
        <v>2029</v>
      </c>
      <c r="AT34" s="36">
        <f t="shared" si="61"/>
        <v>2030</v>
      </c>
      <c r="AU34" s="36">
        <f t="shared" si="61"/>
        <v>2031</v>
      </c>
      <c r="AV34" s="36">
        <f t="shared" si="61"/>
        <v>2032</v>
      </c>
      <c r="AW34" s="36">
        <f t="shared" si="61"/>
        <v>2033</v>
      </c>
      <c r="AX34" s="36">
        <f t="shared" si="61"/>
        <v>2034</v>
      </c>
      <c r="AY34" s="36">
        <f t="shared" si="61"/>
        <v>2035</v>
      </c>
      <c r="AZ34" s="36">
        <f t="shared" si="61"/>
        <v>2036</v>
      </c>
      <c r="BA34" s="36">
        <f t="shared" si="61"/>
        <v>2037</v>
      </c>
      <c r="BB34" s="36">
        <f t="shared" si="61"/>
        <v>2038</v>
      </c>
    </row>
    <row r="35" spans="1:54" x14ac:dyDescent="0.25">
      <c r="B35" s="1" t="s">
        <v>52</v>
      </c>
      <c r="C35" s="14">
        <f ca="1">INDEX(Data_FP!$2:$1048576,MATCH(C$4&amp;$A$34&amp;$B35&amp;$A$1,Data_FP!$A$2:$A$1048576,0),MATCH($A$33,Data_FP!$2:$2,0))</f>
        <v>1.4124999999999999E-3</v>
      </c>
      <c r="D35" s="14">
        <f ca="1">INDEX(Data_FP!$2:$1048576,MATCH(D$4&amp;$A$34&amp;$B35&amp;$A$1,Data_FP!$A$2:$A$1048576,0),MATCH($A$33,Data_FP!$2:$2,0))</f>
        <v>8.3219999999999995E-3</v>
      </c>
      <c r="E35" s="14">
        <f ca="1">IF('User Settings'!$N$7="On",($D35-$C35)/($D$4-$C$4),0)</f>
        <v>1.3818999999999999E-3</v>
      </c>
      <c r="F35" s="14">
        <f ca="1">MAX(0,MIN(1,($D35+$E35*(F$4-$D$4))))</f>
        <v>1.2467699999999998E-2</v>
      </c>
      <c r="G35" s="14"/>
      <c r="H35" s="14">
        <f ca="1">MAX(0,MIN(1,($D35+$E35*(H$4-$D$4))*$H$1))</f>
        <v>1.66134E-2</v>
      </c>
      <c r="I35" s="14">
        <f ca="1">($H35-$F35)/($H$4-$F$4)</f>
        <v>1.3819000000000008E-3</v>
      </c>
      <c r="J35" s="14">
        <f ca="1">K35-E35</f>
        <v>1.1085799999999998E-2</v>
      </c>
      <c r="K35" s="14">
        <f ca="1">MAX(0,MIN(1,D35+(K$4-D$4)*E35))</f>
        <v>1.2467699999999998E-2</v>
      </c>
      <c r="L35" s="15">
        <f ca="1">MAX(0,MIN(1,K35+$I35))</f>
        <v>1.3849599999999998E-2</v>
      </c>
      <c r="M35" s="15">
        <f t="shared" ref="M35" ca="1" si="62">MAX(0,MIN(1,L35+$I35))</f>
        <v>1.5231499999999999E-2</v>
      </c>
      <c r="N35" s="15">
        <f ca="1">MAX(0,MIN(1,M35+$I35))</f>
        <v>1.66134E-2</v>
      </c>
      <c r="O35" s="15">
        <f t="shared" ref="O35:AD35" ca="1" si="63">MAX(0,MIN(1,N35+$I35))</f>
        <v>1.7995300000000002E-2</v>
      </c>
      <c r="P35" s="15">
        <f t="shared" ca="1" si="63"/>
        <v>1.9377200000000004E-2</v>
      </c>
      <c r="Q35" s="15">
        <f t="shared" ca="1" si="63"/>
        <v>2.0759100000000006E-2</v>
      </c>
      <c r="R35" s="15">
        <f t="shared" ca="1" si="63"/>
        <v>2.2141000000000008E-2</v>
      </c>
      <c r="S35" s="15">
        <f t="shared" ca="1" si="63"/>
        <v>2.352290000000001E-2</v>
      </c>
      <c r="T35" s="15">
        <f t="shared" ca="1" si="63"/>
        <v>2.4904800000000012E-2</v>
      </c>
      <c r="U35" s="15">
        <f t="shared" ca="1" si="63"/>
        <v>2.6286700000000014E-2</v>
      </c>
      <c r="V35" s="15">
        <f t="shared" ca="1" si="63"/>
        <v>2.7668600000000015E-2</v>
      </c>
      <c r="W35" s="15">
        <f t="shared" ca="1" si="63"/>
        <v>2.9050500000000017E-2</v>
      </c>
      <c r="X35" s="15">
        <f t="shared" ca="1" si="63"/>
        <v>3.0432400000000019E-2</v>
      </c>
      <c r="Y35" s="15">
        <f t="shared" ca="1" si="63"/>
        <v>3.1814300000000018E-2</v>
      </c>
      <c r="Z35" s="15">
        <f t="shared" ca="1" si="63"/>
        <v>3.3196200000000016E-2</v>
      </c>
      <c r="AA35" s="15">
        <f t="shared" ca="1" si="63"/>
        <v>3.4578100000000014E-2</v>
      </c>
      <c r="AB35" s="15">
        <f t="shared" ca="1" si="63"/>
        <v>3.5960000000000013E-2</v>
      </c>
      <c r="AC35" s="15">
        <f t="shared" ca="1" si="63"/>
        <v>3.7341900000000011E-2</v>
      </c>
      <c r="AD35" s="15">
        <f t="shared" ca="1" si="63"/>
        <v>3.872380000000001E-2</v>
      </c>
      <c r="AE35" s="5"/>
      <c r="AG35" s="1" t="s">
        <v>52</v>
      </c>
      <c r="AH35" s="37">
        <f ca="1">J35*AH$41</f>
        <v>16932.652405689863</v>
      </c>
      <c r="AI35" s="37">
        <f t="shared" ref="AI35:AI40" ca="1" si="64">K35*AI$41</f>
        <v>19775.713081301023</v>
      </c>
      <c r="AJ35" s="37">
        <f t="shared" ref="AJ35:AS40" ca="1" si="65">L35*AJ$41</f>
        <v>22807.39309547731</v>
      </c>
      <c r="AK35" s="37">
        <f t="shared" ca="1" si="65"/>
        <v>26003.32745521011</v>
      </c>
      <c r="AL35" s="37">
        <f t="shared" ca="1" si="65"/>
        <v>29402.964914696957</v>
      </c>
      <c r="AM35" s="37">
        <f t="shared" ca="1" si="65"/>
        <v>33011.577274733696</v>
      </c>
      <c r="AN35" s="37">
        <f t="shared" ca="1" si="65"/>
        <v>36832.666179633205</v>
      </c>
      <c r="AO35" s="37">
        <f t="shared" ca="1" si="65"/>
        <v>40870.917215614485</v>
      </c>
      <c r="AP35" s="37">
        <f t="shared" ca="1" si="65"/>
        <v>45102.133199838507</v>
      </c>
      <c r="AQ35" s="37">
        <f t="shared" ca="1" si="65"/>
        <v>49563.984972739163</v>
      </c>
      <c r="AR35" s="37">
        <f t="shared" ca="1" si="65"/>
        <v>54264.605387240576</v>
      </c>
      <c r="AS35" s="37">
        <f t="shared" ca="1" si="65"/>
        <v>59214.814481115362</v>
      </c>
      <c r="AT35" s="37">
        <f t="shared" ref="AT35:BB40" ca="1" si="66">V35*AT$41</f>
        <v>64424.107182064254</v>
      </c>
      <c r="AU35" s="37">
        <f t="shared" ca="1" si="66"/>
        <v>69859.76016144373</v>
      </c>
      <c r="AV35" s="37">
        <f t="shared" ca="1" si="66"/>
        <v>75571.368982495347</v>
      </c>
      <c r="AW35" s="37">
        <f t="shared" ca="1" si="66"/>
        <v>81563.005855812837</v>
      </c>
      <c r="AX35" s="37">
        <f t="shared" ca="1" si="66"/>
        <v>87837.238945238933</v>
      </c>
      <c r="AY35" s="37">
        <f t="shared" ca="1" si="66"/>
        <v>94397.641113841455</v>
      </c>
      <c r="AZ35" s="37" t="e">
        <f t="shared" ca="1" si="66"/>
        <v>#N/A</v>
      </c>
      <c r="BA35" s="37" t="e">
        <f t="shared" ca="1" si="66"/>
        <v>#N/A</v>
      </c>
      <c r="BB35" s="37" t="e">
        <f t="shared" ca="1" si="66"/>
        <v>#N/A</v>
      </c>
    </row>
    <row r="36" spans="1:54" x14ac:dyDescent="0.25">
      <c r="B36" s="1" t="s">
        <v>54</v>
      </c>
      <c r="C36" s="14">
        <f ca="1">INDEX(Data_FP!$2:$1048576,MATCH(C$4&amp;$A$34&amp;$B36&amp;$A$1,Data_FP!$A$2:$A$1048576,0),MATCH($A$33,Data_FP!$2:$2,0))</f>
        <v>4.191E-4</v>
      </c>
      <c r="D36" s="14">
        <f ca="1">INDEX(Data_FP!$2:$1048576,MATCH(D$4&amp;$A$34&amp;$B36&amp;$A$1,Data_FP!$A$2:$A$1048576,0),MATCH($A$33,Data_FP!$2:$2,0))</f>
        <v>0</v>
      </c>
      <c r="E36" s="14">
        <f ca="1">IF('User Settings'!$N$7="On",($D36-$C36)/($D$4-$C$4),0)</f>
        <v>-8.3819999999999994E-5</v>
      </c>
      <c r="F36" s="14">
        <f t="shared" ref="F36:F40" ca="1" si="67">MAX(0,MIN(1,($D36+$E36*(F$4-$D$4))))</f>
        <v>0</v>
      </c>
      <c r="G36" s="14"/>
      <c r="H36" s="14">
        <f t="shared" ref="H36:H40" ca="1" si="68">MAX(0,MIN(1,($D36+$E36*(H$4-$D$4))*$H$1))</f>
        <v>0</v>
      </c>
      <c r="I36" s="14">
        <f ca="1">($H36-$F36)/($H$4-$F$4)</f>
        <v>0</v>
      </c>
      <c r="J36" s="14">
        <f t="shared" ref="J36:J40" ca="1" si="69">K36-E36</f>
        <v>8.3819999999999994E-5</v>
      </c>
      <c r="K36" s="14">
        <f t="shared" ref="K36:K40" ca="1" si="70">MAX(0,MIN(1,D36+(K$4-D$4)*E36))</f>
        <v>0</v>
      </c>
      <c r="L36" s="15">
        <f t="shared" ref="L36:AD36" ca="1" si="71">MAX(0,MIN(1,K36+$I36))</f>
        <v>0</v>
      </c>
      <c r="M36" s="15">
        <f t="shared" ca="1" si="71"/>
        <v>0</v>
      </c>
      <c r="N36" s="15">
        <f t="shared" ca="1" si="71"/>
        <v>0</v>
      </c>
      <c r="O36" s="15">
        <f t="shared" ca="1" si="71"/>
        <v>0</v>
      </c>
      <c r="P36" s="15">
        <f t="shared" ca="1" si="71"/>
        <v>0</v>
      </c>
      <c r="Q36" s="15">
        <f t="shared" ca="1" si="71"/>
        <v>0</v>
      </c>
      <c r="R36" s="15">
        <f t="shared" ca="1" si="71"/>
        <v>0</v>
      </c>
      <c r="S36" s="15">
        <f t="shared" ca="1" si="71"/>
        <v>0</v>
      </c>
      <c r="T36" s="15">
        <f t="shared" ca="1" si="71"/>
        <v>0</v>
      </c>
      <c r="U36" s="15">
        <f t="shared" ca="1" si="71"/>
        <v>0</v>
      </c>
      <c r="V36" s="15">
        <f t="shared" ca="1" si="71"/>
        <v>0</v>
      </c>
      <c r="W36" s="15">
        <f t="shared" ca="1" si="71"/>
        <v>0</v>
      </c>
      <c r="X36" s="15">
        <f t="shared" ca="1" si="71"/>
        <v>0</v>
      </c>
      <c r="Y36" s="15">
        <f t="shared" ca="1" si="71"/>
        <v>0</v>
      </c>
      <c r="Z36" s="15">
        <f t="shared" ca="1" si="71"/>
        <v>0</v>
      </c>
      <c r="AA36" s="15">
        <f t="shared" ca="1" si="71"/>
        <v>0</v>
      </c>
      <c r="AB36" s="15">
        <f t="shared" ca="1" si="71"/>
        <v>0</v>
      </c>
      <c r="AC36" s="15">
        <f t="shared" ca="1" si="71"/>
        <v>0</v>
      </c>
      <c r="AD36" s="15">
        <f t="shared" ca="1" si="71"/>
        <v>0</v>
      </c>
      <c r="AE36" s="5"/>
      <c r="AG36" s="1" t="s">
        <v>54</v>
      </c>
      <c r="AH36" s="37">
        <f t="shared" ref="AH36:AH40" ca="1" si="72">J36*AH$41</f>
        <v>128.02819143813929</v>
      </c>
      <c r="AI36" s="37">
        <f t="shared" ca="1" si="64"/>
        <v>0</v>
      </c>
      <c r="AJ36" s="37">
        <f t="shared" ca="1" si="65"/>
        <v>0</v>
      </c>
      <c r="AK36" s="37">
        <f t="shared" ca="1" si="65"/>
        <v>0</v>
      </c>
      <c r="AL36" s="37">
        <f t="shared" ca="1" si="65"/>
        <v>0</v>
      </c>
      <c r="AM36" s="37">
        <f t="shared" ca="1" si="65"/>
        <v>0</v>
      </c>
      <c r="AN36" s="37">
        <f t="shared" ca="1" si="65"/>
        <v>0</v>
      </c>
      <c r="AO36" s="37">
        <f t="shared" ca="1" si="65"/>
        <v>0</v>
      </c>
      <c r="AP36" s="37">
        <f t="shared" ca="1" si="65"/>
        <v>0</v>
      </c>
      <c r="AQ36" s="37">
        <f t="shared" ca="1" si="65"/>
        <v>0</v>
      </c>
      <c r="AR36" s="37">
        <f t="shared" ca="1" si="65"/>
        <v>0</v>
      </c>
      <c r="AS36" s="37">
        <f t="shared" ca="1" si="65"/>
        <v>0</v>
      </c>
      <c r="AT36" s="37">
        <f t="shared" ca="1" si="66"/>
        <v>0</v>
      </c>
      <c r="AU36" s="37">
        <f t="shared" ca="1" si="66"/>
        <v>0</v>
      </c>
      <c r="AV36" s="37">
        <f t="shared" ca="1" si="66"/>
        <v>0</v>
      </c>
      <c r="AW36" s="37">
        <f t="shared" ca="1" si="66"/>
        <v>0</v>
      </c>
      <c r="AX36" s="37">
        <f t="shared" ca="1" si="66"/>
        <v>0</v>
      </c>
      <c r="AY36" s="37">
        <f t="shared" ca="1" si="66"/>
        <v>0</v>
      </c>
      <c r="AZ36" s="37" t="e">
        <f t="shared" ca="1" si="66"/>
        <v>#N/A</v>
      </c>
      <c r="BA36" s="37" t="e">
        <f t="shared" ca="1" si="66"/>
        <v>#N/A</v>
      </c>
      <c r="BB36" s="37" t="e">
        <f t="shared" ca="1" si="66"/>
        <v>#N/A</v>
      </c>
    </row>
    <row r="37" spans="1:54" x14ac:dyDescent="0.25">
      <c r="B37" s="1" t="s">
        <v>170</v>
      </c>
      <c r="C37" s="14">
        <f ca="1">INDEX(Data_FP!$2:$1048576,MATCH(C$4&amp;$A$34&amp;$B37&amp;$A$1,Data_FP!$A$2:$A$1048576,0),MATCH($A$33,Data_FP!$2:$2,0))</f>
        <v>8.9329999999999998E-4</v>
      </c>
      <c r="D37" s="14">
        <f ca="1">INDEX(Data_FP!$2:$1048576,MATCH(D$4&amp;$A$34&amp;$B37&amp;$A$1,Data_FP!$A$2:$A$1048576,0),MATCH($A$33,Data_FP!$2:$2,0))</f>
        <v>0</v>
      </c>
      <c r="E37" s="14">
        <f ca="1">IF('User Settings'!$N$7="On",($D37-$C37)/($D$4-$C$4),0)</f>
        <v>-1.7866E-4</v>
      </c>
      <c r="F37" s="14">
        <f t="shared" ca="1" si="67"/>
        <v>0</v>
      </c>
      <c r="G37" s="14"/>
      <c r="H37" s="14">
        <f t="shared" ca="1" si="68"/>
        <v>0</v>
      </c>
      <c r="I37" s="14">
        <f t="shared" ref="I37:I40" ca="1" si="73">($H37-$F37)/($H$4-$F$4)</f>
        <v>0</v>
      </c>
      <c r="J37" s="14">
        <f t="shared" ca="1" si="69"/>
        <v>1.7866E-4</v>
      </c>
      <c r="K37" s="14">
        <f t="shared" ca="1" si="70"/>
        <v>0</v>
      </c>
      <c r="L37" s="15">
        <f t="shared" ref="L37:AD37" ca="1" si="74">MAX(0,MIN(1,K37+$I37))</f>
        <v>0</v>
      </c>
      <c r="M37" s="15">
        <f t="shared" ca="1" si="74"/>
        <v>0</v>
      </c>
      <c r="N37" s="15">
        <f t="shared" ca="1" si="74"/>
        <v>0</v>
      </c>
      <c r="O37" s="15">
        <f t="shared" ca="1" si="74"/>
        <v>0</v>
      </c>
      <c r="P37" s="15">
        <f t="shared" ca="1" si="74"/>
        <v>0</v>
      </c>
      <c r="Q37" s="15">
        <f t="shared" ca="1" si="74"/>
        <v>0</v>
      </c>
      <c r="R37" s="15">
        <f t="shared" ca="1" si="74"/>
        <v>0</v>
      </c>
      <c r="S37" s="15">
        <f t="shared" ca="1" si="74"/>
        <v>0</v>
      </c>
      <c r="T37" s="15">
        <f t="shared" ca="1" si="74"/>
        <v>0</v>
      </c>
      <c r="U37" s="15">
        <f t="shared" ca="1" si="74"/>
        <v>0</v>
      </c>
      <c r="V37" s="15">
        <f t="shared" ca="1" si="74"/>
        <v>0</v>
      </c>
      <c r="W37" s="15">
        <f t="shared" ca="1" si="74"/>
        <v>0</v>
      </c>
      <c r="X37" s="15">
        <f t="shared" ca="1" si="74"/>
        <v>0</v>
      </c>
      <c r="Y37" s="15">
        <f t="shared" ca="1" si="74"/>
        <v>0</v>
      </c>
      <c r="Z37" s="15">
        <f t="shared" ca="1" si="74"/>
        <v>0</v>
      </c>
      <c r="AA37" s="15">
        <f t="shared" ca="1" si="74"/>
        <v>0</v>
      </c>
      <c r="AB37" s="15">
        <f t="shared" ca="1" si="74"/>
        <v>0</v>
      </c>
      <c r="AC37" s="15">
        <f t="shared" ca="1" si="74"/>
        <v>0</v>
      </c>
      <c r="AD37" s="15">
        <f t="shared" ca="1" si="74"/>
        <v>0</v>
      </c>
      <c r="AE37" s="5"/>
      <c r="AG37" s="1" t="s">
        <v>170</v>
      </c>
      <c r="AH37" s="37">
        <f t="shared" ca="1" si="72"/>
        <v>272.88853116604588</v>
      </c>
      <c r="AI37" s="37">
        <f t="shared" ca="1" si="64"/>
        <v>0</v>
      </c>
      <c r="AJ37" s="37">
        <f t="shared" ca="1" si="65"/>
        <v>0</v>
      </c>
      <c r="AK37" s="37">
        <f t="shared" ca="1" si="65"/>
        <v>0</v>
      </c>
      <c r="AL37" s="37">
        <f t="shared" ca="1" si="65"/>
        <v>0</v>
      </c>
      <c r="AM37" s="37">
        <f t="shared" ca="1" si="65"/>
        <v>0</v>
      </c>
      <c r="AN37" s="37">
        <f t="shared" ca="1" si="65"/>
        <v>0</v>
      </c>
      <c r="AO37" s="37">
        <f t="shared" ca="1" si="65"/>
        <v>0</v>
      </c>
      <c r="AP37" s="37">
        <f t="shared" ca="1" si="65"/>
        <v>0</v>
      </c>
      <c r="AQ37" s="37">
        <f t="shared" ca="1" si="65"/>
        <v>0</v>
      </c>
      <c r="AR37" s="37">
        <f t="shared" ca="1" si="65"/>
        <v>0</v>
      </c>
      <c r="AS37" s="37">
        <f t="shared" ca="1" si="65"/>
        <v>0</v>
      </c>
      <c r="AT37" s="37">
        <f t="shared" ca="1" si="66"/>
        <v>0</v>
      </c>
      <c r="AU37" s="37">
        <f t="shared" ca="1" si="66"/>
        <v>0</v>
      </c>
      <c r="AV37" s="37">
        <f t="shared" ca="1" si="66"/>
        <v>0</v>
      </c>
      <c r="AW37" s="37">
        <f t="shared" ca="1" si="66"/>
        <v>0</v>
      </c>
      <c r="AX37" s="37">
        <f t="shared" ca="1" si="66"/>
        <v>0</v>
      </c>
      <c r="AY37" s="37">
        <f t="shared" ca="1" si="66"/>
        <v>0</v>
      </c>
      <c r="AZ37" s="37" t="e">
        <f t="shared" ca="1" si="66"/>
        <v>#N/A</v>
      </c>
      <c r="BA37" s="37" t="e">
        <f t="shared" ca="1" si="66"/>
        <v>#N/A</v>
      </c>
      <c r="BB37" s="37" t="e">
        <f t="shared" ca="1" si="66"/>
        <v>#N/A</v>
      </c>
    </row>
    <row r="38" spans="1:54" x14ac:dyDescent="0.25">
      <c r="B38" s="1" t="s">
        <v>59</v>
      </c>
      <c r="C38" s="14">
        <f ca="1">INDEX(Data_FP!$2:$1048576,MATCH(C$4&amp;$A$34&amp;$B38&amp;$A$1,Data_FP!$A$2:$A$1048576,0),MATCH($A$33,Data_FP!$2:$2,0))</f>
        <v>0</v>
      </c>
      <c r="D38" s="14">
        <f ca="1">INDEX(Data_FP!$2:$1048576,MATCH(D$4&amp;$A$34&amp;$B38&amp;$A$1,Data_FP!$A$2:$A$1048576,0),MATCH($A$33,Data_FP!$2:$2,0))</f>
        <v>7.0900000000000002E-5</v>
      </c>
      <c r="E38" s="14">
        <f ca="1">IF('User Settings'!$N$7="On",($D38-$C38)/($D$4-$C$4),0)</f>
        <v>1.418E-5</v>
      </c>
      <c r="F38" s="14">
        <f t="shared" ca="1" si="67"/>
        <v>1.1344E-4</v>
      </c>
      <c r="G38" s="14"/>
      <c r="H38" s="14">
        <f t="shared" ca="1" si="68"/>
        <v>1.5598000000000001E-4</v>
      </c>
      <c r="I38" s="14">
        <f t="shared" ca="1" si="73"/>
        <v>1.4180000000000003E-5</v>
      </c>
      <c r="J38" s="14">
        <f t="shared" ca="1" si="69"/>
        <v>9.9259999999999995E-5</v>
      </c>
      <c r="K38" s="14">
        <f t="shared" ca="1" si="70"/>
        <v>1.1344E-4</v>
      </c>
      <c r="L38" s="15">
        <f t="shared" ref="L38:AD38" ca="1" si="75">MAX(0,MIN(1,K38+$I38))</f>
        <v>1.2762E-4</v>
      </c>
      <c r="M38" s="15">
        <f t="shared" ca="1" si="75"/>
        <v>1.418E-4</v>
      </c>
      <c r="N38" s="15">
        <f t="shared" ca="1" si="75"/>
        <v>1.5598000000000001E-4</v>
      </c>
      <c r="O38" s="15">
        <f t="shared" ca="1" si="75"/>
        <v>1.7016000000000001E-4</v>
      </c>
      <c r="P38" s="15">
        <f t="shared" ca="1" si="75"/>
        <v>1.8434000000000001E-4</v>
      </c>
      <c r="Q38" s="15">
        <f t="shared" ca="1" si="75"/>
        <v>1.9852000000000002E-4</v>
      </c>
      <c r="R38" s="15">
        <f t="shared" ca="1" si="75"/>
        <v>2.1270000000000002E-4</v>
      </c>
      <c r="S38" s="15">
        <f t="shared" ca="1" si="75"/>
        <v>2.2688000000000002E-4</v>
      </c>
      <c r="T38" s="15">
        <f t="shared" ca="1" si="75"/>
        <v>2.4106000000000003E-4</v>
      </c>
      <c r="U38" s="15">
        <f t="shared" ca="1" si="75"/>
        <v>2.5524E-4</v>
      </c>
      <c r="V38" s="15">
        <f t="shared" ca="1" si="75"/>
        <v>2.6942000000000003E-4</v>
      </c>
      <c r="W38" s="15">
        <f t="shared" ca="1" si="75"/>
        <v>2.8360000000000006E-4</v>
      </c>
      <c r="X38" s="15">
        <f t="shared" ca="1" si="75"/>
        <v>2.9778000000000009E-4</v>
      </c>
      <c r="Y38" s="15">
        <f t="shared" ca="1" si="75"/>
        <v>3.1196000000000012E-4</v>
      </c>
      <c r="Z38" s="15">
        <f t="shared" ca="1" si="75"/>
        <v>3.2614000000000015E-4</v>
      </c>
      <c r="AA38" s="15">
        <f t="shared" ca="1" si="75"/>
        <v>3.4032000000000018E-4</v>
      </c>
      <c r="AB38" s="15">
        <f t="shared" ca="1" si="75"/>
        <v>3.5450000000000021E-4</v>
      </c>
      <c r="AC38" s="15">
        <f t="shared" ca="1" si="75"/>
        <v>3.6868000000000024E-4</v>
      </c>
      <c r="AD38" s="15">
        <f t="shared" ca="1" si="75"/>
        <v>3.8286000000000027E-4</v>
      </c>
      <c r="AE38" s="5"/>
      <c r="AG38" s="1" t="s">
        <v>59</v>
      </c>
      <c r="AH38" s="37">
        <f t="shared" ca="1" si="72"/>
        <v>151.6115280619149</v>
      </c>
      <c r="AI38" s="37">
        <f t="shared" ca="1" si="64"/>
        <v>179.93349951817802</v>
      </c>
      <c r="AJ38" s="37">
        <f t="shared" ca="1" si="65"/>
        <v>210.16343481723763</v>
      </c>
      <c r="AK38" s="37">
        <f t="shared" ca="1" si="65"/>
        <v>242.08199016175649</v>
      </c>
      <c r="AL38" s="37">
        <f t="shared" ca="1" si="65"/>
        <v>276.05875181446493</v>
      </c>
      <c r="AM38" s="37">
        <f t="shared" ca="1" si="65"/>
        <v>312.1509499185168</v>
      </c>
      <c r="AN38" s="37">
        <f t="shared" ca="1" si="65"/>
        <v>350.39808040137808</v>
      </c>
      <c r="AO38" s="37">
        <f t="shared" ca="1" si="65"/>
        <v>390.85001207392349</v>
      </c>
      <c r="AP38" s="37">
        <f t="shared" ca="1" si="65"/>
        <v>433.27870157651631</v>
      </c>
      <c r="AQ38" s="37">
        <f t="shared" ca="1" si="65"/>
        <v>478.04806850409852</v>
      </c>
      <c r="AR38" s="37">
        <f t="shared" ca="1" si="65"/>
        <v>525.24114928239567</v>
      </c>
      <c r="AS38" s="37">
        <f t="shared" ca="1" si="65"/>
        <v>574.9671601288818</v>
      </c>
      <c r="AT38" s="37">
        <f t="shared" ca="1" si="66"/>
        <v>627.32277589006105</v>
      </c>
      <c r="AU38" s="37">
        <f t="shared" ca="1" si="66"/>
        <v>681.9926673133142</v>
      </c>
      <c r="AV38" s="37">
        <f t="shared" ca="1" si="66"/>
        <v>739.46327780942215</v>
      </c>
      <c r="AW38" s="37">
        <f t="shared" ca="1" si="66"/>
        <v>799.77856834126067</v>
      </c>
      <c r="AX38" s="37">
        <f t="shared" ca="1" si="66"/>
        <v>862.96736101120689</v>
      </c>
      <c r="AY38" s="37">
        <f t="shared" ca="1" si="66"/>
        <v>929.06797145772987</v>
      </c>
      <c r="AZ38" s="37" t="e">
        <f t="shared" ca="1" si="66"/>
        <v>#N/A</v>
      </c>
      <c r="BA38" s="37" t="e">
        <f t="shared" ca="1" si="66"/>
        <v>#N/A</v>
      </c>
      <c r="BB38" s="37" t="e">
        <f t="shared" ca="1" si="66"/>
        <v>#N/A</v>
      </c>
    </row>
    <row r="39" spans="1:54" x14ac:dyDescent="0.25">
      <c r="B39" s="1" t="s">
        <v>171</v>
      </c>
      <c r="C39" s="14">
        <f ca="1">INDEX(Data_FP!$2:$1048576,MATCH(C$4&amp;$A$34&amp;$B39&amp;$A$1,Data_FP!$A$2:$A$1048576,0),MATCH($A$33,Data_FP!$2:$2,0))</f>
        <v>0</v>
      </c>
      <c r="D39" s="14">
        <f ca="1">INDEX(Data_FP!$2:$1048576,MATCH(D$4&amp;$A$34&amp;$B39&amp;$A$1,Data_FP!$A$2:$A$1048576,0),MATCH($A$33,Data_FP!$2:$2,0))</f>
        <v>0</v>
      </c>
      <c r="E39" s="14">
        <f ca="1">IF('User Settings'!$N$7="On",($D39-$C39)/($D$4-$C$4),0)</f>
        <v>0</v>
      </c>
      <c r="F39" s="14">
        <f t="shared" ca="1" si="67"/>
        <v>0</v>
      </c>
      <c r="G39" s="14"/>
      <c r="H39" s="14">
        <f t="shared" ca="1" si="68"/>
        <v>0</v>
      </c>
      <c r="I39" s="14">
        <f t="shared" ca="1" si="73"/>
        <v>0</v>
      </c>
      <c r="J39" s="14">
        <f t="shared" ca="1" si="69"/>
        <v>0</v>
      </c>
      <c r="K39" s="14">
        <f t="shared" ca="1" si="70"/>
        <v>0</v>
      </c>
      <c r="L39" s="15">
        <f t="shared" ref="L39:AD39" ca="1" si="76">MAX(0,MIN(1,K39+$I39))</f>
        <v>0</v>
      </c>
      <c r="M39" s="15">
        <f t="shared" ca="1" si="76"/>
        <v>0</v>
      </c>
      <c r="N39" s="15">
        <f t="shared" ca="1" si="76"/>
        <v>0</v>
      </c>
      <c r="O39" s="15">
        <f t="shared" ca="1" si="76"/>
        <v>0</v>
      </c>
      <c r="P39" s="15">
        <f t="shared" ca="1" si="76"/>
        <v>0</v>
      </c>
      <c r="Q39" s="15">
        <f t="shared" ca="1" si="76"/>
        <v>0</v>
      </c>
      <c r="R39" s="15">
        <f t="shared" ca="1" si="76"/>
        <v>0</v>
      </c>
      <c r="S39" s="15">
        <f t="shared" ca="1" si="76"/>
        <v>0</v>
      </c>
      <c r="T39" s="15">
        <f t="shared" ca="1" si="76"/>
        <v>0</v>
      </c>
      <c r="U39" s="15">
        <f t="shared" ca="1" si="76"/>
        <v>0</v>
      </c>
      <c r="V39" s="15">
        <f t="shared" ca="1" si="76"/>
        <v>0</v>
      </c>
      <c r="W39" s="15">
        <f t="shared" ca="1" si="76"/>
        <v>0</v>
      </c>
      <c r="X39" s="15">
        <f t="shared" ca="1" si="76"/>
        <v>0</v>
      </c>
      <c r="Y39" s="15">
        <f t="shared" ca="1" si="76"/>
        <v>0</v>
      </c>
      <c r="Z39" s="15">
        <f t="shared" ca="1" si="76"/>
        <v>0</v>
      </c>
      <c r="AA39" s="15">
        <f t="shared" ca="1" si="76"/>
        <v>0</v>
      </c>
      <c r="AB39" s="15">
        <f t="shared" ca="1" si="76"/>
        <v>0</v>
      </c>
      <c r="AC39" s="15">
        <f t="shared" ca="1" si="76"/>
        <v>0</v>
      </c>
      <c r="AD39" s="15">
        <f t="shared" ca="1" si="76"/>
        <v>0</v>
      </c>
      <c r="AE39" s="5"/>
      <c r="AG39" s="1" t="s">
        <v>171</v>
      </c>
      <c r="AH39" s="37">
        <f t="shared" ca="1" si="72"/>
        <v>0</v>
      </c>
      <c r="AI39" s="37">
        <f t="shared" ca="1" si="64"/>
        <v>0</v>
      </c>
      <c r="AJ39" s="37">
        <f t="shared" ca="1" si="65"/>
        <v>0</v>
      </c>
      <c r="AK39" s="37">
        <f t="shared" ca="1" si="65"/>
        <v>0</v>
      </c>
      <c r="AL39" s="37">
        <f t="shared" ca="1" si="65"/>
        <v>0</v>
      </c>
      <c r="AM39" s="37">
        <f t="shared" ca="1" si="65"/>
        <v>0</v>
      </c>
      <c r="AN39" s="37">
        <f t="shared" ca="1" si="65"/>
        <v>0</v>
      </c>
      <c r="AO39" s="37">
        <f t="shared" ca="1" si="65"/>
        <v>0</v>
      </c>
      <c r="AP39" s="37">
        <f t="shared" ca="1" si="65"/>
        <v>0</v>
      </c>
      <c r="AQ39" s="37">
        <f t="shared" ca="1" si="65"/>
        <v>0</v>
      </c>
      <c r="AR39" s="37">
        <f t="shared" ca="1" si="65"/>
        <v>0</v>
      </c>
      <c r="AS39" s="37">
        <f t="shared" ca="1" si="65"/>
        <v>0</v>
      </c>
      <c r="AT39" s="37">
        <f t="shared" ca="1" si="66"/>
        <v>0</v>
      </c>
      <c r="AU39" s="37">
        <f t="shared" ca="1" si="66"/>
        <v>0</v>
      </c>
      <c r="AV39" s="37">
        <f t="shared" ca="1" si="66"/>
        <v>0</v>
      </c>
      <c r="AW39" s="37">
        <f t="shared" ca="1" si="66"/>
        <v>0</v>
      </c>
      <c r="AX39" s="37">
        <f t="shared" ca="1" si="66"/>
        <v>0</v>
      </c>
      <c r="AY39" s="37">
        <f t="shared" ca="1" si="66"/>
        <v>0</v>
      </c>
      <c r="AZ39" s="37" t="e">
        <f t="shared" ca="1" si="66"/>
        <v>#N/A</v>
      </c>
      <c r="BA39" s="37" t="e">
        <f t="shared" ca="1" si="66"/>
        <v>#N/A</v>
      </c>
      <c r="BB39" s="37" t="e">
        <f t="shared" ca="1" si="66"/>
        <v>#N/A</v>
      </c>
    </row>
    <row r="40" spans="1:54" x14ac:dyDescent="0.25">
      <c r="B40" s="1" t="s">
        <v>116</v>
      </c>
      <c r="C40" s="14">
        <f ca="1">INDEX(Data_FP!$2:$1048576,MATCH(C$4&amp;$A$34&amp;$B40&amp;$A$1,Data_FP!$A$2:$A$1048576,0),MATCH($A$33,Data_FP!$2:$2,0))</f>
        <v>0</v>
      </c>
      <c r="D40" s="14">
        <f ca="1">INDEX(Data_FP!$2:$1048576,MATCH(D$4&amp;$A$34&amp;$B40&amp;$A$1,Data_FP!$A$2:$A$1048576,0),MATCH($A$33,Data_FP!$2:$2,0))</f>
        <v>0</v>
      </c>
      <c r="E40" s="14">
        <f ca="1">IF('User Settings'!$N$7="On",($D40-$C40)/($D$4-$C$4),0)</f>
        <v>0</v>
      </c>
      <c r="F40" s="14">
        <f t="shared" ca="1" si="67"/>
        <v>0</v>
      </c>
      <c r="G40" s="14"/>
      <c r="H40" s="14">
        <f t="shared" ca="1" si="68"/>
        <v>0</v>
      </c>
      <c r="I40" s="14">
        <f t="shared" ca="1" si="73"/>
        <v>0</v>
      </c>
      <c r="J40" s="14">
        <f t="shared" ca="1" si="69"/>
        <v>0</v>
      </c>
      <c r="K40" s="14">
        <f t="shared" ca="1" si="70"/>
        <v>0</v>
      </c>
      <c r="L40" s="15">
        <f t="shared" ref="L40:AD40" ca="1" si="77">MAX(0,MIN(1,K40+$I40))</f>
        <v>0</v>
      </c>
      <c r="M40" s="15">
        <f t="shared" ca="1" si="77"/>
        <v>0</v>
      </c>
      <c r="N40" s="15">
        <f t="shared" ca="1" si="77"/>
        <v>0</v>
      </c>
      <c r="O40" s="15">
        <f t="shared" ca="1" si="77"/>
        <v>0</v>
      </c>
      <c r="P40" s="15">
        <f t="shared" ca="1" si="77"/>
        <v>0</v>
      </c>
      <c r="Q40" s="15">
        <f t="shared" ca="1" si="77"/>
        <v>0</v>
      </c>
      <c r="R40" s="15">
        <f t="shared" ca="1" si="77"/>
        <v>0</v>
      </c>
      <c r="S40" s="15">
        <f t="shared" ca="1" si="77"/>
        <v>0</v>
      </c>
      <c r="T40" s="15">
        <f t="shared" ca="1" si="77"/>
        <v>0</v>
      </c>
      <c r="U40" s="15">
        <f t="shared" ca="1" si="77"/>
        <v>0</v>
      </c>
      <c r="V40" s="15">
        <f t="shared" ca="1" si="77"/>
        <v>0</v>
      </c>
      <c r="W40" s="15">
        <f t="shared" ca="1" si="77"/>
        <v>0</v>
      </c>
      <c r="X40" s="15">
        <f t="shared" ca="1" si="77"/>
        <v>0</v>
      </c>
      <c r="Y40" s="15">
        <f t="shared" ca="1" si="77"/>
        <v>0</v>
      </c>
      <c r="Z40" s="15">
        <f t="shared" ca="1" si="77"/>
        <v>0</v>
      </c>
      <c r="AA40" s="15">
        <f t="shared" ca="1" si="77"/>
        <v>0</v>
      </c>
      <c r="AB40" s="15">
        <f t="shared" ca="1" si="77"/>
        <v>0</v>
      </c>
      <c r="AC40" s="15">
        <f t="shared" ca="1" si="77"/>
        <v>0</v>
      </c>
      <c r="AD40" s="15">
        <f t="shared" ca="1" si="77"/>
        <v>0</v>
      </c>
      <c r="AE40" s="5"/>
      <c r="AG40" s="1" t="s">
        <v>116</v>
      </c>
      <c r="AH40" s="37">
        <f t="shared" ca="1" si="72"/>
        <v>0</v>
      </c>
      <c r="AI40" s="37">
        <f t="shared" ca="1" si="64"/>
        <v>0</v>
      </c>
      <c r="AJ40" s="37">
        <f t="shared" ca="1" si="65"/>
        <v>0</v>
      </c>
      <c r="AK40" s="37">
        <f t="shared" ca="1" si="65"/>
        <v>0</v>
      </c>
      <c r="AL40" s="37">
        <f t="shared" ca="1" si="65"/>
        <v>0</v>
      </c>
      <c r="AM40" s="37">
        <f t="shared" ca="1" si="65"/>
        <v>0</v>
      </c>
      <c r="AN40" s="37">
        <f t="shared" ca="1" si="65"/>
        <v>0</v>
      </c>
      <c r="AO40" s="37">
        <f t="shared" ca="1" si="65"/>
        <v>0</v>
      </c>
      <c r="AP40" s="37">
        <f t="shared" ca="1" si="65"/>
        <v>0</v>
      </c>
      <c r="AQ40" s="37">
        <f t="shared" ca="1" si="65"/>
        <v>0</v>
      </c>
      <c r="AR40" s="37">
        <f t="shared" ca="1" si="65"/>
        <v>0</v>
      </c>
      <c r="AS40" s="37">
        <f t="shared" ca="1" si="65"/>
        <v>0</v>
      </c>
      <c r="AT40" s="37">
        <f t="shared" ca="1" si="66"/>
        <v>0</v>
      </c>
      <c r="AU40" s="37">
        <f t="shared" ca="1" si="66"/>
        <v>0</v>
      </c>
      <c r="AV40" s="37">
        <f t="shared" ca="1" si="66"/>
        <v>0</v>
      </c>
      <c r="AW40" s="37">
        <f t="shared" ca="1" si="66"/>
        <v>0</v>
      </c>
      <c r="AX40" s="37">
        <f t="shared" ca="1" si="66"/>
        <v>0</v>
      </c>
      <c r="AY40" s="37">
        <f t="shared" ca="1" si="66"/>
        <v>0</v>
      </c>
      <c r="AZ40" s="37" t="e">
        <f t="shared" ca="1" si="66"/>
        <v>#N/A</v>
      </c>
      <c r="BA40" s="37" t="e">
        <f t="shared" ca="1" si="66"/>
        <v>#N/A</v>
      </c>
      <c r="BB40" s="37" t="e">
        <f t="shared" ca="1" si="66"/>
        <v>#N/A</v>
      </c>
    </row>
    <row r="41" spans="1:54" x14ac:dyDescent="0.25">
      <c r="C41" s="5">
        <f ca="1">SUM(C35:C40)</f>
        <v>2.7248999999999997E-3</v>
      </c>
      <c r="D41" s="5">
        <f ca="1">SUM(D35:D40)</f>
        <v>8.3929E-3</v>
      </c>
      <c r="E41" s="131"/>
      <c r="F41" s="132">
        <f ca="1">SUM(F35:F40)</f>
        <v>1.2581139999999998E-2</v>
      </c>
      <c r="G41" s="132"/>
      <c r="H41" s="132">
        <f ca="1">SUM(H35:H40)</f>
        <v>1.676938E-2</v>
      </c>
      <c r="I41" s="132"/>
      <c r="J41" s="132">
        <f ca="1">SUM(J35:J40)</f>
        <v>1.1447539999999999E-2</v>
      </c>
      <c r="K41" s="132">
        <f ca="1">SUM(K35:K40)</f>
        <v>1.2581139999999998E-2</v>
      </c>
      <c r="L41" s="5">
        <f t="shared" ref="L41:AD41" ca="1" si="78">SUM(L35:L40)</f>
        <v>1.3977219999999999E-2</v>
      </c>
      <c r="M41" s="5">
        <f t="shared" ca="1" si="78"/>
        <v>1.5373299999999998E-2</v>
      </c>
      <c r="N41" s="5">
        <f t="shared" ca="1" si="78"/>
        <v>1.676938E-2</v>
      </c>
      <c r="O41" s="5">
        <f t="shared" ca="1" si="78"/>
        <v>1.8165460000000001E-2</v>
      </c>
      <c r="P41" s="5">
        <f t="shared" ca="1" si="78"/>
        <v>1.9561540000000006E-2</v>
      </c>
      <c r="Q41" s="5">
        <f t="shared" ca="1" si="78"/>
        <v>2.0957620000000007E-2</v>
      </c>
      <c r="R41" s="5">
        <f t="shared" ca="1" si="78"/>
        <v>2.2353700000000008E-2</v>
      </c>
      <c r="S41" s="5">
        <f t="shared" ca="1" si="78"/>
        <v>2.3749780000000009E-2</v>
      </c>
      <c r="T41" s="5">
        <f t="shared" ca="1" si="78"/>
        <v>2.5145860000000013E-2</v>
      </c>
      <c r="U41" s="5">
        <f t="shared" ca="1" si="78"/>
        <v>2.6541940000000014E-2</v>
      </c>
      <c r="V41" s="5">
        <f t="shared" ca="1" si="78"/>
        <v>2.7938020000000015E-2</v>
      </c>
      <c r="W41" s="5">
        <f t="shared" ca="1" si="78"/>
        <v>2.9334100000000016E-2</v>
      </c>
      <c r="X41" s="5">
        <f t="shared" ca="1" si="78"/>
        <v>3.073018000000002E-2</v>
      </c>
      <c r="Y41" s="5">
        <f t="shared" ca="1" si="78"/>
        <v>3.2126260000000018E-2</v>
      </c>
      <c r="Z41" s="5">
        <f t="shared" ca="1" si="78"/>
        <v>3.3522340000000019E-2</v>
      </c>
      <c r="AA41" s="5">
        <f t="shared" ca="1" si="78"/>
        <v>3.4918420000000013E-2</v>
      </c>
      <c r="AB41" s="5">
        <f t="shared" ca="1" si="78"/>
        <v>3.6314500000000013E-2</v>
      </c>
      <c r="AC41" s="5">
        <f t="shared" ca="1" si="78"/>
        <v>3.7710580000000014E-2</v>
      </c>
      <c r="AD41" s="5">
        <f t="shared" ca="1" si="78"/>
        <v>3.9106660000000008E-2</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79">IF(K44=Yr_Start,"Start Year",IF(K44=Yr_End,"End Year",""))</f>
        <v>Start Year</v>
      </c>
      <c r="L43" s="205" t="str">
        <f t="shared" si="79"/>
        <v/>
      </c>
      <c r="M43" s="205" t="str">
        <f t="shared" si="79"/>
        <v/>
      </c>
      <c r="N43" s="205" t="str">
        <f t="shared" si="79"/>
        <v>End Year</v>
      </c>
      <c r="O43" s="205" t="str">
        <f t="shared" si="79"/>
        <v/>
      </c>
      <c r="P43" s="205" t="str">
        <f t="shared" si="79"/>
        <v/>
      </c>
      <c r="Q43" s="205" t="str">
        <f t="shared" si="79"/>
        <v/>
      </c>
      <c r="R43" s="205" t="str">
        <f t="shared" si="79"/>
        <v/>
      </c>
      <c r="S43" s="205" t="str">
        <f t="shared" si="79"/>
        <v/>
      </c>
      <c r="T43" s="205" t="str">
        <f t="shared" si="79"/>
        <v/>
      </c>
      <c r="U43" s="205" t="str">
        <f t="shared" si="79"/>
        <v/>
      </c>
      <c r="V43" s="205" t="str">
        <f t="shared" si="79"/>
        <v/>
      </c>
      <c r="W43" s="205" t="str">
        <f t="shared" si="79"/>
        <v/>
      </c>
      <c r="X43" s="205" t="str">
        <f t="shared" si="79"/>
        <v/>
      </c>
      <c r="Y43" s="205" t="str">
        <f t="shared" si="79"/>
        <v/>
      </c>
      <c r="Z43" s="205" t="str">
        <f t="shared" si="79"/>
        <v/>
      </c>
      <c r="AA43" s="205" t="str">
        <f t="shared" si="79"/>
        <v/>
      </c>
      <c r="AB43" s="205" t="str">
        <f t="shared" si="79"/>
        <v/>
      </c>
      <c r="AC43" s="205" t="str">
        <f t="shared" si="79"/>
        <v/>
      </c>
      <c r="AD43" s="205" t="str">
        <f t="shared" si="79"/>
        <v/>
      </c>
      <c r="AE43" s="35"/>
      <c r="AF43" s="6" t="str">
        <f>A43</f>
        <v>Other</v>
      </c>
      <c r="AI43" s="205" t="str">
        <f t="shared" ref="AI43:BB43" si="80">IF(AI44=Yr_Start,"Start Year",IF(AI44=Yr_End,"End Year",""))</f>
        <v>Start Year</v>
      </c>
      <c r="AJ43" s="205" t="str">
        <f t="shared" si="80"/>
        <v/>
      </c>
      <c r="AK43" s="205" t="str">
        <f t="shared" si="80"/>
        <v/>
      </c>
      <c r="AL43" s="205" t="str">
        <f t="shared" si="80"/>
        <v>End Year</v>
      </c>
      <c r="AM43" s="205" t="str">
        <f t="shared" si="80"/>
        <v/>
      </c>
      <c r="AN43" s="205" t="str">
        <f t="shared" si="80"/>
        <v/>
      </c>
      <c r="AO43" s="205" t="str">
        <f t="shared" si="80"/>
        <v/>
      </c>
      <c r="AP43" s="205" t="str">
        <f t="shared" si="80"/>
        <v/>
      </c>
      <c r="AQ43" s="205" t="str">
        <f t="shared" si="80"/>
        <v/>
      </c>
      <c r="AR43" s="205" t="str">
        <f t="shared" si="80"/>
        <v/>
      </c>
      <c r="AS43" s="205" t="str">
        <f t="shared" si="80"/>
        <v/>
      </c>
      <c r="AT43" s="205" t="str">
        <f t="shared" si="80"/>
        <v/>
      </c>
      <c r="AU43" s="205" t="str">
        <f t="shared" si="80"/>
        <v/>
      </c>
      <c r="AV43" s="205" t="str">
        <f t="shared" si="80"/>
        <v/>
      </c>
      <c r="AW43" s="205" t="str">
        <f t="shared" si="80"/>
        <v/>
      </c>
      <c r="AX43" s="205" t="str">
        <f t="shared" si="80"/>
        <v/>
      </c>
      <c r="AY43" s="205" t="str">
        <f t="shared" si="80"/>
        <v/>
      </c>
      <c r="AZ43" s="205" t="str">
        <f t="shared" si="80"/>
        <v/>
      </c>
      <c r="BA43" s="205" t="str">
        <f t="shared" si="80"/>
        <v/>
      </c>
      <c r="BB43" s="205" t="str">
        <f t="shared" si="80"/>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81">L44+1</f>
        <v>2021</v>
      </c>
      <c r="N44" s="130">
        <f t="shared" si="81"/>
        <v>2022</v>
      </c>
      <c r="O44" s="130">
        <f t="shared" si="81"/>
        <v>2023</v>
      </c>
      <c r="P44" s="130">
        <f t="shared" si="81"/>
        <v>2024</v>
      </c>
      <c r="Q44" s="130">
        <f t="shared" si="81"/>
        <v>2025</v>
      </c>
      <c r="R44" s="130">
        <f t="shared" si="81"/>
        <v>2026</v>
      </c>
      <c r="S44" s="130">
        <f t="shared" si="81"/>
        <v>2027</v>
      </c>
      <c r="T44" s="130">
        <f t="shared" si="81"/>
        <v>2028</v>
      </c>
      <c r="U44" s="130">
        <f t="shared" si="81"/>
        <v>2029</v>
      </c>
      <c r="V44" s="130">
        <f t="shared" si="81"/>
        <v>2030</v>
      </c>
      <c r="W44" s="130">
        <f t="shared" si="81"/>
        <v>2031</v>
      </c>
      <c r="X44" s="130">
        <f t="shared" si="81"/>
        <v>2032</v>
      </c>
      <c r="Y44" s="130">
        <f t="shared" si="81"/>
        <v>2033</v>
      </c>
      <c r="Z44" s="130">
        <f t="shared" si="81"/>
        <v>2034</v>
      </c>
      <c r="AA44" s="130">
        <f t="shared" si="81"/>
        <v>2035</v>
      </c>
      <c r="AB44" s="130">
        <f t="shared" si="81"/>
        <v>2036</v>
      </c>
      <c r="AC44" s="130">
        <f t="shared" si="81"/>
        <v>2037</v>
      </c>
      <c r="AD44" s="130">
        <f t="shared" si="81"/>
        <v>2038</v>
      </c>
      <c r="AE44" s="6"/>
      <c r="AF44" s="6" t="str">
        <f>A44</f>
        <v>Urban</v>
      </c>
      <c r="AG44" s="38"/>
      <c r="AH44" s="161">
        <f>AI44-1</f>
        <v>2018</v>
      </c>
      <c r="AI44" s="36">
        <f>Yr_Start</f>
        <v>2019</v>
      </c>
      <c r="AJ44" s="36">
        <f>AI44+1</f>
        <v>2020</v>
      </c>
      <c r="AK44" s="36">
        <f t="shared" ref="AK44:BB44" si="82">AJ44+1</f>
        <v>2021</v>
      </c>
      <c r="AL44" s="36">
        <f t="shared" si="82"/>
        <v>2022</v>
      </c>
      <c r="AM44" s="36">
        <f t="shared" si="82"/>
        <v>2023</v>
      </c>
      <c r="AN44" s="36">
        <f t="shared" si="82"/>
        <v>2024</v>
      </c>
      <c r="AO44" s="36">
        <f t="shared" si="82"/>
        <v>2025</v>
      </c>
      <c r="AP44" s="36">
        <f t="shared" si="82"/>
        <v>2026</v>
      </c>
      <c r="AQ44" s="36">
        <f t="shared" si="82"/>
        <v>2027</v>
      </c>
      <c r="AR44" s="36">
        <f t="shared" si="82"/>
        <v>2028</v>
      </c>
      <c r="AS44" s="36">
        <f t="shared" si="82"/>
        <v>2029</v>
      </c>
      <c r="AT44" s="36">
        <f t="shared" si="82"/>
        <v>2030</v>
      </c>
      <c r="AU44" s="36">
        <f t="shared" si="82"/>
        <v>2031</v>
      </c>
      <c r="AV44" s="36">
        <f t="shared" si="82"/>
        <v>2032</v>
      </c>
      <c r="AW44" s="36">
        <f t="shared" si="82"/>
        <v>2033</v>
      </c>
      <c r="AX44" s="36">
        <f t="shared" si="82"/>
        <v>2034</v>
      </c>
      <c r="AY44" s="36">
        <f t="shared" si="82"/>
        <v>2035</v>
      </c>
      <c r="AZ44" s="36">
        <f t="shared" si="82"/>
        <v>2036</v>
      </c>
      <c r="BA44" s="36">
        <f t="shared" si="82"/>
        <v>2037</v>
      </c>
      <c r="BB44" s="36">
        <f t="shared" si="82"/>
        <v>2038</v>
      </c>
    </row>
    <row r="45" spans="1:54" x14ac:dyDescent="0.25">
      <c r="B45" s="1" t="s">
        <v>52</v>
      </c>
      <c r="C45" s="14">
        <f ca="1">INDEX(Data_FP!$2:$1048576,MATCH(C$4&amp;$A$44&amp;$B45&amp;$A$1,Data_FP!$A$2:$A$1048576,0),MATCH($A$43,Data_FP!$2:$2,0))</f>
        <v>1.2463000000000001E-3</v>
      </c>
      <c r="D45" s="14">
        <f ca="1">INDEX(Data_FP!$2:$1048576,MATCH(D$4&amp;$A$44&amp;$B45&amp;$A$1,Data_FP!$A$2:$A$1048576,0),MATCH($A$43,Data_FP!$2:$2,0))</f>
        <v>9.7798E-3</v>
      </c>
      <c r="E45" s="14">
        <f ca="1">IF('User Settings'!$N$7="On",($D45-$C45)/($D$4-$C$4),0)</f>
        <v>1.7066999999999998E-3</v>
      </c>
      <c r="F45" s="14">
        <f ca="1">MAX(0,MIN(1,($D45+$E45*(F$4-$D$4))))</f>
        <v>1.4899899999999999E-2</v>
      </c>
      <c r="G45" s="14"/>
      <c r="H45" s="14">
        <f ca="1">MAX(0,MIN(1,($D45+$E45*(H$4-$D$4))*$H$1))</f>
        <v>2.0019999999999996E-2</v>
      </c>
      <c r="I45" s="14">
        <f ca="1">($H45-$F45)/($H$4-$F$4)</f>
        <v>1.7066999999999991E-3</v>
      </c>
      <c r="J45" s="14">
        <f ca="1">K45-E45</f>
        <v>1.3193199999999999E-2</v>
      </c>
      <c r="K45" s="14">
        <f ca="1">MAX(0,MIN(1,D45+(K$4-D$4)*E45))</f>
        <v>1.4899899999999999E-2</v>
      </c>
      <c r="L45" s="15">
        <f ca="1">MAX(0,MIN(1,K45+$I45))</f>
        <v>1.6606599999999999E-2</v>
      </c>
      <c r="M45" s="15">
        <f t="shared" ref="M45" ca="1" si="83">MAX(0,MIN(1,L45+$I45))</f>
        <v>1.8313299999999998E-2</v>
      </c>
      <c r="N45" s="15">
        <f ca="1">MAX(0,MIN(1,M45+$I45))</f>
        <v>2.0019999999999996E-2</v>
      </c>
      <c r="O45" s="15">
        <f t="shared" ref="O45:AD45" ca="1" si="84">MAX(0,MIN(1,N45+$I45))</f>
        <v>2.1726699999999995E-2</v>
      </c>
      <c r="P45" s="15">
        <f t="shared" ca="1" si="84"/>
        <v>2.3433399999999993E-2</v>
      </c>
      <c r="Q45" s="15">
        <f t="shared" ca="1" si="84"/>
        <v>2.5140099999999992E-2</v>
      </c>
      <c r="R45" s="15">
        <f t="shared" ca="1" si="84"/>
        <v>2.684679999999999E-2</v>
      </c>
      <c r="S45" s="15">
        <f t="shared" ca="1" si="84"/>
        <v>2.8553499999999989E-2</v>
      </c>
      <c r="T45" s="15">
        <f t="shared" ca="1" si="84"/>
        <v>3.0260199999999987E-2</v>
      </c>
      <c r="U45" s="15">
        <f t="shared" ca="1" si="84"/>
        <v>3.1966899999999986E-2</v>
      </c>
      <c r="V45" s="15">
        <f t="shared" ca="1" si="84"/>
        <v>3.3673599999999984E-2</v>
      </c>
      <c r="W45" s="15">
        <f t="shared" ca="1" si="84"/>
        <v>3.5380299999999983E-2</v>
      </c>
      <c r="X45" s="15">
        <f t="shared" ca="1" si="84"/>
        <v>3.7086999999999981E-2</v>
      </c>
      <c r="Y45" s="15">
        <f t="shared" ca="1" si="84"/>
        <v>3.879369999999998E-2</v>
      </c>
      <c r="Z45" s="15">
        <f t="shared" ca="1" si="84"/>
        <v>4.0500399999999978E-2</v>
      </c>
      <c r="AA45" s="15">
        <f t="shared" ca="1" si="84"/>
        <v>4.2207099999999977E-2</v>
      </c>
      <c r="AB45" s="15">
        <f t="shared" ca="1" si="84"/>
        <v>4.3913799999999975E-2</v>
      </c>
      <c r="AC45" s="15">
        <f t="shared" ca="1" si="84"/>
        <v>4.5620499999999974E-2</v>
      </c>
      <c r="AD45" s="15">
        <f t="shared" ca="1" si="84"/>
        <v>4.7327199999999972E-2</v>
      </c>
      <c r="AE45" s="5"/>
      <c r="AG45" s="1" t="s">
        <v>52</v>
      </c>
      <c r="AH45" s="37">
        <f ca="1">J45*AH$51</f>
        <v>19342.941765747113</v>
      </c>
      <c r="AI45" s="37">
        <f t="shared" ref="AI45:AI50" ca="1" si="85">K45*AI$51</f>
        <v>22685.250881762913</v>
      </c>
      <c r="AJ45" s="37">
        <f t="shared" ref="AJ45:AS50" ca="1" si="86">L45*AJ$51</f>
        <v>26250.257421161867</v>
      </c>
      <c r="AK45" s="37">
        <f t="shared" ca="1" si="86"/>
        <v>30010.08905653458</v>
      </c>
      <c r="AL45" s="37">
        <f t="shared" ca="1" si="86"/>
        <v>34010.35000221058</v>
      </c>
      <c r="AM45" s="37">
        <f t="shared" ca="1" si="86"/>
        <v>38257.393315638292</v>
      </c>
      <c r="AN45" s="37">
        <f t="shared" ca="1" si="86"/>
        <v>42755.487745084341</v>
      </c>
      <c r="AO45" s="37">
        <f t="shared" ca="1" si="86"/>
        <v>47510.246990839201</v>
      </c>
      <c r="AP45" s="37">
        <f t="shared" ca="1" si="86"/>
        <v>52493.653823680892</v>
      </c>
      <c r="AQ45" s="37">
        <f t="shared" ca="1" si="86"/>
        <v>57749.619724811098</v>
      </c>
      <c r="AR45" s="37">
        <f t="shared" ca="1" si="86"/>
        <v>63287.772297930169</v>
      </c>
      <c r="AS45" s="37">
        <f t="shared" ca="1" si="86"/>
        <v>69120.878762450026</v>
      </c>
      <c r="AT45" s="37">
        <f t="shared" ref="AT45:BB50" ca="1" si="87">V45*AT$51</f>
        <v>75260.170280766062</v>
      </c>
      <c r="AU45" s="37">
        <f t="shared" ca="1" si="87"/>
        <v>81667.528724471049</v>
      </c>
      <c r="AV45" s="37">
        <f t="shared" ca="1" si="87"/>
        <v>88401.007446394346</v>
      </c>
      <c r="AW45" s="37">
        <f t="shared" ca="1" si="87"/>
        <v>95465.505741074114</v>
      </c>
      <c r="AX45" s="37">
        <f t="shared" ca="1" si="87"/>
        <v>102864.1495995658</v>
      </c>
      <c r="AY45" s="37">
        <f t="shared" ca="1" si="87"/>
        <v>110601.22914617593</v>
      </c>
      <c r="AZ45" s="37" t="e">
        <f t="shared" ca="1" si="87"/>
        <v>#N/A</v>
      </c>
      <c r="BA45" s="37" t="e">
        <f t="shared" ca="1" si="87"/>
        <v>#N/A</v>
      </c>
      <c r="BB45" s="37" t="e">
        <f t="shared" ca="1" si="87"/>
        <v>#N/A</v>
      </c>
    </row>
    <row r="46" spans="1:54" x14ac:dyDescent="0.25">
      <c r="B46" s="1" t="s">
        <v>54</v>
      </c>
      <c r="C46" s="14">
        <f ca="1">INDEX(Data_FP!$2:$1048576,MATCH(C$4&amp;$A$44&amp;$B46&amp;$A$1,Data_FP!$A$2:$A$1048576,0),MATCH($A$43,Data_FP!$2:$2,0))</f>
        <v>0</v>
      </c>
      <c r="D46" s="14">
        <f ca="1">INDEX(Data_FP!$2:$1048576,MATCH(D$4&amp;$A$44&amp;$B46&amp;$A$1,Data_FP!$A$2:$A$1048576,0),MATCH($A$43,Data_FP!$2:$2,0))</f>
        <v>0</v>
      </c>
      <c r="E46" s="14">
        <f ca="1">IF('User Settings'!$N$7="On",($D46-$C46)/($D$4-$C$4),0)</f>
        <v>0</v>
      </c>
      <c r="F46" s="14">
        <f t="shared" ref="F46:F50" ca="1" si="88">MAX(0,MIN(1,($D46+$E46*(F$4-$D$4))))</f>
        <v>0</v>
      </c>
      <c r="G46" s="14"/>
      <c r="H46" s="14">
        <f t="shared" ref="H46:H50" ca="1" si="89">MAX(0,MIN(1,($D46+$E46*(H$4-$D$4))*$H$1))</f>
        <v>0</v>
      </c>
      <c r="I46" s="14">
        <f ca="1">($H46-$F46)/($H$4-$F$4)</f>
        <v>0</v>
      </c>
      <c r="J46" s="14">
        <f t="shared" ref="J46:J50" ca="1" si="90">K46-E46</f>
        <v>0</v>
      </c>
      <c r="K46" s="14">
        <f t="shared" ref="K46:K50" ca="1" si="91">MAX(0,MIN(1,D46+(K$4-D$4)*E46))</f>
        <v>0</v>
      </c>
      <c r="L46" s="15">
        <f t="shared" ref="L46:AD46" ca="1" si="92">MAX(0,MIN(1,K46+$I46))</f>
        <v>0</v>
      </c>
      <c r="M46" s="15">
        <f t="shared" ca="1" si="92"/>
        <v>0</v>
      </c>
      <c r="N46" s="15">
        <f t="shared" ca="1" si="92"/>
        <v>0</v>
      </c>
      <c r="O46" s="15">
        <f t="shared" ca="1" si="92"/>
        <v>0</v>
      </c>
      <c r="P46" s="15">
        <f t="shared" ca="1" si="92"/>
        <v>0</v>
      </c>
      <c r="Q46" s="15">
        <f t="shared" ca="1" si="92"/>
        <v>0</v>
      </c>
      <c r="R46" s="15">
        <f t="shared" ca="1" si="92"/>
        <v>0</v>
      </c>
      <c r="S46" s="15">
        <f t="shared" ca="1" si="92"/>
        <v>0</v>
      </c>
      <c r="T46" s="15">
        <f t="shared" ca="1" si="92"/>
        <v>0</v>
      </c>
      <c r="U46" s="15">
        <f t="shared" ca="1" si="92"/>
        <v>0</v>
      </c>
      <c r="V46" s="15">
        <f t="shared" ca="1" si="92"/>
        <v>0</v>
      </c>
      <c r="W46" s="15">
        <f t="shared" ca="1" si="92"/>
        <v>0</v>
      </c>
      <c r="X46" s="15">
        <f t="shared" ca="1" si="92"/>
        <v>0</v>
      </c>
      <c r="Y46" s="15">
        <f t="shared" ca="1" si="92"/>
        <v>0</v>
      </c>
      <c r="Z46" s="15">
        <f t="shared" ca="1" si="92"/>
        <v>0</v>
      </c>
      <c r="AA46" s="15">
        <f t="shared" ca="1" si="92"/>
        <v>0</v>
      </c>
      <c r="AB46" s="15">
        <f t="shared" ca="1" si="92"/>
        <v>0</v>
      </c>
      <c r="AC46" s="15">
        <f t="shared" ca="1" si="92"/>
        <v>0</v>
      </c>
      <c r="AD46" s="15">
        <f t="shared" ca="1" si="92"/>
        <v>0</v>
      </c>
      <c r="AE46" s="5"/>
      <c r="AG46" s="1" t="s">
        <v>54</v>
      </c>
      <c r="AH46" s="37">
        <f t="shared" ref="AH46:AH50" ca="1" si="93">J46*AH$51</f>
        <v>0</v>
      </c>
      <c r="AI46" s="37">
        <f t="shared" ca="1" si="85"/>
        <v>0</v>
      </c>
      <c r="AJ46" s="37">
        <f t="shared" ca="1" si="86"/>
        <v>0</v>
      </c>
      <c r="AK46" s="37">
        <f t="shared" ca="1" si="86"/>
        <v>0</v>
      </c>
      <c r="AL46" s="37">
        <f t="shared" ca="1" si="86"/>
        <v>0</v>
      </c>
      <c r="AM46" s="37">
        <f t="shared" ca="1" si="86"/>
        <v>0</v>
      </c>
      <c r="AN46" s="37">
        <f t="shared" ca="1" si="86"/>
        <v>0</v>
      </c>
      <c r="AO46" s="37">
        <f t="shared" ca="1" si="86"/>
        <v>0</v>
      </c>
      <c r="AP46" s="37">
        <f t="shared" ca="1" si="86"/>
        <v>0</v>
      </c>
      <c r="AQ46" s="37">
        <f t="shared" ca="1" si="86"/>
        <v>0</v>
      </c>
      <c r="AR46" s="37">
        <f t="shared" ca="1" si="86"/>
        <v>0</v>
      </c>
      <c r="AS46" s="37">
        <f t="shared" ca="1" si="86"/>
        <v>0</v>
      </c>
      <c r="AT46" s="37">
        <f t="shared" ca="1" si="87"/>
        <v>0</v>
      </c>
      <c r="AU46" s="37">
        <f t="shared" ca="1" si="87"/>
        <v>0</v>
      </c>
      <c r="AV46" s="37">
        <f t="shared" ca="1" si="87"/>
        <v>0</v>
      </c>
      <c r="AW46" s="37">
        <f t="shared" ca="1" si="87"/>
        <v>0</v>
      </c>
      <c r="AX46" s="37">
        <f t="shared" ca="1" si="87"/>
        <v>0</v>
      </c>
      <c r="AY46" s="37">
        <f t="shared" ca="1" si="87"/>
        <v>0</v>
      </c>
      <c r="AZ46" s="37" t="e">
        <f t="shared" ca="1" si="87"/>
        <v>#N/A</v>
      </c>
      <c r="BA46" s="37" t="e">
        <f t="shared" ca="1" si="87"/>
        <v>#N/A</v>
      </c>
      <c r="BB46" s="37" t="e">
        <f t="shared" ca="1" si="87"/>
        <v>#N/A</v>
      </c>
    </row>
    <row r="47" spans="1:54" x14ac:dyDescent="0.25">
      <c r="B47" s="1" t="s">
        <v>170</v>
      </c>
      <c r="C47" s="14">
        <f ca="1">INDEX(Data_FP!$2:$1048576,MATCH(C$4&amp;$A$44&amp;$B47&amp;$A$1,Data_FP!$A$2:$A$1048576,0),MATCH($A$43,Data_FP!$2:$2,0))</f>
        <v>0</v>
      </c>
      <c r="D47" s="14">
        <f ca="1">INDEX(Data_FP!$2:$1048576,MATCH(D$4&amp;$A$44&amp;$B47&amp;$A$1,Data_FP!$A$2:$A$1048576,0),MATCH($A$43,Data_FP!$2:$2,0))</f>
        <v>0</v>
      </c>
      <c r="E47" s="14">
        <f ca="1">IF('User Settings'!$N$7="On",($D47-$C47)/($D$4-$C$4),0)</f>
        <v>0</v>
      </c>
      <c r="F47" s="14">
        <f t="shared" ca="1" si="88"/>
        <v>0</v>
      </c>
      <c r="G47" s="14"/>
      <c r="H47" s="14">
        <f t="shared" ca="1" si="89"/>
        <v>0</v>
      </c>
      <c r="I47" s="14">
        <f t="shared" ref="I47:I50" ca="1" si="94">($H47-$F47)/($H$4-$F$4)</f>
        <v>0</v>
      </c>
      <c r="J47" s="14">
        <f t="shared" ca="1" si="90"/>
        <v>0</v>
      </c>
      <c r="K47" s="14">
        <f t="shared" ca="1" si="91"/>
        <v>0</v>
      </c>
      <c r="L47" s="15">
        <f t="shared" ref="L47:AD47" ca="1" si="95">MAX(0,MIN(1,K47+$I47))</f>
        <v>0</v>
      </c>
      <c r="M47" s="15">
        <f t="shared" ca="1" si="95"/>
        <v>0</v>
      </c>
      <c r="N47" s="15">
        <f t="shared" ca="1" si="95"/>
        <v>0</v>
      </c>
      <c r="O47" s="15">
        <f t="shared" ca="1" si="95"/>
        <v>0</v>
      </c>
      <c r="P47" s="15">
        <f t="shared" ca="1" si="95"/>
        <v>0</v>
      </c>
      <c r="Q47" s="15">
        <f t="shared" ca="1" si="95"/>
        <v>0</v>
      </c>
      <c r="R47" s="15">
        <f t="shared" ca="1" si="95"/>
        <v>0</v>
      </c>
      <c r="S47" s="15">
        <f t="shared" ca="1" si="95"/>
        <v>0</v>
      </c>
      <c r="T47" s="15">
        <f t="shared" ca="1" si="95"/>
        <v>0</v>
      </c>
      <c r="U47" s="15">
        <f t="shared" ca="1" si="95"/>
        <v>0</v>
      </c>
      <c r="V47" s="15">
        <f t="shared" ca="1" si="95"/>
        <v>0</v>
      </c>
      <c r="W47" s="15">
        <f t="shared" ca="1" si="95"/>
        <v>0</v>
      </c>
      <c r="X47" s="15">
        <f t="shared" ca="1" si="95"/>
        <v>0</v>
      </c>
      <c r="Y47" s="15">
        <f t="shared" ca="1" si="95"/>
        <v>0</v>
      </c>
      <c r="Z47" s="15">
        <f t="shared" ca="1" si="95"/>
        <v>0</v>
      </c>
      <c r="AA47" s="15">
        <f t="shared" ca="1" si="95"/>
        <v>0</v>
      </c>
      <c r="AB47" s="15">
        <f t="shared" ca="1" si="95"/>
        <v>0</v>
      </c>
      <c r="AC47" s="15">
        <f t="shared" ca="1" si="95"/>
        <v>0</v>
      </c>
      <c r="AD47" s="15">
        <f t="shared" ca="1" si="95"/>
        <v>0</v>
      </c>
      <c r="AE47" s="5"/>
      <c r="AG47" s="1" t="s">
        <v>170</v>
      </c>
      <c r="AH47" s="37">
        <f t="shared" ca="1" si="93"/>
        <v>0</v>
      </c>
      <c r="AI47" s="37">
        <f t="shared" ca="1" si="85"/>
        <v>0</v>
      </c>
      <c r="AJ47" s="37">
        <f t="shared" ca="1" si="86"/>
        <v>0</v>
      </c>
      <c r="AK47" s="37">
        <f t="shared" ca="1" si="86"/>
        <v>0</v>
      </c>
      <c r="AL47" s="37">
        <f t="shared" ca="1" si="86"/>
        <v>0</v>
      </c>
      <c r="AM47" s="37">
        <f t="shared" ca="1" si="86"/>
        <v>0</v>
      </c>
      <c r="AN47" s="37">
        <f t="shared" ca="1" si="86"/>
        <v>0</v>
      </c>
      <c r="AO47" s="37">
        <f t="shared" ca="1" si="86"/>
        <v>0</v>
      </c>
      <c r="AP47" s="37">
        <f t="shared" ca="1" si="86"/>
        <v>0</v>
      </c>
      <c r="AQ47" s="37">
        <f t="shared" ca="1" si="86"/>
        <v>0</v>
      </c>
      <c r="AR47" s="37">
        <f t="shared" ca="1" si="86"/>
        <v>0</v>
      </c>
      <c r="AS47" s="37">
        <f t="shared" ca="1" si="86"/>
        <v>0</v>
      </c>
      <c r="AT47" s="37">
        <f t="shared" ca="1" si="87"/>
        <v>0</v>
      </c>
      <c r="AU47" s="37">
        <f t="shared" ca="1" si="87"/>
        <v>0</v>
      </c>
      <c r="AV47" s="37">
        <f t="shared" ca="1" si="87"/>
        <v>0</v>
      </c>
      <c r="AW47" s="37">
        <f t="shared" ca="1" si="87"/>
        <v>0</v>
      </c>
      <c r="AX47" s="37">
        <f t="shared" ca="1" si="87"/>
        <v>0</v>
      </c>
      <c r="AY47" s="37">
        <f t="shared" ca="1" si="87"/>
        <v>0</v>
      </c>
      <c r="AZ47" s="37" t="e">
        <f t="shared" ca="1" si="87"/>
        <v>#N/A</v>
      </c>
      <c r="BA47" s="37" t="e">
        <f t="shared" ca="1" si="87"/>
        <v>#N/A</v>
      </c>
      <c r="BB47" s="37" t="e">
        <f t="shared" ca="1" si="87"/>
        <v>#N/A</v>
      </c>
    </row>
    <row r="48" spans="1:54" x14ac:dyDescent="0.25">
      <c r="B48" s="1" t="s">
        <v>59</v>
      </c>
      <c r="C48" s="14">
        <f ca="1">INDEX(Data_FP!$2:$1048576,MATCH(C$4&amp;$A$44&amp;$B48&amp;$A$1,Data_FP!$A$2:$A$1048576,0),MATCH($A$43,Data_FP!$2:$2,0))</f>
        <v>2.2242E-3</v>
      </c>
      <c r="D48" s="14">
        <f ca="1">INDEX(Data_FP!$2:$1048576,MATCH(D$4&amp;$A$44&amp;$B48&amp;$A$1,Data_FP!$A$2:$A$1048576,0),MATCH($A$43,Data_FP!$2:$2,0))</f>
        <v>2.4201000000000001E-3</v>
      </c>
      <c r="E48" s="14">
        <f ca="1">IF('User Settings'!$N$7="On",($D48-$C48)/($D$4-$C$4),0)</f>
        <v>3.9180000000000028E-5</v>
      </c>
      <c r="F48" s="14">
        <f t="shared" ca="1" si="88"/>
        <v>2.5376400000000003E-3</v>
      </c>
      <c r="G48" s="14"/>
      <c r="H48" s="14">
        <f t="shared" ca="1" si="89"/>
        <v>2.6551800000000005E-3</v>
      </c>
      <c r="I48" s="14">
        <f t="shared" ca="1" si="94"/>
        <v>3.9180000000000062E-5</v>
      </c>
      <c r="J48" s="14">
        <f t="shared" ca="1" si="90"/>
        <v>2.4984600000000001E-3</v>
      </c>
      <c r="K48" s="14">
        <f t="shared" ca="1" si="91"/>
        <v>2.5376400000000003E-3</v>
      </c>
      <c r="L48" s="15">
        <f t="shared" ref="L48:AD48" ca="1" si="96">MAX(0,MIN(1,K48+$I48))</f>
        <v>2.5768200000000005E-3</v>
      </c>
      <c r="M48" s="15">
        <f t="shared" ca="1" si="96"/>
        <v>2.6160000000000007E-3</v>
      </c>
      <c r="N48" s="15">
        <f t="shared" ca="1" si="96"/>
        <v>2.6551800000000009E-3</v>
      </c>
      <c r="O48" s="15">
        <f t="shared" ca="1" si="96"/>
        <v>2.6943600000000011E-3</v>
      </c>
      <c r="P48" s="15">
        <f t="shared" ca="1" si="96"/>
        <v>2.7335400000000013E-3</v>
      </c>
      <c r="Q48" s="15">
        <f t="shared" ca="1" si="96"/>
        <v>2.7727200000000015E-3</v>
      </c>
      <c r="R48" s="15">
        <f t="shared" ca="1" si="96"/>
        <v>2.8119000000000017E-3</v>
      </c>
      <c r="S48" s="15">
        <f t="shared" ca="1" si="96"/>
        <v>2.8510800000000019E-3</v>
      </c>
      <c r="T48" s="15">
        <f t="shared" ca="1" si="96"/>
        <v>2.8902600000000021E-3</v>
      </c>
      <c r="U48" s="15">
        <f t="shared" ca="1" si="96"/>
        <v>2.9294400000000023E-3</v>
      </c>
      <c r="V48" s="15">
        <f t="shared" ca="1" si="96"/>
        <v>2.9686200000000025E-3</v>
      </c>
      <c r="W48" s="15">
        <f t="shared" ca="1" si="96"/>
        <v>3.0078000000000027E-3</v>
      </c>
      <c r="X48" s="15">
        <f t="shared" ca="1" si="96"/>
        <v>3.0469800000000029E-3</v>
      </c>
      <c r="Y48" s="15">
        <f t="shared" ca="1" si="96"/>
        <v>3.0861600000000032E-3</v>
      </c>
      <c r="Z48" s="15">
        <f t="shared" ca="1" si="96"/>
        <v>3.1253400000000034E-3</v>
      </c>
      <c r="AA48" s="15">
        <f t="shared" ca="1" si="96"/>
        <v>3.1645200000000036E-3</v>
      </c>
      <c r="AB48" s="15">
        <f t="shared" ca="1" si="96"/>
        <v>3.2037000000000038E-3</v>
      </c>
      <c r="AC48" s="15">
        <f t="shared" ca="1" si="96"/>
        <v>3.242880000000004E-3</v>
      </c>
      <c r="AD48" s="15">
        <f t="shared" ca="1" si="96"/>
        <v>3.2820600000000042E-3</v>
      </c>
      <c r="AE48" s="5"/>
      <c r="AG48" s="1" t="s">
        <v>59</v>
      </c>
      <c r="AH48" s="37">
        <f t="shared" ca="1" si="93"/>
        <v>3663.0662980966363</v>
      </c>
      <c r="AI48" s="37">
        <f t="shared" ca="1" si="85"/>
        <v>3863.5829802614012</v>
      </c>
      <c r="AJ48" s="37">
        <f t="shared" ca="1" si="86"/>
        <v>4073.2111526741378</v>
      </c>
      <c r="AK48" s="37">
        <f t="shared" ca="1" si="86"/>
        <v>4286.8512486495874</v>
      </c>
      <c r="AL48" s="37">
        <f t="shared" ca="1" si="86"/>
        <v>4510.6693865569196</v>
      </c>
      <c r="AM48" s="37">
        <f t="shared" ca="1" si="86"/>
        <v>4744.3555741977962</v>
      </c>
      <c r="AN48" s="37">
        <f t="shared" ca="1" si="86"/>
        <v>4987.4894795760729</v>
      </c>
      <c r="AO48" s="37">
        <f t="shared" ca="1" si="86"/>
        <v>5239.9398584906103</v>
      </c>
      <c r="AP48" s="37">
        <f t="shared" ca="1" si="86"/>
        <v>5498.1191496494348</v>
      </c>
      <c r="AQ48" s="37">
        <f t="shared" ca="1" si="86"/>
        <v>5766.3258726606055</v>
      </c>
      <c r="AR48" s="37">
        <f t="shared" ca="1" si="86"/>
        <v>6044.8416323030206</v>
      </c>
      <c r="AS48" s="37">
        <f t="shared" ca="1" si="86"/>
        <v>6334.2228080255463</v>
      </c>
      <c r="AT48" s="37">
        <f t="shared" ca="1" si="87"/>
        <v>6634.8369850235213</v>
      </c>
      <c r="AU48" s="37">
        <f t="shared" ca="1" si="87"/>
        <v>6942.835218962653</v>
      </c>
      <c r="AV48" s="37">
        <f t="shared" ca="1" si="87"/>
        <v>7262.8172046543277</v>
      </c>
      <c r="AW48" s="37">
        <f t="shared" ca="1" si="87"/>
        <v>7594.579150683584</v>
      </c>
      <c r="AX48" s="37">
        <f t="shared" ca="1" si="87"/>
        <v>7937.8337327410964</v>
      </c>
      <c r="AY48" s="37">
        <f t="shared" ca="1" si="87"/>
        <v>8292.4389891193005</v>
      </c>
      <c r="AZ48" s="37" t="e">
        <f t="shared" ca="1" si="87"/>
        <v>#N/A</v>
      </c>
      <c r="BA48" s="37" t="e">
        <f t="shared" ca="1" si="87"/>
        <v>#N/A</v>
      </c>
      <c r="BB48" s="37" t="e">
        <f t="shared" ca="1" si="87"/>
        <v>#N/A</v>
      </c>
    </row>
    <row r="49" spans="1:54" x14ac:dyDescent="0.25">
      <c r="B49" s="1" t="s">
        <v>171</v>
      </c>
      <c r="C49" s="14">
        <f ca="1">INDEX(Data_FP!$2:$1048576,MATCH(C$4&amp;$A$44&amp;$B49&amp;$A$1,Data_FP!$A$2:$A$1048576,0),MATCH($A$43,Data_FP!$2:$2,0))</f>
        <v>0</v>
      </c>
      <c r="D49" s="14">
        <f ca="1">INDEX(Data_FP!$2:$1048576,MATCH(D$4&amp;$A$44&amp;$B49&amp;$A$1,Data_FP!$A$2:$A$1048576,0),MATCH($A$43,Data_FP!$2:$2,0))</f>
        <v>0</v>
      </c>
      <c r="E49" s="14">
        <f ca="1">IF('User Settings'!$N$7="On",($D49-$C49)/($D$4-$C$4),0)</f>
        <v>0</v>
      </c>
      <c r="F49" s="14">
        <f t="shared" ca="1" si="88"/>
        <v>0</v>
      </c>
      <c r="G49" s="14"/>
      <c r="H49" s="14">
        <f t="shared" ca="1" si="89"/>
        <v>0</v>
      </c>
      <c r="I49" s="14">
        <f t="shared" ca="1" si="94"/>
        <v>0</v>
      </c>
      <c r="J49" s="14">
        <f t="shared" ca="1" si="90"/>
        <v>0</v>
      </c>
      <c r="K49" s="14">
        <f t="shared" ca="1" si="91"/>
        <v>0</v>
      </c>
      <c r="L49" s="15">
        <f t="shared" ref="L49:AD49" ca="1" si="97">MAX(0,MIN(1,K49+$I49))</f>
        <v>0</v>
      </c>
      <c r="M49" s="15">
        <f t="shared" ca="1" si="97"/>
        <v>0</v>
      </c>
      <c r="N49" s="15">
        <f t="shared" ca="1" si="97"/>
        <v>0</v>
      </c>
      <c r="O49" s="15">
        <f t="shared" ca="1" si="97"/>
        <v>0</v>
      </c>
      <c r="P49" s="15">
        <f t="shared" ca="1" si="97"/>
        <v>0</v>
      </c>
      <c r="Q49" s="15">
        <f t="shared" ca="1" si="97"/>
        <v>0</v>
      </c>
      <c r="R49" s="15">
        <f t="shared" ca="1" si="97"/>
        <v>0</v>
      </c>
      <c r="S49" s="15">
        <f t="shared" ca="1" si="97"/>
        <v>0</v>
      </c>
      <c r="T49" s="15">
        <f t="shared" ca="1" si="97"/>
        <v>0</v>
      </c>
      <c r="U49" s="15">
        <f t="shared" ca="1" si="97"/>
        <v>0</v>
      </c>
      <c r="V49" s="15">
        <f t="shared" ca="1" si="97"/>
        <v>0</v>
      </c>
      <c r="W49" s="15">
        <f t="shared" ca="1" si="97"/>
        <v>0</v>
      </c>
      <c r="X49" s="15">
        <f t="shared" ca="1" si="97"/>
        <v>0</v>
      </c>
      <c r="Y49" s="15">
        <f t="shared" ca="1" si="97"/>
        <v>0</v>
      </c>
      <c r="Z49" s="15">
        <f t="shared" ca="1" si="97"/>
        <v>0</v>
      </c>
      <c r="AA49" s="15">
        <f t="shared" ca="1" si="97"/>
        <v>0</v>
      </c>
      <c r="AB49" s="15">
        <f t="shared" ca="1" si="97"/>
        <v>0</v>
      </c>
      <c r="AC49" s="15">
        <f t="shared" ca="1" si="97"/>
        <v>0</v>
      </c>
      <c r="AD49" s="15">
        <f t="shared" ca="1" si="97"/>
        <v>0</v>
      </c>
      <c r="AE49" s="5"/>
      <c r="AG49" s="1" t="s">
        <v>171</v>
      </c>
      <c r="AH49" s="37">
        <f t="shared" ca="1" si="93"/>
        <v>0</v>
      </c>
      <c r="AI49" s="37">
        <f t="shared" ca="1" si="85"/>
        <v>0</v>
      </c>
      <c r="AJ49" s="37">
        <f t="shared" ca="1" si="86"/>
        <v>0</v>
      </c>
      <c r="AK49" s="37">
        <f t="shared" ca="1" si="86"/>
        <v>0</v>
      </c>
      <c r="AL49" s="37">
        <f t="shared" ca="1" si="86"/>
        <v>0</v>
      </c>
      <c r="AM49" s="37">
        <f t="shared" ca="1" si="86"/>
        <v>0</v>
      </c>
      <c r="AN49" s="37">
        <f t="shared" ca="1" si="86"/>
        <v>0</v>
      </c>
      <c r="AO49" s="37">
        <f t="shared" ca="1" si="86"/>
        <v>0</v>
      </c>
      <c r="AP49" s="37">
        <f t="shared" ca="1" si="86"/>
        <v>0</v>
      </c>
      <c r="AQ49" s="37">
        <f t="shared" ca="1" si="86"/>
        <v>0</v>
      </c>
      <c r="AR49" s="37">
        <f t="shared" ca="1" si="86"/>
        <v>0</v>
      </c>
      <c r="AS49" s="37">
        <f t="shared" ca="1" si="86"/>
        <v>0</v>
      </c>
      <c r="AT49" s="37">
        <f t="shared" ca="1" si="87"/>
        <v>0</v>
      </c>
      <c r="AU49" s="37">
        <f t="shared" ca="1" si="87"/>
        <v>0</v>
      </c>
      <c r="AV49" s="37">
        <f t="shared" ca="1" si="87"/>
        <v>0</v>
      </c>
      <c r="AW49" s="37">
        <f t="shared" ca="1" si="87"/>
        <v>0</v>
      </c>
      <c r="AX49" s="37">
        <f t="shared" ca="1" si="87"/>
        <v>0</v>
      </c>
      <c r="AY49" s="37">
        <f t="shared" ca="1" si="87"/>
        <v>0</v>
      </c>
      <c r="AZ49" s="37" t="e">
        <f t="shared" ca="1" si="87"/>
        <v>#N/A</v>
      </c>
      <c r="BA49" s="37" t="e">
        <f t="shared" ca="1" si="87"/>
        <v>#N/A</v>
      </c>
      <c r="BB49" s="37" t="e">
        <f t="shared" ca="1" si="87"/>
        <v>#N/A</v>
      </c>
    </row>
    <row r="50" spans="1:54" x14ac:dyDescent="0.25">
      <c r="B50" s="1" t="s">
        <v>116</v>
      </c>
      <c r="C50" s="14">
        <f ca="1">INDEX(Data_FP!$2:$1048576,MATCH(C$4&amp;$A$44&amp;$B50&amp;$A$1,Data_FP!$A$2:$A$1048576,0),MATCH($A$43,Data_FP!$2:$2,0))</f>
        <v>0</v>
      </c>
      <c r="D50" s="14">
        <f ca="1">INDEX(Data_FP!$2:$1048576,MATCH(D$4&amp;$A$44&amp;$B50&amp;$A$1,Data_FP!$A$2:$A$1048576,0),MATCH($A$43,Data_FP!$2:$2,0))</f>
        <v>0</v>
      </c>
      <c r="E50" s="14">
        <f ca="1">IF('User Settings'!$N$7="On",($D50-$C50)/($D$4-$C$4),0)</f>
        <v>0</v>
      </c>
      <c r="F50" s="14">
        <f t="shared" ca="1" si="88"/>
        <v>0</v>
      </c>
      <c r="G50" s="14"/>
      <c r="H50" s="14">
        <f t="shared" ca="1" si="89"/>
        <v>0</v>
      </c>
      <c r="I50" s="14">
        <f t="shared" ca="1" si="94"/>
        <v>0</v>
      </c>
      <c r="J50" s="14">
        <f t="shared" ca="1" si="90"/>
        <v>0</v>
      </c>
      <c r="K50" s="14">
        <f t="shared" ca="1" si="91"/>
        <v>0</v>
      </c>
      <c r="L50" s="15">
        <f t="shared" ref="L50:AD50" ca="1" si="98">MAX(0,MIN(1,K50+$I50))</f>
        <v>0</v>
      </c>
      <c r="M50" s="15">
        <f t="shared" ca="1" si="98"/>
        <v>0</v>
      </c>
      <c r="N50" s="15">
        <f t="shared" ca="1" si="98"/>
        <v>0</v>
      </c>
      <c r="O50" s="15">
        <f t="shared" ca="1" si="98"/>
        <v>0</v>
      </c>
      <c r="P50" s="15">
        <f t="shared" ca="1" si="98"/>
        <v>0</v>
      </c>
      <c r="Q50" s="15">
        <f t="shared" ca="1" si="98"/>
        <v>0</v>
      </c>
      <c r="R50" s="15">
        <f t="shared" ca="1" si="98"/>
        <v>0</v>
      </c>
      <c r="S50" s="15">
        <f t="shared" ca="1" si="98"/>
        <v>0</v>
      </c>
      <c r="T50" s="15">
        <f t="shared" ca="1" si="98"/>
        <v>0</v>
      </c>
      <c r="U50" s="15">
        <f t="shared" ca="1" si="98"/>
        <v>0</v>
      </c>
      <c r="V50" s="15">
        <f t="shared" ca="1" si="98"/>
        <v>0</v>
      </c>
      <c r="W50" s="15">
        <f t="shared" ca="1" si="98"/>
        <v>0</v>
      </c>
      <c r="X50" s="15">
        <f t="shared" ca="1" si="98"/>
        <v>0</v>
      </c>
      <c r="Y50" s="15">
        <f t="shared" ca="1" si="98"/>
        <v>0</v>
      </c>
      <c r="Z50" s="15">
        <f t="shared" ca="1" si="98"/>
        <v>0</v>
      </c>
      <c r="AA50" s="15">
        <f t="shared" ca="1" si="98"/>
        <v>0</v>
      </c>
      <c r="AB50" s="15">
        <f t="shared" ca="1" si="98"/>
        <v>0</v>
      </c>
      <c r="AC50" s="15">
        <f t="shared" ca="1" si="98"/>
        <v>0</v>
      </c>
      <c r="AD50" s="15">
        <f t="shared" ca="1" si="98"/>
        <v>0</v>
      </c>
      <c r="AE50" s="5"/>
      <c r="AG50" s="1" t="s">
        <v>116</v>
      </c>
      <c r="AH50" s="37">
        <f t="shared" ca="1" si="93"/>
        <v>0</v>
      </c>
      <c r="AI50" s="37">
        <f t="shared" ca="1" si="85"/>
        <v>0</v>
      </c>
      <c r="AJ50" s="37">
        <f t="shared" ca="1" si="86"/>
        <v>0</v>
      </c>
      <c r="AK50" s="37">
        <f t="shared" ca="1" si="86"/>
        <v>0</v>
      </c>
      <c r="AL50" s="37">
        <f t="shared" ca="1" si="86"/>
        <v>0</v>
      </c>
      <c r="AM50" s="37">
        <f t="shared" ca="1" si="86"/>
        <v>0</v>
      </c>
      <c r="AN50" s="37">
        <f t="shared" ca="1" si="86"/>
        <v>0</v>
      </c>
      <c r="AO50" s="37">
        <f t="shared" ca="1" si="86"/>
        <v>0</v>
      </c>
      <c r="AP50" s="37">
        <f t="shared" ca="1" si="86"/>
        <v>0</v>
      </c>
      <c r="AQ50" s="37">
        <f t="shared" ca="1" si="86"/>
        <v>0</v>
      </c>
      <c r="AR50" s="37">
        <f t="shared" ca="1" si="86"/>
        <v>0</v>
      </c>
      <c r="AS50" s="37">
        <f t="shared" ca="1" si="86"/>
        <v>0</v>
      </c>
      <c r="AT50" s="37">
        <f t="shared" ca="1" si="87"/>
        <v>0</v>
      </c>
      <c r="AU50" s="37">
        <f t="shared" ca="1" si="87"/>
        <v>0</v>
      </c>
      <c r="AV50" s="37">
        <f t="shared" ca="1" si="87"/>
        <v>0</v>
      </c>
      <c r="AW50" s="37">
        <f t="shared" ca="1" si="87"/>
        <v>0</v>
      </c>
      <c r="AX50" s="37">
        <f t="shared" ca="1" si="87"/>
        <v>0</v>
      </c>
      <c r="AY50" s="37">
        <f t="shared" ca="1" si="87"/>
        <v>0</v>
      </c>
      <c r="AZ50" s="37" t="e">
        <f t="shared" ca="1" si="87"/>
        <v>#N/A</v>
      </c>
      <c r="BA50" s="37" t="e">
        <f t="shared" ca="1" si="87"/>
        <v>#N/A</v>
      </c>
      <c r="BB50" s="37" t="e">
        <f t="shared" ca="1" si="87"/>
        <v>#N/A</v>
      </c>
    </row>
    <row r="51" spans="1:54" x14ac:dyDescent="0.25">
      <c r="C51" s="5">
        <f ca="1">SUM(C45:C50)</f>
        <v>3.4705000000000001E-3</v>
      </c>
      <c r="D51" s="5">
        <f ca="1">SUM(D45:D50)</f>
        <v>1.21999E-2</v>
      </c>
      <c r="F51" s="132">
        <f ca="1">SUM(F45:F50)</f>
        <v>1.7437539999999998E-2</v>
      </c>
      <c r="G51" s="132"/>
      <c r="H51" s="132">
        <f ca="1">SUM(H45:H50)</f>
        <v>2.2675179999999996E-2</v>
      </c>
      <c r="I51" s="132"/>
      <c r="J51" s="132">
        <f ca="1">SUM(J45:J50)</f>
        <v>1.569166E-2</v>
      </c>
      <c r="K51" s="132">
        <f ca="1">SUM(K45:K50)</f>
        <v>1.7437539999999998E-2</v>
      </c>
      <c r="L51" s="5">
        <f t="shared" ref="L51:AD51" ca="1" si="99">SUM(L45:L50)</f>
        <v>1.918342E-2</v>
      </c>
      <c r="M51" s="5">
        <f t="shared" ca="1" si="99"/>
        <v>2.0929299999999998E-2</v>
      </c>
      <c r="N51" s="5">
        <f t="shared" ca="1" si="99"/>
        <v>2.2675179999999996E-2</v>
      </c>
      <c r="O51" s="5">
        <f t="shared" ca="1" si="99"/>
        <v>2.4421059999999994E-2</v>
      </c>
      <c r="P51" s="5">
        <f t="shared" ca="1" si="99"/>
        <v>2.6166939999999993E-2</v>
      </c>
      <c r="Q51" s="5">
        <f t="shared" ca="1" si="99"/>
        <v>2.7912819999999994E-2</v>
      </c>
      <c r="R51" s="5">
        <f t="shared" ca="1" si="99"/>
        <v>2.9658699999999993E-2</v>
      </c>
      <c r="S51" s="5">
        <f t="shared" ca="1" si="99"/>
        <v>3.1404579999999988E-2</v>
      </c>
      <c r="T51" s="5">
        <f t="shared" ca="1" si="99"/>
        <v>3.3150459999999993E-2</v>
      </c>
      <c r="U51" s="5">
        <f t="shared" ca="1" si="99"/>
        <v>3.4896339999999991E-2</v>
      </c>
      <c r="V51" s="5">
        <f t="shared" ca="1" si="99"/>
        <v>3.6642219999999989E-2</v>
      </c>
      <c r="W51" s="5">
        <f t="shared" ca="1" si="99"/>
        <v>3.8388099999999988E-2</v>
      </c>
      <c r="X51" s="5">
        <f t="shared" ca="1" si="99"/>
        <v>4.0133979999999986E-2</v>
      </c>
      <c r="Y51" s="5">
        <f t="shared" ca="1" si="99"/>
        <v>4.1879859999999984E-2</v>
      </c>
      <c r="Z51" s="5">
        <f t="shared" ca="1" si="99"/>
        <v>4.3625739999999982E-2</v>
      </c>
      <c r="AA51" s="5">
        <f t="shared" ca="1" si="99"/>
        <v>4.5371619999999981E-2</v>
      </c>
      <c r="AB51" s="5">
        <f t="shared" ca="1" si="99"/>
        <v>4.7117499999999979E-2</v>
      </c>
      <c r="AC51" s="5">
        <f t="shared" ca="1" si="99"/>
        <v>4.8863379999999977E-2</v>
      </c>
      <c r="AD51" s="5">
        <f t="shared" ca="1" si="99"/>
        <v>5.0609259999999975E-2</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100">IF(K54=Yr_Start,"Start Year",IF(K54=Yr_End,"End Year",""))</f>
        <v>Start Year</v>
      </c>
      <c r="L53" s="205" t="str">
        <f t="shared" si="100"/>
        <v/>
      </c>
      <c r="M53" s="205" t="str">
        <f t="shared" si="100"/>
        <v/>
      </c>
      <c r="N53" s="205" t="str">
        <f t="shared" si="100"/>
        <v>End Year</v>
      </c>
      <c r="O53" s="205" t="str">
        <f t="shared" si="100"/>
        <v/>
      </c>
      <c r="P53" s="205" t="str">
        <f t="shared" si="100"/>
        <v/>
      </c>
      <c r="Q53" s="205" t="str">
        <f t="shared" si="100"/>
        <v/>
      </c>
      <c r="R53" s="205" t="str">
        <f t="shared" si="100"/>
        <v/>
      </c>
      <c r="S53" s="205" t="str">
        <f t="shared" si="100"/>
        <v/>
      </c>
      <c r="T53" s="205" t="str">
        <f t="shared" si="100"/>
        <v/>
      </c>
      <c r="U53" s="205" t="str">
        <f t="shared" si="100"/>
        <v/>
      </c>
      <c r="V53" s="205" t="str">
        <f t="shared" si="100"/>
        <v/>
      </c>
      <c r="W53" s="205" t="str">
        <f t="shared" si="100"/>
        <v/>
      </c>
      <c r="X53" s="205" t="str">
        <f t="shared" si="100"/>
        <v/>
      </c>
      <c r="Y53" s="205" t="str">
        <f t="shared" si="100"/>
        <v/>
      </c>
      <c r="Z53" s="205" t="str">
        <f t="shared" si="100"/>
        <v/>
      </c>
      <c r="AA53" s="205" t="str">
        <f t="shared" si="100"/>
        <v/>
      </c>
      <c r="AB53" s="205" t="str">
        <f t="shared" si="100"/>
        <v/>
      </c>
      <c r="AC53" s="205" t="str">
        <f t="shared" si="100"/>
        <v/>
      </c>
      <c r="AD53" s="205" t="str">
        <f t="shared" si="100"/>
        <v/>
      </c>
      <c r="AE53" s="35"/>
      <c r="AF53" s="6" t="str">
        <f>A53</f>
        <v>Other</v>
      </c>
      <c r="AI53" s="205" t="str">
        <f t="shared" ref="AI53:BB53" si="101">IF(AI54=Yr_Start,"Start Year",IF(AI54=Yr_End,"End Year",""))</f>
        <v>Start Year</v>
      </c>
      <c r="AJ53" s="205" t="str">
        <f t="shared" si="101"/>
        <v/>
      </c>
      <c r="AK53" s="205" t="str">
        <f t="shared" si="101"/>
        <v/>
      </c>
      <c r="AL53" s="205" t="str">
        <f t="shared" si="101"/>
        <v>End Year</v>
      </c>
      <c r="AM53" s="205" t="str">
        <f t="shared" si="101"/>
        <v/>
      </c>
      <c r="AN53" s="205" t="str">
        <f t="shared" si="101"/>
        <v/>
      </c>
      <c r="AO53" s="205" t="str">
        <f t="shared" si="101"/>
        <v/>
      </c>
      <c r="AP53" s="205" t="str">
        <f t="shared" si="101"/>
        <v/>
      </c>
      <c r="AQ53" s="205" t="str">
        <f t="shared" si="101"/>
        <v/>
      </c>
      <c r="AR53" s="205" t="str">
        <f t="shared" si="101"/>
        <v/>
      </c>
      <c r="AS53" s="205" t="str">
        <f t="shared" si="101"/>
        <v/>
      </c>
      <c r="AT53" s="205" t="str">
        <f t="shared" si="101"/>
        <v/>
      </c>
      <c r="AU53" s="205" t="str">
        <f t="shared" si="101"/>
        <v/>
      </c>
      <c r="AV53" s="205" t="str">
        <f t="shared" si="101"/>
        <v/>
      </c>
      <c r="AW53" s="205" t="str">
        <f t="shared" si="101"/>
        <v/>
      </c>
      <c r="AX53" s="205" t="str">
        <f t="shared" si="101"/>
        <v/>
      </c>
      <c r="AY53" s="205" t="str">
        <f t="shared" si="101"/>
        <v/>
      </c>
      <c r="AZ53" s="205" t="str">
        <f t="shared" si="101"/>
        <v/>
      </c>
      <c r="BA53" s="205" t="str">
        <f t="shared" si="101"/>
        <v/>
      </c>
      <c r="BB53" s="205" t="str">
        <f t="shared" si="101"/>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102">L54+1</f>
        <v>2021</v>
      </c>
      <c r="N54" s="130">
        <f t="shared" si="102"/>
        <v>2022</v>
      </c>
      <c r="O54" s="130">
        <f t="shared" si="102"/>
        <v>2023</v>
      </c>
      <c r="P54" s="130">
        <f t="shared" si="102"/>
        <v>2024</v>
      </c>
      <c r="Q54" s="130">
        <f t="shared" si="102"/>
        <v>2025</v>
      </c>
      <c r="R54" s="130">
        <f t="shared" si="102"/>
        <v>2026</v>
      </c>
      <c r="S54" s="130">
        <f t="shared" si="102"/>
        <v>2027</v>
      </c>
      <c r="T54" s="130">
        <f t="shared" si="102"/>
        <v>2028</v>
      </c>
      <c r="U54" s="130">
        <f t="shared" si="102"/>
        <v>2029</v>
      </c>
      <c r="V54" s="130">
        <f t="shared" si="102"/>
        <v>2030</v>
      </c>
      <c r="W54" s="130">
        <f t="shared" si="102"/>
        <v>2031</v>
      </c>
      <c r="X54" s="130">
        <f t="shared" si="102"/>
        <v>2032</v>
      </c>
      <c r="Y54" s="130">
        <f t="shared" si="102"/>
        <v>2033</v>
      </c>
      <c r="Z54" s="130">
        <f t="shared" si="102"/>
        <v>2034</v>
      </c>
      <c r="AA54" s="130">
        <f t="shared" si="102"/>
        <v>2035</v>
      </c>
      <c r="AB54" s="130">
        <f t="shared" si="102"/>
        <v>2036</v>
      </c>
      <c r="AC54" s="130">
        <f t="shared" si="102"/>
        <v>2037</v>
      </c>
      <c r="AD54" s="130">
        <f t="shared" si="102"/>
        <v>2038</v>
      </c>
      <c r="AE54" s="6"/>
      <c r="AF54" s="6" t="str">
        <f>A54</f>
        <v>Rural</v>
      </c>
      <c r="AG54" s="38"/>
      <c r="AH54" s="161">
        <f>AI54-1</f>
        <v>2018</v>
      </c>
      <c r="AI54" s="36">
        <f>Yr_Start</f>
        <v>2019</v>
      </c>
      <c r="AJ54" s="36">
        <f>AI54+1</f>
        <v>2020</v>
      </c>
      <c r="AK54" s="36">
        <f t="shared" ref="AK54:BB54" si="103">AJ54+1</f>
        <v>2021</v>
      </c>
      <c r="AL54" s="36">
        <f t="shared" si="103"/>
        <v>2022</v>
      </c>
      <c r="AM54" s="36">
        <f t="shared" si="103"/>
        <v>2023</v>
      </c>
      <c r="AN54" s="36">
        <f t="shared" si="103"/>
        <v>2024</v>
      </c>
      <c r="AO54" s="36">
        <f t="shared" si="103"/>
        <v>2025</v>
      </c>
      <c r="AP54" s="36">
        <f t="shared" si="103"/>
        <v>2026</v>
      </c>
      <c r="AQ54" s="36">
        <f t="shared" si="103"/>
        <v>2027</v>
      </c>
      <c r="AR54" s="36">
        <f t="shared" si="103"/>
        <v>2028</v>
      </c>
      <c r="AS54" s="36">
        <f t="shared" si="103"/>
        <v>2029</v>
      </c>
      <c r="AT54" s="36">
        <f t="shared" si="103"/>
        <v>2030</v>
      </c>
      <c r="AU54" s="36">
        <f t="shared" si="103"/>
        <v>2031</v>
      </c>
      <c r="AV54" s="36">
        <f t="shared" si="103"/>
        <v>2032</v>
      </c>
      <c r="AW54" s="36">
        <f t="shared" si="103"/>
        <v>2033</v>
      </c>
      <c r="AX54" s="36">
        <f t="shared" si="103"/>
        <v>2034</v>
      </c>
      <c r="AY54" s="36">
        <f t="shared" si="103"/>
        <v>2035</v>
      </c>
      <c r="AZ54" s="36">
        <f t="shared" si="103"/>
        <v>2036</v>
      </c>
      <c r="BA54" s="36">
        <f t="shared" si="103"/>
        <v>2037</v>
      </c>
      <c r="BB54" s="36">
        <f t="shared" si="103"/>
        <v>2038</v>
      </c>
    </row>
    <row r="55" spans="1:54" x14ac:dyDescent="0.25">
      <c r="B55" s="1" t="s">
        <v>52</v>
      </c>
      <c r="C55" s="14">
        <f ca="1">INDEX(Data_FP!$2:$1048576,MATCH(C$4&amp;$A$54&amp;$B55&amp;$A$1,Data_FP!$A$2:$A$1048576,0),MATCH($A$53,Data_FP!$2:$2,0))</f>
        <v>9.6049999999999998E-4</v>
      </c>
      <c r="D55" s="14">
        <f ca="1">INDEX(Data_FP!$2:$1048576,MATCH(D$4&amp;$A$54&amp;$B55&amp;$A$1,Data_FP!$A$2:$A$1048576,0),MATCH($A$53,Data_FP!$2:$2,0))</f>
        <v>5.1472999999999996E-3</v>
      </c>
      <c r="E55" s="14">
        <f ca="1">IF('User Settings'!$N$7="On",($D55-$C55)/($D$4-$C$4),0)</f>
        <v>8.3735999999999988E-4</v>
      </c>
      <c r="F55" s="14">
        <f ca="1">MAX(0,MIN(1,($D55+$E55*(F$4-$D$4))))</f>
        <v>7.6593799999999995E-3</v>
      </c>
      <c r="G55" s="14"/>
      <c r="H55" s="14">
        <f ca="1">MAX(0,MIN(1,($D55+$E55*(H$4-$D$4))*$H$1))</f>
        <v>1.017146E-2</v>
      </c>
      <c r="I55" s="14">
        <f ca="1">($H55-$F55)/($H$4-$F$4)</f>
        <v>8.3736000000000021E-4</v>
      </c>
      <c r="J55" s="14">
        <f ca="1">K55-E55</f>
        <v>6.8220199999999998E-3</v>
      </c>
      <c r="K55" s="14">
        <f ca="1">MAX(0,MIN(1,D55+(K$4-D$4)*E55))</f>
        <v>7.6593799999999995E-3</v>
      </c>
      <c r="L55" s="15">
        <f ca="1">MAX(0,MIN(1,K55+$I55))</f>
        <v>8.4967399999999992E-3</v>
      </c>
      <c r="M55" s="15">
        <f t="shared" ref="M55" ca="1" si="104">MAX(0,MIN(1,L55+$I55))</f>
        <v>9.3340999999999997E-3</v>
      </c>
      <c r="N55" s="15">
        <f ca="1">MAX(0,MIN(1,M55+$I55))</f>
        <v>1.017146E-2</v>
      </c>
      <c r="O55" s="15">
        <f t="shared" ref="O55:AD55" ca="1" si="105">MAX(0,MIN(1,N55+$I55))</f>
        <v>1.1008820000000001E-2</v>
      </c>
      <c r="P55" s="15">
        <f t="shared" ca="1" si="105"/>
        <v>1.1846180000000001E-2</v>
      </c>
      <c r="Q55" s="15">
        <f t="shared" ca="1" si="105"/>
        <v>1.2683540000000002E-2</v>
      </c>
      <c r="R55" s="15">
        <f t="shared" ca="1" si="105"/>
        <v>1.3520900000000002E-2</v>
      </c>
      <c r="S55" s="15">
        <f t="shared" ca="1" si="105"/>
        <v>1.4358260000000003E-2</v>
      </c>
      <c r="T55" s="15">
        <f t="shared" ca="1" si="105"/>
        <v>1.5195620000000003E-2</v>
      </c>
      <c r="U55" s="15">
        <f t="shared" ca="1" si="105"/>
        <v>1.6032980000000002E-2</v>
      </c>
      <c r="V55" s="15">
        <f t="shared" ca="1" si="105"/>
        <v>1.6870340000000001E-2</v>
      </c>
      <c r="W55" s="15">
        <f t="shared" ca="1" si="105"/>
        <v>1.77077E-2</v>
      </c>
      <c r="X55" s="15">
        <f t="shared" ca="1" si="105"/>
        <v>1.8545059999999999E-2</v>
      </c>
      <c r="Y55" s="15">
        <f t="shared" ca="1" si="105"/>
        <v>1.9382419999999997E-2</v>
      </c>
      <c r="Z55" s="15">
        <f t="shared" ca="1" si="105"/>
        <v>2.0219779999999996E-2</v>
      </c>
      <c r="AA55" s="15">
        <f t="shared" ca="1" si="105"/>
        <v>2.1057139999999995E-2</v>
      </c>
      <c r="AB55" s="15">
        <f t="shared" ca="1" si="105"/>
        <v>2.1894499999999994E-2</v>
      </c>
      <c r="AC55" s="15">
        <f t="shared" ca="1" si="105"/>
        <v>2.2731859999999993E-2</v>
      </c>
      <c r="AD55" s="15">
        <f t="shared" ca="1" si="105"/>
        <v>2.3569219999999991E-2</v>
      </c>
      <c r="AE55" s="5"/>
      <c r="AG55" s="1" t="s">
        <v>52</v>
      </c>
      <c r="AH55" s="37">
        <f ca="1">J55*AH$61</f>
        <v>29015.579098682683</v>
      </c>
      <c r="AI55" s="37">
        <f t="shared" ref="AI55:AI60" ca="1" si="106">K55*AI$61</f>
        <v>33829.823003010439</v>
      </c>
      <c r="AJ55" s="37">
        <f t="shared" ref="AJ55:AS60" ca="1" si="107">L55*AJ$61</f>
        <v>38962.879637728474</v>
      </c>
      <c r="AK55" s="37">
        <f t="shared" ca="1" si="107"/>
        <v>44373.0212638335</v>
      </c>
      <c r="AL55" s="37">
        <f t="shared" ca="1" si="107"/>
        <v>50127.517804231888</v>
      </c>
      <c r="AM55" s="37">
        <f t="shared" ca="1" si="107"/>
        <v>56235.201443811275</v>
      </c>
      <c r="AN55" s="37">
        <f t="shared" ca="1" si="107"/>
        <v>62701.908921267328</v>
      </c>
      <c r="AO55" s="37">
        <f t="shared" ca="1" si="107"/>
        <v>69535.510342743219</v>
      </c>
      <c r="AP55" s="37">
        <f t="shared" ca="1" si="107"/>
        <v>76694.770541379767</v>
      </c>
      <c r="AQ55" s="37">
        <f t="shared" ca="1" si="107"/>
        <v>84243.706803773763</v>
      </c>
      <c r="AR55" s="37">
        <f t="shared" ca="1" si="107"/>
        <v>92196.050179482627</v>
      </c>
      <c r="AS55" s="37">
        <f t="shared" ca="1" si="107"/>
        <v>100570.09385628317</v>
      </c>
      <c r="AT55" s="37">
        <f t="shared" ref="AT55:BB60" ca="1" si="108">V55*AT$61</f>
        <v>109381.87392669247</v>
      </c>
      <c r="AU55" s="37">
        <f t="shared" ca="1" si="108"/>
        <v>118575.76486205465</v>
      </c>
      <c r="AV55" s="37">
        <f t="shared" ca="1" si="108"/>
        <v>128235.90145583825</v>
      </c>
      <c r="AW55" s="37">
        <f t="shared" ca="1" si="108"/>
        <v>138369.11109726207</v>
      </c>
      <c r="AX55" s="37">
        <f t="shared" ca="1" si="108"/>
        <v>148979.67745809388</v>
      </c>
      <c r="AY55" s="37">
        <f t="shared" ca="1" si="108"/>
        <v>160073.59584927207</v>
      </c>
      <c r="AZ55" s="37" t="e">
        <f t="shared" ca="1" si="108"/>
        <v>#N/A</v>
      </c>
      <c r="BA55" s="37" t="e">
        <f t="shared" ca="1" si="108"/>
        <v>#N/A</v>
      </c>
      <c r="BB55" s="37" t="e">
        <f t="shared" ca="1" si="108"/>
        <v>#N/A</v>
      </c>
    </row>
    <row r="56" spans="1:54" x14ac:dyDescent="0.25">
      <c r="B56" s="1" t="s">
        <v>54</v>
      </c>
      <c r="C56" s="14">
        <f ca="1">INDEX(Data_FP!$2:$1048576,MATCH(C$4&amp;$A$54&amp;$B56&amp;$A$1,Data_FP!$A$2:$A$1048576,0),MATCH($A$53,Data_FP!$2:$2,0))</f>
        <v>2.0900000000000001E-4</v>
      </c>
      <c r="D56" s="14">
        <f ca="1">INDEX(Data_FP!$2:$1048576,MATCH(D$4&amp;$A$54&amp;$B56&amp;$A$1,Data_FP!$A$2:$A$1048576,0),MATCH($A$53,Data_FP!$2:$2,0))</f>
        <v>1.047E-4</v>
      </c>
      <c r="E56" s="14">
        <f ca="1">IF('User Settings'!$N$7="On",($D56-$C56)/($D$4-$C$4),0)</f>
        <v>-2.0860000000000004E-5</v>
      </c>
      <c r="F56" s="14">
        <f t="shared" ref="F56:F60" ca="1" si="109">MAX(0,MIN(1,($D56+$E56*(F$4-$D$4))))</f>
        <v>4.2119999999999983E-5</v>
      </c>
      <c r="G56" s="14"/>
      <c r="H56" s="14">
        <f t="shared" ref="H56:H60" ca="1" si="110">MAX(0,MIN(1,($D56+$E56*(H$4-$D$4))*$H$1))</f>
        <v>0</v>
      </c>
      <c r="I56" s="14">
        <f ca="1">($H56-$F56)/($H$4-$F$4)</f>
        <v>-1.4039999999999994E-5</v>
      </c>
      <c r="J56" s="14">
        <f t="shared" ref="J56:J60" ca="1" si="111">K56-E56</f>
        <v>6.2979999999999983E-5</v>
      </c>
      <c r="K56" s="14">
        <f t="shared" ref="K56:K60" ca="1" si="112">MAX(0,MIN(1,D56+(K$4-D$4)*E56))</f>
        <v>4.2119999999999983E-5</v>
      </c>
      <c r="L56" s="15">
        <f t="shared" ref="L56:AD56" ca="1" si="113">MAX(0,MIN(1,K56+$I56))</f>
        <v>2.8079999999999989E-5</v>
      </c>
      <c r="M56" s="15">
        <f t="shared" ca="1" si="113"/>
        <v>1.4039999999999994E-5</v>
      </c>
      <c r="N56" s="15">
        <f t="shared" ca="1" si="113"/>
        <v>0</v>
      </c>
      <c r="O56" s="15">
        <f t="shared" ca="1" si="113"/>
        <v>0</v>
      </c>
      <c r="P56" s="15">
        <f t="shared" ca="1" si="113"/>
        <v>0</v>
      </c>
      <c r="Q56" s="15">
        <f t="shared" ca="1" si="113"/>
        <v>0</v>
      </c>
      <c r="R56" s="15">
        <f t="shared" ca="1" si="113"/>
        <v>0</v>
      </c>
      <c r="S56" s="15">
        <f t="shared" ca="1" si="113"/>
        <v>0</v>
      </c>
      <c r="T56" s="15">
        <f t="shared" ca="1" si="113"/>
        <v>0</v>
      </c>
      <c r="U56" s="15">
        <f t="shared" ca="1" si="113"/>
        <v>0</v>
      </c>
      <c r="V56" s="15">
        <f t="shared" ca="1" si="113"/>
        <v>0</v>
      </c>
      <c r="W56" s="15">
        <f t="shared" ca="1" si="113"/>
        <v>0</v>
      </c>
      <c r="X56" s="15">
        <f t="shared" ca="1" si="113"/>
        <v>0</v>
      </c>
      <c r="Y56" s="15">
        <f t="shared" ca="1" si="113"/>
        <v>0</v>
      </c>
      <c r="Z56" s="15">
        <f t="shared" ca="1" si="113"/>
        <v>0</v>
      </c>
      <c r="AA56" s="15">
        <f t="shared" ca="1" si="113"/>
        <v>0</v>
      </c>
      <c r="AB56" s="15">
        <f t="shared" ca="1" si="113"/>
        <v>0</v>
      </c>
      <c r="AC56" s="15">
        <f t="shared" ca="1" si="113"/>
        <v>0</v>
      </c>
      <c r="AD56" s="15">
        <f t="shared" ca="1" si="113"/>
        <v>0</v>
      </c>
      <c r="AE56" s="5"/>
      <c r="AG56" s="1" t="s">
        <v>54</v>
      </c>
      <c r="AH56" s="37">
        <f t="shared" ref="AH56:AH60" ca="1" si="114">J56*AH$61</f>
        <v>267.86804665407533</v>
      </c>
      <c r="AI56" s="37">
        <f t="shared" ca="1" si="106"/>
        <v>186.03491991346547</v>
      </c>
      <c r="AJ56" s="37">
        <f t="shared" ca="1" si="107"/>
        <v>128.76440378632455</v>
      </c>
      <c r="AK56" s="37">
        <f t="shared" ca="1" si="107"/>
        <v>66.744219425999518</v>
      </c>
      <c r="AL56" s="37">
        <f t="shared" ca="1" si="107"/>
        <v>0</v>
      </c>
      <c r="AM56" s="37">
        <f t="shared" ca="1" si="107"/>
        <v>0</v>
      </c>
      <c r="AN56" s="37">
        <f t="shared" ca="1" si="107"/>
        <v>0</v>
      </c>
      <c r="AO56" s="37">
        <f t="shared" ca="1" si="107"/>
        <v>0</v>
      </c>
      <c r="AP56" s="37">
        <f t="shared" ca="1" si="107"/>
        <v>0</v>
      </c>
      <c r="AQ56" s="37">
        <f t="shared" ca="1" si="107"/>
        <v>0</v>
      </c>
      <c r="AR56" s="37">
        <f t="shared" ca="1" si="107"/>
        <v>0</v>
      </c>
      <c r="AS56" s="37">
        <f t="shared" ca="1" si="107"/>
        <v>0</v>
      </c>
      <c r="AT56" s="37">
        <f t="shared" ca="1" si="108"/>
        <v>0</v>
      </c>
      <c r="AU56" s="37">
        <f t="shared" ca="1" si="108"/>
        <v>0</v>
      </c>
      <c r="AV56" s="37">
        <f t="shared" ca="1" si="108"/>
        <v>0</v>
      </c>
      <c r="AW56" s="37">
        <f t="shared" ca="1" si="108"/>
        <v>0</v>
      </c>
      <c r="AX56" s="37">
        <f t="shared" ca="1" si="108"/>
        <v>0</v>
      </c>
      <c r="AY56" s="37">
        <f t="shared" ca="1" si="108"/>
        <v>0</v>
      </c>
      <c r="AZ56" s="37" t="e">
        <f t="shared" ca="1" si="108"/>
        <v>#N/A</v>
      </c>
      <c r="BA56" s="37" t="e">
        <f t="shared" ca="1" si="108"/>
        <v>#N/A</v>
      </c>
      <c r="BB56" s="37" t="e">
        <f t="shared" ca="1" si="108"/>
        <v>#N/A</v>
      </c>
    </row>
    <row r="57" spans="1:54" x14ac:dyDescent="0.25">
      <c r="B57" s="1" t="s">
        <v>170</v>
      </c>
      <c r="C57" s="14">
        <f ca="1">INDEX(Data_FP!$2:$1048576,MATCH(C$4&amp;$A$54&amp;$B57&amp;$A$1,Data_FP!$A$2:$A$1048576,0),MATCH($A$53,Data_FP!$2:$2,0))</f>
        <v>0</v>
      </c>
      <c r="D57" s="14">
        <f ca="1">INDEX(Data_FP!$2:$1048576,MATCH(D$4&amp;$A$54&amp;$B57&amp;$A$1,Data_FP!$A$2:$A$1048576,0),MATCH($A$53,Data_FP!$2:$2,0))</f>
        <v>1.6500000000000001E-5</v>
      </c>
      <c r="E57" s="14">
        <f ca="1">IF('User Settings'!$N$7="On",($D57-$C57)/($D$4-$C$4),0)</f>
        <v>3.3000000000000002E-6</v>
      </c>
      <c r="F57" s="14">
        <f t="shared" ca="1" si="109"/>
        <v>2.6400000000000001E-5</v>
      </c>
      <c r="G57" s="14"/>
      <c r="H57" s="14">
        <f t="shared" ca="1" si="110"/>
        <v>3.6300000000000001E-5</v>
      </c>
      <c r="I57" s="14">
        <f t="shared" ref="I57:I60" ca="1" si="115">($H57-$F57)/($H$4-$F$4)</f>
        <v>3.3000000000000002E-6</v>
      </c>
      <c r="J57" s="14">
        <f t="shared" ca="1" si="111"/>
        <v>2.3100000000000002E-5</v>
      </c>
      <c r="K57" s="14">
        <f t="shared" ca="1" si="112"/>
        <v>2.6400000000000001E-5</v>
      </c>
      <c r="L57" s="15">
        <f t="shared" ref="L57:AD57" ca="1" si="116">MAX(0,MIN(1,K57+$I57))</f>
        <v>2.97E-5</v>
      </c>
      <c r="M57" s="15">
        <f t="shared" ca="1" si="116"/>
        <v>3.3000000000000003E-5</v>
      </c>
      <c r="N57" s="15">
        <f t="shared" ca="1" si="116"/>
        <v>3.6300000000000001E-5</v>
      </c>
      <c r="O57" s="15">
        <f t="shared" ca="1" si="116"/>
        <v>3.96E-5</v>
      </c>
      <c r="P57" s="15">
        <f t="shared" ca="1" si="116"/>
        <v>4.2899999999999999E-5</v>
      </c>
      <c r="Q57" s="15">
        <f t="shared" ca="1" si="116"/>
        <v>4.6199999999999998E-5</v>
      </c>
      <c r="R57" s="15">
        <f t="shared" ca="1" si="116"/>
        <v>4.9499999999999997E-5</v>
      </c>
      <c r="S57" s="15">
        <f t="shared" ca="1" si="116"/>
        <v>5.2799999999999996E-5</v>
      </c>
      <c r="T57" s="15">
        <f t="shared" ca="1" si="116"/>
        <v>5.6099999999999995E-5</v>
      </c>
      <c r="U57" s="15">
        <f t="shared" ca="1" si="116"/>
        <v>5.9399999999999994E-5</v>
      </c>
      <c r="V57" s="15">
        <f t="shared" ca="1" si="116"/>
        <v>6.2699999999999993E-5</v>
      </c>
      <c r="W57" s="15">
        <f t="shared" ca="1" si="116"/>
        <v>6.5999999999999992E-5</v>
      </c>
      <c r="X57" s="15">
        <f t="shared" ca="1" si="116"/>
        <v>6.929999999999999E-5</v>
      </c>
      <c r="Y57" s="15">
        <f t="shared" ca="1" si="116"/>
        <v>7.2599999999999989E-5</v>
      </c>
      <c r="Z57" s="15">
        <f t="shared" ca="1" si="116"/>
        <v>7.5899999999999988E-5</v>
      </c>
      <c r="AA57" s="15">
        <f t="shared" ca="1" si="116"/>
        <v>7.9199999999999987E-5</v>
      </c>
      <c r="AB57" s="15">
        <f t="shared" ca="1" si="116"/>
        <v>8.2499999999999986E-5</v>
      </c>
      <c r="AC57" s="15">
        <f t="shared" ca="1" si="116"/>
        <v>8.5799999999999985E-5</v>
      </c>
      <c r="AD57" s="15">
        <f t="shared" ca="1" si="116"/>
        <v>8.9099999999999984E-5</v>
      </c>
      <c r="AE57" s="5"/>
      <c r="AG57" s="1" t="s">
        <v>170</v>
      </c>
      <c r="AH57" s="37">
        <f t="shared" ca="1" si="114"/>
        <v>98.24947408239349</v>
      </c>
      <c r="AI57" s="37">
        <f t="shared" ca="1" si="106"/>
        <v>116.60308370644564</v>
      </c>
      <c r="AJ57" s="37">
        <f t="shared" ca="1" si="107"/>
        <v>136.19311938938179</v>
      </c>
      <c r="AK57" s="37">
        <f t="shared" ca="1" si="107"/>
        <v>156.87743882179382</v>
      </c>
      <c r="AL57" s="37">
        <f t="shared" ca="1" si="107"/>
        <v>178.89554658757126</v>
      </c>
      <c r="AM57" s="37">
        <f t="shared" ca="1" si="107"/>
        <v>202.28452978383936</v>
      </c>
      <c r="AN57" s="37">
        <f t="shared" ca="1" si="107"/>
        <v>227.06998312725014</v>
      </c>
      <c r="AO57" s="37">
        <f t="shared" ca="1" si="107"/>
        <v>253.2842233189422</v>
      </c>
      <c r="AP57" s="37">
        <f t="shared" ca="1" si="107"/>
        <v>280.77947043453452</v>
      </c>
      <c r="AQ57" s="37">
        <f t="shared" ca="1" si="107"/>
        <v>309.79155686268763</v>
      </c>
      <c r="AR57" s="37">
        <f t="shared" ca="1" si="107"/>
        <v>340.37429305740562</v>
      </c>
      <c r="AS57" s="37">
        <f t="shared" ca="1" si="107"/>
        <v>372.59845487633737</v>
      </c>
      <c r="AT57" s="37">
        <f t="shared" ca="1" si="108"/>
        <v>406.5266909382749</v>
      </c>
      <c r="AU57" s="37">
        <f t="shared" ca="1" si="108"/>
        <v>441.95465706419276</v>
      </c>
      <c r="AV57" s="37">
        <f t="shared" ca="1" si="108"/>
        <v>479.19758528090983</v>
      </c>
      <c r="AW57" s="37">
        <f t="shared" ca="1" si="108"/>
        <v>518.28396380128106</v>
      </c>
      <c r="AX57" s="37">
        <f t="shared" ca="1" si="108"/>
        <v>559.23247033693372</v>
      </c>
      <c r="AY57" s="37">
        <f t="shared" ca="1" si="108"/>
        <v>602.0679347367377</v>
      </c>
      <c r="AZ57" s="37" t="e">
        <f t="shared" ca="1" si="108"/>
        <v>#N/A</v>
      </c>
      <c r="BA57" s="37" t="e">
        <f t="shared" ca="1" si="108"/>
        <v>#N/A</v>
      </c>
      <c r="BB57" s="37" t="e">
        <f t="shared" ca="1" si="108"/>
        <v>#N/A</v>
      </c>
    </row>
    <row r="58" spans="1:54" x14ac:dyDescent="0.25">
      <c r="B58" s="1" t="s">
        <v>59</v>
      </c>
      <c r="C58" s="14">
        <f ca="1">INDEX(Data_FP!$2:$1048576,MATCH(C$4&amp;$A$54&amp;$B58&amp;$A$1,Data_FP!$A$2:$A$1048576,0),MATCH($A$53,Data_FP!$2:$2,0))</f>
        <v>0</v>
      </c>
      <c r="D58" s="14">
        <f ca="1">INDEX(Data_FP!$2:$1048576,MATCH(D$4&amp;$A$54&amp;$B58&amp;$A$1,Data_FP!$A$2:$A$1048576,0),MATCH($A$53,Data_FP!$2:$2,0))</f>
        <v>8.5139999999999999E-4</v>
      </c>
      <c r="E58" s="14">
        <f ca="1">IF('User Settings'!$N$7="On",($D58-$C58)/($D$4-$C$4),0)</f>
        <v>1.7028E-4</v>
      </c>
      <c r="F58" s="14">
        <f t="shared" ca="1" si="109"/>
        <v>1.36224E-3</v>
      </c>
      <c r="G58" s="14"/>
      <c r="H58" s="14">
        <f t="shared" ca="1" si="110"/>
        <v>1.8730800000000001E-3</v>
      </c>
      <c r="I58" s="14">
        <f t="shared" ca="1" si="115"/>
        <v>1.7028E-4</v>
      </c>
      <c r="J58" s="14">
        <f t="shared" ca="1" si="111"/>
        <v>1.1919599999999999E-3</v>
      </c>
      <c r="K58" s="14">
        <f t="shared" ca="1" si="112"/>
        <v>1.36224E-3</v>
      </c>
      <c r="L58" s="15">
        <f t="shared" ref="L58:AD58" ca="1" si="117">MAX(0,MIN(1,K58+$I58))</f>
        <v>1.5325200000000001E-3</v>
      </c>
      <c r="M58" s="15">
        <f t="shared" ca="1" si="117"/>
        <v>1.7028000000000002E-3</v>
      </c>
      <c r="N58" s="15">
        <f t="shared" ca="1" si="117"/>
        <v>1.8730800000000003E-3</v>
      </c>
      <c r="O58" s="15">
        <f t="shared" ca="1" si="117"/>
        <v>2.0433600000000001E-3</v>
      </c>
      <c r="P58" s="15">
        <f t="shared" ca="1" si="117"/>
        <v>2.2136400000000002E-3</v>
      </c>
      <c r="Q58" s="15">
        <f t="shared" ca="1" si="117"/>
        <v>2.3839200000000003E-3</v>
      </c>
      <c r="R58" s="15">
        <f t="shared" ca="1" si="117"/>
        <v>2.5542000000000004E-3</v>
      </c>
      <c r="S58" s="15">
        <f t="shared" ca="1" si="117"/>
        <v>2.7244800000000005E-3</v>
      </c>
      <c r="T58" s="15">
        <f t="shared" ca="1" si="117"/>
        <v>2.8947600000000006E-3</v>
      </c>
      <c r="U58" s="15">
        <f t="shared" ca="1" si="117"/>
        <v>3.0650400000000006E-3</v>
      </c>
      <c r="V58" s="15">
        <f t="shared" ca="1" si="117"/>
        <v>3.2353200000000007E-3</v>
      </c>
      <c r="W58" s="15">
        <f t="shared" ca="1" si="117"/>
        <v>3.4056000000000008E-3</v>
      </c>
      <c r="X58" s="15">
        <f t="shared" ca="1" si="117"/>
        <v>3.5758800000000009E-3</v>
      </c>
      <c r="Y58" s="15">
        <f t="shared" ca="1" si="117"/>
        <v>3.746160000000001E-3</v>
      </c>
      <c r="Z58" s="15">
        <f t="shared" ca="1" si="117"/>
        <v>3.9164400000000011E-3</v>
      </c>
      <c r="AA58" s="15">
        <f t="shared" ca="1" si="117"/>
        <v>4.0867200000000012E-3</v>
      </c>
      <c r="AB58" s="15">
        <f t="shared" ca="1" si="117"/>
        <v>4.2570000000000012E-3</v>
      </c>
      <c r="AC58" s="15">
        <f t="shared" ca="1" si="117"/>
        <v>4.4272800000000013E-3</v>
      </c>
      <c r="AD58" s="15">
        <f t="shared" ca="1" si="117"/>
        <v>4.5975600000000014E-3</v>
      </c>
      <c r="AE58" s="5"/>
      <c r="AG58" s="1" t="s">
        <v>59</v>
      </c>
      <c r="AH58" s="37">
        <f t="shared" ca="1" si="114"/>
        <v>5069.6728626515032</v>
      </c>
      <c r="AI58" s="37">
        <f t="shared" ca="1" si="106"/>
        <v>6016.7191192525952</v>
      </c>
      <c r="AJ58" s="37">
        <f t="shared" ca="1" si="107"/>
        <v>7027.5649604921009</v>
      </c>
      <c r="AK58" s="37">
        <f t="shared" ca="1" si="107"/>
        <v>8094.8758432045606</v>
      </c>
      <c r="AL58" s="37">
        <f t="shared" ca="1" si="107"/>
        <v>9231.0102039186768</v>
      </c>
      <c r="AM58" s="37">
        <f t="shared" ca="1" si="107"/>
        <v>10437.881736846111</v>
      </c>
      <c r="AN58" s="37">
        <f t="shared" ca="1" si="107"/>
        <v>11716.81112936611</v>
      </c>
      <c r="AO58" s="37">
        <f t="shared" ca="1" si="107"/>
        <v>13069.465923257419</v>
      </c>
      <c r="AP58" s="37">
        <f t="shared" ca="1" si="107"/>
        <v>14488.220674421986</v>
      </c>
      <c r="AQ58" s="37">
        <f t="shared" ca="1" si="107"/>
        <v>15985.244334114686</v>
      </c>
      <c r="AR58" s="37">
        <f t="shared" ca="1" si="107"/>
        <v>17563.313521762135</v>
      </c>
      <c r="AS58" s="37">
        <f t="shared" ca="1" si="107"/>
        <v>19226.080271619016</v>
      </c>
      <c r="AT58" s="37">
        <f t="shared" ca="1" si="108"/>
        <v>20976.777252414991</v>
      </c>
      <c r="AU58" s="37">
        <f t="shared" ca="1" si="108"/>
        <v>22804.860304512353</v>
      </c>
      <c r="AV58" s="37">
        <f t="shared" ca="1" si="108"/>
        <v>24726.595400494956</v>
      </c>
      <c r="AW58" s="37">
        <f t="shared" ca="1" si="108"/>
        <v>26743.452532146115</v>
      </c>
      <c r="AX58" s="37">
        <f t="shared" ca="1" si="108"/>
        <v>28856.395469385792</v>
      </c>
      <c r="AY58" s="37">
        <f t="shared" ca="1" si="108"/>
        <v>31066.705432415682</v>
      </c>
      <c r="AZ58" s="37" t="e">
        <f t="shared" ca="1" si="108"/>
        <v>#N/A</v>
      </c>
      <c r="BA58" s="37" t="e">
        <f t="shared" ca="1" si="108"/>
        <v>#N/A</v>
      </c>
      <c r="BB58" s="37" t="e">
        <f t="shared" ca="1" si="108"/>
        <v>#N/A</v>
      </c>
    </row>
    <row r="59" spans="1:54" x14ac:dyDescent="0.25">
      <c r="B59" s="1" t="s">
        <v>171</v>
      </c>
      <c r="C59" s="14">
        <f ca="1">INDEX(Data_FP!$2:$1048576,MATCH(C$4&amp;$A$54&amp;$B59&amp;$A$1,Data_FP!$A$2:$A$1048576,0),MATCH($A$53,Data_FP!$2:$2,0))</f>
        <v>0</v>
      </c>
      <c r="D59" s="14">
        <f ca="1">INDEX(Data_FP!$2:$1048576,MATCH(D$4&amp;$A$54&amp;$B59&amp;$A$1,Data_FP!$A$2:$A$1048576,0),MATCH($A$53,Data_FP!$2:$2,0))</f>
        <v>0</v>
      </c>
      <c r="E59" s="14">
        <f ca="1">IF('User Settings'!$N$7="On",($D59-$C59)/($D$4-$C$4),0)</f>
        <v>0</v>
      </c>
      <c r="F59" s="14">
        <f t="shared" ca="1" si="109"/>
        <v>0</v>
      </c>
      <c r="G59" s="14"/>
      <c r="H59" s="14">
        <f t="shared" ca="1" si="110"/>
        <v>0</v>
      </c>
      <c r="I59" s="14">
        <f t="shared" ca="1" si="115"/>
        <v>0</v>
      </c>
      <c r="J59" s="14">
        <f t="shared" ca="1" si="111"/>
        <v>0</v>
      </c>
      <c r="K59" s="14">
        <f t="shared" ca="1" si="112"/>
        <v>0</v>
      </c>
      <c r="L59" s="15">
        <f t="shared" ref="L59:AD59" ca="1" si="118">MAX(0,MIN(1,K59+$I59))</f>
        <v>0</v>
      </c>
      <c r="M59" s="15">
        <f t="shared" ca="1" si="118"/>
        <v>0</v>
      </c>
      <c r="N59" s="15">
        <f t="shared" ca="1" si="118"/>
        <v>0</v>
      </c>
      <c r="O59" s="15">
        <f t="shared" ca="1" si="118"/>
        <v>0</v>
      </c>
      <c r="P59" s="15">
        <f t="shared" ca="1" si="118"/>
        <v>0</v>
      </c>
      <c r="Q59" s="15">
        <f t="shared" ca="1" si="118"/>
        <v>0</v>
      </c>
      <c r="R59" s="15">
        <f t="shared" ca="1" si="118"/>
        <v>0</v>
      </c>
      <c r="S59" s="15">
        <f t="shared" ca="1" si="118"/>
        <v>0</v>
      </c>
      <c r="T59" s="15">
        <f t="shared" ca="1" si="118"/>
        <v>0</v>
      </c>
      <c r="U59" s="15">
        <f t="shared" ca="1" si="118"/>
        <v>0</v>
      </c>
      <c r="V59" s="15">
        <f t="shared" ca="1" si="118"/>
        <v>0</v>
      </c>
      <c r="W59" s="15">
        <f t="shared" ca="1" si="118"/>
        <v>0</v>
      </c>
      <c r="X59" s="15">
        <f t="shared" ca="1" si="118"/>
        <v>0</v>
      </c>
      <c r="Y59" s="15">
        <f t="shared" ca="1" si="118"/>
        <v>0</v>
      </c>
      <c r="Z59" s="15">
        <f t="shared" ca="1" si="118"/>
        <v>0</v>
      </c>
      <c r="AA59" s="15">
        <f t="shared" ca="1" si="118"/>
        <v>0</v>
      </c>
      <c r="AB59" s="15">
        <f t="shared" ca="1" si="118"/>
        <v>0</v>
      </c>
      <c r="AC59" s="15">
        <f t="shared" ca="1" si="118"/>
        <v>0</v>
      </c>
      <c r="AD59" s="15">
        <f t="shared" ca="1" si="118"/>
        <v>0</v>
      </c>
      <c r="AE59" s="5"/>
      <c r="AG59" s="1" t="s">
        <v>171</v>
      </c>
      <c r="AH59" s="37">
        <f t="shared" ca="1" si="114"/>
        <v>0</v>
      </c>
      <c r="AI59" s="37">
        <f t="shared" ca="1" si="106"/>
        <v>0</v>
      </c>
      <c r="AJ59" s="37">
        <f t="shared" ca="1" si="107"/>
        <v>0</v>
      </c>
      <c r="AK59" s="37">
        <f t="shared" ca="1" si="107"/>
        <v>0</v>
      </c>
      <c r="AL59" s="37">
        <f t="shared" ca="1" si="107"/>
        <v>0</v>
      </c>
      <c r="AM59" s="37">
        <f t="shared" ca="1" si="107"/>
        <v>0</v>
      </c>
      <c r="AN59" s="37">
        <f t="shared" ca="1" si="107"/>
        <v>0</v>
      </c>
      <c r="AO59" s="37">
        <f t="shared" ca="1" si="107"/>
        <v>0</v>
      </c>
      <c r="AP59" s="37">
        <f t="shared" ca="1" si="107"/>
        <v>0</v>
      </c>
      <c r="AQ59" s="37">
        <f t="shared" ca="1" si="107"/>
        <v>0</v>
      </c>
      <c r="AR59" s="37">
        <f t="shared" ca="1" si="107"/>
        <v>0</v>
      </c>
      <c r="AS59" s="37">
        <f t="shared" ca="1" si="107"/>
        <v>0</v>
      </c>
      <c r="AT59" s="37">
        <f t="shared" ca="1" si="108"/>
        <v>0</v>
      </c>
      <c r="AU59" s="37">
        <f t="shared" ca="1" si="108"/>
        <v>0</v>
      </c>
      <c r="AV59" s="37">
        <f t="shared" ca="1" si="108"/>
        <v>0</v>
      </c>
      <c r="AW59" s="37">
        <f t="shared" ca="1" si="108"/>
        <v>0</v>
      </c>
      <c r="AX59" s="37">
        <f t="shared" ca="1" si="108"/>
        <v>0</v>
      </c>
      <c r="AY59" s="37">
        <f t="shared" ca="1" si="108"/>
        <v>0</v>
      </c>
      <c r="AZ59" s="37" t="e">
        <f t="shared" ca="1" si="108"/>
        <v>#N/A</v>
      </c>
      <c r="BA59" s="37" t="e">
        <f t="shared" ca="1" si="108"/>
        <v>#N/A</v>
      </c>
      <c r="BB59" s="37" t="e">
        <f t="shared" ca="1" si="108"/>
        <v>#N/A</v>
      </c>
    </row>
    <row r="60" spans="1:54" x14ac:dyDescent="0.25">
      <c r="B60" s="1" t="s">
        <v>116</v>
      </c>
      <c r="C60" s="14">
        <f ca="1">INDEX(Data_FP!$2:$1048576,MATCH(C$4&amp;$A$54&amp;$B60&amp;$A$1,Data_FP!$A$2:$A$1048576,0),MATCH($A$53,Data_FP!$2:$2,0))</f>
        <v>0</v>
      </c>
      <c r="D60" s="14">
        <f ca="1">INDEX(Data_FP!$2:$1048576,MATCH(D$4&amp;$A$54&amp;$B60&amp;$A$1,Data_FP!$A$2:$A$1048576,0),MATCH($A$53,Data_FP!$2:$2,0))</f>
        <v>0</v>
      </c>
      <c r="E60" s="14">
        <f ca="1">IF('User Settings'!$N$7="On",($D60-$C60)/($D$4-$C$4),0)</f>
        <v>0</v>
      </c>
      <c r="F60" s="14">
        <f t="shared" ca="1" si="109"/>
        <v>0</v>
      </c>
      <c r="G60" s="14"/>
      <c r="H60" s="14">
        <f t="shared" ca="1" si="110"/>
        <v>0</v>
      </c>
      <c r="I60" s="14">
        <f t="shared" ca="1" si="115"/>
        <v>0</v>
      </c>
      <c r="J60" s="14">
        <f t="shared" ca="1" si="111"/>
        <v>0</v>
      </c>
      <c r="K60" s="14">
        <f t="shared" ca="1" si="112"/>
        <v>0</v>
      </c>
      <c r="L60" s="15">
        <f t="shared" ref="L60:AD60" ca="1" si="119">MAX(0,MIN(1,K60+$I60))</f>
        <v>0</v>
      </c>
      <c r="M60" s="15">
        <f t="shared" ca="1" si="119"/>
        <v>0</v>
      </c>
      <c r="N60" s="15">
        <f t="shared" ca="1" si="119"/>
        <v>0</v>
      </c>
      <c r="O60" s="15">
        <f t="shared" ca="1" si="119"/>
        <v>0</v>
      </c>
      <c r="P60" s="15">
        <f t="shared" ca="1" si="119"/>
        <v>0</v>
      </c>
      <c r="Q60" s="15">
        <f t="shared" ca="1" si="119"/>
        <v>0</v>
      </c>
      <c r="R60" s="15">
        <f t="shared" ca="1" si="119"/>
        <v>0</v>
      </c>
      <c r="S60" s="15">
        <f t="shared" ca="1" si="119"/>
        <v>0</v>
      </c>
      <c r="T60" s="15">
        <f t="shared" ca="1" si="119"/>
        <v>0</v>
      </c>
      <c r="U60" s="15">
        <f t="shared" ca="1" si="119"/>
        <v>0</v>
      </c>
      <c r="V60" s="15">
        <f t="shared" ca="1" si="119"/>
        <v>0</v>
      </c>
      <c r="W60" s="15">
        <f t="shared" ca="1" si="119"/>
        <v>0</v>
      </c>
      <c r="X60" s="15">
        <f t="shared" ca="1" si="119"/>
        <v>0</v>
      </c>
      <c r="Y60" s="15">
        <f t="shared" ca="1" si="119"/>
        <v>0</v>
      </c>
      <c r="Z60" s="15">
        <f t="shared" ca="1" si="119"/>
        <v>0</v>
      </c>
      <c r="AA60" s="15">
        <f t="shared" ca="1" si="119"/>
        <v>0</v>
      </c>
      <c r="AB60" s="15">
        <f t="shared" ca="1" si="119"/>
        <v>0</v>
      </c>
      <c r="AC60" s="15">
        <f t="shared" ca="1" si="119"/>
        <v>0</v>
      </c>
      <c r="AD60" s="15">
        <f t="shared" ca="1" si="119"/>
        <v>0</v>
      </c>
      <c r="AE60" s="5"/>
      <c r="AG60" s="1" t="s">
        <v>116</v>
      </c>
      <c r="AH60" s="37">
        <f t="shared" ca="1" si="114"/>
        <v>0</v>
      </c>
      <c r="AI60" s="37">
        <f t="shared" ca="1" si="106"/>
        <v>0</v>
      </c>
      <c r="AJ60" s="37">
        <f t="shared" ca="1" si="107"/>
        <v>0</v>
      </c>
      <c r="AK60" s="37">
        <f t="shared" ca="1" si="107"/>
        <v>0</v>
      </c>
      <c r="AL60" s="37">
        <f t="shared" ca="1" si="107"/>
        <v>0</v>
      </c>
      <c r="AM60" s="37">
        <f t="shared" ca="1" si="107"/>
        <v>0</v>
      </c>
      <c r="AN60" s="37">
        <f t="shared" ca="1" si="107"/>
        <v>0</v>
      </c>
      <c r="AO60" s="37">
        <f t="shared" ca="1" si="107"/>
        <v>0</v>
      </c>
      <c r="AP60" s="37">
        <f t="shared" ca="1" si="107"/>
        <v>0</v>
      </c>
      <c r="AQ60" s="37">
        <f t="shared" ca="1" si="107"/>
        <v>0</v>
      </c>
      <c r="AR60" s="37">
        <f t="shared" ca="1" si="107"/>
        <v>0</v>
      </c>
      <c r="AS60" s="37">
        <f t="shared" ca="1" si="107"/>
        <v>0</v>
      </c>
      <c r="AT60" s="37">
        <f t="shared" ca="1" si="108"/>
        <v>0</v>
      </c>
      <c r="AU60" s="37">
        <f t="shared" ca="1" si="108"/>
        <v>0</v>
      </c>
      <c r="AV60" s="37">
        <f t="shared" ca="1" si="108"/>
        <v>0</v>
      </c>
      <c r="AW60" s="37">
        <f t="shared" ca="1" si="108"/>
        <v>0</v>
      </c>
      <c r="AX60" s="37">
        <f t="shared" ca="1" si="108"/>
        <v>0</v>
      </c>
      <c r="AY60" s="37">
        <f t="shared" ca="1" si="108"/>
        <v>0</v>
      </c>
      <c r="AZ60" s="37" t="e">
        <f t="shared" ca="1" si="108"/>
        <v>#N/A</v>
      </c>
      <c r="BA60" s="37" t="e">
        <f t="shared" ca="1" si="108"/>
        <v>#N/A</v>
      </c>
      <c r="BB60" s="37" t="e">
        <f t="shared" ca="1" si="108"/>
        <v>#N/A</v>
      </c>
    </row>
    <row r="61" spans="1:54" x14ac:dyDescent="0.25">
      <c r="C61" s="5">
        <f ca="1">SUM(C55:C60)</f>
        <v>1.1695E-3</v>
      </c>
      <c r="D61" s="5">
        <f ca="1">SUM(D55:D60)</f>
        <v>6.1198999999999993E-3</v>
      </c>
      <c r="F61" s="132">
        <f ca="1">SUM(F55:F60)</f>
        <v>9.09014E-3</v>
      </c>
      <c r="G61" s="132"/>
      <c r="H61" s="132">
        <f ca="1">SUM(H55:H60)</f>
        <v>1.2080839999999999E-2</v>
      </c>
      <c r="I61" s="132"/>
      <c r="J61" s="132">
        <f ca="1">SUM(J55:J60)</f>
        <v>8.1000599999999992E-3</v>
      </c>
      <c r="K61" s="132">
        <f ca="1">SUM(K55:K60)</f>
        <v>9.09014E-3</v>
      </c>
      <c r="L61" s="5">
        <f t="shared" ref="L61:AD61" ca="1" si="120">SUM(L55:L60)</f>
        <v>1.008704E-2</v>
      </c>
      <c r="M61" s="5">
        <f t="shared" ca="1" si="120"/>
        <v>1.108394E-2</v>
      </c>
      <c r="N61" s="5">
        <f t="shared" ca="1" si="120"/>
        <v>1.2080840000000001E-2</v>
      </c>
      <c r="O61" s="5">
        <f t="shared" ca="1" si="120"/>
        <v>1.3091780000000001E-2</v>
      </c>
      <c r="P61" s="5">
        <f t="shared" ca="1" si="120"/>
        <v>1.4102720000000003E-2</v>
      </c>
      <c r="Q61" s="5">
        <f t="shared" ca="1" si="120"/>
        <v>1.5113660000000001E-2</v>
      </c>
      <c r="R61" s="5">
        <f t="shared" ca="1" si="120"/>
        <v>1.6124600000000003E-2</v>
      </c>
      <c r="S61" s="5">
        <f t="shared" ca="1" si="120"/>
        <v>1.7135540000000005E-2</v>
      </c>
      <c r="T61" s="5">
        <f t="shared" ca="1" si="120"/>
        <v>1.8146480000000003E-2</v>
      </c>
      <c r="U61" s="5">
        <f t="shared" ca="1" si="120"/>
        <v>1.9157420000000005E-2</v>
      </c>
      <c r="V61" s="5">
        <f t="shared" ca="1" si="120"/>
        <v>2.016836E-2</v>
      </c>
      <c r="W61" s="5">
        <f t="shared" ca="1" si="120"/>
        <v>2.1179300000000002E-2</v>
      </c>
      <c r="X61" s="5">
        <f t="shared" ca="1" si="120"/>
        <v>2.219024E-2</v>
      </c>
      <c r="Y61" s="5">
        <f t="shared" ca="1" si="120"/>
        <v>2.3201179999999998E-2</v>
      </c>
      <c r="Z61" s="5">
        <f t="shared" ca="1" si="120"/>
        <v>2.4212119999999997E-2</v>
      </c>
      <c r="AA61" s="5">
        <f t="shared" ca="1" si="120"/>
        <v>2.5223059999999999E-2</v>
      </c>
      <c r="AB61" s="5">
        <f t="shared" ca="1" si="120"/>
        <v>2.6233999999999993E-2</v>
      </c>
      <c r="AC61" s="5">
        <f t="shared" ca="1" si="120"/>
        <v>2.7244939999999995E-2</v>
      </c>
      <c r="AD61" s="5">
        <f t="shared" ca="1" si="120"/>
        <v>2.8255879999999994E-2</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121">AJ66+1</f>
        <v>2021</v>
      </c>
      <c r="AL66" s="36">
        <f t="shared" si="121"/>
        <v>2022</v>
      </c>
      <c r="AM66" s="36">
        <f t="shared" si="121"/>
        <v>2023</v>
      </c>
      <c r="AN66" s="36">
        <f t="shared" si="121"/>
        <v>2024</v>
      </c>
      <c r="AO66" s="36">
        <f t="shared" si="121"/>
        <v>2025</v>
      </c>
      <c r="AP66" s="36">
        <f t="shared" si="121"/>
        <v>2026</v>
      </c>
      <c r="AQ66" s="36">
        <f t="shared" si="121"/>
        <v>2027</v>
      </c>
      <c r="AR66" s="36">
        <f t="shared" si="121"/>
        <v>2028</v>
      </c>
      <c r="AS66" s="36">
        <f t="shared" si="121"/>
        <v>2029</v>
      </c>
      <c r="AT66" s="36">
        <f t="shared" si="121"/>
        <v>2030</v>
      </c>
      <c r="AU66" s="36">
        <f t="shared" si="121"/>
        <v>2031</v>
      </c>
      <c r="AV66" s="36">
        <f t="shared" si="121"/>
        <v>2032</v>
      </c>
      <c r="AW66" s="36">
        <f t="shared" si="121"/>
        <v>2033</v>
      </c>
      <c r="AX66" s="36">
        <f t="shared" si="121"/>
        <v>2034</v>
      </c>
      <c r="AY66" s="36">
        <f t="shared" si="121"/>
        <v>2035</v>
      </c>
      <c r="AZ66" s="36">
        <f t="shared" si="121"/>
        <v>2036</v>
      </c>
      <c r="BA66" s="36">
        <f t="shared" si="121"/>
        <v>2037</v>
      </c>
      <c r="BB66" s="36">
        <f t="shared" si="121"/>
        <v>2038</v>
      </c>
    </row>
    <row r="67" spans="1:54" x14ac:dyDescent="0.25">
      <c r="A67"/>
      <c r="AF67"/>
      <c r="AH67" s="128">
        <f>1-INDEX(Dashboard!$U$4:$V$9,MATCH($A$1,Dashboard!$U$4:$U$9,0),2)</f>
        <v>1</v>
      </c>
      <c r="AI67" s="128">
        <f>1-INDEX(Dashboard!$U$4:$V$9,MATCH($A$1,Dashboard!$U$4:$U$9,0),2)</f>
        <v>1</v>
      </c>
      <c r="AJ67" s="128">
        <f>1-INDEX(Dashboard!$U$4:$V$9,MATCH($A$1,Dashboard!$U$4:$U$9,0),2)</f>
        <v>1</v>
      </c>
      <c r="AK67" s="128">
        <f>1-INDEX(Dashboard!$U$4:$V$9,MATCH($A$1,Dashboard!$U$4:$U$9,0),2)</f>
        <v>1</v>
      </c>
      <c r="AL67" s="128">
        <f>1-INDEX(Dashboard!$U$4:$V$9,MATCH($A$1,Dashboard!$U$4:$U$9,0),2)</f>
        <v>1</v>
      </c>
      <c r="AM67" s="128">
        <f>1-INDEX(Dashboard!$U$4:$V$9,MATCH($A$1,Dashboard!$U$4:$U$9,0),2)</f>
        <v>1</v>
      </c>
      <c r="AN67" s="128">
        <f>1-INDEX(Dashboard!$U$4:$V$9,MATCH($A$1,Dashboard!$U$4:$U$9,0),2)</f>
        <v>1</v>
      </c>
      <c r="AO67" s="128">
        <f>1-INDEX(Dashboard!$U$4:$V$9,MATCH($A$1,Dashboard!$U$4:$U$9,0),2)</f>
        <v>1</v>
      </c>
      <c r="AP67" s="128">
        <f>1-INDEX(Dashboard!$U$4:$V$9,MATCH($A$1,Dashboard!$U$4:$U$9,0),2)</f>
        <v>1</v>
      </c>
      <c r="AQ67" s="128">
        <f>1-INDEX(Dashboard!$U$4:$V$9,MATCH($A$1,Dashboard!$U$4:$U$9,0),2)</f>
        <v>1</v>
      </c>
      <c r="AR67" s="128">
        <f>1-INDEX(Dashboard!$U$4:$V$9,MATCH($A$1,Dashboard!$U$4:$U$9,0),2)</f>
        <v>1</v>
      </c>
      <c r="AS67" s="128">
        <f>1-INDEX(Dashboard!$U$4:$V$9,MATCH($A$1,Dashboard!$U$4:$U$9,0),2)</f>
        <v>1</v>
      </c>
      <c r="AT67" s="128">
        <f>1-INDEX(Dashboard!$U$4:$V$9,MATCH($A$1,Dashboard!$U$4:$U$9,0),2)</f>
        <v>1</v>
      </c>
      <c r="AU67" s="128">
        <f>1-INDEX(Dashboard!$U$4:$V$9,MATCH($A$1,Dashboard!$U$4:$U$9,0),2)</f>
        <v>1</v>
      </c>
      <c r="AV67" s="128">
        <f>1-INDEX(Dashboard!$U$4:$V$9,MATCH($A$1,Dashboard!$U$4:$U$9,0),2)</f>
        <v>1</v>
      </c>
      <c r="AW67" s="128">
        <f>1-INDEX(Dashboard!$U$4:$V$9,MATCH($A$1,Dashboard!$U$4:$U$9,0),2)</f>
        <v>1</v>
      </c>
      <c r="AX67" s="128">
        <f>1-INDEX(Dashboard!$U$4:$V$9,MATCH($A$1,Dashboard!$U$4:$U$9,0),2)</f>
        <v>1</v>
      </c>
      <c r="AY67" s="128">
        <f>1-INDEX(Dashboard!$U$4:$V$9,MATCH($A$1,Dashboard!$U$4:$U$9,0),2)</f>
        <v>1</v>
      </c>
      <c r="AZ67" s="128">
        <f>1-INDEX(Dashboard!$U$4:$V$9,MATCH($A$1,Dashboard!$U$4:$U$9,0),2)</f>
        <v>1</v>
      </c>
      <c r="BA67" s="128">
        <f>1-INDEX(Dashboard!$U$4:$V$9,MATCH($A$1,Dashboard!$U$4:$U$9,0),2)</f>
        <v>1</v>
      </c>
      <c r="BB67" s="128">
        <f>1-INDEX(Dashboard!$U$4:$V$9,MATCH($A$1,Dashboard!$U$4:$U$9,0),2)</f>
        <v>1</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122">AJ70+1</f>
        <v>2021</v>
      </c>
      <c r="AL70" s="36">
        <f t="shared" si="122"/>
        <v>2022</v>
      </c>
      <c r="AM70" s="36">
        <f t="shared" si="122"/>
        <v>2023</v>
      </c>
      <c r="AN70" s="36">
        <f t="shared" si="122"/>
        <v>2024</v>
      </c>
      <c r="AO70" s="36">
        <f t="shared" si="122"/>
        <v>2025</v>
      </c>
      <c r="AP70" s="36">
        <f t="shared" si="122"/>
        <v>2026</v>
      </c>
      <c r="AQ70" s="36">
        <f t="shared" si="122"/>
        <v>2027</v>
      </c>
      <c r="AR70" s="36">
        <f t="shared" si="122"/>
        <v>2028</v>
      </c>
      <c r="AS70" s="36">
        <f t="shared" si="122"/>
        <v>2029</v>
      </c>
      <c r="AT70" s="36">
        <f t="shared" si="122"/>
        <v>2030</v>
      </c>
      <c r="AU70" s="36">
        <f t="shared" si="122"/>
        <v>2031</v>
      </c>
      <c r="AV70" s="36">
        <f t="shared" si="122"/>
        <v>2032</v>
      </c>
      <c r="AW70" s="36">
        <f t="shared" si="122"/>
        <v>2033</v>
      </c>
      <c r="AX70" s="36">
        <f t="shared" si="122"/>
        <v>2034</v>
      </c>
      <c r="AY70" s="36">
        <f t="shared" si="122"/>
        <v>2035</v>
      </c>
      <c r="AZ70" s="36">
        <f t="shared" si="122"/>
        <v>2036</v>
      </c>
      <c r="BA70" s="36">
        <f t="shared" si="122"/>
        <v>2037</v>
      </c>
      <c r="BB70" s="36">
        <f t="shared" si="122"/>
        <v>2038</v>
      </c>
    </row>
    <row r="71" spans="1:54" x14ac:dyDescent="0.25">
      <c r="A71"/>
      <c r="AF71" s="6" t="s">
        <v>179</v>
      </c>
      <c r="AG71" s="1" t="s">
        <v>52</v>
      </c>
      <c r="AH71" s="37">
        <f ca="1">SUM(AH35,AH25,AH15,AH5)</f>
        <v>52742.792546889417</v>
      </c>
      <c r="AI71" s="37">
        <f ca="1">SUM(AI35,AI25,AI15,AI5)</f>
        <v>61553.697875113146</v>
      </c>
      <c r="AJ71" s="37">
        <f t="shared" ref="AJ71:BB71" ca="1" si="123">SUM(AJ35,AJ25,AJ15,AJ5)</f>
        <v>70948.69857520044</v>
      </c>
      <c r="AK71" s="37">
        <f t="shared" ca="1" si="123"/>
        <v>80851.919703529944</v>
      </c>
      <c r="AL71" s="37">
        <f t="shared" ca="1" si="123"/>
        <v>91385.982454448327</v>
      </c>
      <c r="AM71" s="37">
        <f t="shared" ca="1" si="123"/>
        <v>102567.15089844713</v>
      </c>
      <c r="AN71" s="37">
        <f t="shared" ca="1" si="123"/>
        <v>114406.20479759718</v>
      </c>
      <c r="AO71" s="37">
        <f t="shared" ca="1" si="123"/>
        <v>126917.61528816985</v>
      </c>
      <c r="AP71" s="37">
        <f t="shared" ca="1" si="123"/>
        <v>140026.18969756574</v>
      </c>
      <c r="AQ71" s="37">
        <f t="shared" ca="1" si="123"/>
        <v>153848.85091962075</v>
      </c>
      <c r="AR71" s="37">
        <f t="shared" ca="1" si="123"/>
        <v>168410.77183724474</v>
      </c>
      <c r="AS71" s="37">
        <f ca="1">SUM(AS35,AS25,AS15,AS5)</f>
        <v>183745.46238339753</v>
      </c>
      <c r="AT71" s="37">
        <f t="shared" ca="1" si="123"/>
        <v>199882.31554498579</v>
      </c>
      <c r="AU71" s="37">
        <f t="shared" ca="1" si="123"/>
        <v>216719.75210173329</v>
      </c>
      <c r="AV71" s="37">
        <f t="shared" ca="1" si="123"/>
        <v>234411.59238098739</v>
      </c>
      <c r="AW71" s="37">
        <f t="shared" ca="1" si="123"/>
        <v>252970.4034450484</v>
      </c>
      <c r="AX71" s="37">
        <f t="shared" ca="1" si="123"/>
        <v>272404.09361542441</v>
      </c>
      <c r="AY71" s="37">
        <f t="shared" ca="1" si="123"/>
        <v>292723.69292441366</v>
      </c>
      <c r="AZ71" s="37" t="e">
        <f t="shared" ca="1" si="123"/>
        <v>#N/A</v>
      </c>
      <c r="BA71" s="37" t="e">
        <f t="shared" ca="1" si="123"/>
        <v>#N/A</v>
      </c>
      <c r="BB71" s="37" t="e">
        <f t="shared" ca="1" si="123"/>
        <v>#N/A</v>
      </c>
    </row>
    <row r="72" spans="1:54" x14ac:dyDescent="0.25">
      <c r="B72" s="6"/>
      <c r="AG72" s="1" t="s">
        <v>54</v>
      </c>
      <c r="AH72" s="37">
        <f ca="1">SUM(AH36,AH26,AH16,AH6)+SUM(AH40,AH30,AH20,AH10)</f>
        <v>5839.449010278905</v>
      </c>
      <c r="AI72" s="37">
        <f ca="1">SUM(AI36,AI26,AI16,AI6)+SUM(AI40,AI30,AI20,AI10)</f>
        <v>6211.6171871646638</v>
      </c>
      <c r="AJ72" s="37">
        <f t="shared" ref="AJ72:BB72" ca="1" si="124">SUM(AJ36,AJ26,AJ16,AJ6)+SUM(AJ40,AJ30,AJ20,AJ10)</f>
        <v>7255.2071032911163</v>
      </c>
      <c r="AK72" s="37">
        <f t="shared" ca="1" si="124"/>
        <v>8357.0911187656766</v>
      </c>
      <c r="AL72" s="37">
        <f t="shared" ca="1" si="124"/>
        <v>9530.0279938406748</v>
      </c>
      <c r="AM72" s="37">
        <f t="shared" ca="1" si="124"/>
        <v>10775.993412542664</v>
      </c>
      <c r="AN72" s="37">
        <f t="shared" ca="1" si="124"/>
        <v>12096.350842944719</v>
      </c>
      <c r="AO72" s="37">
        <f t="shared" ca="1" si="124"/>
        <v>13492.821843086682</v>
      </c>
      <c r="AP72" s="37">
        <f t="shared" ca="1" si="124"/>
        <v>14957.533959779288</v>
      </c>
      <c r="AQ72" s="37">
        <f t="shared" ca="1" si="124"/>
        <v>16503.050330052276</v>
      </c>
      <c r="AR72" s="37">
        <f t="shared" ca="1" si="124"/>
        <v>18132.237515666402</v>
      </c>
      <c r="AS72" s="37">
        <f t="shared" ca="1" si="124"/>
        <v>19848.865850302693</v>
      </c>
      <c r="AT72" s="37">
        <f t="shared" ca="1" si="124"/>
        <v>21656.272717715252</v>
      </c>
      <c r="AU72" s="37">
        <f t="shared" ca="1" si="124"/>
        <v>23543.57240395738</v>
      </c>
      <c r="AV72" s="37">
        <f t="shared" ca="1" si="124"/>
        <v>25527.557781168387</v>
      </c>
      <c r="AW72" s="37">
        <f t="shared" ca="1" si="124"/>
        <v>27609.746458205409</v>
      </c>
      <c r="AX72" s="37">
        <f t="shared" ca="1" si="124"/>
        <v>29791.133424144835</v>
      </c>
      <c r="AY72" s="37">
        <f t="shared" ca="1" si="124"/>
        <v>32073.041401431841</v>
      </c>
      <c r="AZ72" s="37" t="e">
        <f t="shared" ca="1" si="124"/>
        <v>#N/A</v>
      </c>
      <c r="BA72" s="37" t="e">
        <f t="shared" ca="1" si="124"/>
        <v>#N/A</v>
      </c>
      <c r="BB72" s="37" t="e">
        <f t="shared" ca="1" si="124"/>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30442.023976779976</v>
      </c>
      <c r="AI73" s="39">
        <f ca="1">SUM(AI37,AI27,AI17,AI7)+SUM(AI38,AI28,AI18,AI8)*AI67</f>
        <v>32963.967749029565</v>
      </c>
      <c r="AJ73" s="39">
        <f t="shared" ref="AJ73:BB73" ca="1" si="125">SUM(AJ37,AJ27,AJ17,AJ7)+SUM(AJ38,AJ28,AJ18,AJ8)*AJ67</f>
        <v>36958.116714151613</v>
      </c>
      <c r="AK73" s="39">
        <f t="shared" ca="1" si="125"/>
        <v>41148.331465151168</v>
      </c>
      <c r="AL73" s="39">
        <f t="shared" ca="1" si="125"/>
        <v>45596.102943228936</v>
      </c>
      <c r="AM73" s="39">
        <f t="shared" ca="1" si="125"/>
        <v>50306.509358645184</v>
      </c>
      <c r="AN73" s="39">
        <f t="shared" ca="1" si="125"/>
        <v>55282.330175747498</v>
      </c>
      <c r="AO73" s="39">
        <f t="shared" ca="1" si="125"/>
        <v>60528.478314044383</v>
      </c>
      <c r="AP73" s="39">
        <f t="shared" ca="1" si="125"/>
        <v>66007.77507765402</v>
      </c>
      <c r="AQ73" s="39">
        <f t="shared" ca="1" si="125"/>
        <v>71774.539383545853</v>
      </c>
      <c r="AR73" s="39">
        <f t="shared" ca="1" si="125"/>
        <v>77838.708841768996</v>
      </c>
      <c r="AS73" s="39">
        <f ca="1">SUM(AS37,AS27,AS17,AS7)+SUM(AS38,AS28,AS18,AS8)*AS67</f>
        <v>84214.007632351422</v>
      </c>
      <c r="AT73" s="39">
        <f t="shared" ca="1" si="125"/>
        <v>90912.145154988102</v>
      </c>
      <c r="AU73" s="39">
        <f t="shared" ca="1" si="125"/>
        <v>97885.618212502202</v>
      </c>
      <c r="AV73" s="39">
        <f t="shared" ca="1" si="125"/>
        <v>105203.00736943395</v>
      </c>
      <c r="AW73" s="39">
        <f t="shared" ca="1" si="125"/>
        <v>112868.33402010315</v>
      </c>
      <c r="AX73" s="39">
        <f t="shared" ca="1" si="125"/>
        <v>120883.69467601867</v>
      </c>
      <c r="AY73" s="39">
        <f ca="1">SUM(AY37,AY27,AY17,AY7)+SUM(AY38,AY28,AY18,AY8)*AY67</f>
        <v>129252.71959820697</v>
      </c>
      <c r="AZ73" s="39" t="e">
        <f t="shared" ca="1" si="125"/>
        <v>#N/A</v>
      </c>
      <c r="BA73" s="39" t="e">
        <f t="shared" ca="1" si="125"/>
        <v>#N/A</v>
      </c>
      <c r="BB73" s="39" t="e">
        <f t="shared" ca="1" si="125"/>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0</v>
      </c>
      <c r="AI74" s="37">
        <f ca="1">SUM(AI39,AI29,AI19,AI9)</f>
        <v>0</v>
      </c>
      <c r="AJ74" s="37">
        <f t="shared" ref="AJ74:BB74" ca="1" si="126">SUM(AJ39,AJ29,AJ19,AJ9)</f>
        <v>0</v>
      </c>
      <c r="AK74" s="37">
        <f t="shared" ca="1" si="126"/>
        <v>0</v>
      </c>
      <c r="AL74" s="37">
        <f t="shared" ca="1" si="126"/>
        <v>0</v>
      </c>
      <c r="AM74" s="37">
        <f t="shared" ca="1" si="126"/>
        <v>0</v>
      </c>
      <c r="AN74" s="37">
        <f t="shared" ca="1" si="126"/>
        <v>0</v>
      </c>
      <c r="AO74" s="37">
        <f t="shared" ca="1" si="126"/>
        <v>0</v>
      </c>
      <c r="AP74" s="37">
        <f t="shared" ca="1" si="126"/>
        <v>0</v>
      </c>
      <c r="AQ74" s="37">
        <f t="shared" ca="1" si="126"/>
        <v>0</v>
      </c>
      <c r="AR74" s="37">
        <f t="shared" ca="1" si="126"/>
        <v>0</v>
      </c>
      <c r="AS74" s="37">
        <f t="shared" ca="1" si="126"/>
        <v>0</v>
      </c>
      <c r="AT74" s="37">
        <f t="shared" ca="1" si="126"/>
        <v>0</v>
      </c>
      <c r="AU74" s="37">
        <f t="shared" ca="1" si="126"/>
        <v>0</v>
      </c>
      <c r="AV74" s="37">
        <f t="shared" ca="1" si="126"/>
        <v>0</v>
      </c>
      <c r="AW74" s="37">
        <f t="shared" ca="1" si="126"/>
        <v>0</v>
      </c>
      <c r="AX74" s="37">
        <f t="shared" ca="1" si="126"/>
        <v>0</v>
      </c>
      <c r="AY74" s="37">
        <f t="shared" ca="1" si="126"/>
        <v>0</v>
      </c>
      <c r="AZ74" s="37" t="e">
        <f t="shared" ca="1" si="126"/>
        <v>#N/A</v>
      </c>
      <c r="BA74" s="37" t="e">
        <f t="shared" ca="1" si="126"/>
        <v>#N/A</v>
      </c>
      <c r="BB74" s="37" t="e">
        <f t="shared" ca="1" si="126"/>
        <v>#N/A</v>
      </c>
    </row>
    <row r="75" spans="1:54" x14ac:dyDescent="0.25">
      <c r="AG75" s="1" t="s">
        <v>59</v>
      </c>
      <c r="AH75" s="37">
        <f ca="1">+SUM(AH38,AH28,AH18,AH8)*(1-AH67)</f>
        <v>0</v>
      </c>
      <c r="AI75" s="37">
        <f ca="1">+SUM(AI38,AI28,AI18,AI8)*(1-AI67)</f>
        <v>0</v>
      </c>
      <c r="AJ75" s="37">
        <f t="shared" ref="AJ75:BB75" ca="1" si="127">+SUM(AJ38,AJ28,AJ18,AJ8)*(1-AJ67)</f>
        <v>0</v>
      </c>
      <c r="AK75" s="37">
        <f t="shared" ca="1" si="127"/>
        <v>0</v>
      </c>
      <c r="AL75" s="37">
        <f t="shared" ca="1" si="127"/>
        <v>0</v>
      </c>
      <c r="AM75" s="37">
        <f t="shared" ca="1" si="127"/>
        <v>0</v>
      </c>
      <c r="AN75" s="37">
        <f t="shared" ca="1" si="127"/>
        <v>0</v>
      </c>
      <c r="AO75" s="37">
        <f t="shared" ca="1" si="127"/>
        <v>0</v>
      </c>
      <c r="AP75" s="37">
        <f t="shared" ca="1" si="127"/>
        <v>0</v>
      </c>
      <c r="AQ75" s="37">
        <f t="shared" ca="1" si="127"/>
        <v>0</v>
      </c>
      <c r="AR75" s="37">
        <f t="shared" ca="1" si="127"/>
        <v>0</v>
      </c>
      <c r="AS75" s="37">
        <f ca="1">+SUM(AS38,AS28,AS18,AS8)*(1-AS67)</f>
        <v>0</v>
      </c>
      <c r="AT75" s="37">
        <f t="shared" ca="1" si="127"/>
        <v>0</v>
      </c>
      <c r="AU75" s="37">
        <f t="shared" ca="1" si="127"/>
        <v>0</v>
      </c>
      <c r="AV75" s="37">
        <f t="shared" ca="1" si="127"/>
        <v>0</v>
      </c>
      <c r="AW75" s="37">
        <f t="shared" ca="1" si="127"/>
        <v>0</v>
      </c>
      <c r="AX75" s="37">
        <f t="shared" ca="1" si="127"/>
        <v>0</v>
      </c>
      <c r="AY75" s="37">
        <f t="shared" ca="1" si="127"/>
        <v>0</v>
      </c>
      <c r="AZ75" s="37" t="e">
        <f t="shared" ca="1" si="127"/>
        <v>#N/A</v>
      </c>
      <c r="BA75" s="37" t="e">
        <f t="shared" ca="1" si="127"/>
        <v>#N/A</v>
      </c>
      <c r="BB75" s="37" t="e">
        <f t="shared" ca="1" si="127"/>
        <v>#N/A</v>
      </c>
    </row>
    <row r="76" spans="1:54" x14ac:dyDescent="0.25">
      <c r="AG76" s="12" t="s">
        <v>60</v>
      </c>
      <c r="AH76" s="45">
        <f ca="1">SUM(AH71:AH75)</f>
        <v>89024.265533948303</v>
      </c>
      <c r="AI76" s="45">
        <f ca="1">SUM(AI71:AI75)</f>
        <v>100729.28281130738</v>
      </c>
      <c r="AJ76" s="45">
        <f t="shared" ref="AJ76:BB76" ca="1" si="128">SUM(AJ71:AJ75)</f>
        <v>115162.02239264318</v>
      </c>
      <c r="AK76" s="45">
        <f t="shared" ca="1" si="128"/>
        <v>130357.34228744678</v>
      </c>
      <c r="AL76" s="45">
        <f t="shared" ca="1" si="128"/>
        <v>146512.11339151795</v>
      </c>
      <c r="AM76" s="45">
        <f t="shared" ca="1" si="128"/>
        <v>163649.65366963498</v>
      </c>
      <c r="AN76" s="45">
        <f t="shared" ca="1" si="128"/>
        <v>181784.8858162894</v>
      </c>
      <c r="AO76" s="45">
        <f t="shared" ca="1" si="128"/>
        <v>200938.91544530093</v>
      </c>
      <c r="AP76" s="45">
        <f t="shared" ca="1" si="128"/>
        <v>220991.49873499904</v>
      </c>
      <c r="AQ76" s="45">
        <f t="shared" ca="1" si="128"/>
        <v>242126.44063321885</v>
      </c>
      <c r="AR76" s="45">
        <f t="shared" ca="1" si="128"/>
        <v>264381.71819468017</v>
      </c>
      <c r="AS76" s="45">
        <f ca="1">SUM(AS71:AS75)</f>
        <v>287808.33586605161</v>
      </c>
      <c r="AT76" s="45">
        <f t="shared" ca="1" si="128"/>
        <v>312450.7334176891</v>
      </c>
      <c r="AU76" s="45">
        <f t="shared" ca="1" si="128"/>
        <v>338148.94271819288</v>
      </c>
      <c r="AV76" s="45">
        <f t="shared" ca="1" si="128"/>
        <v>365142.15753158974</v>
      </c>
      <c r="AW76" s="45">
        <f t="shared" ca="1" si="128"/>
        <v>393448.48392335698</v>
      </c>
      <c r="AX76" s="45">
        <f t="shared" ca="1" si="128"/>
        <v>423078.9217155879</v>
      </c>
      <c r="AY76" s="45">
        <f t="shared" ca="1" si="128"/>
        <v>454049.45392405248</v>
      </c>
      <c r="AZ76" s="45" t="e">
        <f t="shared" ca="1" si="128"/>
        <v>#N/A</v>
      </c>
      <c r="BA76" s="45" t="e">
        <f t="shared" ca="1" si="128"/>
        <v>#N/A</v>
      </c>
      <c r="BB76" s="45" t="e">
        <f t="shared" ca="1" si="128"/>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129">AJ79+1</f>
        <v>2021</v>
      </c>
      <c r="AL79" s="36">
        <f t="shared" si="129"/>
        <v>2022</v>
      </c>
      <c r="AM79" s="36">
        <f t="shared" si="129"/>
        <v>2023</v>
      </c>
      <c r="AN79" s="36">
        <f t="shared" si="129"/>
        <v>2024</v>
      </c>
      <c r="AO79" s="36">
        <f t="shared" si="129"/>
        <v>2025</v>
      </c>
      <c r="AP79" s="36">
        <f t="shared" si="129"/>
        <v>2026</v>
      </c>
      <c r="AQ79" s="36">
        <f t="shared" si="129"/>
        <v>2027</v>
      </c>
      <c r="AR79" s="36">
        <f t="shared" si="129"/>
        <v>2028</v>
      </c>
      <c r="AS79" s="36">
        <f t="shared" si="129"/>
        <v>2029</v>
      </c>
      <c r="AT79" s="36">
        <f t="shared" si="129"/>
        <v>2030</v>
      </c>
      <c r="AU79" s="36">
        <f t="shared" si="129"/>
        <v>2031</v>
      </c>
      <c r="AV79" s="36">
        <f t="shared" si="129"/>
        <v>2032</v>
      </c>
      <c r="AW79" s="36">
        <f t="shared" si="129"/>
        <v>2033</v>
      </c>
      <c r="AX79" s="36">
        <f t="shared" si="129"/>
        <v>2034</v>
      </c>
      <c r="AY79" s="36">
        <f t="shared" si="129"/>
        <v>2035</v>
      </c>
      <c r="AZ79" s="36">
        <f t="shared" si="129"/>
        <v>2036</v>
      </c>
      <c r="BA79" s="36">
        <f t="shared" si="129"/>
        <v>2037</v>
      </c>
      <c r="BB79" s="36">
        <f t="shared" si="129"/>
        <v>2038</v>
      </c>
    </row>
    <row r="80" spans="1:54" x14ac:dyDescent="0.25">
      <c r="AG80" s="1" t="s">
        <v>52</v>
      </c>
      <c r="AH80" s="37">
        <f ca="1">SUM(AH55,AH45)</f>
        <v>48358.520864429796</v>
      </c>
      <c r="AI80" s="37">
        <f ca="1">SUM(AI55,AI45)</f>
        <v>56515.073884773352</v>
      </c>
      <c r="AJ80" s="37">
        <f t="shared" ref="AJ80:BB80" ca="1" si="130">SUM(AJ55,AJ45)</f>
        <v>65213.137058890337</v>
      </c>
      <c r="AK80" s="37">
        <f t="shared" ca="1" si="130"/>
        <v>74383.110320368083</v>
      </c>
      <c r="AL80" s="37">
        <f t="shared" ca="1" si="130"/>
        <v>84137.86780644246</v>
      </c>
      <c r="AM80" s="37">
        <f t="shared" ca="1" si="130"/>
        <v>94492.594759449566</v>
      </c>
      <c r="AN80" s="37">
        <f t="shared" ca="1" si="130"/>
        <v>105457.39666635168</v>
      </c>
      <c r="AO80" s="37">
        <f t="shared" ca="1" si="130"/>
        <v>117045.75733358241</v>
      </c>
      <c r="AP80" s="37">
        <f t="shared" ca="1" si="130"/>
        <v>129188.42436506067</v>
      </c>
      <c r="AQ80" s="37">
        <f t="shared" ca="1" si="130"/>
        <v>141993.32652858488</v>
      </c>
      <c r="AR80" s="37">
        <f t="shared" ca="1" si="130"/>
        <v>155483.82247741279</v>
      </c>
      <c r="AS80" s="37">
        <f t="shared" ca="1" si="130"/>
        <v>169690.97261873318</v>
      </c>
      <c r="AT80" s="37">
        <f t="shared" ca="1" si="130"/>
        <v>184642.04420745853</v>
      </c>
      <c r="AU80" s="37">
        <f t="shared" ca="1" si="130"/>
        <v>200243.29358652572</v>
      </c>
      <c r="AV80" s="37">
        <f t="shared" ca="1" si="130"/>
        <v>216636.90890223259</v>
      </c>
      <c r="AW80" s="37">
        <f t="shared" ca="1" si="130"/>
        <v>233834.61683833617</v>
      </c>
      <c r="AX80" s="37">
        <f t="shared" ca="1" si="130"/>
        <v>251843.82705765968</v>
      </c>
      <c r="AY80" s="37">
        <f t="shared" ca="1" si="130"/>
        <v>270674.824995448</v>
      </c>
      <c r="AZ80" s="37" t="e">
        <f t="shared" ca="1" si="130"/>
        <v>#N/A</v>
      </c>
      <c r="BA80" s="37" t="e">
        <f t="shared" ca="1" si="130"/>
        <v>#N/A</v>
      </c>
      <c r="BB80" s="37" t="e">
        <f t="shared" ca="1" si="130"/>
        <v>#N/A</v>
      </c>
    </row>
    <row r="81" spans="12:54" x14ac:dyDescent="0.25">
      <c r="AG81" s="1" t="s">
        <v>54</v>
      </c>
      <c r="AH81" s="37">
        <f ca="1">SUM(AH56,AH46,AH50,AH60)</f>
        <v>267.86804665407533</v>
      </c>
      <c r="AI81" s="37">
        <f ca="1">SUM(AI56,AI46,AI50,AI60)</f>
        <v>186.03491991346547</v>
      </c>
      <c r="AJ81" s="37">
        <f t="shared" ref="AJ81:BB81" ca="1" si="131">SUM(AJ56,AJ46,AJ50,AJ60)</f>
        <v>128.76440378632455</v>
      </c>
      <c r="AK81" s="37">
        <f t="shared" ca="1" si="131"/>
        <v>66.744219425999518</v>
      </c>
      <c r="AL81" s="37">
        <f t="shared" ca="1" si="131"/>
        <v>0</v>
      </c>
      <c r="AM81" s="37">
        <f t="shared" ca="1" si="131"/>
        <v>0</v>
      </c>
      <c r="AN81" s="37">
        <f t="shared" ca="1" si="131"/>
        <v>0</v>
      </c>
      <c r="AO81" s="37">
        <f t="shared" ca="1" si="131"/>
        <v>0</v>
      </c>
      <c r="AP81" s="37">
        <f t="shared" ca="1" si="131"/>
        <v>0</v>
      </c>
      <c r="AQ81" s="37">
        <f t="shared" ca="1" si="131"/>
        <v>0</v>
      </c>
      <c r="AR81" s="37">
        <f t="shared" ca="1" si="131"/>
        <v>0</v>
      </c>
      <c r="AS81" s="37">
        <f t="shared" ca="1" si="131"/>
        <v>0</v>
      </c>
      <c r="AT81" s="37">
        <f t="shared" ca="1" si="131"/>
        <v>0</v>
      </c>
      <c r="AU81" s="37">
        <f t="shared" ca="1" si="131"/>
        <v>0</v>
      </c>
      <c r="AV81" s="37">
        <f t="shared" ca="1" si="131"/>
        <v>0</v>
      </c>
      <c r="AW81" s="37">
        <f t="shared" ca="1" si="131"/>
        <v>0</v>
      </c>
      <c r="AX81" s="37">
        <f t="shared" ca="1" si="131"/>
        <v>0</v>
      </c>
      <c r="AY81" s="37">
        <f t="shared" ca="1" si="131"/>
        <v>0</v>
      </c>
      <c r="AZ81" s="37" t="e">
        <f t="shared" ca="1" si="131"/>
        <v>#N/A</v>
      </c>
      <c r="BA81" s="37" t="e">
        <f t="shared" ca="1" si="131"/>
        <v>#N/A</v>
      </c>
      <c r="BB81" s="37" t="e">
        <f t="shared" ca="1" si="131"/>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8830.9886348305336</v>
      </c>
      <c r="AI82" s="39">
        <f ca="1">SUM(AI57,AI47)+SUM(AI48,AI58)*AI67</f>
        <v>9996.9051832204423</v>
      </c>
      <c r="AJ82" s="39">
        <f t="shared" ref="AJ82:BB82" ca="1" si="132">SUM(AJ57,AJ47)+SUM(AJ48,AJ58)*AJ67</f>
        <v>11236.969232555621</v>
      </c>
      <c r="AK82" s="39">
        <f t="shared" ca="1" si="132"/>
        <v>12538.604530675941</v>
      </c>
      <c r="AL82" s="39">
        <f t="shared" ca="1" si="132"/>
        <v>13920.575137063168</v>
      </c>
      <c r="AM82" s="39">
        <f t="shared" ca="1" si="132"/>
        <v>15384.521840827747</v>
      </c>
      <c r="AN82" s="39">
        <f t="shared" ca="1" si="132"/>
        <v>16931.370592069434</v>
      </c>
      <c r="AO82" s="39">
        <f t="shared" ca="1" si="132"/>
        <v>18562.690005066972</v>
      </c>
      <c r="AP82" s="39">
        <f t="shared" ca="1" si="132"/>
        <v>20267.119294505956</v>
      </c>
      <c r="AQ82" s="39">
        <f t="shared" ca="1" si="132"/>
        <v>22061.361763637982</v>
      </c>
      <c r="AR82" s="39">
        <f t="shared" ca="1" si="132"/>
        <v>23948.529447122561</v>
      </c>
      <c r="AS82" s="39">
        <f t="shared" ca="1" si="132"/>
        <v>25932.901534520897</v>
      </c>
      <c r="AT82" s="39">
        <f t="shared" ca="1" si="132"/>
        <v>28018.140928376786</v>
      </c>
      <c r="AU82" s="39">
        <f t="shared" ca="1" si="132"/>
        <v>30189.6501805392</v>
      </c>
      <c r="AV82" s="39">
        <f t="shared" ca="1" si="132"/>
        <v>32468.610190430194</v>
      </c>
      <c r="AW82" s="39">
        <f t="shared" ca="1" si="132"/>
        <v>34856.315646630981</v>
      </c>
      <c r="AX82" s="39">
        <f t="shared" ca="1" si="132"/>
        <v>37353.461672463818</v>
      </c>
      <c r="AY82" s="39">
        <f t="shared" ca="1" si="132"/>
        <v>39961.212356271724</v>
      </c>
      <c r="AZ82" s="39" t="e">
        <f t="shared" ca="1" si="132"/>
        <v>#N/A</v>
      </c>
      <c r="BA82" s="39" t="e">
        <f t="shared" ca="1" si="132"/>
        <v>#N/A</v>
      </c>
      <c r="BB82" s="39" t="e">
        <f t="shared" ca="1" si="132"/>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0</v>
      </c>
      <c r="AI83" s="37">
        <f ca="1">SUM(AI59,AI49)</f>
        <v>0</v>
      </c>
      <c r="AJ83" s="37">
        <f t="shared" ref="AJ83:BB83" ca="1" si="133">SUM(AJ59,AJ49)</f>
        <v>0</v>
      </c>
      <c r="AK83" s="37">
        <f t="shared" ca="1" si="133"/>
        <v>0</v>
      </c>
      <c r="AL83" s="37">
        <f t="shared" ca="1" si="133"/>
        <v>0</v>
      </c>
      <c r="AM83" s="37">
        <f t="shared" ca="1" si="133"/>
        <v>0</v>
      </c>
      <c r="AN83" s="37">
        <f t="shared" ca="1" si="133"/>
        <v>0</v>
      </c>
      <c r="AO83" s="37">
        <f t="shared" ca="1" si="133"/>
        <v>0</v>
      </c>
      <c r="AP83" s="37">
        <f t="shared" ca="1" si="133"/>
        <v>0</v>
      </c>
      <c r="AQ83" s="37">
        <f t="shared" ca="1" si="133"/>
        <v>0</v>
      </c>
      <c r="AR83" s="37">
        <f t="shared" ca="1" si="133"/>
        <v>0</v>
      </c>
      <c r="AS83" s="37">
        <f t="shared" ca="1" si="133"/>
        <v>0</v>
      </c>
      <c r="AT83" s="37">
        <f t="shared" ca="1" si="133"/>
        <v>0</v>
      </c>
      <c r="AU83" s="37">
        <f t="shared" ca="1" si="133"/>
        <v>0</v>
      </c>
      <c r="AV83" s="37">
        <f t="shared" ca="1" si="133"/>
        <v>0</v>
      </c>
      <c r="AW83" s="37">
        <f t="shared" ca="1" si="133"/>
        <v>0</v>
      </c>
      <c r="AX83" s="37">
        <f t="shared" ca="1" si="133"/>
        <v>0</v>
      </c>
      <c r="AY83" s="37">
        <f t="shared" ca="1" si="133"/>
        <v>0</v>
      </c>
      <c r="AZ83" s="37" t="e">
        <f t="shared" ca="1" si="133"/>
        <v>#N/A</v>
      </c>
      <c r="BA83" s="37" t="e">
        <f t="shared" ca="1" si="133"/>
        <v>#N/A</v>
      </c>
      <c r="BB83" s="37" t="e">
        <f t="shared" ca="1" si="133"/>
        <v>#N/A</v>
      </c>
    </row>
    <row r="84" spans="12:54" x14ac:dyDescent="0.25">
      <c r="AG84" s="1" t="s">
        <v>59</v>
      </c>
      <c r="AH84" s="37">
        <f ca="1">SUM(AH48,AH58)*(1-AH67)</f>
        <v>0</v>
      </c>
      <c r="AI84" s="37">
        <f ca="1">SUM(AI48,AI58)*(1-AI67)</f>
        <v>0</v>
      </c>
      <c r="AJ84" s="37">
        <f t="shared" ref="AJ84:BB84" ca="1" si="134">SUM(AJ48,AJ58)*(1-AJ67)</f>
        <v>0</v>
      </c>
      <c r="AK84" s="37">
        <f t="shared" ca="1" si="134"/>
        <v>0</v>
      </c>
      <c r="AL84" s="37">
        <f t="shared" ca="1" si="134"/>
        <v>0</v>
      </c>
      <c r="AM84" s="37">
        <f t="shared" ca="1" si="134"/>
        <v>0</v>
      </c>
      <c r="AN84" s="37">
        <f t="shared" ca="1" si="134"/>
        <v>0</v>
      </c>
      <c r="AO84" s="37">
        <f t="shared" ca="1" si="134"/>
        <v>0</v>
      </c>
      <c r="AP84" s="37">
        <f t="shared" ca="1" si="134"/>
        <v>0</v>
      </c>
      <c r="AQ84" s="37">
        <f t="shared" ca="1" si="134"/>
        <v>0</v>
      </c>
      <c r="AR84" s="37">
        <f t="shared" ca="1" si="134"/>
        <v>0</v>
      </c>
      <c r="AS84" s="37">
        <f t="shared" ca="1" si="134"/>
        <v>0</v>
      </c>
      <c r="AT84" s="37">
        <f t="shared" ca="1" si="134"/>
        <v>0</v>
      </c>
      <c r="AU84" s="37">
        <f t="shared" ca="1" si="134"/>
        <v>0</v>
      </c>
      <c r="AV84" s="37">
        <f t="shared" ca="1" si="134"/>
        <v>0</v>
      </c>
      <c r="AW84" s="37">
        <f t="shared" ca="1" si="134"/>
        <v>0</v>
      </c>
      <c r="AX84" s="37">
        <f t="shared" ca="1" si="134"/>
        <v>0</v>
      </c>
      <c r="AY84" s="37">
        <f t="shared" ca="1" si="134"/>
        <v>0</v>
      </c>
      <c r="AZ84" s="37" t="e">
        <f t="shared" ca="1" si="134"/>
        <v>#N/A</v>
      </c>
      <c r="BA84" s="37" t="e">
        <f t="shared" ca="1" si="134"/>
        <v>#N/A</v>
      </c>
      <c r="BB84" s="37" t="e">
        <f t="shared" ca="1" si="134"/>
        <v>#N/A</v>
      </c>
    </row>
    <row r="85" spans="12:54" x14ac:dyDescent="0.25">
      <c r="AG85" s="12" t="s">
        <v>60</v>
      </c>
      <c r="AH85" s="45">
        <f ca="1">SUM(AH80:AH84)</f>
        <v>57457.377545914409</v>
      </c>
      <c r="AI85" s="45">
        <f ca="1">SUM(AI80:AI84)</f>
        <v>66698.013987907267</v>
      </c>
      <c r="AJ85" s="45">
        <f t="shared" ref="AJ85:BB85" ca="1" si="135">SUM(AJ80:AJ84)</f>
        <v>76578.870695232283</v>
      </c>
      <c r="AK85" s="45">
        <f t="shared" ca="1" si="135"/>
        <v>86988.459070470009</v>
      </c>
      <c r="AL85" s="45">
        <f t="shared" ca="1" si="135"/>
        <v>98058.442943505623</v>
      </c>
      <c r="AM85" s="45">
        <f t="shared" ca="1" si="135"/>
        <v>109877.11660027731</v>
      </c>
      <c r="AN85" s="45">
        <f t="shared" ca="1" si="135"/>
        <v>122388.76725842111</v>
      </c>
      <c r="AO85" s="45">
        <f t="shared" ca="1" si="135"/>
        <v>135608.44733864939</v>
      </c>
      <c r="AP85" s="45">
        <f t="shared" ca="1" si="135"/>
        <v>149455.54365956661</v>
      </c>
      <c r="AQ85" s="45">
        <f t="shared" ca="1" si="135"/>
        <v>164054.68829222285</v>
      </c>
      <c r="AR85" s="45">
        <f t="shared" ca="1" si="135"/>
        <v>179432.35192453535</v>
      </c>
      <c r="AS85" s="45">
        <f t="shared" ca="1" si="135"/>
        <v>195623.87415325409</v>
      </c>
      <c r="AT85" s="45">
        <f t="shared" ca="1" si="135"/>
        <v>212660.18513583532</v>
      </c>
      <c r="AU85" s="45">
        <f t="shared" ca="1" si="135"/>
        <v>230432.94376706492</v>
      </c>
      <c r="AV85" s="45">
        <f t="shared" ca="1" si="135"/>
        <v>249105.51909266278</v>
      </c>
      <c r="AW85" s="45">
        <f t="shared" ca="1" si="135"/>
        <v>268690.93248496717</v>
      </c>
      <c r="AX85" s="45">
        <f t="shared" ca="1" si="135"/>
        <v>289197.28873012349</v>
      </c>
      <c r="AY85" s="45">
        <f t="shared" ca="1" si="135"/>
        <v>310636.03735171974</v>
      </c>
      <c r="AZ85" s="45" t="e">
        <f t="shared" ca="1" si="135"/>
        <v>#N/A</v>
      </c>
      <c r="BA85" s="45" t="e">
        <f t="shared" ca="1" si="135"/>
        <v>#N/A</v>
      </c>
      <c r="BB85" s="45" t="e">
        <f t="shared" ca="1" si="135"/>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181</v>
      </c>
      <c r="AH87" s="6"/>
    </row>
    <row r="88" spans="12:54" x14ac:dyDescent="0.25">
      <c r="AF88" s="6" t="s">
        <v>178</v>
      </c>
      <c r="AG88" s="38"/>
      <c r="AH88" s="36">
        <f>AI88-1</f>
        <v>2018</v>
      </c>
      <c r="AI88" s="36">
        <f>Yr_Start</f>
        <v>2019</v>
      </c>
      <c r="AJ88" s="36">
        <f>AI88+1</f>
        <v>2020</v>
      </c>
      <c r="AK88" s="36">
        <f t="shared" ref="AK88:BB88" si="136">AJ88+1</f>
        <v>2021</v>
      </c>
      <c r="AL88" s="36">
        <f t="shared" si="136"/>
        <v>2022</v>
      </c>
      <c r="AM88" s="36">
        <f t="shared" si="136"/>
        <v>2023</v>
      </c>
      <c r="AN88" s="36">
        <f t="shared" si="136"/>
        <v>2024</v>
      </c>
      <c r="AO88" s="36">
        <f t="shared" si="136"/>
        <v>2025</v>
      </c>
      <c r="AP88" s="36">
        <f t="shared" si="136"/>
        <v>2026</v>
      </c>
      <c r="AQ88" s="36">
        <f t="shared" si="136"/>
        <v>2027</v>
      </c>
      <c r="AR88" s="36">
        <f t="shared" si="136"/>
        <v>2028</v>
      </c>
      <c r="AS88" s="36">
        <f t="shared" si="136"/>
        <v>2029</v>
      </c>
      <c r="AT88" s="36">
        <f t="shared" si="136"/>
        <v>2030</v>
      </c>
      <c r="AU88" s="36">
        <f t="shared" si="136"/>
        <v>2031</v>
      </c>
      <c r="AV88" s="36">
        <f t="shared" si="136"/>
        <v>2032</v>
      </c>
      <c r="AW88" s="36">
        <f t="shared" si="136"/>
        <v>2033</v>
      </c>
      <c r="AX88" s="36">
        <f t="shared" si="136"/>
        <v>2034</v>
      </c>
      <c r="AY88" s="36">
        <f t="shared" si="136"/>
        <v>2035</v>
      </c>
      <c r="AZ88" s="36">
        <f t="shared" si="136"/>
        <v>2036</v>
      </c>
      <c r="BA88" s="36">
        <f t="shared" si="136"/>
        <v>2037</v>
      </c>
      <c r="BB88" s="36">
        <f t="shared" si="136"/>
        <v>2038</v>
      </c>
    </row>
    <row r="89" spans="12:54" x14ac:dyDescent="0.25">
      <c r="AG89" s="1" t="s">
        <v>52</v>
      </c>
      <c r="AH89" s="1"/>
      <c r="AI89" s="37">
        <f ca="1">IF((AI71-AH71)&lt;0,AH71/4.6,(AI71-AH71)+AH71/4.6)</f>
        <v>20276.729794938823</v>
      </c>
      <c r="AJ89" s="37">
        <f ca="1">IF((AJ71-AI71)&lt;0,AI71/4.6,(AJ71-AI71)+AI71/4.6)</f>
        <v>22776.239368590155</v>
      </c>
      <c r="AK89" s="37">
        <f t="shared" ref="AK89:BB93" ca="1" si="137">IF((AK71-AJ71)&lt;0,AJ71/4.6,(AK71-AJ71)+AJ71/4.6)</f>
        <v>25326.851253373079</v>
      </c>
      <c r="AL89" s="37">
        <f t="shared" ca="1" si="137"/>
        <v>28110.567034294458</v>
      </c>
      <c r="AM89" s="37">
        <f t="shared" ca="1" si="137"/>
        <v>31047.686368878876</v>
      </c>
      <c r="AN89" s="37">
        <f t="shared" ca="1" si="137"/>
        <v>34136.260616203777</v>
      </c>
      <c r="AO89" s="37">
        <f t="shared" ca="1" si="137"/>
        <v>37382.324577006846</v>
      </c>
      <c r="AP89" s="37">
        <f t="shared" ca="1" si="137"/>
        <v>40699.360341606734</v>
      </c>
      <c r="AQ89" s="37">
        <f t="shared" ca="1" si="137"/>
        <v>44263.137243264951</v>
      </c>
      <c r="AR89" s="37">
        <f t="shared" ca="1" si="137"/>
        <v>48007.323291454595</v>
      </c>
      <c r="AS89" s="37">
        <f t="shared" ca="1" si="137"/>
        <v>51945.727902075567</v>
      </c>
      <c r="AT89" s="37">
        <f t="shared" ca="1" si="137"/>
        <v>56081.518897109461</v>
      </c>
      <c r="AU89" s="37">
        <f t="shared" ca="1" si="137"/>
        <v>60290.11384913572</v>
      </c>
      <c r="AV89" s="37">
        <f t="shared" ca="1" si="137"/>
        <v>64804.829866587432</v>
      </c>
      <c r="AW89" s="37">
        <f t="shared" ca="1" si="137"/>
        <v>69517.852886014793</v>
      </c>
      <c r="AX89" s="37">
        <f t="shared" ca="1" si="137"/>
        <v>74427.256136690878</v>
      </c>
      <c r="AY89" s="37">
        <f t="shared" ca="1" si="137"/>
        <v>79537.880529733695</v>
      </c>
      <c r="AZ89" s="37" t="e">
        <f t="shared" ca="1" si="137"/>
        <v>#N/A</v>
      </c>
      <c r="BA89" s="37" t="e">
        <f t="shared" ca="1" si="137"/>
        <v>#N/A</v>
      </c>
      <c r="BB89" s="37" t="e">
        <f t="shared" ca="1" si="137"/>
        <v>#N/A</v>
      </c>
    </row>
    <row r="90" spans="12:54" x14ac:dyDescent="0.25">
      <c r="AG90" s="1" t="s">
        <v>54</v>
      </c>
      <c r="AH90" s="1"/>
      <c r="AI90" s="37">
        <f t="shared" ref="AI90:AY93" ca="1" si="138">IF((AI72-AH72)&lt;0,AH72/4.6,(AI72-AH72)+AH72/4.6)</f>
        <v>1641.6136139029122</v>
      </c>
      <c r="AJ90" s="37">
        <f t="shared" ca="1" si="138"/>
        <v>2393.9414785535537</v>
      </c>
      <c r="AK90" s="37">
        <f t="shared" ca="1" si="138"/>
        <v>2679.1029509726295</v>
      </c>
      <c r="AL90" s="37">
        <f t="shared" ca="1" si="138"/>
        <v>2989.6958139371018</v>
      </c>
      <c r="AM90" s="37">
        <f t="shared" ca="1" si="138"/>
        <v>3317.7106347543104</v>
      </c>
      <c r="AN90" s="37">
        <f t="shared" ca="1" si="138"/>
        <v>3662.9646939982863</v>
      </c>
      <c r="AO90" s="37">
        <f t="shared" ca="1" si="138"/>
        <v>4026.112487738641</v>
      </c>
      <c r="AP90" s="37">
        <f t="shared" ca="1" si="138"/>
        <v>4397.9342564940589</v>
      </c>
      <c r="AQ90" s="37">
        <f t="shared" ca="1" si="138"/>
        <v>4797.1541876163119</v>
      </c>
      <c r="AR90" s="37">
        <f t="shared" ca="1" si="138"/>
        <v>5216.8068225820125</v>
      </c>
      <c r="AS90" s="37">
        <f t="shared" ca="1" si="138"/>
        <v>5658.4190989115959</v>
      </c>
      <c r="AT90" s="37">
        <f t="shared" ca="1" si="138"/>
        <v>6122.3777044348844</v>
      </c>
      <c r="AU90" s="37">
        <f t="shared" ca="1" si="138"/>
        <v>6595.1850596584873</v>
      </c>
      <c r="AV90" s="37">
        <f t="shared" ca="1" si="138"/>
        <v>7102.153291114786</v>
      </c>
      <c r="AW90" s="37">
        <f t="shared" ca="1" si="138"/>
        <v>7631.6577598997155</v>
      </c>
      <c r="AX90" s="37">
        <f t="shared" ca="1" si="138"/>
        <v>8183.5057612014716</v>
      </c>
      <c r="AY90" s="37">
        <f t="shared" ca="1" si="138"/>
        <v>8758.2413303619705</v>
      </c>
      <c r="AZ90" s="37" t="e">
        <f t="shared" ca="1" si="137"/>
        <v>#N/A</v>
      </c>
      <c r="BA90" s="37" t="e">
        <f t="shared" ca="1" si="137"/>
        <v>#N/A</v>
      </c>
      <c r="BB90" s="37" t="e">
        <f t="shared" ca="1" si="137"/>
        <v>#N/A</v>
      </c>
    </row>
    <row r="91" spans="12:54" x14ac:dyDescent="0.25">
      <c r="AG91" s="1" t="s">
        <v>56</v>
      </c>
      <c r="AH91" s="1"/>
      <c r="AI91" s="37">
        <f t="shared" ca="1" si="138"/>
        <v>9139.7750715495858</v>
      </c>
      <c r="AJ91" s="37">
        <f t="shared" ca="1" si="138"/>
        <v>11160.228910563259</v>
      </c>
      <c r="AK91" s="37">
        <f t="shared" ca="1" si="137"/>
        <v>12224.587949728168</v>
      </c>
      <c r="AL91" s="37">
        <f t="shared" ca="1" si="137"/>
        <v>13393.060927023675</v>
      </c>
      <c r="AM91" s="37">
        <f t="shared" ca="1" si="137"/>
        <v>14622.602707422539</v>
      </c>
      <c r="AN91" s="37">
        <f t="shared" ca="1" si="137"/>
        <v>15912.018503764311</v>
      </c>
      <c r="AO91" s="37">
        <f t="shared" ca="1" si="137"/>
        <v>17264.046002589821</v>
      </c>
      <c r="AP91" s="37">
        <f t="shared" ca="1" si="137"/>
        <v>18637.66161448885</v>
      </c>
      <c r="AQ91" s="37">
        <f t="shared" ca="1" si="137"/>
        <v>20116.28062712097</v>
      </c>
      <c r="AR91" s="37">
        <f t="shared" ca="1" si="137"/>
        <v>21667.33019377659</v>
      </c>
      <c r="AS91" s="37">
        <f t="shared" ca="1" si="137"/>
        <v>23296.757234445253</v>
      </c>
      <c r="AT91" s="37">
        <f t="shared" ca="1" si="137"/>
        <v>25005.530486191339</v>
      </c>
      <c r="AU91" s="37">
        <f t="shared" ca="1" si="137"/>
        <v>26736.982873815865</v>
      </c>
      <c r="AV91" s="37">
        <f t="shared" ca="1" si="137"/>
        <v>28596.871377040927</v>
      </c>
      <c r="AW91" s="37">
        <f t="shared" ca="1" si="137"/>
        <v>30535.545644024409</v>
      </c>
      <c r="AX91" s="37">
        <f t="shared" ca="1" si="137"/>
        <v>32551.955008111854</v>
      </c>
      <c r="AY91" s="37">
        <f t="shared" ca="1" si="137"/>
        <v>34648.088982192363</v>
      </c>
      <c r="AZ91" s="37" t="e">
        <f t="shared" ca="1" si="137"/>
        <v>#N/A</v>
      </c>
      <c r="BA91" s="37" t="e">
        <f t="shared" ca="1" si="137"/>
        <v>#N/A</v>
      </c>
      <c r="BB91" s="37" t="e">
        <f t="shared" ca="1" si="137"/>
        <v>#N/A</v>
      </c>
    </row>
    <row r="92" spans="12:54" x14ac:dyDescent="0.25">
      <c r="AG92" s="1" t="s">
        <v>57</v>
      </c>
      <c r="AH92" s="1"/>
      <c r="AI92" s="37">
        <f t="shared" ca="1" si="138"/>
        <v>0</v>
      </c>
      <c r="AJ92" s="37">
        <f t="shared" ca="1" si="138"/>
        <v>0</v>
      </c>
      <c r="AK92" s="37">
        <f t="shared" ca="1" si="137"/>
        <v>0</v>
      </c>
      <c r="AL92" s="37">
        <f t="shared" ca="1" si="137"/>
        <v>0</v>
      </c>
      <c r="AM92" s="37">
        <f t="shared" ca="1" si="137"/>
        <v>0</v>
      </c>
      <c r="AN92" s="37">
        <f t="shared" ca="1" si="137"/>
        <v>0</v>
      </c>
      <c r="AO92" s="37">
        <f t="shared" ca="1" si="137"/>
        <v>0</v>
      </c>
      <c r="AP92" s="37">
        <f t="shared" ca="1" si="137"/>
        <v>0</v>
      </c>
      <c r="AQ92" s="37">
        <f t="shared" ca="1" si="137"/>
        <v>0</v>
      </c>
      <c r="AR92" s="37">
        <f t="shared" ca="1" si="137"/>
        <v>0</v>
      </c>
      <c r="AS92" s="37">
        <f t="shared" ca="1" si="137"/>
        <v>0</v>
      </c>
      <c r="AT92" s="37">
        <f t="shared" ca="1" si="137"/>
        <v>0</v>
      </c>
      <c r="AU92" s="37">
        <f t="shared" ca="1" si="137"/>
        <v>0</v>
      </c>
      <c r="AV92" s="37">
        <f t="shared" ca="1" si="137"/>
        <v>0</v>
      </c>
      <c r="AW92" s="37">
        <f t="shared" ca="1" si="137"/>
        <v>0</v>
      </c>
      <c r="AX92" s="37">
        <f t="shared" ca="1" si="137"/>
        <v>0</v>
      </c>
      <c r="AY92" s="37">
        <f t="shared" ca="1" si="137"/>
        <v>0</v>
      </c>
      <c r="AZ92" s="37" t="e">
        <f t="shared" ca="1" si="137"/>
        <v>#N/A</v>
      </c>
      <c r="BA92" s="37" t="e">
        <f t="shared" ca="1" si="137"/>
        <v>#N/A</v>
      </c>
      <c r="BB92" s="37" t="e">
        <f t="shared" ca="1" si="137"/>
        <v>#N/A</v>
      </c>
    </row>
    <row r="93" spans="12:54" x14ac:dyDescent="0.25">
      <c r="AG93" s="1" t="s">
        <v>59</v>
      </c>
      <c r="AH93" s="1"/>
      <c r="AI93" s="37">
        <f t="shared" ca="1" si="138"/>
        <v>0</v>
      </c>
      <c r="AJ93" s="37">
        <f t="shared" ca="1" si="138"/>
        <v>0</v>
      </c>
      <c r="AK93" s="37">
        <f t="shared" ca="1" si="137"/>
        <v>0</v>
      </c>
      <c r="AL93" s="37">
        <f t="shared" ca="1" si="137"/>
        <v>0</v>
      </c>
      <c r="AM93" s="37">
        <f t="shared" ca="1" si="137"/>
        <v>0</v>
      </c>
      <c r="AN93" s="37">
        <f t="shared" ca="1" si="137"/>
        <v>0</v>
      </c>
      <c r="AO93" s="37">
        <f t="shared" ca="1" si="137"/>
        <v>0</v>
      </c>
      <c r="AP93" s="37">
        <f t="shared" ca="1" si="137"/>
        <v>0</v>
      </c>
      <c r="AQ93" s="37">
        <f t="shared" ca="1" si="137"/>
        <v>0</v>
      </c>
      <c r="AR93" s="37">
        <f t="shared" ca="1" si="137"/>
        <v>0</v>
      </c>
      <c r="AS93" s="37">
        <f t="shared" ca="1" si="137"/>
        <v>0</v>
      </c>
      <c r="AT93" s="37">
        <f t="shared" ca="1" si="137"/>
        <v>0</v>
      </c>
      <c r="AU93" s="37">
        <f t="shared" ca="1" si="137"/>
        <v>0</v>
      </c>
      <c r="AV93" s="37">
        <f t="shared" ca="1" si="137"/>
        <v>0</v>
      </c>
      <c r="AW93" s="37">
        <f t="shared" ca="1" si="137"/>
        <v>0</v>
      </c>
      <c r="AX93" s="37">
        <f t="shared" ca="1" si="137"/>
        <v>0</v>
      </c>
      <c r="AY93" s="37">
        <f t="shared" ca="1" si="137"/>
        <v>0</v>
      </c>
      <c r="AZ93" s="37" t="e">
        <f t="shared" ca="1" si="137"/>
        <v>#N/A</v>
      </c>
      <c r="BA93" s="37" t="e">
        <f t="shared" ca="1" si="137"/>
        <v>#N/A</v>
      </c>
      <c r="BB93" s="37" t="e">
        <f t="shared" ca="1" si="137"/>
        <v>#N/A</v>
      </c>
    </row>
    <row r="94" spans="12:54" x14ac:dyDescent="0.25">
      <c r="AG94" s="12" t="s">
        <v>60</v>
      </c>
      <c r="AH94" s="12"/>
      <c r="AI94" s="45">
        <f ca="1">SUM(AI89:AI93)</f>
        <v>31058.11848039132</v>
      </c>
      <c r="AJ94" s="45">
        <f ca="1">SUM(AJ89:AJ93)</f>
        <v>36330.40975770697</v>
      </c>
      <c r="AK94" s="45">
        <f t="shared" ref="AK94:BB94" ca="1" si="139">SUM(AK89:AK93)</f>
        <v>40230.542154073875</v>
      </c>
      <c r="AL94" s="45">
        <f t="shared" ca="1" si="139"/>
        <v>44493.323775255238</v>
      </c>
      <c r="AM94" s="45">
        <f t="shared" ca="1" si="139"/>
        <v>48987.999711055731</v>
      </c>
      <c r="AN94" s="45">
        <f t="shared" ca="1" si="139"/>
        <v>53711.243813966372</v>
      </c>
      <c r="AO94" s="45">
        <f t="shared" ca="1" si="139"/>
        <v>58672.483067335306</v>
      </c>
      <c r="AP94" s="45">
        <f t="shared" ca="1" si="139"/>
        <v>63734.956212589648</v>
      </c>
      <c r="AQ94" s="45">
        <f t="shared" ca="1" si="139"/>
        <v>69176.572058002232</v>
      </c>
      <c r="AR94" s="45">
        <f t="shared" ca="1" si="139"/>
        <v>74891.460307813191</v>
      </c>
      <c r="AS94" s="45">
        <f t="shared" ca="1" si="139"/>
        <v>80900.904235432419</v>
      </c>
      <c r="AT94" s="45">
        <f t="shared" ca="1" si="139"/>
        <v>87209.427087735676</v>
      </c>
      <c r="AU94" s="45">
        <f t="shared" ca="1" si="139"/>
        <v>93622.28178261008</v>
      </c>
      <c r="AV94" s="45">
        <f t="shared" ca="1" si="139"/>
        <v>100503.85453474314</v>
      </c>
      <c r="AW94" s="45">
        <f t="shared" ca="1" si="139"/>
        <v>107685.05628993892</v>
      </c>
      <c r="AX94" s="45">
        <f t="shared" ca="1" si="139"/>
        <v>115162.71690600419</v>
      </c>
      <c r="AY94" s="45">
        <f t="shared" ca="1" si="139"/>
        <v>122944.21084228803</v>
      </c>
      <c r="AZ94" s="45" t="e">
        <f t="shared" ca="1" si="139"/>
        <v>#N/A</v>
      </c>
      <c r="BA94" s="45" t="e">
        <f t="shared" ca="1" si="139"/>
        <v>#N/A</v>
      </c>
      <c r="BB94" s="45" t="e">
        <f t="shared" ca="1" si="139"/>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181</v>
      </c>
      <c r="AH96" s="6"/>
      <c r="AS96" s="142"/>
    </row>
    <row r="97" spans="32:54" x14ac:dyDescent="0.25">
      <c r="AF97" s="6" t="s">
        <v>178</v>
      </c>
      <c r="AG97" s="38"/>
      <c r="AH97" s="36">
        <f>AI97-1</f>
        <v>2018</v>
      </c>
      <c r="AI97" s="36">
        <f>Yr_Start</f>
        <v>2019</v>
      </c>
      <c r="AJ97" s="36">
        <f>AI97+1</f>
        <v>2020</v>
      </c>
      <c r="AK97" s="36">
        <f t="shared" ref="AK97:BB97" si="140">AJ97+1</f>
        <v>2021</v>
      </c>
      <c r="AL97" s="36">
        <f t="shared" si="140"/>
        <v>2022</v>
      </c>
      <c r="AM97" s="36">
        <f t="shared" si="140"/>
        <v>2023</v>
      </c>
      <c r="AN97" s="36">
        <f t="shared" si="140"/>
        <v>2024</v>
      </c>
      <c r="AO97" s="36">
        <f t="shared" si="140"/>
        <v>2025</v>
      </c>
      <c r="AP97" s="36">
        <f t="shared" si="140"/>
        <v>2026</v>
      </c>
      <c r="AQ97" s="36">
        <f t="shared" si="140"/>
        <v>2027</v>
      </c>
      <c r="AR97" s="36">
        <f t="shared" si="140"/>
        <v>2028</v>
      </c>
      <c r="AS97" s="36">
        <f t="shared" si="140"/>
        <v>2029</v>
      </c>
      <c r="AT97" s="36">
        <f t="shared" si="140"/>
        <v>2030</v>
      </c>
      <c r="AU97" s="36">
        <f t="shared" si="140"/>
        <v>2031</v>
      </c>
      <c r="AV97" s="36">
        <f t="shared" si="140"/>
        <v>2032</v>
      </c>
      <c r="AW97" s="36">
        <f t="shared" si="140"/>
        <v>2033</v>
      </c>
      <c r="AX97" s="36">
        <f t="shared" si="140"/>
        <v>2034</v>
      </c>
      <c r="AY97" s="36">
        <f t="shared" si="140"/>
        <v>2035</v>
      </c>
      <c r="AZ97" s="36">
        <f t="shared" si="140"/>
        <v>2036</v>
      </c>
      <c r="BA97" s="36">
        <f t="shared" si="140"/>
        <v>2037</v>
      </c>
      <c r="BB97" s="36">
        <f t="shared" si="140"/>
        <v>2038</v>
      </c>
    </row>
    <row r="98" spans="32:54" x14ac:dyDescent="0.25">
      <c r="AG98" s="1" t="s">
        <v>52</v>
      </c>
      <c r="AH98" s="1"/>
      <c r="AI98" s="37">
        <f ca="1">IF((AI80-AH80)&lt;0,AH80/4.6,(AI80-AH80)+AH80/4.6)</f>
        <v>18669.274947393511</v>
      </c>
      <c r="AJ98" s="37">
        <f ca="1">IF((AJ80-AI80)&lt;0,AI80/4.6,(AJ80-AI80)+AI80/4.6)</f>
        <v>20983.948801241626</v>
      </c>
      <c r="AK98" s="37">
        <f t="shared" ref="AK98:BB98" ca="1" si="141">IF((AK80-AJ80)&lt;0,AJ80/4.6,(AK80-AJ80)+AJ80/4.6)</f>
        <v>23346.742187323471</v>
      </c>
      <c r="AL98" s="37">
        <f t="shared" ca="1" si="141"/>
        <v>25924.998860067441</v>
      </c>
      <c r="AM98" s="37">
        <f t="shared" ca="1" si="141"/>
        <v>28645.567780494599</v>
      </c>
      <c r="AN98" s="37">
        <f t="shared" ca="1" si="141"/>
        <v>31506.670332869409</v>
      </c>
      <c r="AO98" s="37">
        <f t="shared" ca="1" si="141"/>
        <v>34513.881681655017</v>
      </c>
      <c r="AP98" s="37">
        <f t="shared" ca="1" si="141"/>
        <v>37587.396886604867</v>
      </c>
      <c r="AQ98" s="37">
        <f t="shared" ca="1" si="141"/>
        <v>40889.342242885221</v>
      </c>
      <c r="AR98" s="37">
        <f t="shared" ca="1" si="141"/>
        <v>44358.610411563757</v>
      </c>
      <c r="AS98" s="37">
        <f t="shared" ca="1" si="141"/>
        <v>48007.981114671005</v>
      </c>
      <c r="AT98" s="37">
        <f t="shared" ca="1" si="141"/>
        <v>51840.413462362994</v>
      </c>
      <c r="AU98" s="37">
        <f t="shared" ca="1" si="141"/>
        <v>55740.824206775564</v>
      </c>
      <c r="AV98" s="37">
        <f t="shared" ca="1" si="141"/>
        <v>59924.766095386381</v>
      </c>
      <c r="AW98" s="37">
        <f t="shared" ca="1" si="141"/>
        <v>64292.688132241099</v>
      </c>
      <c r="AX98" s="37">
        <f t="shared" ca="1" si="141"/>
        <v>68842.822575483558</v>
      </c>
      <c r="AY98" s="37">
        <f t="shared" ca="1" si="141"/>
        <v>73579.655993801294</v>
      </c>
      <c r="AZ98" s="37" t="e">
        <f t="shared" ca="1" si="141"/>
        <v>#N/A</v>
      </c>
      <c r="BA98" s="37" t="e">
        <f t="shared" ca="1" si="141"/>
        <v>#N/A</v>
      </c>
      <c r="BB98" s="37" t="e">
        <f t="shared" ca="1" si="141"/>
        <v>#N/A</v>
      </c>
    </row>
    <row r="99" spans="32:54" x14ac:dyDescent="0.25">
      <c r="AG99" s="1" t="s">
        <v>54</v>
      </c>
      <c r="AH99" s="1"/>
      <c r="AI99" s="37">
        <f t="shared" ref="AI99:BB99" ca="1" si="142">IF((AI81-AH81)&lt;0,AH81/4.6,(AI81-AH81)+AH81/4.6)</f>
        <v>58.232184055233773</v>
      </c>
      <c r="AJ99" s="37">
        <f t="shared" ca="1" si="142"/>
        <v>40.442373894231629</v>
      </c>
      <c r="AK99" s="37">
        <f t="shared" ca="1" si="142"/>
        <v>27.992261692679254</v>
      </c>
      <c r="AL99" s="37">
        <f t="shared" ca="1" si="142"/>
        <v>14.509612918695549</v>
      </c>
      <c r="AM99" s="37">
        <f t="shared" ca="1" si="142"/>
        <v>0</v>
      </c>
      <c r="AN99" s="37">
        <f t="shared" ca="1" si="142"/>
        <v>0</v>
      </c>
      <c r="AO99" s="37">
        <f t="shared" ca="1" si="142"/>
        <v>0</v>
      </c>
      <c r="AP99" s="37">
        <f t="shared" ca="1" si="142"/>
        <v>0</v>
      </c>
      <c r="AQ99" s="37">
        <f t="shared" ca="1" si="142"/>
        <v>0</v>
      </c>
      <c r="AR99" s="37">
        <f t="shared" ca="1" si="142"/>
        <v>0</v>
      </c>
      <c r="AS99" s="37">
        <f t="shared" ca="1" si="142"/>
        <v>0</v>
      </c>
      <c r="AT99" s="37">
        <f t="shared" ca="1" si="142"/>
        <v>0</v>
      </c>
      <c r="AU99" s="37">
        <f t="shared" ca="1" si="142"/>
        <v>0</v>
      </c>
      <c r="AV99" s="37">
        <f t="shared" ca="1" si="142"/>
        <v>0</v>
      </c>
      <c r="AW99" s="37">
        <f t="shared" ca="1" si="142"/>
        <v>0</v>
      </c>
      <c r="AX99" s="37">
        <f t="shared" ca="1" si="142"/>
        <v>0</v>
      </c>
      <c r="AY99" s="37">
        <f t="shared" ca="1" si="142"/>
        <v>0</v>
      </c>
      <c r="AZ99" s="37" t="e">
        <f t="shared" ca="1" si="142"/>
        <v>#N/A</v>
      </c>
      <c r="BA99" s="37" t="e">
        <f t="shared" ca="1" si="142"/>
        <v>#N/A</v>
      </c>
      <c r="BB99" s="37" t="e">
        <f t="shared" ca="1" si="142"/>
        <v>#N/A</v>
      </c>
    </row>
    <row r="100" spans="32:54" x14ac:dyDescent="0.25">
      <c r="AG100" s="1" t="s">
        <v>56</v>
      </c>
      <c r="AH100" s="1"/>
      <c r="AI100" s="37">
        <f ca="1">IF((AI82-AH82)&lt;0,AH82/4.6,(AI82-AH82)+AH82/4.6)</f>
        <v>3085.6966863965463</v>
      </c>
      <c r="AJ100" s="37">
        <f t="shared" ref="AJ100:BB100" ca="1" si="143">IF((AJ82-AI82)&lt;0,AI82/4.6,(AJ82-AI82)+AI82/4.6)</f>
        <v>3413.3043065570137</v>
      </c>
      <c r="AK100" s="37">
        <f t="shared" ca="1" si="143"/>
        <v>3744.4546965019767</v>
      </c>
      <c r="AL100" s="37">
        <f t="shared" ca="1" si="143"/>
        <v>4107.7542000124322</v>
      </c>
      <c r="AM100" s="37">
        <f t="shared" ca="1" si="143"/>
        <v>4490.1586900826587</v>
      </c>
      <c r="AN100" s="37">
        <f t="shared" ca="1" si="143"/>
        <v>4891.3100209868498</v>
      </c>
      <c r="AO100" s="37">
        <f t="shared" ca="1" si="143"/>
        <v>5312.052150403937</v>
      </c>
      <c r="AP100" s="37">
        <f t="shared" ca="1" si="143"/>
        <v>5739.7966818448476</v>
      </c>
      <c r="AQ100" s="37">
        <f t="shared" ca="1" si="143"/>
        <v>6200.1379679376696</v>
      </c>
      <c r="AR100" s="37">
        <f t="shared" ca="1" si="143"/>
        <v>6683.1158929710964</v>
      </c>
      <c r="AS100" s="37">
        <f t="shared" ca="1" si="143"/>
        <v>7190.5741411206327</v>
      </c>
      <c r="AT100" s="37">
        <f t="shared" ca="1" si="143"/>
        <v>7722.8266839691278</v>
      </c>
      <c r="AU100" s="37">
        <f t="shared" ca="1" si="143"/>
        <v>8262.409453983455</v>
      </c>
      <c r="AV100" s="37">
        <f t="shared" ca="1" si="143"/>
        <v>8841.9274404429943</v>
      </c>
      <c r="AW100" s="37">
        <f t="shared" ca="1" si="143"/>
        <v>9446.0989758595242</v>
      </c>
      <c r="AX100" s="37">
        <f t="shared" ca="1" si="143"/>
        <v>10074.605949013487</v>
      </c>
      <c r="AY100" s="37">
        <f t="shared" ca="1" si="143"/>
        <v>10728.068438691345</v>
      </c>
      <c r="AZ100" s="37" t="e">
        <f t="shared" ca="1" si="143"/>
        <v>#N/A</v>
      </c>
      <c r="BA100" s="37" t="e">
        <f t="shared" ca="1" si="143"/>
        <v>#N/A</v>
      </c>
      <c r="BB100" s="37" t="e">
        <f t="shared" ca="1" si="143"/>
        <v>#N/A</v>
      </c>
    </row>
    <row r="101" spans="32:54" x14ac:dyDescent="0.25">
      <c r="AG101" s="1" t="s">
        <v>57</v>
      </c>
      <c r="AH101" s="1"/>
      <c r="AI101" s="37">
        <f t="shared" ref="AI101:BB101" ca="1" si="144">IF((AI83-AH83)&lt;0,AH83/4.6,(AI83-AH83)+AH83/4.6)</f>
        <v>0</v>
      </c>
      <c r="AJ101" s="37">
        <f t="shared" ca="1" si="144"/>
        <v>0</v>
      </c>
      <c r="AK101" s="37">
        <f t="shared" ca="1" si="144"/>
        <v>0</v>
      </c>
      <c r="AL101" s="37">
        <f t="shared" ca="1" si="144"/>
        <v>0</v>
      </c>
      <c r="AM101" s="37">
        <f t="shared" ca="1" si="144"/>
        <v>0</v>
      </c>
      <c r="AN101" s="37">
        <f t="shared" ca="1" si="144"/>
        <v>0</v>
      </c>
      <c r="AO101" s="37">
        <f t="shared" ca="1" si="144"/>
        <v>0</v>
      </c>
      <c r="AP101" s="37">
        <f t="shared" ca="1" si="144"/>
        <v>0</v>
      </c>
      <c r="AQ101" s="37">
        <f t="shared" ca="1" si="144"/>
        <v>0</v>
      </c>
      <c r="AR101" s="37">
        <f t="shared" ca="1" si="144"/>
        <v>0</v>
      </c>
      <c r="AS101" s="37">
        <f t="shared" ca="1" si="144"/>
        <v>0</v>
      </c>
      <c r="AT101" s="37">
        <f t="shared" ca="1" si="144"/>
        <v>0</v>
      </c>
      <c r="AU101" s="37">
        <f t="shared" ca="1" si="144"/>
        <v>0</v>
      </c>
      <c r="AV101" s="37">
        <f t="shared" ca="1" si="144"/>
        <v>0</v>
      </c>
      <c r="AW101" s="37">
        <f t="shared" ca="1" si="144"/>
        <v>0</v>
      </c>
      <c r="AX101" s="37">
        <f t="shared" ca="1" si="144"/>
        <v>0</v>
      </c>
      <c r="AY101" s="37">
        <f t="shared" ca="1" si="144"/>
        <v>0</v>
      </c>
      <c r="AZ101" s="37" t="e">
        <f t="shared" ca="1" si="144"/>
        <v>#N/A</v>
      </c>
      <c r="BA101" s="37" t="e">
        <f t="shared" ca="1" si="144"/>
        <v>#N/A</v>
      </c>
      <c r="BB101" s="37" t="e">
        <f t="shared" ca="1" si="144"/>
        <v>#N/A</v>
      </c>
    </row>
    <row r="102" spans="32:54" x14ac:dyDescent="0.25">
      <c r="AG102" s="1" t="s">
        <v>59</v>
      </c>
      <c r="AH102" s="1"/>
      <c r="AI102" s="37">
        <f t="shared" ref="AI102:BB102" ca="1" si="145">IF((AI84-AH84)&lt;0,AH84/4.6,(AI84-AH84)+AH84/4.6)</f>
        <v>0</v>
      </c>
      <c r="AJ102" s="37">
        <f t="shared" ca="1" si="145"/>
        <v>0</v>
      </c>
      <c r="AK102" s="37">
        <f t="shared" ca="1" si="145"/>
        <v>0</v>
      </c>
      <c r="AL102" s="37">
        <f t="shared" ca="1" si="145"/>
        <v>0</v>
      </c>
      <c r="AM102" s="37">
        <f t="shared" ca="1" si="145"/>
        <v>0</v>
      </c>
      <c r="AN102" s="37">
        <f t="shared" ca="1" si="145"/>
        <v>0</v>
      </c>
      <c r="AO102" s="37">
        <f t="shared" ca="1" si="145"/>
        <v>0</v>
      </c>
      <c r="AP102" s="37">
        <f t="shared" ca="1" si="145"/>
        <v>0</v>
      </c>
      <c r="AQ102" s="37">
        <f t="shared" ca="1" si="145"/>
        <v>0</v>
      </c>
      <c r="AR102" s="37">
        <f t="shared" ca="1" si="145"/>
        <v>0</v>
      </c>
      <c r="AS102" s="37">
        <f t="shared" ca="1" si="145"/>
        <v>0</v>
      </c>
      <c r="AT102" s="37">
        <f t="shared" ca="1" si="145"/>
        <v>0</v>
      </c>
      <c r="AU102" s="37">
        <f t="shared" ca="1" si="145"/>
        <v>0</v>
      </c>
      <c r="AV102" s="37">
        <f t="shared" ca="1" si="145"/>
        <v>0</v>
      </c>
      <c r="AW102" s="37">
        <f t="shared" ca="1" si="145"/>
        <v>0</v>
      </c>
      <c r="AX102" s="37">
        <f t="shared" ca="1" si="145"/>
        <v>0</v>
      </c>
      <c r="AY102" s="37">
        <f t="shared" ca="1" si="145"/>
        <v>0</v>
      </c>
      <c r="AZ102" s="37" t="e">
        <f t="shared" ca="1" si="145"/>
        <v>#N/A</v>
      </c>
      <c r="BA102" s="37" t="e">
        <f t="shared" ca="1" si="145"/>
        <v>#N/A</v>
      </c>
      <c r="BB102" s="37" t="e">
        <f t="shared" ca="1" si="145"/>
        <v>#N/A</v>
      </c>
    </row>
    <row r="103" spans="32:54" x14ac:dyDescent="0.25">
      <c r="AG103" s="12" t="s">
        <v>60</v>
      </c>
      <c r="AH103" s="12"/>
      <c r="AI103" s="45">
        <f ca="1">SUM(AI98:AI102)</f>
        <v>21813.203817845289</v>
      </c>
      <c r="AJ103" s="45">
        <f ca="1">SUM(AJ98:AJ102)</f>
        <v>24437.69548169287</v>
      </c>
      <c r="AK103" s="45">
        <f t="shared" ref="AK103" ca="1" si="146">SUM(AK98:AK102)</f>
        <v>27119.189145518125</v>
      </c>
      <c r="AL103" s="45">
        <f t="shared" ref="AL103" ca="1" si="147">SUM(AL98:AL102)</f>
        <v>30047.262672998571</v>
      </c>
      <c r="AM103" s="45">
        <f t="shared" ref="AM103" ca="1" si="148">SUM(AM98:AM102)</f>
        <v>33135.726470577254</v>
      </c>
      <c r="AN103" s="45">
        <f t="shared" ref="AN103" ca="1" si="149">SUM(AN98:AN102)</f>
        <v>36397.980353856256</v>
      </c>
      <c r="AO103" s="45">
        <f t="shared" ref="AO103" ca="1" si="150">SUM(AO98:AO102)</f>
        <v>39825.933832058952</v>
      </c>
      <c r="AP103" s="45">
        <f t="shared" ref="AP103" ca="1" si="151">SUM(AP98:AP102)</f>
        <v>43327.193568449715</v>
      </c>
      <c r="AQ103" s="45">
        <f t="shared" ref="AQ103" ca="1" si="152">SUM(AQ98:AQ102)</f>
        <v>47089.480210822891</v>
      </c>
      <c r="AR103" s="45">
        <f t="shared" ref="AR103" ca="1" si="153">SUM(AR98:AR102)</f>
        <v>51041.726304534852</v>
      </c>
      <c r="AS103" s="45">
        <f t="shared" ref="AS103" ca="1" si="154">SUM(AS98:AS102)</f>
        <v>55198.555255791638</v>
      </c>
      <c r="AT103" s="45">
        <f t="shared" ref="AT103" ca="1" si="155">SUM(AT98:AT102)</f>
        <v>59563.240146332122</v>
      </c>
      <c r="AU103" s="45">
        <f t="shared" ref="AU103" ca="1" si="156">SUM(AU98:AU102)</f>
        <v>64003.233660759019</v>
      </c>
      <c r="AV103" s="45">
        <f t="shared" ref="AV103" ca="1" si="157">SUM(AV98:AV102)</f>
        <v>68766.69353582937</v>
      </c>
      <c r="AW103" s="45">
        <f t="shared" ref="AW103" ca="1" si="158">SUM(AW98:AW102)</f>
        <v>73738.787108100631</v>
      </c>
      <c r="AX103" s="45">
        <f t="shared" ref="AX103" ca="1" si="159">SUM(AX98:AX102)</f>
        <v>78917.428524497052</v>
      </c>
      <c r="AY103" s="45">
        <f t="shared" ref="AY103" ca="1" si="160">SUM(AY98:AY102)</f>
        <v>84307.724432492643</v>
      </c>
      <c r="AZ103" s="45" t="e">
        <f t="shared" ref="AZ103" ca="1" si="161">SUM(AZ98:AZ102)</f>
        <v>#N/A</v>
      </c>
      <c r="BA103" s="45" t="e">
        <f t="shared" ref="BA103" ca="1" si="162">SUM(BA98:BA102)</f>
        <v>#N/A</v>
      </c>
      <c r="BB103" s="45" t="e">
        <f t="shared" ref="BB103" ca="1" si="163">SUM(BB98:BB102)</f>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64">AJ107+1</f>
        <v>2021</v>
      </c>
      <c r="AL107" s="36">
        <f t="shared" si="164"/>
        <v>2022</v>
      </c>
      <c r="AM107" s="36">
        <f t="shared" si="164"/>
        <v>2023</v>
      </c>
      <c r="AN107" s="36">
        <f t="shared" si="164"/>
        <v>2024</v>
      </c>
      <c r="AO107" s="36">
        <f t="shared" si="164"/>
        <v>2025</v>
      </c>
      <c r="AP107" s="36">
        <f t="shared" si="164"/>
        <v>2026</v>
      </c>
      <c r="AQ107" s="36">
        <f t="shared" si="164"/>
        <v>2027</v>
      </c>
      <c r="AR107" s="36">
        <f t="shared" si="164"/>
        <v>2028</v>
      </c>
      <c r="AS107" s="36">
        <f t="shared" si="164"/>
        <v>2029</v>
      </c>
      <c r="AT107" s="36">
        <f t="shared" si="164"/>
        <v>2030</v>
      </c>
      <c r="AU107" s="36">
        <f t="shared" si="164"/>
        <v>2031</v>
      </c>
      <c r="AV107" s="36">
        <f t="shared" si="164"/>
        <v>2032</v>
      </c>
      <c r="AW107" s="36">
        <f t="shared" si="164"/>
        <v>2033</v>
      </c>
      <c r="AX107" s="36">
        <f t="shared" si="164"/>
        <v>2034</v>
      </c>
      <c r="AY107" s="36">
        <f t="shared" si="164"/>
        <v>2035</v>
      </c>
      <c r="AZ107" s="36">
        <f t="shared" si="164"/>
        <v>2036</v>
      </c>
      <c r="BA107" s="36">
        <f t="shared" si="164"/>
        <v>2037</v>
      </c>
      <c r="BB107" s="36">
        <f t="shared" si="164"/>
        <v>2038</v>
      </c>
    </row>
    <row r="108" spans="32:54" x14ac:dyDescent="0.25">
      <c r="AF108"/>
      <c r="AG108" s="1" t="s">
        <v>52</v>
      </c>
      <c r="AH108" s="1"/>
      <c r="AI108" s="37">
        <f ca="1">AI89+AI98</f>
        <v>38946.004742332334</v>
      </c>
      <c r="AJ108" s="37">
        <f ca="1">AJ89+AJ98</f>
        <v>43760.188169831781</v>
      </c>
      <c r="AK108" s="37">
        <f t="shared" ref="AK108:BB108" ca="1" si="165">AK89+AK98</f>
        <v>48673.593440696553</v>
      </c>
      <c r="AL108" s="37">
        <f t="shared" ca="1" si="165"/>
        <v>54035.565894361898</v>
      </c>
      <c r="AM108" s="37">
        <f t="shared" ca="1" si="165"/>
        <v>59693.254149373475</v>
      </c>
      <c r="AN108" s="37">
        <f t="shared" ca="1" si="165"/>
        <v>65642.930949073183</v>
      </c>
      <c r="AO108" s="37">
        <f t="shared" ca="1" si="165"/>
        <v>71896.20625866187</v>
      </c>
      <c r="AP108" s="37">
        <f t="shared" ca="1" si="165"/>
        <v>78286.757228211602</v>
      </c>
      <c r="AQ108" s="37">
        <f t="shared" ca="1" si="165"/>
        <v>85152.479486150172</v>
      </c>
      <c r="AR108" s="37">
        <f t="shared" ca="1" si="165"/>
        <v>92365.933703018352</v>
      </c>
      <c r="AS108" s="37">
        <f t="shared" ca="1" si="165"/>
        <v>99953.709016746579</v>
      </c>
      <c r="AT108" s="37">
        <f t="shared" ca="1" si="165"/>
        <v>107921.93235947246</v>
      </c>
      <c r="AU108" s="37">
        <f t="shared" ca="1" si="165"/>
        <v>116030.93805591128</v>
      </c>
      <c r="AV108" s="37">
        <f t="shared" ca="1" si="165"/>
        <v>124729.59596197381</v>
      </c>
      <c r="AW108" s="37">
        <f t="shared" ca="1" si="165"/>
        <v>133810.5410182559</v>
      </c>
      <c r="AX108" s="37">
        <f t="shared" ca="1" si="165"/>
        <v>143270.07871217444</v>
      </c>
      <c r="AY108" s="37">
        <f t="shared" ca="1" si="165"/>
        <v>153117.53652353497</v>
      </c>
      <c r="AZ108" s="37" t="e">
        <f t="shared" ca="1" si="165"/>
        <v>#N/A</v>
      </c>
      <c r="BA108" s="37" t="e">
        <f t="shared" ca="1" si="165"/>
        <v>#N/A</v>
      </c>
      <c r="BB108" s="37" t="e">
        <f t="shared" ca="1" si="165"/>
        <v>#N/A</v>
      </c>
    </row>
    <row r="109" spans="32:54" x14ac:dyDescent="0.25">
      <c r="AF109"/>
      <c r="AG109" s="1" t="s">
        <v>54</v>
      </c>
      <c r="AH109" s="1"/>
      <c r="AI109" s="37">
        <f t="shared" ref="AI109" ca="1" si="166">AI90+AI99</f>
        <v>1699.845797958146</v>
      </c>
      <c r="AJ109" s="37">
        <f t="shared" ref="AJ109:BB112" ca="1" si="167">AJ90+AJ99</f>
        <v>2434.3838524477851</v>
      </c>
      <c r="AK109" s="37">
        <f t="shared" ca="1" si="167"/>
        <v>2707.0952126653087</v>
      </c>
      <c r="AL109" s="37">
        <f t="shared" ca="1" si="167"/>
        <v>3004.2054268557972</v>
      </c>
      <c r="AM109" s="37">
        <f t="shared" ca="1" si="167"/>
        <v>3317.7106347543104</v>
      </c>
      <c r="AN109" s="37">
        <f t="shared" ca="1" si="167"/>
        <v>3662.9646939982863</v>
      </c>
      <c r="AO109" s="37">
        <f t="shared" ca="1" si="167"/>
        <v>4026.112487738641</v>
      </c>
      <c r="AP109" s="37">
        <f t="shared" ca="1" si="167"/>
        <v>4397.9342564940589</v>
      </c>
      <c r="AQ109" s="37">
        <f t="shared" ca="1" si="167"/>
        <v>4797.1541876163119</v>
      </c>
      <c r="AR109" s="37">
        <f t="shared" ca="1" si="167"/>
        <v>5216.8068225820125</v>
      </c>
      <c r="AS109" s="37">
        <f t="shared" ca="1" si="167"/>
        <v>5658.4190989115959</v>
      </c>
      <c r="AT109" s="37">
        <f t="shared" ca="1" si="167"/>
        <v>6122.3777044348844</v>
      </c>
      <c r="AU109" s="37">
        <f t="shared" ca="1" si="167"/>
        <v>6595.1850596584873</v>
      </c>
      <c r="AV109" s="37">
        <f t="shared" ca="1" si="167"/>
        <v>7102.153291114786</v>
      </c>
      <c r="AW109" s="37">
        <f t="shared" ca="1" si="167"/>
        <v>7631.6577598997155</v>
      </c>
      <c r="AX109" s="37">
        <f t="shared" ca="1" si="167"/>
        <v>8183.5057612014716</v>
      </c>
      <c r="AY109" s="37">
        <f t="shared" ca="1" si="167"/>
        <v>8758.2413303619705</v>
      </c>
      <c r="AZ109" s="37" t="e">
        <f t="shared" ca="1" si="167"/>
        <v>#N/A</v>
      </c>
      <c r="BA109" s="37" t="e">
        <f t="shared" ca="1" si="167"/>
        <v>#N/A</v>
      </c>
      <c r="BB109" s="37" t="e">
        <f t="shared" ca="1" si="167"/>
        <v>#N/A</v>
      </c>
    </row>
    <row r="110" spans="32:54" x14ac:dyDescent="0.25">
      <c r="AF110"/>
      <c r="AG110" s="1" t="s">
        <v>56</v>
      </c>
      <c r="AH110" s="1"/>
      <c r="AI110" s="37">
        <f t="shared" ref="AI110" ca="1" si="168">AI91+AI100</f>
        <v>12225.471757946132</v>
      </c>
      <c r="AJ110" s="37">
        <f t="shared" ca="1" si="167"/>
        <v>14573.533217120272</v>
      </c>
      <c r="AK110" s="37">
        <f t="shared" ca="1" si="167"/>
        <v>15969.042646230144</v>
      </c>
      <c r="AL110" s="37">
        <f t="shared" ca="1" si="167"/>
        <v>17500.815127036105</v>
      </c>
      <c r="AM110" s="37">
        <f t="shared" ca="1" si="167"/>
        <v>19112.761397505197</v>
      </c>
      <c r="AN110" s="37">
        <f t="shared" ca="1" si="167"/>
        <v>20803.328524751159</v>
      </c>
      <c r="AO110" s="37">
        <f t="shared" ca="1" si="167"/>
        <v>22576.098152993756</v>
      </c>
      <c r="AP110" s="37">
        <f t="shared" ca="1" si="167"/>
        <v>24377.458296333698</v>
      </c>
      <c r="AQ110" s="37">
        <f t="shared" ca="1" si="167"/>
        <v>26316.41859505864</v>
      </c>
      <c r="AR110" s="37">
        <f t="shared" ca="1" si="167"/>
        <v>28350.446086747688</v>
      </c>
      <c r="AS110" s="37">
        <f t="shared" ca="1" si="167"/>
        <v>30487.331375565886</v>
      </c>
      <c r="AT110" s="37">
        <f t="shared" ca="1" si="167"/>
        <v>32728.357170160467</v>
      </c>
      <c r="AU110" s="37">
        <f t="shared" ca="1" si="167"/>
        <v>34999.392327799316</v>
      </c>
      <c r="AV110" s="37">
        <f t="shared" ca="1" si="167"/>
        <v>37438.798817483919</v>
      </c>
      <c r="AW110" s="37">
        <f t="shared" ca="1" si="167"/>
        <v>39981.644619883933</v>
      </c>
      <c r="AX110" s="37">
        <f t="shared" ca="1" si="167"/>
        <v>42626.560957125344</v>
      </c>
      <c r="AY110" s="37">
        <f t="shared" ca="1" si="167"/>
        <v>45376.157420883712</v>
      </c>
      <c r="AZ110" s="37" t="e">
        <f t="shared" ca="1" si="167"/>
        <v>#N/A</v>
      </c>
      <c r="BA110" s="37" t="e">
        <f t="shared" ca="1" si="167"/>
        <v>#N/A</v>
      </c>
      <c r="BB110" s="37" t="e">
        <f t="shared" ca="1" si="167"/>
        <v>#N/A</v>
      </c>
    </row>
    <row r="111" spans="32:54" x14ac:dyDescent="0.25">
      <c r="AF111"/>
      <c r="AG111" s="1" t="s">
        <v>57</v>
      </c>
      <c r="AH111" s="1"/>
      <c r="AI111" s="37">
        <f t="shared" ref="AI111" ca="1" si="169">AI92+AI101</f>
        <v>0</v>
      </c>
      <c r="AJ111" s="37">
        <f t="shared" ca="1" si="167"/>
        <v>0</v>
      </c>
      <c r="AK111" s="37">
        <f t="shared" ca="1" si="167"/>
        <v>0</v>
      </c>
      <c r="AL111" s="37">
        <f t="shared" ca="1" si="167"/>
        <v>0</v>
      </c>
      <c r="AM111" s="37">
        <f t="shared" ca="1" si="167"/>
        <v>0</v>
      </c>
      <c r="AN111" s="37">
        <f t="shared" ca="1" si="167"/>
        <v>0</v>
      </c>
      <c r="AO111" s="37">
        <f t="shared" ca="1" si="167"/>
        <v>0</v>
      </c>
      <c r="AP111" s="37">
        <f t="shared" ca="1" si="167"/>
        <v>0</v>
      </c>
      <c r="AQ111" s="37">
        <f t="shared" ca="1" si="167"/>
        <v>0</v>
      </c>
      <c r="AR111" s="37">
        <f t="shared" ca="1" si="167"/>
        <v>0</v>
      </c>
      <c r="AS111" s="37">
        <f t="shared" ca="1" si="167"/>
        <v>0</v>
      </c>
      <c r="AT111" s="37">
        <f t="shared" ca="1" si="167"/>
        <v>0</v>
      </c>
      <c r="AU111" s="37">
        <f t="shared" ca="1" si="167"/>
        <v>0</v>
      </c>
      <c r="AV111" s="37">
        <f t="shared" ca="1" si="167"/>
        <v>0</v>
      </c>
      <c r="AW111" s="37">
        <f t="shared" ca="1" si="167"/>
        <v>0</v>
      </c>
      <c r="AX111" s="37">
        <f t="shared" ca="1" si="167"/>
        <v>0</v>
      </c>
      <c r="AY111" s="37">
        <f t="shared" ca="1" si="167"/>
        <v>0</v>
      </c>
      <c r="AZ111" s="37" t="e">
        <f t="shared" ca="1" si="167"/>
        <v>#N/A</v>
      </c>
      <c r="BA111" s="37" t="e">
        <f t="shared" ca="1" si="167"/>
        <v>#N/A</v>
      </c>
      <c r="BB111" s="37" t="e">
        <f t="shared" ca="1" si="167"/>
        <v>#N/A</v>
      </c>
    </row>
    <row r="112" spans="32:54" x14ac:dyDescent="0.25">
      <c r="AF112"/>
      <c r="AG112" s="1" t="s">
        <v>59</v>
      </c>
      <c r="AH112" s="1"/>
      <c r="AI112" s="37">
        <f ca="1">AI93+AI102</f>
        <v>0</v>
      </c>
      <c r="AJ112" s="37">
        <f ca="1">AJ93+AJ102</f>
        <v>0</v>
      </c>
      <c r="AK112" s="37">
        <f t="shared" ca="1" si="167"/>
        <v>0</v>
      </c>
      <c r="AL112" s="37">
        <f t="shared" ca="1" si="167"/>
        <v>0</v>
      </c>
      <c r="AM112" s="37">
        <f t="shared" ca="1" si="167"/>
        <v>0</v>
      </c>
      <c r="AN112" s="37">
        <f t="shared" ca="1" si="167"/>
        <v>0</v>
      </c>
      <c r="AO112" s="37">
        <f t="shared" ca="1" si="167"/>
        <v>0</v>
      </c>
      <c r="AP112" s="37">
        <f t="shared" ca="1" si="167"/>
        <v>0</v>
      </c>
      <c r="AQ112" s="37">
        <f t="shared" ca="1" si="167"/>
        <v>0</v>
      </c>
      <c r="AR112" s="37">
        <f t="shared" ca="1" si="167"/>
        <v>0</v>
      </c>
      <c r="AS112" s="37">
        <f t="shared" ca="1" si="167"/>
        <v>0</v>
      </c>
      <c r="AT112" s="37">
        <f t="shared" ca="1" si="167"/>
        <v>0</v>
      </c>
      <c r="AU112" s="37">
        <f t="shared" ca="1" si="167"/>
        <v>0</v>
      </c>
      <c r="AV112" s="37">
        <f t="shared" ca="1" si="167"/>
        <v>0</v>
      </c>
      <c r="AW112" s="37">
        <f t="shared" ca="1" si="167"/>
        <v>0</v>
      </c>
      <c r="AX112" s="37">
        <f t="shared" ca="1" si="167"/>
        <v>0</v>
      </c>
      <c r="AY112" s="37">
        <f t="shared" ca="1" si="167"/>
        <v>0</v>
      </c>
      <c r="AZ112" s="37" t="e">
        <f t="shared" ca="1" si="167"/>
        <v>#N/A</v>
      </c>
      <c r="BA112" s="37" t="e">
        <f t="shared" ca="1" si="167"/>
        <v>#N/A</v>
      </c>
      <c r="BB112" s="37" t="e">
        <f t="shared" ca="1" si="167"/>
        <v>#N/A</v>
      </c>
    </row>
    <row r="113" spans="32:54" x14ac:dyDescent="0.25">
      <c r="AF113"/>
      <c r="AG113" s="12" t="s">
        <v>60</v>
      </c>
      <c r="AH113" s="12"/>
      <c r="AI113" s="45">
        <f ca="1">SUM(AI108:AI112)</f>
        <v>52871.322298236613</v>
      </c>
      <c r="AJ113" s="45">
        <f ca="1">SUM(AJ108:AJ112)</f>
        <v>60768.10523939984</v>
      </c>
      <c r="AK113" s="45">
        <f t="shared" ref="AK113:BB113" ca="1" si="170">SUM(AK108:AK112)</f>
        <v>67349.731299592007</v>
      </c>
      <c r="AL113" s="45">
        <f t="shared" ca="1" si="170"/>
        <v>74540.586448253802</v>
      </c>
      <c r="AM113" s="45">
        <f t="shared" ca="1" si="170"/>
        <v>82123.726181632985</v>
      </c>
      <c r="AN113" s="45">
        <f t="shared" ca="1" si="170"/>
        <v>90109.224167822627</v>
      </c>
      <c r="AO113" s="45">
        <f t="shared" ca="1" si="170"/>
        <v>98498.416899394273</v>
      </c>
      <c r="AP113" s="45">
        <f t="shared" ca="1" si="170"/>
        <v>107062.14978103936</v>
      </c>
      <c r="AQ113" s="45">
        <f t="shared" ca="1" si="170"/>
        <v>116266.05226882512</v>
      </c>
      <c r="AR113" s="45">
        <f t="shared" ca="1" si="170"/>
        <v>125933.18661234806</v>
      </c>
      <c r="AS113" s="45">
        <f t="shared" ca="1" si="170"/>
        <v>136099.45949122406</v>
      </c>
      <c r="AT113" s="45">
        <f t="shared" ca="1" si="170"/>
        <v>146772.66723406781</v>
      </c>
      <c r="AU113" s="45">
        <f t="shared" ca="1" si="170"/>
        <v>157625.51544336908</v>
      </c>
      <c r="AV113" s="45">
        <f t="shared" ca="1" si="170"/>
        <v>169270.54807057252</v>
      </c>
      <c r="AW113" s="45">
        <f t="shared" ca="1" si="170"/>
        <v>181423.84339803955</v>
      </c>
      <c r="AX113" s="45">
        <f t="shared" ca="1" si="170"/>
        <v>194080.14543050126</v>
      </c>
      <c r="AY113" s="45">
        <f t="shared" ca="1" si="170"/>
        <v>207251.93527478067</v>
      </c>
      <c r="AZ113" s="45" t="e">
        <f t="shared" ca="1" si="170"/>
        <v>#N/A</v>
      </c>
      <c r="BA113" s="45" t="e">
        <f t="shared" ca="1" si="170"/>
        <v>#N/A</v>
      </c>
      <c r="BB113" s="45" t="e">
        <f t="shared" ca="1" si="170"/>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71">AJ116+1</f>
        <v>2021</v>
      </c>
      <c r="AL116" s="36">
        <f t="shared" si="171"/>
        <v>2022</v>
      </c>
      <c r="AM116" s="36">
        <f t="shared" si="171"/>
        <v>2023</v>
      </c>
      <c r="AN116" s="36">
        <f t="shared" si="171"/>
        <v>2024</v>
      </c>
      <c r="AO116" s="36">
        <f t="shared" si="171"/>
        <v>2025</v>
      </c>
      <c r="AP116" s="36">
        <f t="shared" si="171"/>
        <v>2026</v>
      </c>
      <c r="AQ116" s="36">
        <f t="shared" si="171"/>
        <v>2027</v>
      </c>
      <c r="AR116" s="36">
        <f t="shared" si="171"/>
        <v>2028</v>
      </c>
      <c r="AS116" s="36">
        <f t="shared" si="171"/>
        <v>2029</v>
      </c>
      <c r="AT116" s="36">
        <f t="shared" si="171"/>
        <v>2030</v>
      </c>
      <c r="AU116" s="36">
        <f t="shared" si="171"/>
        <v>2031</v>
      </c>
      <c r="AV116" s="36">
        <f t="shared" si="171"/>
        <v>2032</v>
      </c>
      <c r="AW116" s="36">
        <f t="shared" si="171"/>
        <v>2033</v>
      </c>
      <c r="AX116" s="36">
        <f t="shared" si="171"/>
        <v>2034</v>
      </c>
      <c r="AY116" s="36">
        <f t="shared" si="171"/>
        <v>2035</v>
      </c>
      <c r="AZ116" s="36">
        <f t="shared" si="171"/>
        <v>2036</v>
      </c>
      <c r="BA116" s="36">
        <f t="shared" si="171"/>
        <v>2037</v>
      </c>
      <c r="BB116" s="36">
        <f t="shared" si="171"/>
        <v>2038</v>
      </c>
    </row>
    <row r="117" spans="32:54" x14ac:dyDescent="0.25">
      <c r="AF117"/>
      <c r="AG117" s="1" t="s">
        <v>52</v>
      </c>
      <c r="AH117" s="1"/>
      <c r="AI117" s="37">
        <f ca="1">AI71+AI80</f>
        <v>118068.7717598865</v>
      </c>
      <c r="AJ117" s="37">
        <f t="shared" ref="AJ117:BB117" ca="1" si="172">AJ71+AJ80</f>
        <v>136161.83563409076</v>
      </c>
      <c r="AK117" s="37">
        <f t="shared" ca="1" si="172"/>
        <v>155235.03002389803</v>
      </c>
      <c r="AL117" s="37">
        <f t="shared" ca="1" si="172"/>
        <v>175523.85026089079</v>
      </c>
      <c r="AM117" s="37">
        <f t="shared" ca="1" si="172"/>
        <v>197059.74565789668</v>
      </c>
      <c r="AN117" s="37">
        <f t="shared" ca="1" si="172"/>
        <v>219863.60146394884</v>
      </c>
      <c r="AO117" s="37">
        <f t="shared" ca="1" si="172"/>
        <v>243963.37262175226</v>
      </c>
      <c r="AP117" s="37">
        <f t="shared" ca="1" si="172"/>
        <v>269214.61406262638</v>
      </c>
      <c r="AQ117" s="37">
        <f t="shared" ca="1" si="172"/>
        <v>295842.17744820565</v>
      </c>
      <c r="AR117" s="37">
        <f t="shared" ca="1" si="172"/>
        <v>323894.5943146575</v>
      </c>
      <c r="AS117" s="37">
        <f t="shared" ca="1" si="172"/>
        <v>353436.43500213069</v>
      </c>
      <c r="AT117" s="37">
        <f t="shared" ca="1" si="172"/>
        <v>384524.35975244432</v>
      </c>
      <c r="AU117" s="37">
        <f t="shared" ca="1" si="172"/>
        <v>416963.04568825901</v>
      </c>
      <c r="AV117" s="37">
        <f t="shared" ca="1" si="172"/>
        <v>451048.50128322002</v>
      </c>
      <c r="AW117" s="37">
        <f t="shared" ca="1" si="172"/>
        <v>486805.0202833846</v>
      </c>
      <c r="AX117" s="37">
        <f t="shared" ca="1" si="172"/>
        <v>524247.9206730841</v>
      </c>
      <c r="AY117" s="37">
        <f t="shared" ca="1" si="172"/>
        <v>563398.51791986171</v>
      </c>
      <c r="AZ117" s="37" t="e">
        <f t="shared" ca="1" si="172"/>
        <v>#N/A</v>
      </c>
      <c r="BA117" s="37" t="e">
        <f t="shared" ca="1" si="172"/>
        <v>#N/A</v>
      </c>
      <c r="BB117" s="37" t="e">
        <f t="shared" ca="1" si="172"/>
        <v>#N/A</v>
      </c>
    </row>
    <row r="118" spans="32:54" x14ac:dyDescent="0.25">
      <c r="AF118"/>
      <c r="AG118" s="1" t="s">
        <v>54</v>
      </c>
      <c r="AH118" s="1"/>
      <c r="AI118" s="37">
        <f t="shared" ref="AI118:BB121" ca="1" si="173">AI72+AI81</f>
        <v>6397.6521070781291</v>
      </c>
      <c r="AJ118" s="37">
        <f t="shared" ca="1" si="173"/>
        <v>7383.9715070774409</v>
      </c>
      <c r="AK118" s="37">
        <f t="shared" ca="1" si="173"/>
        <v>8423.8353381916768</v>
      </c>
      <c r="AL118" s="37">
        <f t="shared" ca="1" si="173"/>
        <v>9530.0279938406748</v>
      </c>
      <c r="AM118" s="37">
        <f t="shared" ca="1" si="173"/>
        <v>10775.993412542664</v>
      </c>
      <c r="AN118" s="37">
        <f t="shared" ca="1" si="173"/>
        <v>12096.350842944719</v>
      </c>
      <c r="AO118" s="37">
        <f t="shared" ca="1" si="173"/>
        <v>13492.821843086682</v>
      </c>
      <c r="AP118" s="37">
        <f t="shared" ca="1" si="173"/>
        <v>14957.533959779288</v>
      </c>
      <c r="AQ118" s="37">
        <f t="shared" ca="1" si="173"/>
        <v>16503.050330052276</v>
      </c>
      <c r="AR118" s="37">
        <f t="shared" ca="1" si="173"/>
        <v>18132.237515666402</v>
      </c>
      <c r="AS118" s="37">
        <f t="shared" ca="1" si="173"/>
        <v>19848.865850302693</v>
      </c>
      <c r="AT118" s="37">
        <f t="shared" ca="1" si="173"/>
        <v>21656.272717715252</v>
      </c>
      <c r="AU118" s="37">
        <f t="shared" ca="1" si="173"/>
        <v>23543.57240395738</v>
      </c>
      <c r="AV118" s="37">
        <f t="shared" ca="1" si="173"/>
        <v>25527.557781168387</v>
      </c>
      <c r="AW118" s="37">
        <f t="shared" ca="1" si="173"/>
        <v>27609.746458205409</v>
      </c>
      <c r="AX118" s="37">
        <f t="shared" ca="1" si="173"/>
        <v>29791.133424144835</v>
      </c>
      <c r="AY118" s="37">
        <f t="shared" ca="1" si="173"/>
        <v>32073.041401431841</v>
      </c>
      <c r="AZ118" s="37" t="e">
        <f t="shared" ca="1" si="173"/>
        <v>#N/A</v>
      </c>
      <c r="BA118" s="37" t="e">
        <f t="shared" ca="1" si="173"/>
        <v>#N/A</v>
      </c>
      <c r="BB118" s="37" t="e">
        <f t="shared" ca="1" si="173"/>
        <v>#N/A</v>
      </c>
    </row>
    <row r="119" spans="32:54" x14ac:dyDescent="0.25">
      <c r="AF119"/>
      <c r="AG119" s="1" t="s">
        <v>56</v>
      </c>
      <c r="AH119" s="1"/>
      <c r="AI119" s="37">
        <f t="shared" ca="1" si="173"/>
        <v>42960.872932250008</v>
      </c>
      <c r="AJ119" s="37">
        <f t="shared" ca="1" si="173"/>
        <v>48195.08594670723</v>
      </c>
      <c r="AK119" s="37">
        <f t="shared" ca="1" si="173"/>
        <v>53686.935995827109</v>
      </c>
      <c r="AL119" s="37">
        <f t="shared" ca="1" si="173"/>
        <v>59516.678080292106</v>
      </c>
      <c r="AM119" s="37">
        <f t="shared" ca="1" si="173"/>
        <v>65691.031199472927</v>
      </c>
      <c r="AN119" s="37">
        <f t="shared" ca="1" si="173"/>
        <v>72213.700767816932</v>
      </c>
      <c r="AO119" s="37">
        <f t="shared" ca="1" si="173"/>
        <v>79091.168319111355</v>
      </c>
      <c r="AP119" s="37">
        <f t="shared" ca="1" si="173"/>
        <v>86274.894372159979</v>
      </c>
      <c r="AQ119" s="37">
        <f t="shared" ca="1" si="173"/>
        <v>93835.901147183831</v>
      </c>
      <c r="AR119" s="37">
        <f t="shared" ca="1" si="173"/>
        <v>101787.23828889156</v>
      </c>
      <c r="AS119" s="37">
        <f t="shared" ca="1" si="173"/>
        <v>110146.90916687233</v>
      </c>
      <c r="AT119" s="37">
        <f t="shared" ca="1" si="173"/>
        <v>118930.28608336489</v>
      </c>
      <c r="AU119" s="37">
        <f t="shared" ca="1" si="173"/>
        <v>128075.26839304141</v>
      </c>
      <c r="AV119" s="37">
        <f t="shared" ca="1" si="173"/>
        <v>137671.61755986416</v>
      </c>
      <c r="AW119" s="37">
        <f t="shared" ca="1" si="173"/>
        <v>147724.64966673413</v>
      </c>
      <c r="AX119" s="37">
        <f t="shared" ca="1" si="173"/>
        <v>158237.15634848247</v>
      </c>
      <c r="AY119" s="37">
        <f t="shared" ca="1" si="173"/>
        <v>169213.9319544787</v>
      </c>
      <c r="AZ119" s="37" t="e">
        <f t="shared" ca="1" si="173"/>
        <v>#N/A</v>
      </c>
      <c r="BA119" s="37" t="e">
        <f t="shared" ca="1" si="173"/>
        <v>#N/A</v>
      </c>
      <c r="BB119" s="37" t="e">
        <f t="shared" ca="1" si="173"/>
        <v>#N/A</v>
      </c>
    </row>
    <row r="120" spans="32:54" x14ac:dyDescent="0.25">
      <c r="AF120"/>
      <c r="AG120" s="1" t="s">
        <v>57</v>
      </c>
      <c r="AH120" s="1"/>
      <c r="AI120" s="37">
        <f t="shared" ca="1" si="173"/>
        <v>0</v>
      </c>
      <c r="AJ120" s="37">
        <f t="shared" ca="1" si="173"/>
        <v>0</v>
      </c>
      <c r="AK120" s="37">
        <f t="shared" ca="1" si="173"/>
        <v>0</v>
      </c>
      <c r="AL120" s="37">
        <f t="shared" ca="1" si="173"/>
        <v>0</v>
      </c>
      <c r="AM120" s="37">
        <f t="shared" ca="1" si="173"/>
        <v>0</v>
      </c>
      <c r="AN120" s="37">
        <f t="shared" ca="1" si="173"/>
        <v>0</v>
      </c>
      <c r="AO120" s="37">
        <f t="shared" ca="1" si="173"/>
        <v>0</v>
      </c>
      <c r="AP120" s="37">
        <f t="shared" ca="1" si="173"/>
        <v>0</v>
      </c>
      <c r="AQ120" s="37">
        <f t="shared" ca="1" si="173"/>
        <v>0</v>
      </c>
      <c r="AR120" s="37">
        <f t="shared" ca="1" si="173"/>
        <v>0</v>
      </c>
      <c r="AS120" s="37">
        <f t="shared" ca="1" si="173"/>
        <v>0</v>
      </c>
      <c r="AT120" s="37">
        <f t="shared" ca="1" si="173"/>
        <v>0</v>
      </c>
      <c r="AU120" s="37">
        <f t="shared" ca="1" si="173"/>
        <v>0</v>
      </c>
      <c r="AV120" s="37">
        <f t="shared" ca="1" si="173"/>
        <v>0</v>
      </c>
      <c r="AW120" s="37">
        <f t="shared" ca="1" si="173"/>
        <v>0</v>
      </c>
      <c r="AX120" s="37">
        <f t="shared" ca="1" si="173"/>
        <v>0</v>
      </c>
      <c r="AY120" s="37">
        <f t="shared" ca="1" si="173"/>
        <v>0</v>
      </c>
      <c r="AZ120" s="37" t="e">
        <f t="shared" ca="1" si="173"/>
        <v>#N/A</v>
      </c>
      <c r="BA120" s="37" t="e">
        <f t="shared" ca="1" si="173"/>
        <v>#N/A</v>
      </c>
      <c r="BB120" s="37" t="e">
        <f t="shared" ca="1" si="173"/>
        <v>#N/A</v>
      </c>
    </row>
    <row r="121" spans="32:54" x14ac:dyDescent="0.25">
      <c r="AF121"/>
      <c r="AG121" s="1" t="s">
        <v>59</v>
      </c>
      <c r="AH121" s="1"/>
      <c r="AI121" s="37">
        <f t="shared" ca="1" si="173"/>
        <v>0</v>
      </c>
      <c r="AJ121" s="37">
        <f t="shared" ca="1" si="173"/>
        <v>0</v>
      </c>
      <c r="AK121" s="37">
        <f t="shared" ca="1" si="173"/>
        <v>0</v>
      </c>
      <c r="AL121" s="37">
        <f t="shared" ca="1" si="173"/>
        <v>0</v>
      </c>
      <c r="AM121" s="37">
        <f t="shared" ca="1" si="173"/>
        <v>0</v>
      </c>
      <c r="AN121" s="37">
        <f t="shared" ca="1" si="173"/>
        <v>0</v>
      </c>
      <c r="AO121" s="37">
        <f t="shared" ca="1" si="173"/>
        <v>0</v>
      </c>
      <c r="AP121" s="37">
        <f t="shared" ca="1" si="173"/>
        <v>0</v>
      </c>
      <c r="AQ121" s="37">
        <f t="shared" ca="1" si="173"/>
        <v>0</v>
      </c>
      <c r="AR121" s="37">
        <f t="shared" ca="1" si="173"/>
        <v>0</v>
      </c>
      <c r="AS121" s="37">
        <f t="shared" ca="1" si="173"/>
        <v>0</v>
      </c>
      <c r="AT121" s="37">
        <f t="shared" ca="1" si="173"/>
        <v>0</v>
      </c>
      <c r="AU121" s="37">
        <f t="shared" ca="1" si="173"/>
        <v>0</v>
      </c>
      <c r="AV121" s="37">
        <f t="shared" ca="1" si="173"/>
        <v>0</v>
      </c>
      <c r="AW121" s="37">
        <f t="shared" ca="1" si="173"/>
        <v>0</v>
      </c>
      <c r="AX121" s="37">
        <f t="shared" ca="1" si="173"/>
        <v>0</v>
      </c>
      <c r="AY121" s="37">
        <f t="shared" ca="1" si="173"/>
        <v>0</v>
      </c>
      <c r="AZ121" s="37" t="e">
        <f t="shared" ca="1" si="173"/>
        <v>#N/A</v>
      </c>
      <c r="BA121" s="37" t="e">
        <f t="shared" ca="1" si="173"/>
        <v>#N/A</v>
      </c>
      <c r="BB121" s="37" t="e">
        <f t="shared" ca="1" si="173"/>
        <v>#N/A</v>
      </c>
    </row>
    <row r="122" spans="32:54" x14ac:dyDescent="0.25">
      <c r="AF122"/>
      <c r="AG122" s="12" t="s">
        <v>60</v>
      </c>
      <c r="AH122" s="12"/>
      <c r="AI122" s="45">
        <f ca="1">SUM(AI117:AI121)</f>
        <v>167427.29679921464</v>
      </c>
      <c r="AJ122" s="45">
        <f ca="1">SUM(AJ117:AJ121)</f>
        <v>191740.89308787545</v>
      </c>
      <c r="AK122" s="45">
        <f t="shared" ref="AK122:BB122" ca="1" si="174">SUM(AK117:AK121)</f>
        <v>217345.80135791682</v>
      </c>
      <c r="AL122" s="45">
        <f t="shared" ca="1" si="174"/>
        <v>244570.55633502358</v>
      </c>
      <c r="AM122" s="45">
        <f t="shared" ca="1" si="174"/>
        <v>273526.77026991226</v>
      </c>
      <c r="AN122" s="45">
        <f t="shared" ca="1" si="174"/>
        <v>304173.65307471051</v>
      </c>
      <c r="AO122" s="45">
        <f t="shared" ca="1" si="174"/>
        <v>336547.36278395029</v>
      </c>
      <c r="AP122" s="45">
        <f t="shared" ca="1" si="174"/>
        <v>370447.04239456565</v>
      </c>
      <c r="AQ122" s="45">
        <f t="shared" ca="1" si="174"/>
        <v>406181.12892544176</v>
      </c>
      <c r="AR122" s="45">
        <f t="shared" ca="1" si="174"/>
        <v>443814.07011921547</v>
      </c>
      <c r="AS122" s="45">
        <f t="shared" ca="1" si="174"/>
        <v>483432.2100193057</v>
      </c>
      <c r="AT122" s="45">
        <f t="shared" ca="1" si="174"/>
        <v>525110.91855352442</v>
      </c>
      <c r="AU122" s="45">
        <f t="shared" ca="1" si="174"/>
        <v>568581.88648525777</v>
      </c>
      <c r="AV122" s="45">
        <f t="shared" ca="1" si="174"/>
        <v>614247.67662425258</v>
      </c>
      <c r="AW122" s="45">
        <f t="shared" ca="1" si="174"/>
        <v>662139.41640832415</v>
      </c>
      <c r="AX122" s="45">
        <f t="shared" ca="1" si="174"/>
        <v>712276.21044571139</v>
      </c>
      <c r="AY122" s="45">
        <f t="shared" ca="1" si="174"/>
        <v>764685.49127577234</v>
      </c>
      <c r="AZ122" s="45" t="e">
        <f t="shared" ca="1" si="174"/>
        <v>#N/A</v>
      </c>
      <c r="BA122" s="45" t="e">
        <f t="shared" ca="1" si="174"/>
        <v>#N/A</v>
      </c>
      <c r="BB122" s="45" t="e">
        <f t="shared" ca="1" si="174"/>
        <v>#N/A</v>
      </c>
    </row>
    <row r="123" spans="32:54" x14ac:dyDescent="0.25">
      <c r="AF123"/>
    </row>
  </sheetData>
  <conditionalFormatting sqref="AJ77">
    <cfRule type="cellIs" dxfId="114" priority="10" operator="equal">
      <formula>"Check"</formula>
    </cfRule>
  </conditionalFormatting>
  <conditionalFormatting sqref="AK77:BB77">
    <cfRule type="cellIs" dxfId="113" priority="14" operator="equal">
      <formula>"Check"</formula>
    </cfRule>
  </conditionalFormatting>
  <conditionalFormatting sqref="AK86:BB86">
    <cfRule type="cellIs" dxfId="112" priority="13" operator="equal">
      <formula>"Check"</formula>
    </cfRule>
  </conditionalFormatting>
  <conditionalFormatting sqref="AK95:BB95">
    <cfRule type="cellIs" dxfId="111" priority="12" operator="equal">
      <formula>"Check"</formula>
    </cfRule>
  </conditionalFormatting>
  <conditionalFormatting sqref="AK104:BB104">
    <cfRule type="cellIs" dxfId="110" priority="11" operator="equal">
      <formula>"Check"</formula>
    </cfRule>
  </conditionalFormatting>
  <conditionalFormatting sqref="AI77">
    <cfRule type="cellIs" dxfId="109" priority="9" operator="equal">
      <formula>"Check"</formula>
    </cfRule>
  </conditionalFormatting>
  <conditionalFormatting sqref="AI86:AJ86">
    <cfRule type="cellIs" dxfId="108" priority="8" operator="equal">
      <formula>"Check"</formula>
    </cfRule>
  </conditionalFormatting>
  <conditionalFormatting sqref="K11:AE11 K21:AE21 K31:AE31 K41:AE41 K51:AE51 K61:AE61">
    <cfRule type="expression" dxfId="107" priority="7">
      <formula>K11&gt;1</formula>
    </cfRule>
  </conditionalFormatting>
  <conditionalFormatting sqref="J11">
    <cfRule type="expression" dxfId="106" priority="6">
      <formula>J11&gt;1</formula>
    </cfRule>
  </conditionalFormatting>
  <conditionalFormatting sqref="J21">
    <cfRule type="expression" dxfId="105" priority="5">
      <formula>J21&gt;1</formula>
    </cfRule>
  </conditionalFormatting>
  <conditionalFormatting sqref="J31">
    <cfRule type="expression" dxfId="104" priority="4">
      <formula>J31&gt;1</formula>
    </cfRule>
  </conditionalFormatting>
  <conditionalFormatting sqref="J41">
    <cfRule type="expression" dxfId="103" priority="3">
      <formula>J41&gt;1</formula>
    </cfRule>
  </conditionalFormatting>
  <conditionalFormatting sqref="J51">
    <cfRule type="expression" dxfId="102" priority="2">
      <formula>J51&gt;1</formula>
    </cfRule>
  </conditionalFormatting>
  <conditionalFormatting sqref="J61">
    <cfRule type="expression" dxfId="101" priority="1">
      <formula>J61&gt;1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J1" zoomScale="70" zoomScaleNormal="70" workbookViewId="0">
      <selection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5.28515625" bestFit="1"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 min="33" max="33" width="16.28515625" customWidth="1"/>
  </cols>
  <sheetData>
    <row r="1" spans="1:54" x14ac:dyDescent="0.25">
      <c r="A1" s="6" t="s">
        <v>16</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127"/>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IUD_Base!C5</f>
        <v>3.1392999999999998E-3</v>
      </c>
      <c r="D5" s="14">
        <f ca="1">IUD_Base!D5</f>
        <v>9.8592000000000003E-3</v>
      </c>
      <c r="E5" s="14">
        <f ca="1">IF('User Settings'!$N$7="On",($D5-$C5)/($D$4-$C$4),0)</f>
        <v>1.3439800000000003E-3</v>
      </c>
      <c r="F5" s="14">
        <f ca="1">IUD_Base!F5</f>
        <v>1.3891140000000001E-2</v>
      </c>
      <c r="G5" s="1" t="str">
        <f>"Shift_UrbQ1"&amp;IF(Dashboard!$Q$4="Yes",$A$1,"")</f>
        <v>Shift_UrbQ1</v>
      </c>
      <c r="H5" s="14">
        <f ca="1">IUD_Base!H5*(1-INDIRECT($G5))</f>
        <v>8.9615400000000005E-3</v>
      </c>
      <c r="I5" s="14">
        <f t="shared" ref="I5:I10" ca="1" si="4">($H5-$F5)/($H$4-$F$4)</f>
        <v>-1.6432000000000003E-3</v>
      </c>
      <c r="J5" s="14">
        <f ca="1">K5-E5</f>
        <v>1.2547160000000002E-2</v>
      </c>
      <c r="K5" s="14">
        <f ca="1">MAX(0,MIN(1,D5+(K$4-D$4)*E5))</f>
        <v>1.3891140000000001E-2</v>
      </c>
      <c r="L5" s="15">
        <f ca="1">MAX(0,MIN(1,K5+$I5))</f>
        <v>1.2247940000000001E-2</v>
      </c>
      <c r="M5" s="15">
        <f t="shared" ref="M5:AD5" ca="1" si="5">MAX(0,MIN(1,L5+$I5))</f>
        <v>1.060474E-2</v>
      </c>
      <c r="N5" s="15">
        <f ca="1">MAX(0,MIN(1,M5+$I5))</f>
        <v>8.9615399999999987E-3</v>
      </c>
      <c r="O5" s="15">
        <f t="shared" ca="1" si="5"/>
        <v>7.3183399999999987E-3</v>
      </c>
      <c r="P5" s="15">
        <f t="shared" ca="1" si="5"/>
        <v>5.6751399999999987E-3</v>
      </c>
      <c r="Q5" s="15">
        <f t="shared" ca="1" si="5"/>
        <v>4.0319399999999986E-3</v>
      </c>
      <c r="R5" s="15">
        <f t="shared" ca="1" si="5"/>
        <v>2.3887399999999986E-3</v>
      </c>
      <c r="S5" s="15">
        <f t="shared" ca="1" si="5"/>
        <v>7.4553999999999831E-4</v>
      </c>
      <c r="T5" s="15">
        <f t="shared" ca="1" si="5"/>
        <v>0</v>
      </c>
      <c r="U5" s="15">
        <f t="shared" ca="1" si="5"/>
        <v>0</v>
      </c>
      <c r="V5" s="15">
        <f t="shared" ca="1" si="5"/>
        <v>0</v>
      </c>
      <c r="W5" s="15">
        <f t="shared" ca="1" si="5"/>
        <v>0</v>
      </c>
      <c r="X5" s="15">
        <f t="shared" ca="1" si="5"/>
        <v>0</v>
      </c>
      <c r="Y5" s="15">
        <f t="shared" ca="1" si="5"/>
        <v>0</v>
      </c>
      <c r="Z5" s="15">
        <f t="shared" ca="1" si="5"/>
        <v>0</v>
      </c>
      <c r="AA5" s="15">
        <f t="shared" ca="1" si="5"/>
        <v>0</v>
      </c>
      <c r="AB5" s="15">
        <f t="shared" ca="1" si="5"/>
        <v>0</v>
      </c>
      <c r="AC5" s="15">
        <f t="shared" ca="1" si="5"/>
        <v>0</v>
      </c>
      <c r="AD5" s="15">
        <f t="shared" ca="1" si="5"/>
        <v>0</v>
      </c>
      <c r="AE5" s="5"/>
      <c r="AG5" s="1" t="s">
        <v>52</v>
      </c>
      <c r="AH5" s="37">
        <f ca="1">J5*AH$11</f>
        <v>8052.4015403562817</v>
      </c>
      <c r="AI5" s="37">
        <f t="shared" ref="AI5:AI10" ca="1" si="6">K5*AI$11</f>
        <v>9257.7559988964222</v>
      </c>
      <c r="AJ5" s="37">
        <f t="shared" ref="AJ5:AS10" ca="1" si="7">L5*AJ$11</f>
        <v>8474.6837523297418</v>
      </c>
      <c r="AK5" s="37">
        <f t="shared" ca="1" si="7"/>
        <v>7606.9105343395313</v>
      </c>
      <c r="AL5" s="37">
        <f t="shared" ca="1" si="7"/>
        <v>6664.0352353987446</v>
      </c>
      <c r="AM5" s="37">
        <f t="shared" ca="1" si="7"/>
        <v>5640.8142579201958</v>
      </c>
      <c r="AN5" s="37">
        <f t="shared" ca="1" si="7"/>
        <v>4532.5306316353854</v>
      </c>
      <c r="AO5" s="37">
        <f t="shared" ca="1" si="7"/>
        <v>3335.3541697244245</v>
      </c>
      <c r="AP5" s="37">
        <f t="shared" ca="1" si="7"/>
        <v>2044.5171898121771</v>
      </c>
      <c r="AQ5" s="37">
        <f t="shared" ca="1" si="7"/>
        <v>660.03708368859589</v>
      </c>
      <c r="AR5" s="37">
        <f t="shared" ca="1" si="7"/>
        <v>0</v>
      </c>
      <c r="AS5" s="37">
        <f t="shared" ca="1" si="7"/>
        <v>0</v>
      </c>
      <c r="AT5" s="37">
        <f t="shared" ref="AT5:BB10" ca="1" si="8">V5*AT$11</f>
        <v>0</v>
      </c>
      <c r="AU5" s="37">
        <f t="shared" ca="1" si="8"/>
        <v>0</v>
      </c>
      <c r="AV5" s="37">
        <f t="shared" ca="1" si="8"/>
        <v>0</v>
      </c>
      <c r="AW5" s="37">
        <f t="shared" ca="1" si="8"/>
        <v>0</v>
      </c>
      <c r="AX5" s="37">
        <f t="shared" ca="1" si="8"/>
        <v>0</v>
      </c>
      <c r="AY5" s="37">
        <f t="shared" ca="1" si="8"/>
        <v>0</v>
      </c>
      <c r="AZ5" s="37" t="e">
        <f t="shared" ca="1" si="8"/>
        <v>#N/A</v>
      </c>
      <c r="BA5" s="37" t="e">
        <f t="shared" ca="1" si="8"/>
        <v>#N/A</v>
      </c>
      <c r="BB5" s="37" t="e">
        <f t="shared" ca="1" si="8"/>
        <v>#N/A</v>
      </c>
    </row>
    <row r="6" spans="1:54" x14ac:dyDescent="0.25">
      <c r="B6" s="1" t="s">
        <v>54</v>
      </c>
      <c r="C6" s="14">
        <f ca="1">IUD_Base!C6</f>
        <v>0</v>
      </c>
      <c r="D6" s="14">
        <f ca="1">IUD_Base!D6</f>
        <v>8.097E-4</v>
      </c>
      <c r="E6" s="14">
        <f ca="1">IF('User Settings'!$N$7="On",($D6-$C6)/($D$4-$C$4),0)</f>
        <v>1.6194000000000001E-4</v>
      </c>
      <c r="F6" s="14">
        <f ca="1">IUD_Base!F6</f>
        <v>1.2955200000000001E-3</v>
      </c>
      <c r="G6" s="1" t="str">
        <f>"Shift_UrbQ1"&amp;IF(Dashboard!$Q$4="Yes",$A$1,"")</f>
        <v>Shift_UrbQ1</v>
      </c>
      <c r="H6" s="14">
        <f ca="1">IUD_Base!H6*(1-INDIRECT($G6))</f>
        <v>8.9067000000000009E-4</v>
      </c>
      <c r="I6" s="14">
        <f t="shared" ca="1" si="4"/>
        <v>-1.3495E-4</v>
      </c>
      <c r="J6" s="14">
        <f t="shared" ref="J6:J10" ca="1" si="9">K6-E6</f>
        <v>1.1335800000000001E-3</v>
      </c>
      <c r="K6" s="14">
        <f t="shared" ref="K6:K10" ca="1" si="10">MAX(0,MIN(1,D6+(K$4-D$4)*E6))</f>
        <v>1.2955200000000001E-3</v>
      </c>
      <c r="L6" s="15">
        <f t="shared" ref="L6:AD10" ca="1" si="11">MAX(0,MIN(1,K6+$I6))</f>
        <v>1.1605700000000001E-3</v>
      </c>
      <c r="M6" s="15">
        <f t="shared" ca="1" si="11"/>
        <v>1.0256200000000001E-3</v>
      </c>
      <c r="N6" s="15">
        <f t="shared" ca="1" si="11"/>
        <v>8.9067000000000009E-4</v>
      </c>
      <c r="O6" s="15">
        <f t="shared" ca="1" si="11"/>
        <v>7.5572000000000009E-4</v>
      </c>
      <c r="P6" s="15">
        <f t="shared" ca="1" si="11"/>
        <v>6.2077000000000009E-4</v>
      </c>
      <c r="Q6" s="15">
        <f t="shared" ca="1" si="11"/>
        <v>4.8582000000000009E-4</v>
      </c>
      <c r="R6" s="15">
        <f t="shared" ca="1" si="11"/>
        <v>3.5087000000000009E-4</v>
      </c>
      <c r="S6" s="15">
        <f t="shared" ca="1" si="11"/>
        <v>2.1592000000000009E-4</v>
      </c>
      <c r="T6" s="15">
        <f t="shared" ca="1" si="11"/>
        <v>8.0970000000000087E-5</v>
      </c>
      <c r="U6" s="15">
        <f t="shared" ca="1" si="11"/>
        <v>0</v>
      </c>
      <c r="V6" s="15">
        <f t="shared" ca="1" si="11"/>
        <v>0</v>
      </c>
      <c r="W6" s="15">
        <f t="shared" ca="1" si="11"/>
        <v>0</v>
      </c>
      <c r="X6" s="15">
        <f t="shared" ca="1" si="11"/>
        <v>0</v>
      </c>
      <c r="Y6" s="15">
        <f t="shared" ca="1" si="11"/>
        <v>0</v>
      </c>
      <c r="Z6" s="15">
        <f t="shared" ca="1" si="11"/>
        <v>0</v>
      </c>
      <c r="AA6" s="15">
        <f t="shared" ca="1" si="11"/>
        <v>0</v>
      </c>
      <c r="AB6" s="15">
        <f t="shared" ca="1" si="11"/>
        <v>0</v>
      </c>
      <c r="AC6" s="15">
        <f t="shared" ca="1" si="11"/>
        <v>0</v>
      </c>
      <c r="AD6" s="15">
        <f t="shared" ca="1" si="11"/>
        <v>0</v>
      </c>
      <c r="AE6" s="5"/>
      <c r="AG6" s="1" t="s">
        <v>54</v>
      </c>
      <c r="AH6" s="37">
        <f t="shared" ref="AH6:AH10" ca="1" si="12">J6*AH$11</f>
        <v>727.49860033004074</v>
      </c>
      <c r="AI6" s="37">
        <f t="shared" ca="1" si="6"/>
        <v>863.39983987565404</v>
      </c>
      <c r="AJ6" s="37">
        <f t="shared" ca="1" si="7"/>
        <v>803.03003790362527</v>
      </c>
      <c r="AK6" s="37">
        <f t="shared" ca="1" si="7"/>
        <v>735.68985022068534</v>
      </c>
      <c r="AL6" s="37">
        <f t="shared" ca="1" si="7"/>
        <v>662.32547788801935</v>
      </c>
      <c r="AM6" s="37">
        <f t="shared" ca="1" si="7"/>
        <v>582.49222514879762</v>
      </c>
      <c r="AN6" s="37">
        <f t="shared" ca="1" si="7"/>
        <v>495.78671895324158</v>
      </c>
      <c r="AO6" s="37">
        <f t="shared" ca="1" si="7"/>
        <v>401.88637795590228</v>
      </c>
      <c r="AP6" s="37">
        <f t="shared" ca="1" si="7"/>
        <v>300.30884331882044</v>
      </c>
      <c r="AQ6" s="37">
        <f t="shared" ca="1" si="7"/>
        <v>191.15702324495265</v>
      </c>
      <c r="AR6" s="37">
        <f t="shared" ca="1" si="7"/>
        <v>74.127569907915216</v>
      </c>
      <c r="AS6" s="37">
        <f t="shared" ca="1" si="7"/>
        <v>0</v>
      </c>
      <c r="AT6" s="37">
        <f t="shared" ca="1" si="8"/>
        <v>0</v>
      </c>
      <c r="AU6" s="37">
        <f t="shared" ca="1" si="8"/>
        <v>0</v>
      </c>
      <c r="AV6" s="37">
        <f t="shared" ca="1" si="8"/>
        <v>0</v>
      </c>
      <c r="AW6" s="37">
        <f t="shared" ca="1" si="8"/>
        <v>0</v>
      </c>
      <c r="AX6" s="37">
        <f t="shared" ca="1" si="8"/>
        <v>0</v>
      </c>
      <c r="AY6" s="37">
        <f t="shared" ca="1" si="8"/>
        <v>0</v>
      </c>
      <c r="AZ6" s="37" t="e">
        <f t="shared" ca="1" si="8"/>
        <v>#N/A</v>
      </c>
      <c r="BA6" s="37" t="e">
        <f t="shared" ca="1" si="8"/>
        <v>#N/A</v>
      </c>
      <c r="BB6" s="37" t="e">
        <f t="shared" ca="1" si="8"/>
        <v>#N/A</v>
      </c>
    </row>
    <row r="7" spans="1:54" x14ac:dyDescent="0.25">
      <c r="B7" s="1" t="s">
        <v>170</v>
      </c>
      <c r="C7" s="14">
        <f ca="1">IUD_Base!C7</f>
        <v>0</v>
      </c>
      <c r="D7" s="14">
        <f ca="1">IUD_Base!D7</f>
        <v>0</v>
      </c>
      <c r="E7" s="14">
        <f ca="1">IF('User Settings'!$N$7="On",($D7-$C7)/($D$4-$C$4),0)</f>
        <v>0</v>
      </c>
      <c r="F7" s="14">
        <f ca="1">IUD_Base!F7</f>
        <v>0</v>
      </c>
      <c r="G7" s="1" t="str">
        <f>"Shift_UrbQ1"&amp;IF(Dashboard!$Q$4="Yes",$A$1,"")</f>
        <v>Shift_UrbQ1</v>
      </c>
      <c r="H7" s="14">
        <f ca="1">IUD_Base!H7*(1-INDIRECT($G7))</f>
        <v>0</v>
      </c>
      <c r="I7" s="14">
        <f t="shared" ca="1" si="4"/>
        <v>0</v>
      </c>
      <c r="J7" s="14">
        <f t="shared" ca="1" si="9"/>
        <v>0</v>
      </c>
      <c r="K7" s="14">
        <f t="shared" ca="1" si="10"/>
        <v>0</v>
      </c>
      <c r="L7" s="15">
        <f t="shared" ca="1" si="11"/>
        <v>0</v>
      </c>
      <c r="M7" s="15">
        <f t="shared" ca="1" si="11"/>
        <v>0</v>
      </c>
      <c r="N7" s="15">
        <f t="shared" ca="1" si="11"/>
        <v>0</v>
      </c>
      <c r="O7" s="15">
        <f t="shared" ca="1" si="11"/>
        <v>0</v>
      </c>
      <c r="P7" s="15">
        <f t="shared" ca="1" si="11"/>
        <v>0</v>
      </c>
      <c r="Q7" s="15">
        <f t="shared" ca="1" si="11"/>
        <v>0</v>
      </c>
      <c r="R7" s="15">
        <f t="shared" ca="1" si="11"/>
        <v>0</v>
      </c>
      <c r="S7" s="15">
        <f t="shared" ca="1" si="11"/>
        <v>0</v>
      </c>
      <c r="T7" s="15">
        <f t="shared" ca="1" si="11"/>
        <v>0</v>
      </c>
      <c r="U7" s="15">
        <f t="shared" ca="1" si="11"/>
        <v>0</v>
      </c>
      <c r="V7" s="15">
        <f t="shared" ca="1" si="11"/>
        <v>0</v>
      </c>
      <c r="W7" s="15">
        <f t="shared" ca="1" si="11"/>
        <v>0</v>
      </c>
      <c r="X7" s="15">
        <f t="shared" ca="1" si="11"/>
        <v>0</v>
      </c>
      <c r="Y7" s="15">
        <f t="shared" ca="1" si="11"/>
        <v>0</v>
      </c>
      <c r="Z7" s="15">
        <f t="shared" ca="1" si="11"/>
        <v>0</v>
      </c>
      <c r="AA7" s="15">
        <f t="shared" ca="1" si="11"/>
        <v>0</v>
      </c>
      <c r="AB7" s="15">
        <f t="shared" ca="1" si="11"/>
        <v>0</v>
      </c>
      <c r="AC7" s="15">
        <f t="shared" ca="1" si="11"/>
        <v>0</v>
      </c>
      <c r="AD7" s="15">
        <f t="shared" ca="1" si="11"/>
        <v>0</v>
      </c>
      <c r="AE7" s="5"/>
      <c r="AG7" s="1" t="s">
        <v>170</v>
      </c>
      <c r="AH7" s="37">
        <f t="shared" ca="1" si="12"/>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IUD_Base!C8</f>
        <v>1.48472E-2</v>
      </c>
      <c r="D8" s="14">
        <f ca="1">IUD_Base!D8</f>
        <v>1.9955799999999999E-2</v>
      </c>
      <c r="E8" s="14">
        <f ca="1">IF('User Settings'!$N$7="On",($D8-$C8)/($D$4-$C$4),0)</f>
        <v>1.0217199999999998E-3</v>
      </c>
      <c r="F8" s="14">
        <f ca="1">IUD_Base!F8</f>
        <v>2.302096E-2</v>
      </c>
      <c r="H8" s="14">
        <f ca="1">H11-SUM($H5:$H7,$H9:$H10)</f>
        <v>3.5938329999999997E-2</v>
      </c>
      <c r="I8" s="14">
        <f t="shared" ca="1" si="4"/>
        <v>4.3057899999999994E-3</v>
      </c>
      <c r="J8" s="14">
        <f t="shared" ca="1" si="9"/>
        <v>2.199924E-2</v>
      </c>
      <c r="K8" s="14">
        <f t="shared" ca="1" si="10"/>
        <v>2.302096E-2</v>
      </c>
      <c r="L8" s="15">
        <f t="shared" ca="1" si="11"/>
        <v>2.732675E-2</v>
      </c>
      <c r="M8" s="15">
        <f t="shared" ca="1" si="11"/>
        <v>3.1632540000000001E-2</v>
      </c>
      <c r="N8" s="15">
        <f t="shared" ca="1" si="11"/>
        <v>3.5938329999999997E-2</v>
      </c>
      <c r="O8" s="15">
        <f t="shared" ca="1" si="11"/>
        <v>4.0244119999999994E-2</v>
      </c>
      <c r="P8" s="15">
        <f t="shared" ca="1" si="11"/>
        <v>4.4549909999999991E-2</v>
      </c>
      <c r="Q8" s="15">
        <f t="shared" ca="1" si="11"/>
        <v>4.8855699999999988E-2</v>
      </c>
      <c r="R8" s="15">
        <f t="shared" ca="1" si="11"/>
        <v>5.3161489999999985E-2</v>
      </c>
      <c r="S8" s="15">
        <f t="shared" ca="1" si="11"/>
        <v>5.7467279999999982E-2</v>
      </c>
      <c r="T8" s="15">
        <f t="shared" ca="1" si="11"/>
        <v>6.1773069999999979E-2</v>
      </c>
      <c r="U8" s="15">
        <f t="shared" ca="1" si="11"/>
        <v>6.6078859999999975E-2</v>
      </c>
      <c r="V8" s="15">
        <f t="shared" ca="1" si="11"/>
        <v>7.0384649999999979E-2</v>
      </c>
      <c r="W8" s="15">
        <f t="shared" ca="1" si="11"/>
        <v>7.4690439999999983E-2</v>
      </c>
      <c r="X8" s="15">
        <f t="shared" ca="1" si="11"/>
        <v>7.8996229999999987E-2</v>
      </c>
      <c r="Y8" s="15">
        <f t="shared" ca="1" si="11"/>
        <v>8.3302019999999991E-2</v>
      </c>
      <c r="Z8" s="15">
        <f t="shared" ca="1" si="11"/>
        <v>8.7607809999999994E-2</v>
      </c>
      <c r="AA8" s="15">
        <f t="shared" ca="1" si="11"/>
        <v>9.1913599999999998E-2</v>
      </c>
      <c r="AB8" s="15">
        <f t="shared" ca="1" si="11"/>
        <v>9.6219390000000002E-2</v>
      </c>
      <c r="AC8" s="15">
        <f t="shared" ca="1" si="11"/>
        <v>0.10052518000000001</v>
      </c>
      <c r="AD8" s="15">
        <f t="shared" ca="1" si="11"/>
        <v>0.10483097000000001</v>
      </c>
      <c r="AE8" s="5"/>
      <c r="AG8" s="1" t="s">
        <v>59</v>
      </c>
      <c r="AH8" s="37">
        <f t="shared" ca="1" si="12"/>
        <v>14118.470957783873</v>
      </c>
      <c r="AI8" s="37">
        <f t="shared" ca="1" si="6"/>
        <v>15342.328314332342</v>
      </c>
      <c r="AJ8" s="37">
        <f t="shared" ca="1" si="7"/>
        <v>18908.123670509223</v>
      </c>
      <c r="AK8" s="37">
        <f t="shared" ca="1" si="7"/>
        <v>22690.410302743549</v>
      </c>
      <c r="AL8" s="37">
        <f t="shared" ca="1" si="7"/>
        <v>26724.680961239672</v>
      </c>
      <c r="AM8" s="37">
        <f t="shared" ca="1" si="7"/>
        <v>31019.275668177663</v>
      </c>
      <c r="AN8" s="37">
        <f t="shared" ca="1" si="7"/>
        <v>35580.414176848426</v>
      </c>
      <c r="AO8" s="37">
        <f t="shared" ca="1" si="7"/>
        <v>40415.051491293416</v>
      </c>
      <c r="AP8" s="37">
        <f t="shared" ca="1" si="7"/>
        <v>45500.79964375704</v>
      </c>
      <c r="AQ8" s="37">
        <f t="shared" ca="1" si="7"/>
        <v>50876.594010671521</v>
      </c>
      <c r="AR8" s="37">
        <f t="shared" ca="1" si="7"/>
        <v>56552.890760177019</v>
      </c>
      <c r="AS8" s="37">
        <f t="shared" ca="1" si="7"/>
        <v>62543.024480513668</v>
      </c>
      <c r="AT8" s="37">
        <f t="shared" ca="1" si="8"/>
        <v>68859.079395755296</v>
      </c>
      <c r="AU8" s="37">
        <f t="shared" ca="1" si="8"/>
        <v>75467.59839124202</v>
      </c>
      <c r="AV8" s="37">
        <f t="shared" ca="1" si="8"/>
        <v>82423.202479557964</v>
      </c>
      <c r="AW8" s="37">
        <f t="shared" ca="1" si="8"/>
        <v>89732.220808237107</v>
      </c>
      <c r="AX8" s="37">
        <f t="shared" ca="1" si="8"/>
        <v>97399.148584339404</v>
      </c>
      <c r="AY8" s="37">
        <f t="shared" ca="1" si="8"/>
        <v>105429.42200446392</v>
      </c>
      <c r="AZ8" s="37" t="e">
        <f t="shared" ca="1" si="8"/>
        <v>#N/A</v>
      </c>
      <c r="BA8" s="37" t="e">
        <f t="shared" ca="1" si="8"/>
        <v>#N/A</v>
      </c>
      <c r="BB8" s="37" t="e">
        <f t="shared" ca="1" si="8"/>
        <v>#N/A</v>
      </c>
    </row>
    <row r="9" spans="1:54" x14ac:dyDescent="0.25">
      <c r="B9" s="1" t="s">
        <v>171</v>
      </c>
      <c r="C9" s="14">
        <f ca="1">IUD_Base!C9</f>
        <v>0</v>
      </c>
      <c r="D9" s="14">
        <f ca="1">IUD_Base!D9</f>
        <v>0</v>
      </c>
      <c r="E9" s="14">
        <f ca="1">IF('User Settings'!$N$7="On",($D9-$C9)/($D$4-$C$4),0)</f>
        <v>0</v>
      </c>
      <c r="F9" s="14">
        <f ca="1">IUD_Base!F9</f>
        <v>0</v>
      </c>
      <c r="G9" s="1"/>
      <c r="H9" s="14">
        <f ca="1">IUD_Base!H9</f>
        <v>0</v>
      </c>
      <c r="I9" s="14">
        <f t="shared" ca="1" si="4"/>
        <v>0</v>
      </c>
      <c r="J9" s="14">
        <f t="shared" ca="1" si="9"/>
        <v>0</v>
      </c>
      <c r="K9" s="14">
        <f t="shared" ca="1" si="10"/>
        <v>0</v>
      </c>
      <c r="L9" s="15">
        <f t="shared" ca="1" si="11"/>
        <v>0</v>
      </c>
      <c r="M9" s="15">
        <f t="shared" ca="1" si="11"/>
        <v>0</v>
      </c>
      <c r="N9" s="15">
        <f t="shared" ca="1" si="11"/>
        <v>0</v>
      </c>
      <c r="O9" s="15">
        <f t="shared" ca="1" si="11"/>
        <v>0</v>
      </c>
      <c r="P9" s="15">
        <f t="shared" ca="1" si="11"/>
        <v>0</v>
      </c>
      <c r="Q9" s="15">
        <f t="shared" ca="1" si="11"/>
        <v>0</v>
      </c>
      <c r="R9" s="15">
        <f t="shared" ca="1" si="11"/>
        <v>0</v>
      </c>
      <c r="S9" s="15">
        <f t="shared" ca="1" si="11"/>
        <v>0</v>
      </c>
      <c r="T9" s="15">
        <f t="shared" ca="1" si="11"/>
        <v>0</v>
      </c>
      <c r="U9" s="15">
        <f t="shared" ca="1" si="11"/>
        <v>0</v>
      </c>
      <c r="V9" s="15">
        <f t="shared" ca="1" si="11"/>
        <v>0</v>
      </c>
      <c r="W9" s="15">
        <f t="shared" ca="1" si="11"/>
        <v>0</v>
      </c>
      <c r="X9" s="15">
        <f t="shared" ca="1" si="11"/>
        <v>0</v>
      </c>
      <c r="Y9" s="15">
        <f t="shared" ca="1" si="11"/>
        <v>0</v>
      </c>
      <c r="Z9" s="15">
        <f t="shared" ca="1" si="11"/>
        <v>0</v>
      </c>
      <c r="AA9" s="15">
        <f t="shared" ca="1" si="11"/>
        <v>0</v>
      </c>
      <c r="AB9" s="15">
        <f t="shared" ca="1" si="11"/>
        <v>0</v>
      </c>
      <c r="AC9" s="15">
        <f t="shared" ca="1" si="11"/>
        <v>0</v>
      </c>
      <c r="AD9" s="15">
        <f t="shared" ca="1" si="11"/>
        <v>0</v>
      </c>
      <c r="AE9" s="5"/>
      <c r="AG9" s="1" t="s">
        <v>171</v>
      </c>
      <c r="AH9" s="37">
        <f t="shared" ca="1" si="12"/>
        <v>0</v>
      </c>
      <c r="AI9" s="37">
        <f t="shared" ca="1" si="6"/>
        <v>0</v>
      </c>
      <c r="AJ9" s="37">
        <f t="shared" ca="1" si="7"/>
        <v>0</v>
      </c>
      <c r="AK9" s="37">
        <f t="shared" ca="1" si="7"/>
        <v>0</v>
      </c>
      <c r="AL9" s="37">
        <f t="shared" ca="1" si="7"/>
        <v>0</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IUD_Base!C10</f>
        <v>0</v>
      </c>
      <c r="D10" s="14">
        <f ca="1">IUD_Base!D10</f>
        <v>0</v>
      </c>
      <c r="E10" s="14">
        <f ca="1">IF('User Settings'!$N$7="On",($D10-$C10)/($D$4-$C$4),0)</f>
        <v>0</v>
      </c>
      <c r="F10" s="14">
        <f ca="1">IUD_Base!F10</f>
        <v>0</v>
      </c>
      <c r="G10" s="1" t="str">
        <f>"Shift_UrbQ1"&amp;IF(Dashboard!$Q$4="Yes",$A$1,"")</f>
        <v>Shift_UrbQ1</v>
      </c>
      <c r="H10" s="14">
        <f ca="1">IUD_Base!H10*(1-INDIRECT($G10))</f>
        <v>0</v>
      </c>
      <c r="I10" s="14">
        <f t="shared" ca="1" si="4"/>
        <v>0</v>
      </c>
      <c r="J10" s="14">
        <f t="shared" ca="1" si="9"/>
        <v>0</v>
      </c>
      <c r="K10" s="14">
        <f t="shared" ca="1" si="10"/>
        <v>0</v>
      </c>
      <c r="L10" s="15">
        <f t="shared" ca="1" si="11"/>
        <v>0</v>
      </c>
      <c r="M10" s="15">
        <f t="shared" ca="1" si="11"/>
        <v>0</v>
      </c>
      <c r="N10" s="15">
        <f t="shared" ca="1" si="11"/>
        <v>0</v>
      </c>
      <c r="O10" s="15">
        <f t="shared" ca="1" si="11"/>
        <v>0</v>
      </c>
      <c r="P10" s="15">
        <f t="shared" ca="1" si="11"/>
        <v>0</v>
      </c>
      <c r="Q10" s="15">
        <f t="shared" ca="1" si="11"/>
        <v>0</v>
      </c>
      <c r="R10" s="15">
        <f t="shared" ca="1" si="11"/>
        <v>0</v>
      </c>
      <c r="S10" s="15">
        <f t="shared" ca="1" si="11"/>
        <v>0</v>
      </c>
      <c r="T10" s="15">
        <f t="shared" ca="1" si="11"/>
        <v>0</v>
      </c>
      <c r="U10" s="15">
        <f t="shared" ca="1" si="11"/>
        <v>0</v>
      </c>
      <c r="V10" s="15">
        <f t="shared" ca="1" si="11"/>
        <v>0</v>
      </c>
      <c r="W10" s="15">
        <f t="shared" ca="1" si="11"/>
        <v>0</v>
      </c>
      <c r="X10" s="15">
        <f t="shared" ca="1" si="11"/>
        <v>0</v>
      </c>
      <c r="Y10" s="15">
        <f t="shared" ca="1" si="11"/>
        <v>0</v>
      </c>
      <c r="Z10" s="15">
        <f t="shared" ca="1" si="11"/>
        <v>0</v>
      </c>
      <c r="AA10" s="15">
        <f t="shared" ca="1" si="11"/>
        <v>0</v>
      </c>
      <c r="AB10" s="15">
        <f t="shared" ca="1" si="11"/>
        <v>0</v>
      </c>
      <c r="AC10" s="15">
        <f t="shared" ca="1" si="11"/>
        <v>0</v>
      </c>
      <c r="AD10" s="15">
        <f t="shared" ca="1" si="11"/>
        <v>0</v>
      </c>
      <c r="AE10" s="5"/>
      <c r="AG10" s="1" t="s">
        <v>116</v>
      </c>
      <c r="AH10" s="37">
        <f t="shared" ca="1" si="12"/>
        <v>0</v>
      </c>
      <c r="AI10" s="37">
        <f t="shared" ca="1" si="6"/>
        <v>0</v>
      </c>
      <c r="AJ10" s="37">
        <f t="shared" ca="1" si="7"/>
        <v>0</v>
      </c>
      <c r="AK10" s="37">
        <f t="shared" ca="1" si="7"/>
        <v>0</v>
      </c>
      <c r="AL10" s="37">
        <f t="shared" ca="1" si="7"/>
        <v>0</v>
      </c>
      <c r="AM10" s="37">
        <f t="shared" ca="1" si="7"/>
        <v>0</v>
      </c>
      <c r="AN10" s="37">
        <f t="shared" ca="1" si="7"/>
        <v>0</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1.7986499999999999E-2</v>
      </c>
      <c r="D11" s="5">
        <f ca="1">SUM(D5:D10)</f>
        <v>3.0624699999999998E-2</v>
      </c>
      <c r="E11" s="143"/>
      <c r="F11" s="132">
        <f ca="1">SUM(F5:F10)</f>
        <v>3.8207619999999998E-2</v>
      </c>
      <c r="H11" s="132">
        <f ca="1">IUD_Base!H11</f>
        <v>4.5790539999999998E-2</v>
      </c>
      <c r="I11" s="132"/>
      <c r="J11" s="132">
        <f ca="1">SUM(J5:J10)</f>
        <v>3.567998E-2</v>
      </c>
      <c r="K11" s="132">
        <f ca="1">SUM(K5:K10)</f>
        <v>3.8207619999999998E-2</v>
      </c>
      <c r="L11" s="5">
        <f t="shared" ref="L11:AD11" ca="1" si="13">SUM(L5:L10)</f>
        <v>4.0735260000000002E-2</v>
      </c>
      <c r="M11" s="5">
        <f t="shared" ca="1" si="13"/>
        <v>4.32629E-2</v>
      </c>
      <c r="N11" s="5">
        <f t="shared" ca="1" si="13"/>
        <v>4.5790539999999998E-2</v>
      </c>
      <c r="O11" s="5">
        <f t="shared" ca="1" si="13"/>
        <v>4.8318179999999995E-2</v>
      </c>
      <c r="P11" s="5">
        <f t="shared" ca="1" si="13"/>
        <v>5.0845819999999986E-2</v>
      </c>
      <c r="Q11" s="5">
        <f t="shared" ca="1" si="13"/>
        <v>5.3373459999999984E-2</v>
      </c>
      <c r="R11" s="5">
        <f t="shared" ca="1" si="13"/>
        <v>5.5901099999999981E-2</v>
      </c>
      <c r="S11" s="5">
        <f t="shared" ca="1" si="13"/>
        <v>5.8428739999999979E-2</v>
      </c>
      <c r="T11" s="5">
        <f t="shared" ca="1" si="13"/>
        <v>6.1854039999999978E-2</v>
      </c>
      <c r="U11" s="5">
        <f t="shared" ca="1" si="13"/>
        <v>6.6078859999999975E-2</v>
      </c>
      <c r="V11" s="5">
        <f t="shared" ca="1" si="13"/>
        <v>7.0384649999999979E-2</v>
      </c>
      <c r="W11" s="5">
        <f t="shared" ca="1" si="13"/>
        <v>7.4690439999999983E-2</v>
      </c>
      <c r="X11" s="5">
        <f t="shared" ca="1" si="13"/>
        <v>7.8996229999999987E-2</v>
      </c>
      <c r="Y11" s="5">
        <f t="shared" ca="1" si="13"/>
        <v>8.3302019999999991E-2</v>
      </c>
      <c r="Z11" s="5">
        <f t="shared" ca="1" si="13"/>
        <v>8.7607809999999994E-2</v>
      </c>
      <c r="AA11" s="5">
        <f t="shared" ca="1" si="13"/>
        <v>9.1913599999999998E-2</v>
      </c>
      <c r="AB11" s="5">
        <f t="shared" ca="1" si="13"/>
        <v>9.6219390000000002E-2</v>
      </c>
      <c r="AC11" s="5">
        <f t="shared" ca="1" si="13"/>
        <v>0.10052518000000001</v>
      </c>
      <c r="AD11" s="5">
        <f t="shared" ca="1" si="13"/>
        <v>0.10483097000000001</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G12" s="146"/>
      <c r="AI12" s="7"/>
      <c r="AJ12" s="7"/>
      <c r="AK12" s="7"/>
      <c r="AL12" s="7"/>
      <c r="AM12" s="7"/>
      <c r="AN12" s="7"/>
      <c r="AO12" s="7"/>
      <c r="AP12" s="7"/>
      <c r="AQ12" s="7"/>
      <c r="AR12" s="7"/>
      <c r="AS12" s="7"/>
      <c r="AT12" s="7"/>
    </row>
    <row r="13" spans="1:54" x14ac:dyDescent="0.25">
      <c r="A13" s="6" t="s">
        <v>162</v>
      </c>
      <c r="C13" s="4" t="s">
        <v>163</v>
      </c>
      <c r="D13" s="4" t="s">
        <v>164</v>
      </c>
      <c r="F13" s="4" t="s">
        <v>165</v>
      </c>
      <c r="H13" s="4" t="s">
        <v>167</v>
      </c>
      <c r="K13" s="205" t="str">
        <f t="shared" ref="K13:AD13" si="14">IF(K14=Yr_Start,"Start Year",IF(K14=Yr_End,"End Year",""))</f>
        <v>Start Year</v>
      </c>
      <c r="L13" s="205" t="str">
        <f t="shared" si="14"/>
        <v/>
      </c>
      <c r="M13" s="205" t="str">
        <f t="shared" si="14"/>
        <v/>
      </c>
      <c r="N13" s="205" t="str">
        <f t="shared" si="14"/>
        <v>End Year</v>
      </c>
      <c r="O13" s="205" t="str">
        <f t="shared" si="14"/>
        <v/>
      </c>
      <c r="P13" s="205" t="str">
        <f t="shared" si="14"/>
        <v/>
      </c>
      <c r="Q13" s="205" t="str">
        <f t="shared" si="14"/>
        <v/>
      </c>
      <c r="R13" s="205" t="str">
        <f t="shared" si="14"/>
        <v/>
      </c>
      <c r="S13" s="205" t="str">
        <f t="shared" si="14"/>
        <v/>
      </c>
      <c r="T13" s="205" t="str">
        <f t="shared" si="14"/>
        <v/>
      </c>
      <c r="U13" s="205" t="str">
        <f t="shared" si="14"/>
        <v/>
      </c>
      <c r="V13" s="205" t="str">
        <f t="shared" si="14"/>
        <v/>
      </c>
      <c r="W13" s="205" t="str">
        <f t="shared" si="14"/>
        <v/>
      </c>
      <c r="X13" s="205" t="str">
        <f t="shared" si="14"/>
        <v/>
      </c>
      <c r="Y13" s="205" t="str">
        <f t="shared" si="14"/>
        <v/>
      </c>
      <c r="Z13" s="205" t="str">
        <f t="shared" si="14"/>
        <v/>
      </c>
      <c r="AA13" s="205" t="str">
        <f t="shared" si="14"/>
        <v/>
      </c>
      <c r="AB13" s="205" t="str">
        <f t="shared" si="14"/>
        <v/>
      </c>
      <c r="AC13" s="205" t="str">
        <f t="shared" si="14"/>
        <v/>
      </c>
      <c r="AD13" s="205" t="str">
        <f t="shared" si="14"/>
        <v/>
      </c>
      <c r="AE13" s="35"/>
      <c r="AF13" s="6" t="str">
        <f>A13</f>
        <v>Richest</v>
      </c>
      <c r="AI13" s="205" t="str">
        <f t="shared" ref="AI13:BB13" si="15">IF(AI14=Yr_Start,"Start Year",IF(AI14=Yr_End,"End Year",""))</f>
        <v>Start Year</v>
      </c>
      <c r="AJ13" s="205" t="str">
        <f t="shared" si="15"/>
        <v/>
      </c>
      <c r="AK13" s="205" t="str">
        <f t="shared" si="15"/>
        <v/>
      </c>
      <c r="AL13" s="205" t="str">
        <f t="shared" si="15"/>
        <v>End Year</v>
      </c>
      <c r="AM13" s="205" t="str">
        <f t="shared" si="15"/>
        <v/>
      </c>
      <c r="AN13" s="205" t="str">
        <f t="shared" si="15"/>
        <v/>
      </c>
      <c r="AO13" s="205" t="str">
        <f t="shared" si="15"/>
        <v/>
      </c>
      <c r="AP13" s="205" t="str">
        <f t="shared" si="15"/>
        <v/>
      </c>
      <c r="AQ13" s="205" t="str">
        <f t="shared" si="15"/>
        <v/>
      </c>
      <c r="AR13" s="205" t="str">
        <f t="shared" si="15"/>
        <v/>
      </c>
      <c r="AS13" s="205" t="str">
        <f t="shared" si="15"/>
        <v/>
      </c>
      <c r="AT13" s="205" t="str">
        <f t="shared" si="15"/>
        <v/>
      </c>
      <c r="AU13" s="205" t="str">
        <f t="shared" si="15"/>
        <v/>
      </c>
      <c r="AV13" s="205" t="str">
        <f t="shared" si="15"/>
        <v/>
      </c>
      <c r="AW13" s="205" t="str">
        <f t="shared" si="15"/>
        <v/>
      </c>
      <c r="AX13" s="205" t="str">
        <f t="shared" si="15"/>
        <v/>
      </c>
      <c r="AY13" s="205" t="str">
        <f t="shared" si="15"/>
        <v/>
      </c>
      <c r="AZ13" s="205" t="str">
        <f t="shared" si="15"/>
        <v/>
      </c>
      <c r="BA13" s="205" t="str">
        <f t="shared" si="15"/>
        <v/>
      </c>
      <c r="BB13" s="205" t="str">
        <f t="shared" si="15"/>
        <v/>
      </c>
    </row>
    <row r="14" spans="1:54" x14ac:dyDescent="0.25">
      <c r="A14" s="6" t="s">
        <v>21</v>
      </c>
      <c r="B14" s="36"/>
      <c r="C14" s="36">
        <f>Yr_DHS1</f>
        <v>2011</v>
      </c>
      <c r="D14" s="36">
        <f>Yr_DHS2</f>
        <v>2016</v>
      </c>
      <c r="E14" s="36" t="s">
        <v>168</v>
      </c>
      <c r="F14" s="36">
        <f>Yr_Start</f>
        <v>2019</v>
      </c>
      <c r="G14" s="127"/>
      <c r="H14" s="36">
        <f>Yr_End</f>
        <v>2022</v>
      </c>
      <c r="I14" s="36" t="s">
        <v>169</v>
      </c>
      <c r="J14" s="130">
        <f>K14-1</f>
        <v>2018</v>
      </c>
      <c r="K14" s="130">
        <f>Yr_Start</f>
        <v>2019</v>
      </c>
      <c r="L14" s="130">
        <f>K14+1</f>
        <v>2020</v>
      </c>
      <c r="M14" s="130">
        <f t="shared" ref="M14" si="16">L14+1</f>
        <v>2021</v>
      </c>
      <c r="N14" s="130">
        <f t="shared" ref="N14" si="17">M14+1</f>
        <v>2022</v>
      </c>
      <c r="O14" s="130">
        <f t="shared" ref="O14" si="18">N14+1</f>
        <v>2023</v>
      </c>
      <c r="P14" s="130">
        <f t="shared" ref="P14" si="19">O14+1</f>
        <v>2024</v>
      </c>
      <c r="Q14" s="130">
        <f t="shared" ref="Q14" si="20">P14+1</f>
        <v>2025</v>
      </c>
      <c r="R14" s="130">
        <f t="shared" ref="R14" si="21">Q14+1</f>
        <v>2026</v>
      </c>
      <c r="S14" s="130">
        <f t="shared" ref="S14" si="22">R14+1</f>
        <v>2027</v>
      </c>
      <c r="T14" s="130">
        <f t="shared" ref="T14" si="23">S14+1</f>
        <v>2028</v>
      </c>
      <c r="U14" s="130">
        <f t="shared" ref="U14" si="24">T14+1</f>
        <v>2029</v>
      </c>
      <c r="V14" s="130">
        <f t="shared" ref="V14" si="25">U14+1</f>
        <v>2030</v>
      </c>
      <c r="W14" s="130">
        <f t="shared" ref="W14" si="26">V14+1</f>
        <v>2031</v>
      </c>
      <c r="X14" s="130">
        <f t="shared" ref="X14" si="27">W14+1</f>
        <v>2032</v>
      </c>
      <c r="Y14" s="130">
        <f t="shared" ref="Y14" si="28">X14+1</f>
        <v>2033</v>
      </c>
      <c r="Z14" s="130">
        <f t="shared" ref="Z14" si="29">Y14+1</f>
        <v>2034</v>
      </c>
      <c r="AA14" s="130">
        <f t="shared" ref="AA14" si="30">Z14+1</f>
        <v>2035</v>
      </c>
      <c r="AB14" s="130">
        <f t="shared" ref="AB14" si="31">AA14+1</f>
        <v>2036</v>
      </c>
      <c r="AC14" s="130">
        <f t="shared" ref="AC14" si="32">AB14+1</f>
        <v>2037</v>
      </c>
      <c r="AD14" s="130">
        <f t="shared" ref="AD14" si="33">AC14+1</f>
        <v>2038</v>
      </c>
      <c r="AE14" s="6"/>
      <c r="AF14" s="6" t="str">
        <f>A14</f>
        <v>Rural</v>
      </c>
      <c r="AG14" s="38"/>
      <c r="AH14" s="161">
        <f>AI14-1</f>
        <v>2018</v>
      </c>
      <c r="AI14" s="36">
        <f>Yr_Start</f>
        <v>2019</v>
      </c>
      <c r="AJ14" s="36">
        <f>AI14+1</f>
        <v>2020</v>
      </c>
      <c r="AK14" s="36">
        <f t="shared" ref="AK14:BB14" si="34">AJ14+1</f>
        <v>2021</v>
      </c>
      <c r="AL14" s="36">
        <f t="shared" si="34"/>
        <v>2022</v>
      </c>
      <c r="AM14" s="36">
        <f t="shared" si="34"/>
        <v>2023</v>
      </c>
      <c r="AN14" s="36">
        <f t="shared" si="34"/>
        <v>2024</v>
      </c>
      <c r="AO14" s="36">
        <f t="shared" si="34"/>
        <v>2025</v>
      </c>
      <c r="AP14" s="36">
        <f t="shared" si="34"/>
        <v>2026</v>
      </c>
      <c r="AQ14" s="36">
        <f t="shared" si="34"/>
        <v>2027</v>
      </c>
      <c r="AR14" s="36">
        <f t="shared" si="34"/>
        <v>2028</v>
      </c>
      <c r="AS14" s="36">
        <f t="shared" si="34"/>
        <v>2029</v>
      </c>
      <c r="AT14" s="36">
        <f t="shared" si="34"/>
        <v>2030</v>
      </c>
      <c r="AU14" s="36">
        <f t="shared" si="34"/>
        <v>2031</v>
      </c>
      <c r="AV14" s="36">
        <f t="shared" si="34"/>
        <v>2032</v>
      </c>
      <c r="AW14" s="36">
        <f t="shared" si="34"/>
        <v>2033</v>
      </c>
      <c r="AX14" s="36">
        <f t="shared" si="34"/>
        <v>2034</v>
      </c>
      <c r="AY14" s="36">
        <f t="shared" si="34"/>
        <v>2035</v>
      </c>
      <c r="AZ14" s="36">
        <f t="shared" si="34"/>
        <v>2036</v>
      </c>
      <c r="BA14" s="36">
        <f t="shared" si="34"/>
        <v>2037</v>
      </c>
      <c r="BB14" s="36">
        <f t="shared" si="34"/>
        <v>2038</v>
      </c>
    </row>
    <row r="15" spans="1:54" x14ac:dyDescent="0.25">
      <c r="B15" s="1" t="s">
        <v>52</v>
      </c>
      <c r="C15" s="14">
        <f ca="1">IUD_Base!C15</f>
        <v>1.0392999999999999E-3</v>
      </c>
      <c r="D15" s="14">
        <f ca="1">IUD_Base!D15</f>
        <v>1.0446799999999999E-2</v>
      </c>
      <c r="E15" s="14">
        <f ca="1">IF('User Settings'!$N$7="On",($D15-$C15)/($D$4-$C$4),0)</f>
        <v>1.8814999999999999E-3</v>
      </c>
      <c r="F15" s="14">
        <f ca="1">IUD_Base!F15</f>
        <v>1.6091299999999999E-2</v>
      </c>
      <c r="G15" s="1" t="str">
        <f>"Shift_RurQ1"&amp;IF(Dashboard!$Q$4="Yes",$A$1,"")</f>
        <v>Shift_RurQ1</v>
      </c>
      <c r="H15" s="14">
        <f ca="1">IUD_Base!H15*(1-INDIRECT($G15))</f>
        <v>1.738864E-2</v>
      </c>
      <c r="I15" s="14">
        <f ca="1">($H15-$F15)/($H$4-$F$4)</f>
        <v>4.3244666666666698E-4</v>
      </c>
      <c r="J15" s="14">
        <f ca="1">K15-E15</f>
        <v>1.42098E-2</v>
      </c>
      <c r="K15" s="14">
        <f ca="1">MAX(0,MIN(1,D15+(K$4-D$4)*E15))</f>
        <v>1.6091299999999999E-2</v>
      </c>
      <c r="L15" s="15">
        <f ca="1">MAX(0,MIN(1,K15+$I15))</f>
        <v>1.6523746666666665E-2</v>
      </c>
      <c r="M15" s="15">
        <f t="shared" ref="M15:AD15" ca="1" si="35">MAX(0,MIN(1,L15+$I15))</f>
        <v>1.6956193333333331E-2</v>
      </c>
      <c r="N15" s="15">
        <f ca="1">MAX(0,MIN(1,M15+$I15))</f>
        <v>1.7388639999999997E-2</v>
      </c>
      <c r="O15" s="15">
        <f t="shared" ca="1" si="35"/>
        <v>1.7821086666666663E-2</v>
      </c>
      <c r="P15" s="15">
        <f t="shared" ca="1" si="35"/>
        <v>1.8253533333333329E-2</v>
      </c>
      <c r="Q15" s="15">
        <f t="shared" ca="1" si="35"/>
        <v>1.8685979999999994E-2</v>
      </c>
      <c r="R15" s="15">
        <f t="shared" ca="1" si="35"/>
        <v>1.911842666666666E-2</v>
      </c>
      <c r="S15" s="15">
        <f t="shared" ca="1" si="35"/>
        <v>1.9550873333333326E-2</v>
      </c>
      <c r="T15" s="15">
        <f t="shared" ca="1" si="35"/>
        <v>1.9983319999999992E-2</v>
      </c>
      <c r="U15" s="15">
        <f t="shared" ca="1" si="35"/>
        <v>2.0415766666666658E-2</v>
      </c>
      <c r="V15" s="15">
        <f t="shared" ca="1" si="35"/>
        <v>2.0848213333333324E-2</v>
      </c>
      <c r="W15" s="15">
        <f t="shared" ca="1" si="35"/>
        <v>2.1280659999999989E-2</v>
      </c>
      <c r="X15" s="15">
        <f t="shared" ca="1" si="35"/>
        <v>2.1713106666666655E-2</v>
      </c>
      <c r="Y15" s="15">
        <f t="shared" ca="1" si="35"/>
        <v>2.2145553333333321E-2</v>
      </c>
      <c r="Z15" s="15">
        <f t="shared" ca="1" si="35"/>
        <v>2.2577999999999987E-2</v>
      </c>
      <c r="AA15" s="15">
        <f t="shared" ca="1" si="35"/>
        <v>2.3010446666666653E-2</v>
      </c>
      <c r="AB15" s="15">
        <f t="shared" ca="1" si="35"/>
        <v>2.3442893333333319E-2</v>
      </c>
      <c r="AC15" s="15">
        <f t="shared" ca="1" si="35"/>
        <v>2.3875339999999984E-2</v>
      </c>
      <c r="AD15" s="15">
        <f t="shared" ca="1" si="35"/>
        <v>2.430778666666665E-2</v>
      </c>
      <c r="AE15" s="5"/>
      <c r="AG15" s="1" t="s">
        <v>52</v>
      </c>
      <c r="AH15" s="37">
        <f ca="1">J15*AH$21</f>
        <v>23538.11468531677</v>
      </c>
      <c r="AI15" s="37">
        <f t="shared" ref="AI15:AI20" ca="1" si="36">K15*AI$21</f>
        <v>27679.783926137185</v>
      </c>
      <c r="AJ15" s="37">
        <f t="shared" ref="AJ15:AS20" ca="1" si="37">L15*AJ$21</f>
        <v>29510.237215445326</v>
      </c>
      <c r="AK15" s="37">
        <f t="shared" ca="1" si="37"/>
        <v>31393.545393870285</v>
      </c>
      <c r="AL15" s="37">
        <f t="shared" ca="1" si="37"/>
        <v>33375.207572133186</v>
      </c>
      <c r="AM15" s="37">
        <f t="shared" ca="1" si="37"/>
        <v>35454.153555739271</v>
      </c>
      <c r="AN15" s="37">
        <f t="shared" ca="1" si="37"/>
        <v>37628.320413352922</v>
      </c>
      <c r="AO15" s="37">
        <f t="shared" ca="1" si="37"/>
        <v>39897.666699740024</v>
      </c>
      <c r="AP15" s="37">
        <f t="shared" ca="1" si="37"/>
        <v>42235.511286748835</v>
      </c>
      <c r="AQ15" s="37">
        <f t="shared" ca="1" si="37"/>
        <v>44675.278798760948</v>
      </c>
      <c r="AR15" s="37">
        <f t="shared" ca="1" si="37"/>
        <v>47220.109383193048</v>
      </c>
      <c r="AS15" s="37">
        <f t="shared" ca="1" si="37"/>
        <v>49875.326626618647</v>
      </c>
      <c r="AT15" s="37">
        <f t="shared" ref="AT15:BB20" ca="1" si="38">V15*AT$21</f>
        <v>52644.841349053182</v>
      </c>
      <c r="AU15" s="37">
        <f t="shared" ca="1" si="38"/>
        <v>55498.893799413891</v>
      </c>
      <c r="AV15" s="37">
        <f t="shared" ca="1" si="38"/>
        <v>58474.808328069907</v>
      </c>
      <c r="AW15" s="37">
        <f t="shared" ca="1" si="38"/>
        <v>61571.983132796224</v>
      </c>
      <c r="AX15" s="37">
        <f t="shared" ca="1" si="38"/>
        <v>64789.037352503896</v>
      </c>
      <c r="AY15" s="37">
        <f t="shared" ca="1" si="38"/>
        <v>68125.675276537891</v>
      </c>
      <c r="AZ15" s="37" t="e">
        <f t="shared" ca="1" si="38"/>
        <v>#N/A</v>
      </c>
      <c r="BA15" s="37" t="e">
        <f t="shared" ca="1" si="38"/>
        <v>#N/A</v>
      </c>
      <c r="BB15" s="37" t="e">
        <f t="shared" ca="1" si="38"/>
        <v>#N/A</v>
      </c>
    </row>
    <row r="16" spans="1:54" x14ac:dyDescent="0.25">
      <c r="B16" s="1" t="s">
        <v>54</v>
      </c>
      <c r="C16" s="14">
        <f ca="1">IUD_Base!C16</f>
        <v>0</v>
      </c>
      <c r="D16" s="14">
        <f ca="1">IUD_Base!D16</f>
        <v>1.9432E-3</v>
      </c>
      <c r="E16" s="14">
        <f ca="1">IF('User Settings'!$N$7="On",($D16-$C16)/($D$4-$C$4),0)</f>
        <v>3.8863999999999999E-4</v>
      </c>
      <c r="F16" s="14">
        <f ca="1">IUD_Base!F16</f>
        <v>3.1091199999999999E-3</v>
      </c>
      <c r="G16" s="1" t="str">
        <f>"Shift_RurQ1"&amp;IF(Dashboard!$Q$4="Yes",$A$1,"")</f>
        <v>Shift_RurQ1</v>
      </c>
      <c r="H16" s="14">
        <f ca="1">IUD_Base!H16*(1-INDIRECT($G16))</f>
        <v>3.4200319999999999E-3</v>
      </c>
      <c r="I16" s="14">
        <f ca="1">($H16-$F16)/($H$4-$F$4)</f>
        <v>1.0363733333333333E-4</v>
      </c>
      <c r="J16" s="14">
        <f t="shared" ref="J16:J20" ca="1" si="39">K16-E16</f>
        <v>2.7204799999999999E-3</v>
      </c>
      <c r="K16" s="14">
        <f t="shared" ref="K16:K20" ca="1" si="40">MAX(0,MIN(1,D16+(K$4-D$4)*E16))</f>
        <v>3.1091199999999999E-3</v>
      </c>
      <c r="L16" s="15">
        <f t="shared" ref="L16:AD20" ca="1" si="41">MAX(0,MIN(1,K16+$I16))</f>
        <v>3.2127573333333333E-3</v>
      </c>
      <c r="M16" s="15">
        <f t="shared" ca="1" si="41"/>
        <v>3.3163946666666666E-3</v>
      </c>
      <c r="N16" s="15">
        <f t="shared" ca="1" si="41"/>
        <v>3.4200319999999999E-3</v>
      </c>
      <c r="O16" s="15">
        <f t="shared" ca="1" si="41"/>
        <v>3.5236693333333333E-3</v>
      </c>
      <c r="P16" s="15">
        <f t="shared" ca="1" si="41"/>
        <v>3.6273066666666666E-3</v>
      </c>
      <c r="Q16" s="15">
        <f t="shared" ca="1" si="41"/>
        <v>3.7309439999999999E-3</v>
      </c>
      <c r="R16" s="15">
        <f t="shared" ca="1" si="41"/>
        <v>3.8345813333333333E-3</v>
      </c>
      <c r="S16" s="15">
        <f t="shared" ca="1" si="41"/>
        <v>3.9382186666666666E-3</v>
      </c>
      <c r="T16" s="15">
        <f t="shared" ca="1" si="41"/>
        <v>4.0418559999999999E-3</v>
      </c>
      <c r="U16" s="15">
        <f t="shared" ca="1" si="41"/>
        <v>4.1454933333333333E-3</v>
      </c>
      <c r="V16" s="15">
        <f t="shared" ca="1" si="41"/>
        <v>4.2491306666666666E-3</v>
      </c>
      <c r="W16" s="15">
        <f t="shared" ca="1" si="41"/>
        <v>4.3527679999999999E-3</v>
      </c>
      <c r="X16" s="15">
        <f t="shared" ca="1" si="41"/>
        <v>4.4564053333333332E-3</v>
      </c>
      <c r="Y16" s="15">
        <f t="shared" ca="1" si="41"/>
        <v>4.5600426666666666E-3</v>
      </c>
      <c r="Z16" s="15">
        <f t="shared" ca="1" si="41"/>
        <v>4.6636799999999999E-3</v>
      </c>
      <c r="AA16" s="15">
        <f t="shared" ca="1" si="41"/>
        <v>4.7673173333333332E-3</v>
      </c>
      <c r="AB16" s="15">
        <f t="shared" ca="1" si="41"/>
        <v>4.8709546666666666E-3</v>
      </c>
      <c r="AC16" s="15">
        <f t="shared" ca="1" si="41"/>
        <v>4.9745919999999999E-3</v>
      </c>
      <c r="AD16" s="15">
        <f t="shared" ca="1" si="41"/>
        <v>5.0782293333333332E-3</v>
      </c>
      <c r="AE16" s="5"/>
      <c r="AG16" s="1" t="s">
        <v>54</v>
      </c>
      <c r="AH16" s="37">
        <f t="shared" ref="AH16:AH20" ca="1" si="42">J16*AH$21</f>
        <v>4506.3948992322603</v>
      </c>
      <c r="AI16" s="37">
        <f t="shared" ca="1" si="36"/>
        <v>5348.2173472890099</v>
      </c>
      <c r="AJ16" s="37">
        <f t="shared" ca="1" si="37"/>
        <v>5737.7562688967373</v>
      </c>
      <c r="AK16" s="37">
        <f t="shared" ca="1" si="37"/>
        <v>6140.1391494704194</v>
      </c>
      <c r="AL16" s="37">
        <f t="shared" ca="1" si="37"/>
        <v>6564.3016304517096</v>
      </c>
      <c r="AM16" s="37">
        <f t="shared" ca="1" si="37"/>
        <v>7010.1625091875876</v>
      </c>
      <c r="AN16" s="37">
        <f t="shared" ca="1" si="37"/>
        <v>7477.4266986204229</v>
      </c>
      <c r="AO16" s="37">
        <f t="shared" ca="1" si="37"/>
        <v>7966.184282943409</v>
      </c>
      <c r="AP16" s="37">
        <f t="shared" ca="1" si="37"/>
        <v>8471.1731779858692</v>
      </c>
      <c r="AQ16" s="37">
        <f t="shared" ca="1" si="37"/>
        <v>8999.1384990381339</v>
      </c>
      <c r="AR16" s="37">
        <f t="shared" ca="1" si="37"/>
        <v>9550.8094966759872</v>
      </c>
      <c r="AS16" s="37">
        <f t="shared" ca="1" si="37"/>
        <v>10127.360750358148</v>
      </c>
      <c r="AT16" s="37">
        <f t="shared" ca="1" si="38"/>
        <v>10729.687299410311</v>
      </c>
      <c r="AU16" s="37">
        <f t="shared" ca="1" si="38"/>
        <v>11351.80060042721</v>
      </c>
      <c r="AV16" s="37">
        <f t="shared" ca="1" si="38"/>
        <v>12001.38937736172</v>
      </c>
      <c r="AW16" s="37">
        <f t="shared" ca="1" si="38"/>
        <v>12678.431011891533</v>
      </c>
      <c r="AX16" s="37">
        <f t="shared" ca="1" si="38"/>
        <v>13382.73264771572</v>
      </c>
      <c r="AY16" s="37">
        <f t="shared" ca="1" si="38"/>
        <v>14114.315871206212</v>
      </c>
      <c r="AZ16" s="37" t="e">
        <f t="shared" ca="1" si="38"/>
        <v>#N/A</v>
      </c>
      <c r="BA16" s="37" t="e">
        <f t="shared" ca="1" si="38"/>
        <v>#N/A</v>
      </c>
      <c r="BB16" s="37" t="e">
        <f t="shared" ca="1" si="38"/>
        <v>#N/A</v>
      </c>
    </row>
    <row r="17" spans="1:54" x14ac:dyDescent="0.25">
      <c r="B17" s="1" t="s">
        <v>170</v>
      </c>
      <c r="C17" s="14">
        <f ca="1">IUD_Base!C17</f>
        <v>0</v>
      </c>
      <c r="D17" s="14">
        <f ca="1">IUD_Base!D17</f>
        <v>2.4719999999999999E-4</v>
      </c>
      <c r="E17" s="14">
        <f ca="1">IF('User Settings'!$N$7="On",($D17-$C17)/($D$4-$C$4),0)</f>
        <v>4.9440000000000001E-5</v>
      </c>
      <c r="F17" s="14">
        <f ca="1">IUD_Base!F17</f>
        <v>3.9552000000000001E-4</v>
      </c>
      <c r="G17" s="1" t="str">
        <f>"Shift_RurQ1"&amp;IF(Dashboard!$Q$4="Yes",$A$1,"")</f>
        <v>Shift_RurQ1</v>
      </c>
      <c r="H17" s="14">
        <f ca="1">IUD_Base!H17*(1-INDIRECT($G17))</f>
        <v>4.3507200000000011E-4</v>
      </c>
      <c r="I17" s="14">
        <f t="shared" ref="I17:I20" ca="1" si="43">($H17-$F17)/($H$4-$F$4)</f>
        <v>1.3184000000000033E-5</v>
      </c>
      <c r="J17" s="14">
        <f t="shared" ca="1" si="39"/>
        <v>3.4608000000000002E-4</v>
      </c>
      <c r="K17" s="14">
        <f t="shared" ca="1" si="40"/>
        <v>3.9552000000000001E-4</v>
      </c>
      <c r="L17" s="15">
        <f t="shared" ca="1" si="41"/>
        <v>4.0870400000000002E-4</v>
      </c>
      <c r="M17" s="15">
        <f t="shared" ca="1" si="41"/>
        <v>4.2188800000000004E-4</v>
      </c>
      <c r="N17" s="15">
        <f t="shared" ca="1" si="41"/>
        <v>4.3507200000000005E-4</v>
      </c>
      <c r="O17" s="15">
        <f t="shared" ca="1" si="41"/>
        <v>4.4825600000000007E-4</v>
      </c>
      <c r="P17" s="15">
        <f t="shared" ca="1" si="41"/>
        <v>4.6144000000000008E-4</v>
      </c>
      <c r="Q17" s="15">
        <f t="shared" ca="1" si="41"/>
        <v>4.746240000000001E-4</v>
      </c>
      <c r="R17" s="15">
        <f t="shared" ca="1" si="41"/>
        <v>4.8780800000000011E-4</v>
      </c>
      <c r="S17" s="15">
        <f t="shared" ca="1" si="41"/>
        <v>5.0099200000000013E-4</v>
      </c>
      <c r="T17" s="15">
        <f t="shared" ca="1" si="41"/>
        <v>5.1417600000000019E-4</v>
      </c>
      <c r="U17" s="15">
        <f t="shared" ca="1" si="41"/>
        <v>5.2736000000000026E-4</v>
      </c>
      <c r="V17" s="15">
        <f t="shared" ca="1" si="41"/>
        <v>5.4054400000000033E-4</v>
      </c>
      <c r="W17" s="15">
        <f t="shared" ca="1" si="41"/>
        <v>5.537280000000004E-4</v>
      </c>
      <c r="X17" s="15">
        <f t="shared" ca="1" si="41"/>
        <v>5.6691200000000047E-4</v>
      </c>
      <c r="Y17" s="15">
        <f t="shared" ca="1" si="41"/>
        <v>5.8009600000000054E-4</v>
      </c>
      <c r="Z17" s="15">
        <f t="shared" ca="1" si="41"/>
        <v>5.9328000000000061E-4</v>
      </c>
      <c r="AA17" s="15">
        <f t="shared" ca="1" si="41"/>
        <v>6.0646400000000068E-4</v>
      </c>
      <c r="AB17" s="15">
        <f t="shared" ca="1" si="41"/>
        <v>6.1964800000000075E-4</v>
      </c>
      <c r="AC17" s="15">
        <f t="shared" ca="1" si="41"/>
        <v>6.3283200000000081E-4</v>
      </c>
      <c r="AD17" s="15">
        <f t="shared" ca="1" si="41"/>
        <v>6.4601600000000088E-4</v>
      </c>
      <c r="AE17" s="5"/>
      <c r="AG17" s="1" t="s">
        <v>170</v>
      </c>
      <c r="AH17" s="37">
        <f t="shared" ca="1" si="42"/>
        <v>573.2713148879244</v>
      </c>
      <c r="AI17" s="37">
        <f t="shared" ca="1" si="36"/>
        <v>680.36194331506965</v>
      </c>
      <c r="AJ17" s="37">
        <f t="shared" ca="1" si="37"/>
        <v>729.91629769003373</v>
      </c>
      <c r="AK17" s="37">
        <f t="shared" ca="1" si="37"/>
        <v>781.10456862344984</v>
      </c>
      <c r="AL17" s="37">
        <f t="shared" ca="1" si="37"/>
        <v>835.06348448315305</v>
      </c>
      <c r="AM17" s="37">
        <f t="shared" ca="1" si="37"/>
        <v>891.78271524864749</v>
      </c>
      <c r="AN17" s="37">
        <f t="shared" ca="1" si="37"/>
        <v>951.22472205587121</v>
      </c>
      <c r="AO17" s="37">
        <f t="shared" ca="1" si="37"/>
        <v>1013.4009647713108</v>
      </c>
      <c r="AP17" s="37">
        <f t="shared" ca="1" si="37"/>
        <v>1077.642038698079</v>
      </c>
      <c r="AQ17" s="37">
        <f t="shared" ca="1" si="37"/>
        <v>1144.8060091407096</v>
      </c>
      <c r="AR17" s="37">
        <f t="shared" ca="1" si="37"/>
        <v>1214.9856461395148</v>
      </c>
      <c r="AS17" s="37">
        <f t="shared" ca="1" si="37"/>
        <v>1288.3303712888717</v>
      </c>
      <c r="AT17" s="37">
        <f t="shared" ca="1" si="38"/>
        <v>1364.9540450876032</v>
      </c>
      <c r="AU17" s="37">
        <f t="shared" ca="1" si="38"/>
        <v>1444.0948478929645</v>
      </c>
      <c r="AV17" s="37">
        <f t="shared" ca="1" si="38"/>
        <v>1526.7308841518216</v>
      </c>
      <c r="AW17" s="37">
        <f t="shared" ca="1" si="38"/>
        <v>1612.8592765230496</v>
      </c>
      <c r="AX17" s="37">
        <f t="shared" ca="1" si="38"/>
        <v>1702.4554912079711</v>
      </c>
      <c r="AY17" s="37">
        <f t="shared" ca="1" si="38"/>
        <v>1795.5222742703684</v>
      </c>
      <c r="AZ17" s="37" t="e">
        <f t="shared" ca="1" si="38"/>
        <v>#N/A</v>
      </c>
      <c r="BA17" s="37" t="e">
        <f t="shared" ca="1" si="38"/>
        <v>#N/A</v>
      </c>
      <c r="BB17" s="37" t="e">
        <f t="shared" ca="1" si="38"/>
        <v>#N/A</v>
      </c>
    </row>
    <row r="18" spans="1:54" x14ac:dyDescent="0.25">
      <c r="B18" s="1" t="s">
        <v>59</v>
      </c>
      <c r="C18" s="14">
        <f ca="1">IUD_Base!C18</f>
        <v>1.1640000000000001E-3</v>
      </c>
      <c r="D18" s="14">
        <f ca="1">IUD_Base!D18</f>
        <v>6.5265000000000002E-3</v>
      </c>
      <c r="E18" s="14">
        <f ca="1">IF('User Settings'!$N$7="On",($D18-$C18)/($D$4-$C$4),0)</f>
        <v>1.0725000000000001E-3</v>
      </c>
      <c r="F18" s="14">
        <f ca="1">IUD_Base!F18</f>
        <v>9.7440000000000009E-3</v>
      </c>
      <c r="H18" s="14">
        <f ca="1">H21-SUM($H15:$H17,$H19:$H20)</f>
        <v>1.8272435999999996E-2</v>
      </c>
      <c r="I18" s="14">
        <f t="shared" ca="1" si="43"/>
        <v>2.8428119999999984E-3</v>
      </c>
      <c r="J18" s="14">
        <f t="shared" ca="1" si="39"/>
        <v>8.6715000000000004E-3</v>
      </c>
      <c r="K18" s="14">
        <f t="shared" ca="1" si="40"/>
        <v>9.7440000000000009E-3</v>
      </c>
      <c r="L18" s="15">
        <f t="shared" ca="1" si="41"/>
        <v>1.2586811999999999E-2</v>
      </c>
      <c r="M18" s="15">
        <f t="shared" ca="1" si="41"/>
        <v>1.5429623999999998E-2</v>
      </c>
      <c r="N18" s="15">
        <f t="shared" ca="1" si="41"/>
        <v>1.8272435999999996E-2</v>
      </c>
      <c r="O18" s="15">
        <f t="shared" ca="1" si="41"/>
        <v>2.1115247999999996E-2</v>
      </c>
      <c r="P18" s="15">
        <f t="shared" ca="1" si="41"/>
        <v>2.3958059999999996E-2</v>
      </c>
      <c r="Q18" s="15">
        <f t="shared" ca="1" si="41"/>
        <v>2.6800871999999996E-2</v>
      </c>
      <c r="R18" s="15">
        <f t="shared" ca="1" si="41"/>
        <v>2.9643683999999997E-2</v>
      </c>
      <c r="S18" s="15">
        <f t="shared" ca="1" si="41"/>
        <v>3.2486495999999997E-2</v>
      </c>
      <c r="T18" s="15">
        <f t="shared" ca="1" si="41"/>
        <v>3.5329307999999997E-2</v>
      </c>
      <c r="U18" s="15">
        <f t="shared" ca="1" si="41"/>
        <v>3.8172119999999997E-2</v>
      </c>
      <c r="V18" s="15">
        <f t="shared" ca="1" si="41"/>
        <v>4.1014931999999997E-2</v>
      </c>
      <c r="W18" s="15">
        <f t="shared" ca="1" si="41"/>
        <v>4.3857743999999997E-2</v>
      </c>
      <c r="X18" s="15">
        <f t="shared" ca="1" si="41"/>
        <v>4.6700555999999997E-2</v>
      </c>
      <c r="Y18" s="15">
        <f t="shared" ca="1" si="41"/>
        <v>4.9543367999999997E-2</v>
      </c>
      <c r="Z18" s="15">
        <f t="shared" ca="1" si="41"/>
        <v>5.2386179999999997E-2</v>
      </c>
      <c r="AA18" s="15">
        <f t="shared" ca="1" si="41"/>
        <v>5.5228991999999998E-2</v>
      </c>
      <c r="AB18" s="15">
        <f t="shared" ca="1" si="41"/>
        <v>5.8071803999999998E-2</v>
      </c>
      <c r="AC18" s="15">
        <f t="shared" ca="1" si="41"/>
        <v>6.0914615999999998E-2</v>
      </c>
      <c r="AD18" s="15">
        <f t="shared" ca="1" si="41"/>
        <v>6.3757427999999991E-2</v>
      </c>
      <c r="AE18" s="5"/>
      <c r="AG18" s="1" t="s">
        <v>59</v>
      </c>
      <c r="AH18" s="37">
        <f t="shared" ca="1" si="42"/>
        <v>14364.084047187462</v>
      </c>
      <c r="AI18" s="37">
        <f t="shared" ca="1" si="36"/>
        <v>16761.343991863974</v>
      </c>
      <c r="AJ18" s="37">
        <f t="shared" ca="1" si="37"/>
        <v>22479.151695996337</v>
      </c>
      <c r="AK18" s="37">
        <f t="shared" ca="1" si="37"/>
        <v>28567.178489414313</v>
      </c>
      <c r="AL18" s="37">
        <f t="shared" ca="1" si="37"/>
        <v>35071.537759624618</v>
      </c>
      <c r="AM18" s="37">
        <f t="shared" ca="1" si="37"/>
        <v>42007.721468510332</v>
      </c>
      <c r="AN18" s="37">
        <f t="shared" ca="1" si="37"/>
        <v>49387.783816959687</v>
      </c>
      <c r="AO18" s="37">
        <f t="shared" ca="1" si="37"/>
        <v>57224.307117870987</v>
      </c>
      <c r="AP18" s="37">
        <f t="shared" ca="1" si="37"/>
        <v>65487.405004185282</v>
      </c>
      <c r="AQ18" s="37">
        <f t="shared" ca="1" si="37"/>
        <v>74234.191038430989</v>
      </c>
      <c r="AR18" s="37">
        <f t="shared" ca="1" si="37"/>
        <v>83482.313659217674</v>
      </c>
      <c r="AS18" s="37">
        <f t="shared" ca="1" si="37"/>
        <v>93253.757456923791</v>
      </c>
      <c r="AT18" s="37">
        <f t="shared" ca="1" si="38"/>
        <v>103568.80724306058</v>
      </c>
      <c r="AU18" s="37">
        <f t="shared" ca="1" si="38"/>
        <v>114378.79635959987</v>
      </c>
      <c r="AV18" s="37">
        <f t="shared" ca="1" si="38"/>
        <v>125767.63439874547</v>
      </c>
      <c r="AW18" s="37">
        <f t="shared" ca="1" si="38"/>
        <v>137746.99475430814</v>
      </c>
      <c r="AX18" s="37">
        <f t="shared" ca="1" si="38"/>
        <v>150325.54578682763</v>
      </c>
      <c r="AY18" s="37">
        <f t="shared" ca="1" si="38"/>
        <v>163513.22637699824</v>
      </c>
      <c r="AZ18" s="37" t="e">
        <f t="shared" ca="1" si="38"/>
        <v>#N/A</v>
      </c>
      <c r="BA18" s="37" t="e">
        <f t="shared" ca="1" si="38"/>
        <v>#N/A</v>
      </c>
      <c r="BB18" s="37" t="e">
        <f t="shared" ca="1" si="38"/>
        <v>#N/A</v>
      </c>
    </row>
    <row r="19" spans="1:54" x14ac:dyDescent="0.25">
      <c r="B19" s="1" t="s">
        <v>171</v>
      </c>
      <c r="C19" s="14">
        <f ca="1">IUD_Base!C19</f>
        <v>0</v>
      </c>
      <c r="D19" s="14">
        <f ca="1">IUD_Base!D19</f>
        <v>0</v>
      </c>
      <c r="E19" s="14">
        <f ca="1">IF('User Settings'!$N$7="On",($D19-$C19)/($D$4-$C$4),0)</f>
        <v>0</v>
      </c>
      <c r="F19" s="14">
        <f ca="1">IUD_Base!F19</f>
        <v>0</v>
      </c>
      <c r="G19" s="1"/>
      <c r="H19" s="14">
        <f ca="1">IUD_Base!H19</f>
        <v>0</v>
      </c>
      <c r="I19" s="14">
        <f t="shared" ca="1" si="43"/>
        <v>0</v>
      </c>
      <c r="J19" s="14">
        <f t="shared" ca="1" si="39"/>
        <v>0</v>
      </c>
      <c r="K19" s="14">
        <f t="shared" ca="1" si="40"/>
        <v>0</v>
      </c>
      <c r="L19" s="15">
        <f t="shared" ca="1" si="41"/>
        <v>0</v>
      </c>
      <c r="M19" s="15">
        <f t="shared" ca="1" si="41"/>
        <v>0</v>
      </c>
      <c r="N19" s="15">
        <f t="shared" ca="1" si="41"/>
        <v>0</v>
      </c>
      <c r="O19" s="15">
        <f t="shared" ca="1" si="41"/>
        <v>0</v>
      </c>
      <c r="P19" s="15">
        <f t="shared" ca="1" si="41"/>
        <v>0</v>
      </c>
      <c r="Q19" s="15">
        <f t="shared" ca="1" si="41"/>
        <v>0</v>
      </c>
      <c r="R19" s="15">
        <f t="shared" ca="1" si="41"/>
        <v>0</v>
      </c>
      <c r="S19" s="15">
        <f t="shared" ca="1" si="41"/>
        <v>0</v>
      </c>
      <c r="T19" s="15">
        <f t="shared" ca="1" si="41"/>
        <v>0</v>
      </c>
      <c r="U19" s="15">
        <f t="shared" ca="1" si="41"/>
        <v>0</v>
      </c>
      <c r="V19" s="15">
        <f t="shared" ca="1" si="41"/>
        <v>0</v>
      </c>
      <c r="W19" s="15">
        <f t="shared" ca="1" si="41"/>
        <v>0</v>
      </c>
      <c r="X19" s="15">
        <f t="shared" ca="1" si="41"/>
        <v>0</v>
      </c>
      <c r="Y19" s="15">
        <f t="shared" ca="1" si="41"/>
        <v>0</v>
      </c>
      <c r="Z19" s="15">
        <f t="shared" ca="1" si="41"/>
        <v>0</v>
      </c>
      <c r="AA19" s="15">
        <f t="shared" ca="1" si="41"/>
        <v>0</v>
      </c>
      <c r="AB19" s="15">
        <f t="shared" ca="1" si="41"/>
        <v>0</v>
      </c>
      <c r="AC19" s="15">
        <f t="shared" ca="1" si="41"/>
        <v>0</v>
      </c>
      <c r="AD19" s="15">
        <f t="shared" ca="1" si="41"/>
        <v>0</v>
      </c>
      <c r="AE19" s="5"/>
      <c r="AG19" s="1" t="s">
        <v>171</v>
      </c>
      <c r="AH19" s="37">
        <f t="shared" ca="1" si="42"/>
        <v>0</v>
      </c>
      <c r="AI19" s="37">
        <f t="shared" ca="1" si="36"/>
        <v>0</v>
      </c>
      <c r="AJ19" s="37">
        <f t="shared" ca="1" si="37"/>
        <v>0</v>
      </c>
      <c r="AK19" s="37">
        <f t="shared" ca="1" si="37"/>
        <v>0</v>
      </c>
      <c r="AL19" s="37">
        <f t="shared" ca="1" si="37"/>
        <v>0</v>
      </c>
      <c r="AM19" s="37">
        <f t="shared" ca="1" si="37"/>
        <v>0</v>
      </c>
      <c r="AN19" s="37">
        <f t="shared" ca="1" si="37"/>
        <v>0</v>
      </c>
      <c r="AO19" s="37">
        <f t="shared" ca="1" si="37"/>
        <v>0</v>
      </c>
      <c r="AP19" s="37">
        <f t="shared" ca="1" si="37"/>
        <v>0</v>
      </c>
      <c r="AQ19" s="37">
        <f t="shared" ca="1" si="37"/>
        <v>0</v>
      </c>
      <c r="AR19" s="37">
        <f t="shared" ca="1" si="37"/>
        <v>0</v>
      </c>
      <c r="AS19" s="37">
        <f t="shared" ca="1" si="37"/>
        <v>0</v>
      </c>
      <c r="AT19" s="37">
        <f t="shared" ca="1" si="38"/>
        <v>0</v>
      </c>
      <c r="AU19" s="37">
        <f t="shared" ca="1" si="38"/>
        <v>0</v>
      </c>
      <c r="AV19" s="37">
        <f t="shared" ca="1" si="38"/>
        <v>0</v>
      </c>
      <c r="AW19" s="37">
        <f t="shared" ca="1" si="38"/>
        <v>0</v>
      </c>
      <c r="AX19" s="37">
        <f t="shared" ca="1" si="38"/>
        <v>0</v>
      </c>
      <c r="AY19" s="37">
        <f t="shared" ca="1" si="38"/>
        <v>0</v>
      </c>
      <c r="AZ19" s="37" t="e">
        <f t="shared" ca="1" si="38"/>
        <v>#N/A</v>
      </c>
      <c r="BA19" s="37" t="e">
        <f t="shared" ca="1" si="38"/>
        <v>#N/A</v>
      </c>
      <c r="BB19" s="37" t="e">
        <f t="shared" ca="1" si="38"/>
        <v>#N/A</v>
      </c>
    </row>
    <row r="20" spans="1:54" x14ac:dyDescent="0.25">
      <c r="B20" s="1" t="s">
        <v>116</v>
      </c>
      <c r="C20" s="14">
        <f ca="1">IUD_Base!C20</f>
        <v>1.4414E-3</v>
      </c>
      <c r="D20" s="14">
        <f ca="1">IUD_Base!D20</f>
        <v>0</v>
      </c>
      <c r="E20" s="14">
        <f ca="1">IF('User Settings'!$N$7="On",($D20-$C20)/($D$4-$C$4),0)</f>
        <v>-2.8828000000000002E-4</v>
      </c>
      <c r="F20" s="14">
        <f ca="1">IUD_Base!F20</f>
        <v>0</v>
      </c>
      <c r="G20" s="1" t="str">
        <f>"Shift_RurQ1"&amp;IF(Dashboard!$Q$4="Yes",$A$1,"")</f>
        <v>Shift_RurQ1</v>
      </c>
      <c r="H20" s="14">
        <f ca="1">IUD_Base!H20*(1-INDIRECT($G20))</f>
        <v>0</v>
      </c>
      <c r="I20" s="14">
        <f t="shared" ca="1" si="43"/>
        <v>0</v>
      </c>
      <c r="J20" s="14">
        <f t="shared" ca="1" si="39"/>
        <v>2.8828000000000002E-4</v>
      </c>
      <c r="K20" s="14">
        <f t="shared" ca="1" si="40"/>
        <v>0</v>
      </c>
      <c r="L20" s="15">
        <f t="shared" ca="1" si="41"/>
        <v>0</v>
      </c>
      <c r="M20" s="15">
        <f t="shared" ca="1" si="41"/>
        <v>0</v>
      </c>
      <c r="N20" s="15">
        <f t="shared" ca="1" si="41"/>
        <v>0</v>
      </c>
      <c r="O20" s="15">
        <f t="shared" ca="1" si="41"/>
        <v>0</v>
      </c>
      <c r="P20" s="15">
        <f t="shared" ca="1" si="41"/>
        <v>0</v>
      </c>
      <c r="Q20" s="15">
        <f t="shared" ca="1" si="41"/>
        <v>0</v>
      </c>
      <c r="R20" s="15">
        <f t="shared" ca="1" si="41"/>
        <v>0</v>
      </c>
      <c r="S20" s="15">
        <f t="shared" ca="1" si="41"/>
        <v>0</v>
      </c>
      <c r="T20" s="15">
        <f t="shared" ca="1" si="41"/>
        <v>0</v>
      </c>
      <c r="U20" s="15">
        <f t="shared" ca="1" si="41"/>
        <v>0</v>
      </c>
      <c r="V20" s="15">
        <f t="shared" ca="1" si="41"/>
        <v>0</v>
      </c>
      <c r="W20" s="15">
        <f t="shared" ca="1" si="41"/>
        <v>0</v>
      </c>
      <c r="X20" s="15">
        <f t="shared" ca="1" si="41"/>
        <v>0</v>
      </c>
      <c r="Y20" s="15">
        <f t="shared" ca="1" si="41"/>
        <v>0</v>
      </c>
      <c r="Z20" s="15">
        <f t="shared" ca="1" si="41"/>
        <v>0</v>
      </c>
      <c r="AA20" s="15">
        <f t="shared" ca="1" si="41"/>
        <v>0</v>
      </c>
      <c r="AB20" s="15">
        <f t="shared" ca="1" si="41"/>
        <v>0</v>
      </c>
      <c r="AC20" s="15">
        <f t="shared" ca="1" si="41"/>
        <v>0</v>
      </c>
      <c r="AD20" s="15">
        <f t="shared" ca="1" si="41"/>
        <v>0</v>
      </c>
      <c r="AE20" s="5"/>
      <c r="AG20" s="1" t="s">
        <v>116</v>
      </c>
      <c r="AH20" s="37">
        <f t="shared" ca="1" si="42"/>
        <v>477.52731927846412</v>
      </c>
      <c r="AI20" s="37">
        <f t="shared" ca="1" si="36"/>
        <v>0</v>
      </c>
      <c r="AJ20" s="37">
        <f t="shared" ca="1" si="37"/>
        <v>0</v>
      </c>
      <c r="AK20" s="37">
        <f t="shared" ca="1" si="37"/>
        <v>0</v>
      </c>
      <c r="AL20" s="37">
        <f t="shared" ca="1" si="37"/>
        <v>0</v>
      </c>
      <c r="AM20" s="37">
        <f t="shared" ca="1" si="37"/>
        <v>0</v>
      </c>
      <c r="AN20" s="37">
        <f t="shared" ca="1" si="37"/>
        <v>0</v>
      </c>
      <c r="AO20" s="37">
        <f t="shared" ca="1" si="37"/>
        <v>0</v>
      </c>
      <c r="AP20" s="37">
        <f t="shared" ca="1" si="37"/>
        <v>0</v>
      </c>
      <c r="AQ20" s="37">
        <f t="shared" ca="1" si="37"/>
        <v>0</v>
      </c>
      <c r="AR20" s="37">
        <f t="shared" ca="1" si="37"/>
        <v>0</v>
      </c>
      <c r="AS20" s="37">
        <f t="shared" ca="1" si="37"/>
        <v>0</v>
      </c>
      <c r="AT20" s="37">
        <f t="shared" ca="1" si="38"/>
        <v>0</v>
      </c>
      <c r="AU20" s="37">
        <f t="shared" ca="1" si="38"/>
        <v>0</v>
      </c>
      <c r="AV20" s="37">
        <f t="shared" ca="1" si="38"/>
        <v>0</v>
      </c>
      <c r="AW20" s="37">
        <f t="shared" ca="1" si="38"/>
        <v>0</v>
      </c>
      <c r="AX20" s="37">
        <f t="shared" ca="1" si="38"/>
        <v>0</v>
      </c>
      <c r="AY20" s="37">
        <f t="shared" ca="1" si="38"/>
        <v>0</v>
      </c>
      <c r="AZ20" s="37" t="e">
        <f t="shared" ca="1" si="38"/>
        <v>#N/A</v>
      </c>
      <c r="BA20" s="37" t="e">
        <f t="shared" ca="1" si="38"/>
        <v>#N/A</v>
      </c>
      <c r="BB20" s="37" t="e">
        <f t="shared" ca="1" si="38"/>
        <v>#N/A</v>
      </c>
    </row>
    <row r="21" spans="1:54" x14ac:dyDescent="0.25">
      <c r="C21" s="5">
        <f ca="1">SUM(C15:C20)</f>
        <v>3.6446999999999998E-3</v>
      </c>
      <c r="D21" s="5">
        <f ca="1">SUM(D15:D20)</f>
        <v>1.9163699999999999E-2</v>
      </c>
      <c r="E21" s="131"/>
      <c r="F21" s="132">
        <f ca="1">SUM(F15:F20)</f>
        <v>2.9339940000000002E-2</v>
      </c>
      <c r="G21" s="146"/>
      <c r="H21" s="132">
        <f ca="1">IUD_Base!H21</f>
        <v>3.9516179999999998E-2</v>
      </c>
      <c r="I21" s="132"/>
      <c r="J21" s="132">
        <f ca="1">SUM(J15:J20)</f>
        <v>2.6236139999999995E-2</v>
      </c>
      <c r="K21" s="132">
        <f ca="1">SUM(K15:K20)</f>
        <v>2.9339940000000002E-2</v>
      </c>
      <c r="L21" s="5">
        <f t="shared" ref="L21:AD21" ca="1" si="44">SUM(L15:L20)</f>
        <v>3.2732020000000001E-2</v>
      </c>
      <c r="M21" s="5">
        <f t="shared" ca="1" si="44"/>
        <v>3.6124099999999992E-2</v>
      </c>
      <c r="N21" s="5">
        <f t="shared" ca="1" si="44"/>
        <v>3.9516179999999998E-2</v>
      </c>
      <c r="O21" s="5">
        <f t="shared" ca="1" si="44"/>
        <v>4.290825999999999E-2</v>
      </c>
      <c r="P21" s="5">
        <f t="shared" ca="1" si="44"/>
        <v>4.6300339999999995E-2</v>
      </c>
      <c r="Q21" s="5">
        <f t="shared" ca="1" si="44"/>
        <v>4.9692419999999987E-2</v>
      </c>
      <c r="R21" s="5">
        <f t="shared" ca="1" si="44"/>
        <v>5.3084499999999993E-2</v>
      </c>
      <c r="S21" s="5">
        <f t="shared" ca="1" si="44"/>
        <v>5.6476579999999985E-2</v>
      </c>
      <c r="T21" s="5">
        <f t="shared" ca="1" si="44"/>
        <v>5.986865999999999E-2</v>
      </c>
      <c r="U21" s="5">
        <f t="shared" ca="1" si="44"/>
        <v>6.3260739999999982E-2</v>
      </c>
      <c r="V21" s="5">
        <f t="shared" ca="1" si="44"/>
        <v>6.6652819999999988E-2</v>
      </c>
      <c r="W21" s="5">
        <f t="shared" ca="1" si="44"/>
        <v>7.0044899999999993E-2</v>
      </c>
      <c r="X21" s="5">
        <f t="shared" ca="1" si="44"/>
        <v>7.3436979999999985E-2</v>
      </c>
      <c r="Y21" s="5">
        <f t="shared" ca="1" si="44"/>
        <v>7.6829059999999991E-2</v>
      </c>
      <c r="Z21" s="5">
        <f t="shared" ca="1" si="44"/>
        <v>8.0221139999999982E-2</v>
      </c>
      <c r="AA21" s="5">
        <f t="shared" ca="1" si="44"/>
        <v>8.3613219999999988E-2</v>
      </c>
      <c r="AB21" s="5">
        <f t="shared" ca="1" si="44"/>
        <v>8.700529999999998E-2</v>
      </c>
      <c r="AC21" s="5">
        <f t="shared" ca="1" si="44"/>
        <v>9.0397379999999986E-2</v>
      </c>
      <c r="AD21" s="5">
        <f t="shared" ca="1" si="44"/>
        <v>9.3789459999999977E-2</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H23" s="4" t="s">
        <v>167</v>
      </c>
      <c r="K23" s="205" t="str">
        <f t="shared" ref="K23:AD23" si="45">IF(K24=Yr_Start,"Start Year",IF(K24=Yr_End,"End Year",""))</f>
        <v>Start Year</v>
      </c>
      <c r="L23" s="205" t="str">
        <f t="shared" si="45"/>
        <v/>
      </c>
      <c r="M23" s="205" t="str">
        <f t="shared" si="45"/>
        <v/>
      </c>
      <c r="N23" s="205" t="str">
        <f t="shared" si="45"/>
        <v>End Year</v>
      </c>
      <c r="O23" s="205" t="str">
        <f t="shared" si="45"/>
        <v/>
      </c>
      <c r="P23" s="205" t="str">
        <f t="shared" si="45"/>
        <v/>
      </c>
      <c r="Q23" s="205" t="str">
        <f t="shared" si="45"/>
        <v/>
      </c>
      <c r="R23" s="205" t="str">
        <f t="shared" si="45"/>
        <v/>
      </c>
      <c r="S23" s="205" t="str">
        <f t="shared" si="45"/>
        <v/>
      </c>
      <c r="T23" s="205" t="str">
        <f t="shared" si="45"/>
        <v/>
      </c>
      <c r="U23" s="205" t="str">
        <f t="shared" si="45"/>
        <v/>
      </c>
      <c r="V23" s="205" t="str">
        <f t="shared" si="45"/>
        <v/>
      </c>
      <c r="W23" s="205" t="str">
        <f t="shared" si="45"/>
        <v/>
      </c>
      <c r="X23" s="205" t="str">
        <f t="shared" si="45"/>
        <v/>
      </c>
      <c r="Y23" s="205" t="str">
        <f t="shared" si="45"/>
        <v/>
      </c>
      <c r="Z23" s="205" t="str">
        <f t="shared" si="45"/>
        <v/>
      </c>
      <c r="AA23" s="205" t="str">
        <f t="shared" si="45"/>
        <v/>
      </c>
      <c r="AB23" s="205" t="str">
        <f t="shared" si="45"/>
        <v/>
      </c>
      <c r="AC23" s="205" t="str">
        <f t="shared" si="45"/>
        <v/>
      </c>
      <c r="AD23" s="205" t="str">
        <f t="shared" si="45"/>
        <v/>
      </c>
      <c r="AE23" s="35"/>
      <c r="AF23" s="6" t="str">
        <f>A23</f>
        <v>Richer</v>
      </c>
      <c r="AI23" s="205" t="str">
        <f t="shared" ref="AI23:BB23" si="46">IF(AI24=Yr_Start,"Start Year",IF(AI24=Yr_End,"End Year",""))</f>
        <v>Start Year</v>
      </c>
      <c r="AJ23" s="205" t="str">
        <f t="shared" si="46"/>
        <v/>
      </c>
      <c r="AK23" s="205" t="str">
        <f t="shared" si="46"/>
        <v/>
      </c>
      <c r="AL23" s="205" t="str">
        <f t="shared" si="46"/>
        <v>End Year</v>
      </c>
      <c r="AM23" s="205" t="str">
        <f t="shared" si="46"/>
        <v/>
      </c>
      <c r="AN23" s="205" t="str">
        <f t="shared" si="46"/>
        <v/>
      </c>
      <c r="AO23" s="205" t="str">
        <f t="shared" si="46"/>
        <v/>
      </c>
      <c r="AP23" s="205" t="str">
        <f t="shared" si="46"/>
        <v/>
      </c>
      <c r="AQ23" s="205" t="str">
        <f t="shared" si="46"/>
        <v/>
      </c>
      <c r="AR23" s="205" t="str">
        <f t="shared" si="46"/>
        <v/>
      </c>
      <c r="AS23" s="205" t="str">
        <f t="shared" si="46"/>
        <v/>
      </c>
      <c r="AT23" s="205" t="str">
        <f t="shared" si="46"/>
        <v/>
      </c>
      <c r="AU23" s="205" t="str">
        <f t="shared" si="46"/>
        <v/>
      </c>
      <c r="AV23" s="205" t="str">
        <f t="shared" si="46"/>
        <v/>
      </c>
      <c r="AW23" s="205" t="str">
        <f t="shared" si="46"/>
        <v/>
      </c>
      <c r="AX23" s="205" t="str">
        <f t="shared" si="46"/>
        <v/>
      </c>
      <c r="AY23" s="205" t="str">
        <f t="shared" si="46"/>
        <v/>
      </c>
      <c r="AZ23" s="205" t="str">
        <f t="shared" si="46"/>
        <v/>
      </c>
      <c r="BA23" s="205" t="str">
        <f t="shared" si="46"/>
        <v/>
      </c>
      <c r="BB23" s="205" t="str">
        <f t="shared" si="46"/>
        <v/>
      </c>
    </row>
    <row r="24" spans="1:54" x14ac:dyDescent="0.25">
      <c r="A24" s="6" t="s">
        <v>20</v>
      </c>
      <c r="B24" s="36"/>
      <c r="C24" s="36">
        <f>Yr_DHS1</f>
        <v>2011</v>
      </c>
      <c r="D24" s="36">
        <f>Yr_DHS2</f>
        <v>2016</v>
      </c>
      <c r="E24" s="36" t="s">
        <v>168</v>
      </c>
      <c r="F24" s="36">
        <f>Yr_Start</f>
        <v>2019</v>
      </c>
      <c r="G24" s="127"/>
      <c r="H24" s="36">
        <f>Yr_End</f>
        <v>2022</v>
      </c>
      <c r="I24" s="36" t="s">
        <v>169</v>
      </c>
      <c r="J24" s="130">
        <f>K24-1</f>
        <v>2018</v>
      </c>
      <c r="K24" s="130">
        <f>Yr_Start</f>
        <v>2019</v>
      </c>
      <c r="L24" s="130">
        <f>K24+1</f>
        <v>2020</v>
      </c>
      <c r="M24" s="130">
        <f t="shared" ref="M24" si="47">L24+1</f>
        <v>2021</v>
      </c>
      <c r="N24" s="130">
        <f t="shared" ref="N24" si="48">M24+1</f>
        <v>2022</v>
      </c>
      <c r="O24" s="130">
        <f t="shared" ref="O24" si="49">N24+1</f>
        <v>2023</v>
      </c>
      <c r="P24" s="130">
        <f t="shared" ref="P24" si="50">O24+1</f>
        <v>2024</v>
      </c>
      <c r="Q24" s="130">
        <f t="shared" ref="Q24" si="51">P24+1</f>
        <v>2025</v>
      </c>
      <c r="R24" s="130">
        <f t="shared" ref="R24" si="52">Q24+1</f>
        <v>2026</v>
      </c>
      <c r="S24" s="130">
        <f t="shared" ref="S24" si="53">R24+1</f>
        <v>2027</v>
      </c>
      <c r="T24" s="130">
        <f t="shared" ref="T24" si="54">S24+1</f>
        <v>2028</v>
      </c>
      <c r="U24" s="130">
        <f t="shared" ref="U24" si="55">T24+1</f>
        <v>2029</v>
      </c>
      <c r="V24" s="130">
        <f t="shared" ref="V24" si="56">U24+1</f>
        <v>2030</v>
      </c>
      <c r="W24" s="130">
        <f t="shared" ref="W24" si="57">V24+1</f>
        <v>2031</v>
      </c>
      <c r="X24" s="130">
        <f t="shared" ref="X24" si="58">W24+1</f>
        <v>2032</v>
      </c>
      <c r="Y24" s="130">
        <f t="shared" ref="Y24" si="59">X24+1</f>
        <v>2033</v>
      </c>
      <c r="Z24" s="130">
        <f t="shared" ref="Z24" si="60">Y24+1</f>
        <v>2034</v>
      </c>
      <c r="AA24" s="130">
        <f t="shared" ref="AA24" si="61">Z24+1</f>
        <v>2035</v>
      </c>
      <c r="AB24" s="130">
        <f t="shared" ref="AB24" si="62">AA24+1</f>
        <v>2036</v>
      </c>
      <c r="AC24" s="130">
        <f t="shared" ref="AC24" si="63">AB24+1</f>
        <v>2037</v>
      </c>
      <c r="AD24" s="130">
        <f t="shared" ref="AD24" si="64">AC24+1</f>
        <v>2038</v>
      </c>
      <c r="AE24" s="6"/>
      <c r="AF24" s="6" t="str">
        <f>A24</f>
        <v>Urban</v>
      </c>
      <c r="AG24" s="38"/>
      <c r="AH24" s="161">
        <f>AI24-1</f>
        <v>2018</v>
      </c>
      <c r="AI24" s="36">
        <f>Yr_Start</f>
        <v>2019</v>
      </c>
      <c r="AJ24" s="36">
        <f>AI24+1</f>
        <v>2020</v>
      </c>
      <c r="AK24" s="36">
        <f t="shared" ref="AK24:BB24" si="65">AJ24+1</f>
        <v>2021</v>
      </c>
      <c r="AL24" s="36">
        <f t="shared" si="65"/>
        <v>2022</v>
      </c>
      <c r="AM24" s="36">
        <f t="shared" si="65"/>
        <v>2023</v>
      </c>
      <c r="AN24" s="36">
        <f t="shared" si="65"/>
        <v>2024</v>
      </c>
      <c r="AO24" s="36">
        <f t="shared" si="65"/>
        <v>2025</v>
      </c>
      <c r="AP24" s="36">
        <f t="shared" si="65"/>
        <v>2026</v>
      </c>
      <c r="AQ24" s="36">
        <f t="shared" si="65"/>
        <v>2027</v>
      </c>
      <c r="AR24" s="36">
        <f t="shared" si="65"/>
        <v>2028</v>
      </c>
      <c r="AS24" s="36">
        <f t="shared" si="65"/>
        <v>2029</v>
      </c>
      <c r="AT24" s="36">
        <f t="shared" si="65"/>
        <v>2030</v>
      </c>
      <c r="AU24" s="36">
        <f t="shared" si="65"/>
        <v>2031</v>
      </c>
      <c r="AV24" s="36">
        <f t="shared" si="65"/>
        <v>2032</v>
      </c>
      <c r="AW24" s="36">
        <f t="shared" si="65"/>
        <v>2033</v>
      </c>
      <c r="AX24" s="36">
        <f t="shared" si="65"/>
        <v>2034</v>
      </c>
      <c r="AY24" s="36">
        <f t="shared" si="65"/>
        <v>2035</v>
      </c>
      <c r="AZ24" s="36">
        <f t="shared" si="65"/>
        <v>2036</v>
      </c>
      <c r="BA24" s="36">
        <f t="shared" si="65"/>
        <v>2037</v>
      </c>
      <c r="BB24" s="36">
        <f t="shared" si="65"/>
        <v>2038</v>
      </c>
    </row>
    <row r="25" spans="1:54" x14ac:dyDescent="0.25">
      <c r="B25" s="1" t="s">
        <v>52</v>
      </c>
      <c r="C25" s="14">
        <f ca="1">IUD_Base!C25</f>
        <v>1.8724E-3</v>
      </c>
      <c r="D25" s="14">
        <f ca="1">IUD_Base!D25</f>
        <v>5.5352999999999999E-3</v>
      </c>
      <c r="E25" s="14">
        <f ca="1">IF('User Settings'!$N$7="On",($D25-$C25)/($D$4-$C$4),0)</f>
        <v>7.3258000000000004E-4</v>
      </c>
      <c r="F25" s="14">
        <f ca="1">IUD_Base!F25</f>
        <v>7.7330400000000001E-3</v>
      </c>
      <c r="G25" s="1" t="str">
        <f>"Shift_UrbQ2"&amp;IF(Dashboard!$Q$4="Yes",$A$1,"")</f>
        <v>Shift_UrbQ2</v>
      </c>
      <c r="H25" s="14">
        <f ca="1">IUD_Base!H25*(1-INDIRECT($G25))</f>
        <v>7.4480850000000001E-3</v>
      </c>
      <c r="I25" s="14">
        <f ca="1">($H25-$F25)/($H$4-$F$4)</f>
        <v>-9.4984999999999972E-5</v>
      </c>
      <c r="J25" s="14">
        <f ca="1">K25-E25</f>
        <v>7.00046E-3</v>
      </c>
      <c r="K25" s="14">
        <f ca="1">MAX(0,MIN(1,D25+(K$4-D$4)*E25))</f>
        <v>7.7330400000000001E-3</v>
      </c>
      <c r="L25" s="15">
        <f ca="1">MAX(0,MIN(1,K25+$I25))</f>
        <v>7.6380550000000004E-3</v>
      </c>
      <c r="M25" s="15">
        <f t="shared" ref="M25:AD25" ca="1" si="66">MAX(0,MIN(1,L25+$I25))</f>
        <v>7.5430700000000007E-3</v>
      </c>
      <c r="N25" s="15">
        <f ca="1">MAX(0,MIN(1,M25+$I25))</f>
        <v>7.448085000000001E-3</v>
      </c>
      <c r="O25" s="15">
        <f t="shared" ca="1" si="66"/>
        <v>7.3531000000000013E-3</v>
      </c>
      <c r="P25" s="15">
        <f t="shared" ca="1" si="66"/>
        <v>7.2581150000000016E-3</v>
      </c>
      <c r="Q25" s="15">
        <f t="shared" ca="1" si="66"/>
        <v>7.1631300000000019E-3</v>
      </c>
      <c r="R25" s="15">
        <f t="shared" ca="1" si="66"/>
        <v>7.0681450000000022E-3</v>
      </c>
      <c r="S25" s="15">
        <f t="shared" ca="1" si="66"/>
        <v>6.9731600000000026E-3</v>
      </c>
      <c r="T25" s="15">
        <f t="shared" ca="1" si="66"/>
        <v>6.8781750000000029E-3</v>
      </c>
      <c r="U25" s="15">
        <f t="shared" ca="1" si="66"/>
        <v>6.7831900000000032E-3</v>
      </c>
      <c r="V25" s="15">
        <f t="shared" ca="1" si="66"/>
        <v>6.6882050000000035E-3</v>
      </c>
      <c r="W25" s="15">
        <f t="shared" ca="1" si="66"/>
        <v>6.5932200000000038E-3</v>
      </c>
      <c r="X25" s="15">
        <f t="shared" ca="1" si="66"/>
        <v>6.4982350000000041E-3</v>
      </c>
      <c r="Y25" s="15">
        <f t="shared" ca="1" si="66"/>
        <v>6.4032500000000044E-3</v>
      </c>
      <c r="Z25" s="15">
        <f t="shared" ca="1" si="66"/>
        <v>6.3082650000000047E-3</v>
      </c>
      <c r="AA25" s="15">
        <f t="shared" ca="1" si="66"/>
        <v>6.213280000000005E-3</v>
      </c>
      <c r="AB25" s="15">
        <f t="shared" ca="1" si="66"/>
        <v>6.1182950000000054E-3</v>
      </c>
      <c r="AC25" s="15">
        <f t="shared" ca="1" si="66"/>
        <v>6.0233100000000057E-3</v>
      </c>
      <c r="AD25" s="15">
        <f t="shared" ca="1" si="66"/>
        <v>5.928325000000006E-3</v>
      </c>
      <c r="AE25" s="5"/>
      <c r="AG25" s="1" t="s">
        <v>52</v>
      </c>
      <c r="AH25" s="37">
        <f ca="1">J25*AH$31</f>
        <v>4219.623915526503</v>
      </c>
      <c r="AI25" s="37">
        <f t="shared" ref="AI25:AI30" ca="1" si="67">K25*AI$31</f>
        <v>4840.4448687785198</v>
      </c>
      <c r="AJ25" s="37">
        <f t="shared" ref="AJ25:AS30" ca="1" si="68">L25*AJ$31</f>
        <v>4963.7558440452485</v>
      </c>
      <c r="AK25" s="37">
        <f t="shared" ca="1" si="68"/>
        <v>5081.8705815333078</v>
      </c>
      <c r="AL25" s="37">
        <f t="shared" ca="1" si="68"/>
        <v>5201.9532028405329</v>
      </c>
      <c r="AM25" s="37">
        <f t="shared" ca="1" si="68"/>
        <v>5323.1275041411745</v>
      </c>
      <c r="AN25" s="37">
        <f t="shared" ca="1" si="68"/>
        <v>5444.4647806793373</v>
      </c>
      <c r="AO25" s="37">
        <f t="shared" ca="1" si="68"/>
        <v>5565.4195442878035</v>
      </c>
      <c r="AP25" s="37">
        <f t="shared" ca="1" si="68"/>
        <v>5681.9121440219988</v>
      </c>
      <c r="AQ25" s="37">
        <f t="shared" ca="1" si="68"/>
        <v>5798.2134254547273</v>
      </c>
      <c r="AR25" s="37">
        <f t="shared" ca="1" si="68"/>
        <v>5914.2002408124554</v>
      </c>
      <c r="AS25" s="37">
        <f t="shared" ca="1" si="68"/>
        <v>6030.0025926132821</v>
      </c>
      <c r="AT25" s="37">
        <f t="shared" ref="AT25:BB30" ca="1" si="69">V25*AT$31</f>
        <v>6145.5394733283701</v>
      </c>
      <c r="AU25" s="37">
        <f t="shared" ca="1" si="69"/>
        <v>6256.9150507816148</v>
      </c>
      <c r="AV25" s="37">
        <f t="shared" ca="1" si="69"/>
        <v>6368.0389566710783</v>
      </c>
      <c r="AW25" s="37">
        <f t="shared" ca="1" si="69"/>
        <v>6478.2920290614175</v>
      </c>
      <c r="AX25" s="37">
        <f t="shared" ca="1" si="69"/>
        <v>6587.0270214328857</v>
      </c>
      <c r="AY25" s="37">
        <f t="shared" ca="1" si="69"/>
        <v>6693.7602626230573</v>
      </c>
      <c r="AZ25" s="37" t="e">
        <f t="shared" ca="1" si="69"/>
        <v>#N/A</v>
      </c>
      <c r="BA25" s="37" t="e">
        <f t="shared" ca="1" si="69"/>
        <v>#N/A</v>
      </c>
      <c r="BB25" s="37" t="e">
        <f t="shared" ca="1" si="69"/>
        <v>#N/A</v>
      </c>
    </row>
    <row r="26" spans="1:54" x14ac:dyDescent="0.25">
      <c r="B26" s="1" t="s">
        <v>54</v>
      </c>
      <c r="C26" s="14">
        <f ca="1">IUD_Base!C26</f>
        <v>0</v>
      </c>
      <c r="D26" s="14">
        <f ca="1">IUD_Base!D26</f>
        <v>0</v>
      </c>
      <c r="E26" s="14">
        <f ca="1">IF('User Settings'!$N$7="On",($D26-$C26)/($D$4-$C$4),0)</f>
        <v>0</v>
      </c>
      <c r="F26" s="14">
        <f ca="1">IUD_Base!F26</f>
        <v>0</v>
      </c>
      <c r="G26" s="1" t="str">
        <f>"Shift_UrbQ2"&amp;IF(Dashboard!$Q$4="Yes",$A$1,"")</f>
        <v>Shift_UrbQ2</v>
      </c>
      <c r="H26" s="14">
        <f ca="1">IUD_Base!H26*(1-INDIRECT($G26))</f>
        <v>0</v>
      </c>
      <c r="I26" s="14">
        <f ca="1">($H26-$F26)/($H$4-$F$4)</f>
        <v>0</v>
      </c>
      <c r="J26" s="14">
        <f t="shared" ref="J26:J30" ca="1" si="70">K26-E26</f>
        <v>0</v>
      </c>
      <c r="K26" s="14">
        <f t="shared" ref="K26:K30" ca="1" si="71">MAX(0,MIN(1,D26+(K$4-D$4)*E26))</f>
        <v>0</v>
      </c>
      <c r="L26" s="15">
        <f t="shared" ref="L26:AD30" ca="1" si="72">MAX(0,MIN(1,K26+$I26))</f>
        <v>0</v>
      </c>
      <c r="M26" s="15">
        <f t="shared" ca="1" si="72"/>
        <v>0</v>
      </c>
      <c r="N26" s="15">
        <f t="shared" ca="1" si="72"/>
        <v>0</v>
      </c>
      <c r="O26" s="15">
        <f t="shared" ca="1" si="72"/>
        <v>0</v>
      </c>
      <c r="P26" s="15">
        <f t="shared" ca="1" si="72"/>
        <v>0</v>
      </c>
      <c r="Q26" s="15">
        <f t="shared" ca="1" si="72"/>
        <v>0</v>
      </c>
      <c r="R26" s="15">
        <f t="shared" ca="1" si="72"/>
        <v>0</v>
      </c>
      <c r="S26" s="15">
        <f t="shared" ca="1" si="72"/>
        <v>0</v>
      </c>
      <c r="T26" s="15">
        <f t="shared" ca="1" si="72"/>
        <v>0</v>
      </c>
      <c r="U26" s="15">
        <f t="shared" ca="1" si="72"/>
        <v>0</v>
      </c>
      <c r="V26" s="15">
        <f t="shared" ca="1" si="72"/>
        <v>0</v>
      </c>
      <c r="W26" s="15">
        <f t="shared" ca="1" si="72"/>
        <v>0</v>
      </c>
      <c r="X26" s="15">
        <f t="shared" ca="1" si="72"/>
        <v>0</v>
      </c>
      <c r="Y26" s="15">
        <f t="shared" ca="1" si="72"/>
        <v>0</v>
      </c>
      <c r="Z26" s="15">
        <f t="shared" ca="1" si="72"/>
        <v>0</v>
      </c>
      <c r="AA26" s="15">
        <f t="shared" ca="1" si="72"/>
        <v>0</v>
      </c>
      <c r="AB26" s="15">
        <f t="shared" ca="1" si="72"/>
        <v>0</v>
      </c>
      <c r="AC26" s="15">
        <f t="shared" ca="1" si="72"/>
        <v>0</v>
      </c>
      <c r="AD26" s="15">
        <f t="shared" ca="1" si="72"/>
        <v>0</v>
      </c>
      <c r="AE26" s="5"/>
      <c r="AG26" s="1" t="s">
        <v>54</v>
      </c>
      <c r="AH26" s="37">
        <f t="shared" ref="AH26:AH30" ca="1" si="73">J26*AH$31</f>
        <v>0</v>
      </c>
      <c r="AI26" s="37">
        <f t="shared" ca="1" si="67"/>
        <v>0</v>
      </c>
      <c r="AJ26" s="37">
        <f t="shared" ca="1" si="68"/>
        <v>0</v>
      </c>
      <c r="AK26" s="37">
        <f t="shared" ca="1" si="68"/>
        <v>0</v>
      </c>
      <c r="AL26" s="37">
        <f t="shared" ca="1" si="68"/>
        <v>0</v>
      </c>
      <c r="AM26" s="37">
        <f t="shared" ca="1" si="68"/>
        <v>0</v>
      </c>
      <c r="AN26" s="37">
        <f t="shared" ca="1" si="68"/>
        <v>0</v>
      </c>
      <c r="AO26" s="37">
        <f t="shared" ca="1" si="68"/>
        <v>0</v>
      </c>
      <c r="AP26" s="37">
        <f t="shared" ca="1" si="68"/>
        <v>0</v>
      </c>
      <c r="AQ26" s="37">
        <f t="shared" ca="1" si="68"/>
        <v>0</v>
      </c>
      <c r="AR26" s="37">
        <f t="shared" ca="1" si="68"/>
        <v>0</v>
      </c>
      <c r="AS26" s="37">
        <f t="shared" ca="1" si="68"/>
        <v>0</v>
      </c>
      <c r="AT26" s="37">
        <f t="shared" ca="1" si="69"/>
        <v>0</v>
      </c>
      <c r="AU26" s="37">
        <f t="shared" ca="1" si="69"/>
        <v>0</v>
      </c>
      <c r="AV26" s="37">
        <f t="shared" ca="1" si="69"/>
        <v>0</v>
      </c>
      <c r="AW26" s="37">
        <f t="shared" ca="1" si="69"/>
        <v>0</v>
      </c>
      <c r="AX26" s="37">
        <f t="shared" ca="1" si="69"/>
        <v>0</v>
      </c>
      <c r="AY26" s="37">
        <f t="shared" ca="1" si="69"/>
        <v>0</v>
      </c>
      <c r="AZ26" s="37" t="e">
        <f t="shared" ca="1" si="69"/>
        <v>#N/A</v>
      </c>
      <c r="BA26" s="37" t="e">
        <f t="shared" ca="1" si="69"/>
        <v>#N/A</v>
      </c>
      <c r="BB26" s="37" t="e">
        <f t="shared" ca="1" si="69"/>
        <v>#N/A</v>
      </c>
    </row>
    <row r="27" spans="1:54" x14ac:dyDescent="0.25">
      <c r="B27" s="1" t="s">
        <v>170</v>
      </c>
      <c r="C27" s="14">
        <f ca="1">IUD_Base!C27</f>
        <v>0</v>
      </c>
      <c r="D27" s="14">
        <f ca="1">IUD_Base!D27</f>
        <v>0</v>
      </c>
      <c r="E27" s="14">
        <f ca="1">IF('User Settings'!$N$7="On",($D27-$C27)/($D$4-$C$4),0)</f>
        <v>0</v>
      </c>
      <c r="F27" s="14">
        <f ca="1">IUD_Base!F27</f>
        <v>0</v>
      </c>
      <c r="G27" s="1" t="str">
        <f>"Shift_UrbQ2"&amp;IF(Dashboard!$Q$4="Yes",$A$1,"")</f>
        <v>Shift_UrbQ2</v>
      </c>
      <c r="H27" s="14">
        <f ca="1">IUD_Base!H27*(1-INDIRECT($G27))</f>
        <v>0</v>
      </c>
      <c r="I27" s="14">
        <f t="shared" ref="I27:I30" ca="1" si="74">($H27-$F27)/($H$4-$F$4)</f>
        <v>0</v>
      </c>
      <c r="J27" s="14">
        <f t="shared" ca="1" si="70"/>
        <v>0</v>
      </c>
      <c r="K27" s="14">
        <f t="shared" ca="1" si="71"/>
        <v>0</v>
      </c>
      <c r="L27" s="15">
        <f t="shared" ca="1" si="72"/>
        <v>0</v>
      </c>
      <c r="M27" s="15">
        <f t="shared" ca="1" si="72"/>
        <v>0</v>
      </c>
      <c r="N27" s="15">
        <f t="shared" ca="1" si="72"/>
        <v>0</v>
      </c>
      <c r="O27" s="15">
        <f t="shared" ca="1" si="72"/>
        <v>0</v>
      </c>
      <c r="P27" s="15">
        <f t="shared" ca="1" si="72"/>
        <v>0</v>
      </c>
      <c r="Q27" s="15">
        <f t="shared" ca="1" si="72"/>
        <v>0</v>
      </c>
      <c r="R27" s="15">
        <f t="shared" ca="1" si="72"/>
        <v>0</v>
      </c>
      <c r="S27" s="15">
        <f t="shared" ca="1" si="72"/>
        <v>0</v>
      </c>
      <c r="T27" s="15">
        <f t="shared" ca="1" si="72"/>
        <v>0</v>
      </c>
      <c r="U27" s="15">
        <f t="shared" ca="1" si="72"/>
        <v>0</v>
      </c>
      <c r="V27" s="15">
        <f t="shared" ca="1" si="72"/>
        <v>0</v>
      </c>
      <c r="W27" s="15">
        <f t="shared" ca="1" si="72"/>
        <v>0</v>
      </c>
      <c r="X27" s="15">
        <f t="shared" ca="1" si="72"/>
        <v>0</v>
      </c>
      <c r="Y27" s="15">
        <f t="shared" ca="1" si="72"/>
        <v>0</v>
      </c>
      <c r="Z27" s="15">
        <f t="shared" ca="1" si="72"/>
        <v>0</v>
      </c>
      <c r="AA27" s="15">
        <f t="shared" ca="1" si="72"/>
        <v>0</v>
      </c>
      <c r="AB27" s="15">
        <f t="shared" ca="1" si="72"/>
        <v>0</v>
      </c>
      <c r="AC27" s="15">
        <f t="shared" ca="1" si="72"/>
        <v>0</v>
      </c>
      <c r="AD27" s="15">
        <f t="shared" ca="1" si="72"/>
        <v>0</v>
      </c>
      <c r="AE27" s="5"/>
      <c r="AG27" s="1" t="s">
        <v>170</v>
      </c>
      <c r="AH27" s="37">
        <f t="shared" ca="1" si="73"/>
        <v>0</v>
      </c>
      <c r="AI27" s="37">
        <f t="shared" ca="1" si="67"/>
        <v>0</v>
      </c>
      <c r="AJ27" s="37">
        <f t="shared" ca="1" si="68"/>
        <v>0</v>
      </c>
      <c r="AK27" s="37">
        <f t="shared" ca="1" si="68"/>
        <v>0</v>
      </c>
      <c r="AL27" s="37">
        <f t="shared" ca="1" si="68"/>
        <v>0</v>
      </c>
      <c r="AM27" s="37">
        <f t="shared" ca="1" si="68"/>
        <v>0</v>
      </c>
      <c r="AN27" s="37">
        <f t="shared" ca="1" si="68"/>
        <v>0</v>
      </c>
      <c r="AO27" s="37">
        <f t="shared" ca="1" si="68"/>
        <v>0</v>
      </c>
      <c r="AP27" s="37">
        <f t="shared" ca="1" si="68"/>
        <v>0</v>
      </c>
      <c r="AQ27" s="37">
        <f t="shared" ca="1" si="68"/>
        <v>0</v>
      </c>
      <c r="AR27" s="37">
        <f t="shared" ca="1" si="68"/>
        <v>0</v>
      </c>
      <c r="AS27" s="37">
        <f t="shared" ca="1" si="68"/>
        <v>0</v>
      </c>
      <c r="AT27" s="37">
        <f t="shared" ca="1" si="69"/>
        <v>0</v>
      </c>
      <c r="AU27" s="37">
        <f t="shared" ca="1" si="69"/>
        <v>0</v>
      </c>
      <c r="AV27" s="37">
        <f t="shared" ca="1" si="69"/>
        <v>0</v>
      </c>
      <c r="AW27" s="37">
        <f t="shared" ca="1" si="69"/>
        <v>0</v>
      </c>
      <c r="AX27" s="37">
        <f t="shared" ca="1" si="69"/>
        <v>0</v>
      </c>
      <c r="AY27" s="37">
        <f t="shared" ca="1" si="69"/>
        <v>0</v>
      </c>
      <c r="AZ27" s="37" t="e">
        <f t="shared" ca="1" si="69"/>
        <v>#N/A</v>
      </c>
      <c r="BA27" s="37" t="e">
        <f t="shared" ca="1" si="69"/>
        <v>#N/A</v>
      </c>
      <c r="BB27" s="37" t="e">
        <f t="shared" ca="1" si="69"/>
        <v>#N/A</v>
      </c>
    </row>
    <row r="28" spans="1:54" x14ac:dyDescent="0.25">
      <c r="B28" s="1" t="s">
        <v>59</v>
      </c>
      <c r="C28" s="14">
        <f ca="1">IUD_Base!C28</f>
        <v>1.1983600000000001E-2</v>
      </c>
      <c r="D28" s="14">
        <f ca="1">IUD_Base!D28</f>
        <v>4.0061999999999997E-3</v>
      </c>
      <c r="E28" s="14">
        <f ca="1">IF('User Settings'!$N$7="On",($D28-$C28)/($D$4-$C$4),0)</f>
        <v>-1.5954800000000002E-3</v>
      </c>
      <c r="F28" s="14">
        <f ca="1">IUD_Base!F28</f>
        <v>0</v>
      </c>
      <c r="H28" s="14">
        <f ca="1">H31-SUM($H25:$H27,$H29:$H30)</f>
        <v>2.482695E-3</v>
      </c>
      <c r="I28" s="14">
        <f t="shared" ca="1" si="74"/>
        <v>8.2756500000000005E-4</v>
      </c>
      <c r="J28" s="14">
        <f t="shared" ca="1" si="70"/>
        <v>1.5954800000000002E-3</v>
      </c>
      <c r="K28" s="14">
        <f t="shared" ca="1" si="71"/>
        <v>0</v>
      </c>
      <c r="L28" s="15">
        <f t="shared" ca="1" si="72"/>
        <v>8.2756500000000005E-4</v>
      </c>
      <c r="M28" s="15">
        <f t="shared" ca="1" si="72"/>
        <v>1.6551300000000001E-3</v>
      </c>
      <c r="N28" s="15">
        <f t="shared" ca="1" si="72"/>
        <v>2.482695E-3</v>
      </c>
      <c r="O28" s="15">
        <f t="shared" ca="1" si="72"/>
        <v>3.3102600000000002E-3</v>
      </c>
      <c r="P28" s="15">
        <f t="shared" ca="1" si="72"/>
        <v>4.1378250000000004E-3</v>
      </c>
      <c r="Q28" s="15">
        <f t="shared" ca="1" si="72"/>
        <v>4.9653900000000001E-3</v>
      </c>
      <c r="R28" s="15">
        <f t="shared" ca="1" si="72"/>
        <v>5.7929549999999998E-3</v>
      </c>
      <c r="S28" s="15">
        <f t="shared" ca="1" si="72"/>
        <v>6.6205199999999995E-3</v>
      </c>
      <c r="T28" s="15">
        <f t="shared" ca="1" si="72"/>
        <v>7.4480849999999993E-3</v>
      </c>
      <c r="U28" s="15">
        <f t="shared" ca="1" si="72"/>
        <v>8.275649999999999E-3</v>
      </c>
      <c r="V28" s="15">
        <f t="shared" ca="1" si="72"/>
        <v>9.1032149999999996E-3</v>
      </c>
      <c r="W28" s="15">
        <f t="shared" ca="1" si="72"/>
        <v>9.9307800000000002E-3</v>
      </c>
      <c r="X28" s="15">
        <f t="shared" ca="1" si="72"/>
        <v>1.0758345000000001E-2</v>
      </c>
      <c r="Y28" s="15">
        <f t="shared" ca="1" si="72"/>
        <v>1.1585910000000001E-2</v>
      </c>
      <c r="Z28" s="15">
        <f t="shared" ca="1" si="72"/>
        <v>1.2413475000000002E-2</v>
      </c>
      <c r="AA28" s="15">
        <f t="shared" ca="1" si="72"/>
        <v>1.3241040000000003E-2</v>
      </c>
      <c r="AB28" s="15">
        <f t="shared" ca="1" si="72"/>
        <v>1.4068605000000003E-2</v>
      </c>
      <c r="AC28" s="15">
        <f t="shared" ca="1" si="72"/>
        <v>1.4896170000000004E-2</v>
      </c>
      <c r="AD28" s="15">
        <f t="shared" ca="1" si="72"/>
        <v>1.5723735000000003E-2</v>
      </c>
      <c r="AE28" s="5"/>
      <c r="AG28" s="1" t="s">
        <v>59</v>
      </c>
      <c r="AH28" s="37">
        <f t="shared" ca="1" si="73"/>
        <v>961.69759769275538</v>
      </c>
      <c r="AI28" s="37">
        <f t="shared" ca="1" si="67"/>
        <v>0</v>
      </c>
      <c r="AJ28" s="37">
        <f t="shared" ca="1" si="68"/>
        <v>537.81107953232936</v>
      </c>
      <c r="AK28" s="37">
        <f t="shared" ca="1" si="68"/>
        <v>1115.0839718593654</v>
      </c>
      <c r="AL28" s="37">
        <f t="shared" ca="1" si="68"/>
        <v>1733.9844009468443</v>
      </c>
      <c r="AM28" s="37">
        <f t="shared" ca="1" si="68"/>
        <v>2396.3955409090536</v>
      </c>
      <c r="AN28" s="37">
        <f t="shared" ca="1" si="68"/>
        <v>3103.8695971494635</v>
      </c>
      <c r="AO28" s="37">
        <f t="shared" ca="1" si="68"/>
        <v>3857.8775690251618</v>
      </c>
      <c r="AP28" s="37">
        <f t="shared" ca="1" si="68"/>
        <v>4656.8175050558448</v>
      </c>
      <c r="AQ28" s="37">
        <f t="shared" ca="1" si="68"/>
        <v>5504.9917035449507</v>
      </c>
      <c r="AR28" s="37">
        <f t="shared" ca="1" si="68"/>
        <v>6404.2374758699234</v>
      </c>
      <c r="AS28" s="37">
        <f t="shared" ca="1" si="68"/>
        <v>7356.7437968802406</v>
      </c>
      <c r="AT28" s="37">
        <f t="shared" ca="1" si="69"/>
        <v>8364.6011323957464</v>
      </c>
      <c r="AU28" s="37">
        <f t="shared" ca="1" si="69"/>
        <v>9424.2338110970086</v>
      </c>
      <c r="AV28" s="37">
        <f t="shared" ca="1" si="69"/>
        <v>10542.795092714787</v>
      </c>
      <c r="AW28" s="37">
        <f t="shared" ca="1" si="69"/>
        <v>11721.689517420516</v>
      </c>
      <c r="AX28" s="37">
        <f t="shared" ca="1" si="69"/>
        <v>12962.026049140539</v>
      </c>
      <c r="AY28" s="37">
        <f t="shared" ca="1" si="69"/>
        <v>14264.985223231908</v>
      </c>
      <c r="AZ28" s="37" t="e">
        <f t="shared" ca="1" si="69"/>
        <v>#N/A</v>
      </c>
      <c r="BA28" s="37" t="e">
        <f t="shared" ca="1" si="69"/>
        <v>#N/A</v>
      </c>
      <c r="BB28" s="37" t="e">
        <f t="shared" ca="1" si="69"/>
        <v>#N/A</v>
      </c>
    </row>
    <row r="29" spans="1:54" x14ac:dyDescent="0.25">
      <c r="B29" s="1" t="s">
        <v>171</v>
      </c>
      <c r="C29" s="14">
        <f ca="1">IUD_Base!C29</f>
        <v>0</v>
      </c>
      <c r="D29" s="14">
        <f ca="1">IUD_Base!D29</f>
        <v>0</v>
      </c>
      <c r="E29" s="14">
        <f ca="1">IF('User Settings'!$N$7="On",($D29-$C29)/($D$4-$C$4),0)</f>
        <v>0</v>
      </c>
      <c r="F29" s="14">
        <f ca="1">IUD_Base!F29</f>
        <v>0</v>
      </c>
      <c r="G29" s="1"/>
      <c r="H29" s="14">
        <f ca="1">IUD_Base!H29</f>
        <v>0</v>
      </c>
      <c r="I29" s="14">
        <f t="shared" ca="1" si="74"/>
        <v>0</v>
      </c>
      <c r="J29" s="14">
        <f t="shared" ca="1" si="70"/>
        <v>0</v>
      </c>
      <c r="K29" s="14">
        <f t="shared" ca="1" si="71"/>
        <v>0</v>
      </c>
      <c r="L29" s="15">
        <f t="shared" ca="1" si="72"/>
        <v>0</v>
      </c>
      <c r="M29" s="15">
        <f t="shared" ca="1" si="72"/>
        <v>0</v>
      </c>
      <c r="N29" s="15">
        <f t="shared" ca="1" si="72"/>
        <v>0</v>
      </c>
      <c r="O29" s="15">
        <f t="shared" ca="1" si="72"/>
        <v>0</v>
      </c>
      <c r="P29" s="15">
        <f t="shared" ca="1" si="72"/>
        <v>0</v>
      </c>
      <c r="Q29" s="15">
        <f t="shared" ca="1" si="72"/>
        <v>0</v>
      </c>
      <c r="R29" s="15">
        <f t="shared" ca="1" si="72"/>
        <v>0</v>
      </c>
      <c r="S29" s="15">
        <f t="shared" ca="1" si="72"/>
        <v>0</v>
      </c>
      <c r="T29" s="15">
        <f t="shared" ca="1" si="72"/>
        <v>0</v>
      </c>
      <c r="U29" s="15">
        <f t="shared" ca="1" si="72"/>
        <v>0</v>
      </c>
      <c r="V29" s="15">
        <f t="shared" ca="1" si="72"/>
        <v>0</v>
      </c>
      <c r="W29" s="15">
        <f t="shared" ca="1" si="72"/>
        <v>0</v>
      </c>
      <c r="X29" s="15">
        <f t="shared" ca="1" si="72"/>
        <v>0</v>
      </c>
      <c r="Y29" s="15">
        <f t="shared" ca="1" si="72"/>
        <v>0</v>
      </c>
      <c r="Z29" s="15">
        <f t="shared" ca="1" si="72"/>
        <v>0</v>
      </c>
      <c r="AA29" s="15">
        <f t="shared" ca="1" si="72"/>
        <v>0</v>
      </c>
      <c r="AB29" s="15">
        <f t="shared" ca="1" si="72"/>
        <v>0</v>
      </c>
      <c r="AC29" s="15">
        <f t="shared" ca="1" si="72"/>
        <v>0</v>
      </c>
      <c r="AD29" s="15">
        <f t="shared" ca="1" si="72"/>
        <v>0</v>
      </c>
      <c r="AE29" s="5"/>
      <c r="AG29" s="1" t="s">
        <v>171</v>
      </c>
      <c r="AH29" s="37">
        <f t="shared" ca="1" si="73"/>
        <v>0</v>
      </c>
      <c r="AI29" s="37">
        <f t="shared" ca="1" si="67"/>
        <v>0</v>
      </c>
      <c r="AJ29" s="37">
        <f t="shared" ca="1" si="68"/>
        <v>0</v>
      </c>
      <c r="AK29" s="37">
        <f t="shared" ca="1" si="68"/>
        <v>0</v>
      </c>
      <c r="AL29" s="37">
        <f t="shared" ca="1" si="68"/>
        <v>0</v>
      </c>
      <c r="AM29" s="37">
        <f t="shared" ca="1" si="68"/>
        <v>0</v>
      </c>
      <c r="AN29" s="37">
        <f t="shared" ca="1" si="68"/>
        <v>0</v>
      </c>
      <c r="AO29" s="37">
        <f t="shared" ca="1" si="68"/>
        <v>0</v>
      </c>
      <c r="AP29" s="37">
        <f t="shared" ca="1" si="68"/>
        <v>0</v>
      </c>
      <c r="AQ29" s="37">
        <f t="shared" ca="1" si="68"/>
        <v>0</v>
      </c>
      <c r="AR29" s="37">
        <f t="shared" ca="1" si="68"/>
        <v>0</v>
      </c>
      <c r="AS29" s="37">
        <f t="shared" ca="1" si="68"/>
        <v>0</v>
      </c>
      <c r="AT29" s="37">
        <f t="shared" ca="1" si="69"/>
        <v>0</v>
      </c>
      <c r="AU29" s="37">
        <f t="shared" ca="1" si="69"/>
        <v>0</v>
      </c>
      <c r="AV29" s="37">
        <f t="shared" ca="1" si="69"/>
        <v>0</v>
      </c>
      <c r="AW29" s="37">
        <f t="shared" ca="1" si="69"/>
        <v>0</v>
      </c>
      <c r="AX29" s="37">
        <f t="shared" ca="1" si="69"/>
        <v>0</v>
      </c>
      <c r="AY29" s="37">
        <f t="shared" ca="1" si="69"/>
        <v>0</v>
      </c>
      <c r="AZ29" s="37" t="e">
        <f t="shared" ca="1" si="69"/>
        <v>#N/A</v>
      </c>
      <c r="BA29" s="37" t="e">
        <f t="shared" ca="1" si="69"/>
        <v>#N/A</v>
      </c>
      <c r="BB29" s="37" t="e">
        <f t="shared" ca="1" si="69"/>
        <v>#N/A</v>
      </c>
    </row>
    <row r="30" spans="1:54" ht="15.75" customHeight="1" x14ac:dyDescent="0.25">
      <c r="B30" s="1" t="s">
        <v>116</v>
      </c>
      <c r="C30" s="14">
        <f ca="1">IUD_Base!C30</f>
        <v>0</v>
      </c>
      <c r="D30" s="14">
        <f ca="1">IUD_Base!D30</f>
        <v>0</v>
      </c>
      <c r="E30" s="14">
        <f ca="1">IF('User Settings'!$N$7="On",($D30-$C30)/($D$4-$C$4),0)</f>
        <v>0</v>
      </c>
      <c r="F30" s="14">
        <f ca="1">IUD_Base!F30</f>
        <v>0</v>
      </c>
      <c r="G30" s="1" t="str">
        <f>"Shift_UrbQ2"&amp;IF(Dashboard!$Q$4="Yes",$A$1,"")</f>
        <v>Shift_UrbQ2</v>
      </c>
      <c r="H30" s="14">
        <f ca="1">IUD_Base!H30*(1-INDIRECT($G30))</f>
        <v>0</v>
      </c>
      <c r="I30" s="14">
        <f t="shared" ca="1" si="74"/>
        <v>0</v>
      </c>
      <c r="J30" s="14">
        <f t="shared" ca="1" si="70"/>
        <v>0</v>
      </c>
      <c r="K30" s="14">
        <f t="shared" ca="1" si="71"/>
        <v>0</v>
      </c>
      <c r="L30" s="15">
        <f t="shared" ca="1" si="72"/>
        <v>0</v>
      </c>
      <c r="M30" s="15">
        <f t="shared" ca="1" si="72"/>
        <v>0</v>
      </c>
      <c r="N30" s="15">
        <f t="shared" ca="1" si="72"/>
        <v>0</v>
      </c>
      <c r="O30" s="15">
        <f t="shared" ca="1" si="72"/>
        <v>0</v>
      </c>
      <c r="P30" s="15">
        <f t="shared" ca="1" si="72"/>
        <v>0</v>
      </c>
      <c r="Q30" s="15">
        <f t="shared" ca="1" si="72"/>
        <v>0</v>
      </c>
      <c r="R30" s="15">
        <f t="shared" ca="1" si="72"/>
        <v>0</v>
      </c>
      <c r="S30" s="15">
        <f t="shared" ca="1" si="72"/>
        <v>0</v>
      </c>
      <c r="T30" s="15">
        <f t="shared" ca="1" si="72"/>
        <v>0</v>
      </c>
      <c r="U30" s="15">
        <f t="shared" ca="1" si="72"/>
        <v>0</v>
      </c>
      <c r="V30" s="15">
        <f t="shared" ca="1" si="72"/>
        <v>0</v>
      </c>
      <c r="W30" s="15">
        <f t="shared" ca="1" si="72"/>
        <v>0</v>
      </c>
      <c r="X30" s="15">
        <f t="shared" ca="1" si="72"/>
        <v>0</v>
      </c>
      <c r="Y30" s="15">
        <f t="shared" ca="1" si="72"/>
        <v>0</v>
      </c>
      <c r="Z30" s="15">
        <f t="shared" ca="1" si="72"/>
        <v>0</v>
      </c>
      <c r="AA30" s="15">
        <f t="shared" ca="1" si="72"/>
        <v>0</v>
      </c>
      <c r="AB30" s="15">
        <f t="shared" ca="1" si="72"/>
        <v>0</v>
      </c>
      <c r="AC30" s="15">
        <f t="shared" ca="1" si="72"/>
        <v>0</v>
      </c>
      <c r="AD30" s="15">
        <f t="shared" ca="1" si="72"/>
        <v>0</v>
      </c>
      <c r="AE30" s="5"/>
      <c r="AG30" s="1" t="s">
        <v>116</v>
      </c>
      <c r="AH30" s="37">
        <f t="shared" ca="1" si="73"/>
        <v>0</v>
      </c>
      <c r="AI30" s="37">
        <f t="shared" ca="1" si="67"/>
        <v>0</v>
      </c>
      <c r="AJ30" s="37">
        <f t="shared" ca="1" si="68"/>
        <v>0</v>
      </c>
      <c r="AK30" s="37">
        <f t="shared" ca="1" si="68"/>
        <v>0</v>
      </c>
      <c r="AL30" s="37">
        <f t="shared" ca="1" si="68"/>
        <v>0</v>
      </c>
      <c r="AM30" s="37">
        <f t="shared" ca="1" si="68"/>
        <v>0</v>
      </c>
      <c r="AN30" s="37">
        <f t="shared" ca="1" si="68"/>
        <v>0</v>
      </c>
      <c r="AO30" s="37">
        <f t="shared" ca="1" si="68"/>
        <v>0</v>
      </c>
      <c r="AP30" s="37">
        <f t="shared" ca="1" si="68"/>
        <v>0</v>
      </c>
      <c r="AQ30" s="37">
        <f t="shared" ca="1" si="68"/>
        <v>0</v>
      </c>
      <c r="AR30" s="37">
        <f t="shared" ca="1" si="68"/>
        <v>0</v>
      </c>
      <c r="AS30" s="37">
        <f t="shared" ca="1" si="68"/>
        <v>0</v>
      </c>
      <c r="AT30" s="37">
        <f t="shared" ca="1" si="69"/>
        <v>0</v>
      </c>
      <c r="AU30" s="37">
        <f t="shared" ca="1" si="69"/>
        <v>0</v>
      </c>
      <c r="AV30" s="37">
        <f t="shared" ca="1" si="69"/>
        <v>0</v>
      </c>
      <c r="AW30" s="37">
        <f t="shared" ca="1" si="69"/>
        <v>0</v>
      </c>
      <c r="AX30" s="37">
        <f t="shared" ca="1" si="69"/>
        <v>0</v>
      </c>
      <c r="AY30" s="37">
        <f t="shared" ca="1" si="69"/>
        <v>0</v>
      </c>
      <c r="AZ30" s="37" t="e">
        <f t="shared" ca="1" si="69"/>
        <v>#N/A</v>
      </c>
      <c r="BA30" s="37" t="e">
        <f t="shared" ca="1" si="69"/>
        <v>#N/A</v>
      </c>
      <c r="BB30" s="37" t="e">
        <f t="shared" ca="1" si="69"/>
        <v>#N/A</v>
      </c>
    </row>
    <row r="31" spans="1:54" x14ac:dyDescent="0.25">
      <c r="C31" s="5">
        <f ca="1">SUM(C25:C30)</f>
        <v>1.3856E-2</v>
      </c>
      <c r="D31" s="5">
        <f ca="1">SUM(D25:D30)</f>
        <v>9.5414999999999996E-3</v>
      </c>
      <c r="E31" s="131"/>
      <c r="F31" s="132">
        <f ca="1">SUM(F25:F30)</f>
        <v>7.7330400000000001E-3</v>
      </c>
      <c r="H31" s="132">
        <f ca="1">IUD_Base!H31</f>
        <v>9.9307800000000002E-3</v>
      </c>
      <c r="I31" s="132"/>
      <c r="J31" s="132">
        <f ca="1">SUM(J25:J30)</f>
        <v>8.5959399999999998E-3</v>
      </c>
      <c r="K31" s="132">
        <f ca="1">SUM(K25:K30)</f>
        <v>7.7330400000000001E-3</v>
      </c>
      <c r="L31" s="5">
        <f t="shared" ref="L31:AD31" ca="1" si="75">SUM(L25:L30)</f>
        <v>8.4656200000000001E-3</v>
      </c>
      <c r="M31" s="5">
        <f t="shared" ca="1" si="75"/>
        <v>9.1982000000000001E-3</v>
      </c>
      <c r="N31" s="5">
        <f t="shared" ca="1" si="75"/>
        <v>9.9307800000000002E-3</v>
      </c>
      <c r="O31" s="5">
        <f t="shared" ca="1" si="75"/>
        <v>1.0663360000000002E-2</v>
      </c>
      <c r="P31" s="5">
        <f t="shared" ca="1" si="75"/>
        <v>1.1395940000000002E-2</v>
      </c>
      <c r="Q31" s="5">
        <f t="shared" ca="1" si="75"/>
        <v>1.2128520000000002E-2</v>
      </c>
      <c r="R31" s="5">
        <f t="shared" ca="1" si="75"/>
        <v>1.2861100000000002E-2</v>
      </c>
      <c r="S31" s="5">
        <f t="shared" ca="1" si="75"/>
        <v>1.3593680000000002E-2</v>
      </c>
      <c r="T31" s="5">
        <f t="shared" ca="1" si="75"/>
        <v>1.4326260000000002E-2</v>
      </c>
      <c r="U31" s="5">
        <f t="shared" ca="1" si="75"/>
        <v>1.5058840000000002E-2</v>
      </c>
      <c r="V31" s="5">
        <f t="shared" ca="1" si="75"/>
        <v>1.5791420000000004E-2</v>
      </c>
      <c r="W31" s="5">
        <f t="shared" ca="1" si="75"/>
        <v>1.6524000000000004E-2</v>
      </c>
      <c r="X31" s="5">
        <f t="shared" ca="1" si="75"/>
        <v>1.7256580000000004E-2</v>
      </c>
      <c r="Y31" s="5">
        <f t="shared" ca="1" si="75"/>
        <v>1.7989160000000004E-2</v>
      </c>
      <c r="Z31" s="5">
        <f t="shared" ca="1" si="75"/>
        <v>1.8721740000000008E-2</v>
      </c>
      <c r="AA31" s="5">
        <f t="shared" ca="1" si="75"/>
        <v>1.9454320000000008E-2</v>
      </c>
      <c r="AB31" s="5">
        <f t="shared" ca="1" si="75"/>
        <v>2.0186900000000008E-2</v>
      </c>
      <c r="AC31" s="5">
        <f t="shared" ca="1" si="75"/>
        <v>2.0919480000000011E-2</v>
      </c>
      <c r="AD31" s="5">
        <f t="shared" ca="1" si="75"/>
        <v>2.1652060000000008E-2</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H33" s="4" t="s">
        <v>167</v>
      </c>
      <c r="K33" s="205" t="str">
        <f t="shared" ref="K33:AD33" si="76">IF(K34=Yr_Start,"Start Year",IF(K34=Yr_End,"End Year",""))</f>
        <v>Start Year</v>
      </c>
      <c r="L33" s="205" t="str">
        <f t="shared" si="76"/>
        <v/>
      </c>
      <c r="M33" s="205" t="str">
        <f t="shared" si="76"/>
        <v/>
      </c>
      <c r="N33" s="205" t="str">
        <f t="shared" si="76"/>
        <v>End Year</v>
      </c>
      <c r="O33" s="205" t="str">
        <f t="shared" si="76"/>
        <v/>
      </c>
      <c r="P33" s="205" t="str">
        <f t="shared" si="76"/>
        <v/>
      </c>
      <c r="Q33" s="205" t="str">
        <f t="shared" si="76"/>
        <v/>
      </c>
      <c r="R33" s="205" t="str">
        <f t="shared" si="76"/>
        <v/>
      </c>
      <c r="S33" s="205" t="str">
        <f t="shared" si="76"/>
        <v/>
      </c>
      <c r="T33" s="205" t="str">
        <f t="shared" si="76"/>
        <v/>
      </c>
      <c r="U33" s="205" t="str">
        <f t="shared" si="76"/>
        <v/>
      </c>
      <c r="V33" s="205" t="str">
        <f t="shared" si="76"/>
        <v/>
      </c>
      <c r="W33" s="205" t="str">
        <f t="shared" si="76"/>
        <v/>
      </c>
      <c r="X33" s="205" t="str">
        <f t="shared" si="76"/>
        <v/>
      </c>
      <c r="Y33" s="205" t="str">
        <f t="shared" si="76"/>
        <v/>
      </c>
      <c r="Z33" s="205" t="str">
        <f t="shared" si="76"/>
        <v/>
      </c>
      <c r="AA33" s="205" t="str">
        <f t="shared" si="76"/>
        <v/>
      </c>
      <c r="AB33" s="205" t="str">
        <f t="shared" si="76"/>
        <v/>
      </c>
      <c r="AC33" s="205" t="str">
        <f t="shared" si="76"/>
        <v/>
      </c>
      <c r="AD33" s="205" t="str">
        <f t="shared" si="76"/>
        <v/>
      </c>
      <c r="AE33" s="35"/>
      <c r="AF33" s="6" t="str">
        <f>A33</f>
        <v>Richer</v>
      </c>
      <c r="AI33" s="205" t="str">
        <f t="shared" ref="AI33:BB33" si="77">IF(AI34=Yr_Start,"Start Year",IF(AI34=Yr_End,"End Year",""))</f>
        <v>Start Year</v>
      </c>
      <c r="AJ33" s="205" t="str">
        <f t="shared" si="77"/>
        <v/>
      </c>
      <c r="AK33" s="205" t="str">
        <f t="shared" si="77"/>
        <v/>
      </c>
      <c r="AL33" s="205" t="str">
        <f t="shared" si="77"/>
        <v>End Year</v>
      </c>
      <c r="AM33" s="205" t="str">
        <f t="shared" si="77"/>
        <v/>
      </c>
      <c r="AN33" s="205" t="str">
        <f t="shared" si="77"/>
        <v/>
      </c>
      <c r="AO33" s="205" t="str">
        <f t="shared" si="77"/>
        <v/>
      </c>
      <c r="AP33" s="205" t="str">
        <f t="shared" si="77"/>
        <v/>
      </c>
      <c r="AQ33" s="205" t="str">
        <f t="shared" si="77"/>
        <v/>
      </c>
      <c r="AR33" s="205" t="str">
        <f t="shared" si="77"/>
        <v/>
      </c>
      <c r="AS33" s="205" t="str">
        <f t="shared" si="77"/>
        <v/>
      </c>
      <c r="AT33" s="205" t="str">
        <f t="shared" si="77"/>
        <v/>
      </c>
      <c r="AU33" s="205" t="str">
        <f t="shared" si="77"/>
        <v/>
      </c>
      <c r="AV33" s="205" t="str">
        <f t="shared" si="77"/>
        <v/>
      </c>
      <c r="AW33" s="205" t="str">
        <f t="shared" si="77"/>
        <v/>
      </c>
      <c r="AX33" s="205" t="str">
        <f t="shared" si="77"/>
        <v/>
      </c>
      <c r="AY33" s="205" t="str">
        <f t="shared" si="77"/>
        <v/>
      </c>
      <c r="AZ33" s="205" t="str">
        <f t="shared" si="77"/>
        <v/>
      </c>
      <c r="BA33" s="205" t="str">
        <f t="shared" si="77"/>
        <v/>
      </c>
      <c r="BB33" s="205" t="str">
        <f t="shared" si="77"/>
        <v/>
      </c>
    </row>
    <row r="34" spans="1:54" x14ac:dyDescent="0.25">
      <c r="A34" s="6" t="s">
        <v>21</v>
      </c>
      <c r="B34" s="36"/>
      <c r="C34" s="36">
        <f>Yr_DHS1</f>
        <v>2011</v>
      </c>
      <c r="D34" s="36">
        <f>Yr_DHS2</f>
        <v>2016</v>
      </c>
      <c r="E34" s="36" t="s">
        <v>168</v>
      </c>
      <c r="F34" s="36">
        <f>Yr_Start</f>
        <v>2019</v>
      </c>
      <c r="G34" s="127"/>
      <c r="H34" s="36">
        <f>Yr_End</f>
        <v>2022</v>
      </c>
      <c r="I34" s="36" t="s">
        <v>169</v>
      </c>
      <c r="J34" s="130">
        <f>K34-1</f>
        <v>2018</v>
      </c>
      <c r="K34" s="130">
        <f>Yr_Start</f>
        <v>2019</v>
      </c>
      <c r="L34" s="130">
        <f>K34+1</f>
        <v>2020</v>
      </c>
      <c r="M34" s="130">
        <f t="shared" ref="M34" si="78">L34+1</f>
        <v>2021</v>
      </c>
      <c r="N34" s="130">
        <f t="shared" ref="N34" si="79">M34+1</f>
        <v>2022</v>
      </c>
      <c r="O34" s="130">
        <f t="shared" ref="O34" si="80">N34+1</f>
        <v>2023</v>
      </c>
      <c r="P34" s="130">
        <f t="shared" ref="P34" si="81">O34+1</f>
        <v>2024</v>
      </c>
      <c r="Q34" s="130">
        <f t="shared" ref="Q34" si="82">P34+1</f>
        <v>2025</v>
      </c>
      <c r="R34" s="130">
        <f t="shared" ref="R34" si="83">Q34+1</f>
        <v>2026</v>
      </c>
      <c r="S34" s="130">
        <f t="shared" ref="S34" si="84">R34+1</f>
        <v>2027</v>
      </c>
      <c r="T34" s="130">
        <f t="shared" ref="T34" si="85">S34+1</f>
        <v>2028</v>
      </c>
      <c r="U34" s="130">
        <f t="shared" ref="U34" si="86">T34+1</f>
        <v>2029</v>
      </c>
      <c r="V34" s="130">
        <f t="shared" ref="V34" si="87">U34+1</f>
        <v>2030</v>
      </c>
      <c r="W34" s="130">
        <f t="shared" ref="W34" si="88">V34+1</f>
        <v>2031</v>
      </c>
      <c r="X34" s="130">
        <f t="shared" ref="X34" si="89">W34+1</f>
        <v>2032</v>
      </c>
      <c r="Y34" s="130">
        <f t="shared" ref="Y34" si="90">X34+1</f>
        <v>2033</v>
      </c>
      <c r="Z34" s="130">
        <f t="shared" ref="Z34" si="91">Y34+1</f>
        <v>2034</v>
      </c>
      <c r="AA34" s="130">
        <f t="shared" ref="AA34" si="92">Z34+1</f>
        <v>2035</v>
      </c>
      <c r="AB34" s="130">
        <f t="shared" ref="AB34" si="93">AA34+1</f>
        <v>2036</v>
      </c>
      <c r="AC34" s="130">
        <f t="shared" ref="AC34" si="94">AB34+1</f>
        <v>2037</v>
      </c>
      <c r="AD34" s="130">
        <f t="shared" ref="AD34" si="95">AC34+1</f>
        <v>2038</v>
      </c>
      <c r="AE34" s="6"/>
      <c r="AF34" s="6" t="str">
        <f>A34</f>
        <v>Rural</v>
      </c>
      <c r="AG34" s="38"/>
      <c r="AH34" s="161">
        <f>AI34-1</f>
        <v>2018</v>
      </c>
      <c r="AI34" s="36">
        <f>Yr_Start</f>
        <v>2019</v>
      </c>
      <c r="AJ34" s="36">
        <f>AI34+1</f>
        <v>2020</v>
      </c>
      <c r="AK34" s="36">
        <f t="shared" ref="AK34:BB34" si="96">AJ34+1</f>
        <v>2021</v>
      </c>
      <c r="AL34" s="36">
        <f t="shared" si="96"/>
        <v>2022</v>
      </c>
      <c r="AM34" s="36">
        <f t="shared" si="96"/>
        <v>2023</v>
      </c>
      <c r="AN34" s="36">
        <f t="shared" si="96"/>
        <v>2024</v>
      </c>
      <c r="AO34" s="36">
        <f t="shared" si="96"/>
        <v>2025</v>
      </c>
      <c r="AP34" s="36">
        <f t="shared" si="96"/>
        <v>2026</v>
      </c>
      <c r="AQ34" s="36">
        <f t="shared" si="96"/>
        <v>2027</v>
      </c>
      <c r="AR34" s="36">
        <f t="shared" si="96"/>
        <v>2028</v>
      </c>
      <c r="AS34" s="36">
        <f t="shared" si="96"/>
        <v>2029</v>
      </c>
      <c r="AT34" s="36">
        <f t="shared" si="96"/>
        <v>2030</v>
      </c>
      <c r="AU34" s="36">
        <f t="shared" si="96"/>
        <v>2031</v>
      </c>
      <c r="AV34" s="36">
        <f t="shared" si="96"/>
        <v>2032</v>
      </c>
      <c r="AW34" s="36">
        <f t="shared" si="96"/>
        <v>2033</v>
      </c>
      <c r="AX34" s="36">
        <f t="shared" si="96"/>
        <v>2034</v>
      </c>
      <c r="AY34" s="36">
        <f t="shared" si="96"/>
        <v>2035</v>
      </c>
      <c r="AZ34" s="36">
        <f t="shared" si="96"/>
        <v>2036</v>
      </c>
      <c r="BA34" s="36">
        <f t="shared" si="96"/>
        <v>2037</v>
      </c>
      <c r="BB34" s="36">
        <f t="shared" si="96"/>
        <v>2038</v>
      </c>
    </row>
    <row r="35" spans="1:54" x14ac:dyDescent="0.25">
      <c r="B35" s="1" t="s">
        <v>52</v>
      </c>
      <c r="C35" s="14">
        <f ca="1">IUD_Base!C35</f>
        <v>1.4124999999999999E-3</v>
      </c>
      <c r="D35" s="14">
        <f ca="1">IUD_Base!D35</f>
        <v>8.3219999999999995E-3</v>
      </c>
      <c r="E35" s="14">
        <f ca="1">IF('User Settings'!$N$7="On",($D35-$C35)/($D$4-$C$4),0)</f>
        <v>1.3818999999999999E-3</v>
      </c>
      <c r="F35" s="14">
        <f ca="1">IUD_Base!F35</f>
        <v>1.2467699999999998E-2</v>
      </c>
      <c r="G35" s="1" t="str">
        <f>"Shift_RurQ2"&amp;IF(Dashboard!$Q$4="Yes",$A$1,"")</f>
        <v>Shift_RurQ2</v>
      </c>
      <c r="H35" s="14">
        <f ca="1">IUD_Base!H35*(1-INDIRECT($G35))</f>
        <v>1.4952060000000001E-2</v>
      </c>
      <c r="I35" s="14">
        <f ca="1">($H35-$F35)/($H$4-$F$4)</f>
        <v>8.2812000000000109E-4</v>
      </c>
      <c r="J35" s="14">
        <f ca="1">K35-E35</f>
        <v>1.1085799999999998E-2</v>
      </c>
      <c r="K35" s="14">
        <f ca="1">MAX(0,MIN(1,D35+(K$4-D$4)*E35))</f>
        <v>1.2467699999999998E-2</v>
      </c>
      <c r="L35" s="15">
        <f ca="1">MAX(0,MIN(1,K35+$I35))</f>
        <v>1.329582E-2</v>
      </c>
      <c r="M35" s="15">
        <f t="shared" ref="M35:AD35" ca="1" si="97">MAX(0,MIN(1,L35+$I35))</f>
        <v>1.4123940000000001E-2</v>
      </c>
      <c r="N35" s="15">
        <f ca="1">MAX(0,MIN(1,M35+$I35))</f>
        <v>1.4952060000000003E-2</v>
      </c>
      <c r="O35" s="15">
        <f t="shared" ca="1" si="97"/>
        <v>1.5780180000000005E-2</v>
      </c>
      <c r="P35" s="15">
        <f t="shared" ca="1" si="97"/>
        <v>1.6608300000000006E-2</v>
      </c>
      <c r="Q35" s="15">
        <f t="shared" ca="1" si="97"/>
        <v>1.7436420000000008E-2</v>
      </c>
      <c r="R35" s="15">
        <f t="shared" ca="1" si="97"/>
        <v>1.826454000000001E-2</v>
      </c>
      <c r="S35" s="15">
        <f t="shared" ca="1" si="97"/>
        <v>1.9092660000000011E-2</v>
      </c>
      <c r="T35" s="15">
        <f t="shared" ca="1" si="97"/>
        <v>1.9920780000000013E-2</v>
      </c>
      <c r="U35" s="15">
        <f t="shared" ca="1" si="97"/>
        <v>2.0748900000000015E-2</v>
      </c>
      <c r="V35" s="15">
        <f t="shared" ca="1" si="97"/>
        <v>2.1577020000000016E-2</v>
      </c>
      <c r="W35" s="15">
        <f t="shared" ca="1" si="97"/>
        <v>2.2405140000000018E-2</v>
      </c>
      <c r="X35" s="15">
        <f t="shared" ca="1" si="97"/>
        <v>2.3233260000000019E-2</v>
      </c>
      <c r="Y35" s="15">
        <f t="shared" ca="1" si="97"/>
        <v>2.4061380000000021E-2</v>
      </c>
      <c r="Z35" s="15">
        <f t="shared" ca="1" si="97"/>
        <v>2.4889500000000023E-2</v>
      </c>
      <c r="AA35" s="15">
        <f t="shared" ca="1" si="97"/>
        <v>2.5717620000000024E-2</v>
      </c>
      <c r="AB35" s="15">
        <f t="shared" ca="1" si="97"/>
        <v>2.6545740000000026E-2</v>
      </c>
      <c r="AC35" s="15">
        <f t="shared" ca="1" si="97"/>
        <v>2.7373860000000028E-2</v>
      </c>
      <c r="AD35" s="15">
        <f t="shared" ca="1" si="97"/>
        <v>2.8201980000000029E-2</v>
      </c>
      <c r="AE35" s="5"/>
      <c r="AG35" s="1" t="s">
        <v>52</v>
      </c>
      <c r="AH35" s="37">
        <f ca="1">J35*AH$41</f>
        <v>16932.652405689863</v>
      </c>
      <c r="AI35" s="37">
        <f t="shared" ref="AI35:AI40" ca="1" si="98">K35*AI$41</f>
        <v>19775.713081301023</v>
      </c>
      <c r="AJ35" s="37">
        <f t="shared" ref="AJ35:AS40" ca="1" si="99">L35*AJ$41</f>
        <v>21895.433316970102</v>
      </c>
      <c r="AK35" s="37">
        <f t="shared" ca="1" si="99"/>
        <v>24112.492976905778</v>
      </c>
      <c r="AL35" s="37">
        <f t="shared" ca="1" si="99"/>
        <v>26462.668423227267</v>
      </c>
      <c r="AM35" s="37">
        <f t="shared" ca="1" si="99"/>
        <v>28948.038181036565</v>
      </c>
      <c r="AN35" s="37">
        <f t="shared" ca="1" si="99"/>
        <v>31569.471838614569</v>
      </c>
      <c r="AO35" s="37">
        <f t="shared" ca="1" si="99"/>
        <v>34329.160626264376</v>
      </c>
      <c r="AP35" s="37">
        <f t="shared" ca="1" si="99"/>
        <v>37205.623771003055</v>
      </c>
      <c r="AQ35" s="37">
        <f t="shared" ca="1" si="99"/>
        <v>40229.236757781495</v>
      </c>
      <c r="AR35" s="37">
        <f t="shared" ca="1" si="99"/>
        <v>43405.016932721184</v>
      </c>
      <c r="AS35" s="37">
        <f t="shared" ca="1" si="99"/>
        <v>46740.072515272543</v>
      </c>
      <c r="AT35" s="37">
        <f t="shared" ref="AT35:BB40" ca="1" si="100">V35*AT$41</f>
        <v>50240.35365539074</v>
      </c>
      <c r="AU35" s="37">
        <f t="shared" ca="1" si="100"/>
        <v>53879.200247278692</v>
      </c>
      <c r="AV35" s="37">
        <f t="shared" ca="1" si="100"/>
        <v>57694.078157695425</v>
      </c>
      <c r="AW35" s="37">
        <f t="shared" ca="1" si="100"/>
        <v>61686.677935360465</v>
      </c>
      <c r="AX35" s="37">
        <f t="shared" ca="1" si="100"/>
        <v>65857.687287325825</v>
      </c>
      <c r="AY35" s="37">
        <f t="shared" ca="1" si="100"/>
        <v>70208.677257054398</v>
      </c>
      <c r="AZ35" s="37" t="e">
        <f t="shared" ca="1" si="100"/>
        <v>#N/A</v>
      </c>
      <c r="BA35" s="37" t="e">
        <f t="shared" ca="1" si="100"/>
        <v>#N/A</v>
      </c>
      <c r="BB35" s="37" t="e">
        <f t="shared" ca="1" si="100"/>
        <v>#N/A</v>
      </c>
    </row>
    <row r="36" spans="1:54" x14ac:dyDescent="0.25">
      <c r="B36" s="1" t="s">
        <v>54</v>
      </c>
      <c r="C36" s="14">
        <f ca="1">IUD_Base!C36</f>
        <v>4.191E-4</v>
      </c>
      <c r="D36" s="14">
        <f ca="1">IUD_Base!D36</f>
        <v>0</v>
      </c>
      <c r="E36" s="14">
        <f ca="1">IF('User Settings'!$N$7="On",($D36-$C36)/($D$4-$C$4),0)</f>
        <v>-8.3819999999999994E-5</v>
      </c>
      <c r="F36" s="14">
        <f ca="1">IUD_Base!F36</f>
        <v>0</v>
      </c>
      <c r="G36" s="1" t="str">
        <f>"Shift_RurQ2"&amp;IF(Dashboard!$Q$4="Yes",$A$1,"")</f>
        <v>Shift_RurQ2</v>
      </c>
      <c r="H36" s="14">
        <f ca="1">IUD_Base!H36*(1-INDIRECT($G36))</f>
        <v>0</v>
      </c>
      <c r="I36" s="14">
        <f ca="1">($H36-$F36)/($H$4-$F$4)</f>
        <v>0</v>
      </c>
      <c r="J36" s="14">
        <f t="shared" ref="J36:J40" ca="1" si="101">K36-E36</f>
        <v>8.3819999999999994E-5</v>
      </c>
      <c r="K36" s="14">
        <f t="shared" ref="K36:K40" ca="1" si="102">MAX(0,MIN(1,D36+(K$4-D$4)*E36))</f>
        <v>0</v>
      </c>
      <c r="L36" s="15">
        <f t="shared" ref="L36:AD40" ca="1" si="103">MAX(0,MIN(1,K36+$I36))</f>
        <v>0</v>
      </c>
      <c r="M36" s="15">
        <f t="shared" ca="1" si="103"/>
        <v>0</v>
      </c>
      <c r="N36" s="15">
        <f t="shared" ca="1" si="103"/>
        <v>0</v>
      </c>
      <c r="O36" s="15">
        <f t="shared" ca="1" si="103"/>
        <v>0</v>
      </c>
      <c r="P36" s="15">
        <f t="shared" ca="1" si="103"/>
        <v>0</v>
      </c>
      <c r="Q36" s="15">
        <f t="shared" ca="1" si="103"/>
        <v>0</v>
      </c>
      <c r="R36" s="15">
        <f t="shared" ca="1" si="103"/>
        <v>0</v>
      </c>
      <c r="S36" s="15">
        <f t="shared" ca="1" si="103"/>
        <v>0</v>
      </c>
      <c r="T36" s="15">
        <f t="shared" ca="1" si="103"/>
        <v>0</v>
      </c>
      <c r="U36" s="15">
        <f t="shared" ca="1" si="103"/>
        <v>0</v>
      </c>
      <c r="V36" s="15">
        <f t="shared" ca="1" si="103"/>
        <v>0</v>
      </c>
      <c r="W36" s="15">
        <f t="shared" ca="1" si="103"/>
        <v>0</v>
      </c>
      <c r="X36" s="15">
        <f t="shared" ca="1" si="103"/>
        <v>0</v>
      </c>
      <c r="Y36" s="15">
        <f t="shared" ca="1" si="103"/>
        <v>0</v>
      </c>
      <c r="Z36" s="15">
        <f t="shared" ca="1" si="103"/>
        <v>0</v>
      </c>
      <c r="AA36" s="15">
        <f t="shared" ca="1" si="103"/>
        <v>0</v>
      </c>
      <c r="AB36" s="15">
        <f t="shared" ca="1" si="103"/>
        <v>0</v>
      </c>
      <c r="AC36" s="15">
        <f t="shared" ca="1" si="103"/>
        <v>0</v>
      </c>
      <c r="AD36" s="15">
        <f t="shared" ca="1" si="103"/>
        <v>0</v>
      </c>
      <c r="AE36" s="5"/>
      <c r="AG36" s="1" t="s">
        <v>54</v>
      </c>
      <c r="AH36" s="37">
        <f t="shared" ref="AH36:AH40" ca="1" si="104">J36*AH$41</f>
        <v>128.02819143813929</v>
      </c>
      <c r="AI36" s="37">
        <f t="shared" ca="1" si="98"/>
        <v>0</v>
      </c>
      <c r="AJ36" s="37">
        <f t="shared" ca="1" si="99"/>
        <v>0</v>
      </c>
      <c r="AK36" s="37">
        <f t="shared" ca="1" si="99"/>
        <v>0</v>
      </c>
      <c r="AL36" s="37">
        <f t="shared" ca="1" si="99"/>
        <v>0</v>
      </c>
      <c r="AM36" s="37">
        <f t="shared" ca="1" si="99"/>
        <v>0</v>
      </c>
      <c r="AN36" s="37">
        <f t="shared" ca="1" si="99"/>
        <v>0</v>
      </c>
      <c r="AO36" s="37">
        <f t="shared" ca="1" si="99"/>
        <v>0</v>
      </c>
      <c r="AP36" s="37">
        <f t="shared" ca="1" si="99"/>
        <v>0</v>
      </c>
      <c r="AQ36" s="37">
        <f t="shared" ca="1" si="99"/>
        <v>0</v>
      </c>
      <c r="AR36" s="37">
        <f t="shared" ca="1" si="99"/>
        <v>0</v>
      </c>
      <c r="AS36" s="37">
        <f t="shared" ca="1" si="99"/>
        <v>0</v>
      </c>
      <c r="AT36" s="37">
        <f t="shared" ca="1" si="100"/>
        <v>0</v>
      </c>
      <c r="AU36" s="37">
        <f t="shared" ca="1" si="100"/>
        <v>0</v>
      </c>
      <c r="AV36" s="37">
        <f t="shared" ca="1" si="100"/>
        <v>0</v>
      </c>
      <c r="AW36" s="37">
        <f t="shared" ca="1" si="100"/>
        <v>0</v>
      </c>
      <c r="AX36" s="37">
        <f t="shared" ca="1" si="100"/>
        <v>0</v>
      </c>
      <c r="AY36" s="37">
        <f t="shared" ca="1" si="100"/>
        <v>0</v>
      </c>
      <c r="AZ36" s="37" t="e">
        <f t="shared" ca="1" si="100"/>
        <v>#N/A</v>
      </c>
      <c r="BA36" s="37" t="e">
        <f t="shared" ca="1" si="100"/>
        <v>#N/A</v>
      </c>
      <c r="BB36" s="37" t="e">
        <f t="shared" ca="1" si="100"/>
        <v>#N/A</v>
      </c>
    </row>
    <row r="37" spans="1:54" x14ac:dyDescent="0.25">
      <c r="B37" s="1" t="s">
        <v>170</v>
      </c>
      <c r="C37" s="14">
        <f ca="1">IUD_Base!C37</f>
        <v>8.9329999999999998E-4</v>
      </c>
      <c r="D37" s="14">
        <f ca="1">IUD_Base!D37</f>
        <v>0</v>
      </c>
      <c r="E37" s="14">
        <f ca="1">IF('User Settings'!$N$7="On",($D37-$C37)/($D$4-$C$4),0)</f>
        <v>-1.7866E-4</v>
      </c>
      <c r="F37" s="14">
        <f ca="1">IUD_Base!F37</f>
        <v>0</v>
      </c>
      <c r="G37" s="1" t="str">
        <f>"Shift_RurQ2"&amp;IF(Dashboard!$Q$4="Yes",$A$1,"")</f>
        <v>Shift_RurQ2</v>
      </c>
      <c r="H37" s="14">
        <f ca="1">IUD_Base!H37*(1-INDIRECT($G37))</f>
        <v>0</v>
      </c>
      <c r="I37" s="14">
        <f t="shared" ref="I37:I40" ca="1" si="105">($H37-$F37)/($H$4-$F$4)</f>
        <v>0</v>
      </c>
      <c r="J37" s="14">
        <f t="shared" ca="1" si="101"/>
        <v>1.7866E-4</v>
      </c>
      <c r="K37" s="14">
        <f t="shared" ca="1" si="102"/>
        <v>0</v>
      </c>
      <c r="L37" s="15">
        <f t="shared" ca="1" si="103"/>
        <v>0</v>
      </c>
      <c r="M37" s="15">
        <f t="shared" ca="1" si="103"/>
        <v>0</v>
      </c>
      <c r="N37" s="15">
        <f t="shared" ca="1" si="103"/>
        <v>0</v>
      </c>
      <c r="O37" s="15">
        <f t="shared" ca="1" si="103"/>
        <v>0</v>
      </c>
      <c r="P37" s="15">
        <f t="shared" ca="1" si="103"/>
        <v>0</v>
      </c>
      <c r="Q37" s="15">
        <f t="shared" ca="1" si="103"/>
        <v>0</v>
      </c>
      <c r="R37" s="15">
        <f t="shared" ca="1" si="103"/>
        <v>0</v>
      </c>
      <c r="S37" s="15">
        <f t="shared" ca="1" si="103"/>
        <v>0</v>
      </c>
      <c r="T37" s="15">
        <f t="shared" ca="1" si="103"/>
        <v>0</v>
      </c>
      <c r="U37" s="15">
        <f t="shared" ca="1" si="103"/>
        <v>0</v>
      </c>
      <c r="V37" s="15">
        <f t="shared" ca="1" si="103"/>
        <v>0</v>
      </c>
      <c r="W37" s="15">
        <f t="shared" ca="1" si="103"/>
        <v>0</v>
      </c>
      <c r="X37" s="15">
        <f t="shared" ca="1" si="103"/>
        <v>0</v>
      </c>
      <c r="Y37" s="15">
        <f t="shared" ca="1" si="103"/>
        <v>0</v>
      </c>
      <c r="Z37" s="15">
        <f t="shared" ca="1" si="103"/>
        <v>0</v>
      </c>
      <c r="AA37" s="15">
        <f t="shared" ca="1" si="103"/>
        <v>0</v>
      </c>
      <c r="AB37" s="15">
        <f t="shared" ca="1" si="103"/>
        <v>0</v>
      </c>
      <c r="AC37" s="15">
        <f t="shared" ca="1" si="103"/>
        <v>0</v>
      </c>
      <c r="AD37" s="15">
        <f t="shared" ca="1" si="103"/>
        <v>0</v>
      </c>
      <c r="AE37" s="5"/>
      <c r="AG37" s="1" t="s">
        <v>170</v>
      </c>
      <c r="AH37" s="37">
        <f t="shared" ca="1" si="104"/>
        <v>272.88853116604588</v>
      </c>
      <c r="AI37" s="37">
        <f t="shared" ca="1" si="98"/>
        <v>0</v>
      </c>
      <c r="AJ37" s="37">
        <f t="shared" ca="1" si="99"/>
        <v>0</v>
      </c>
      <c r="AK37" s="37">
        <f t="shared" ca="1" si="99"/>
        <v>0</v>
      </c>
      <c r="AL37" s="37">
        <f t="shared" ca="1" si="99"/>
        <v>0</v>
      </c>
      <c r="AM37" s="37">
        <f t="shared" ca="1" si="99"/>
        <v>0</v>
      </c>
      <c r="AN37" s="37">
        <f t="shared" ca="1" si="99"/>
        <v>0</v>
      </c>
      <c r="AO37" s="37">
        <f t="shared" ca="1" si="99"/>
        <v>0</v>
      </c>
      <c r="AP37" s="37">
        <f t="shared" ca="1" si="99"/>
        <v>0</v>
      </c>
      <c r="AQ37" s="37">
        <f t="shared" ca="1" si="99"/>
        <v>0</v>
      </c>
      <c r="AR37" s="37">
        <f t="shared" ca="1" si="99"/>
        <v>0</v>
      </c>
      <c r="AS37" s="37">
        <f t="shared" ca="1" si="99"/>
        <v>0</v>
      </c>
      <c r="AT37" s="37">
        <f t="shared" ca="1" si="100"/>
        <v>0</v>
      </c>
      <c r="AU37" s="37">
        <f t="shared" ca="1" si="100"/>
        <v>0</v>
      </c>
      <c r="AV37" s="37">
        <f t="shared" ca="1" si="100"/>
        <v>0</v>
      </c>
      <c r="AW37" s="37">
        <f t="shared" ca="1" si="100"/>
        <v>0</v>
      </c>
      <c r="AX37" s="37">
        <f t="shared" ca="1" si="100"/>
        <v>0</v>
      </c>
      <c r="AY37" s="37">
        <f t="shared" ca="1" si="100"/>
        <v>0</v>
      </c>
      <c r="AZ37" s="37" t="e">
        <f t="shared" ca="1" si="100"/>
        <v>#N/A</v>
      </c>
      <c r="BA37" s="37" t="e">
        <f t="shared" ca="1" si="100"/>
        <v>#N/A</v>
      </c>
      <c r="BB37" s="37" t="e">
        <f t="shared" ca="1" si="100"/>
        <v>#N/A</v>
      </c>
    </row>
    <row r="38" spans="1:54" x14ac:dyDescent="0.25">
      <c r="B38" s="1" t="s">
        <v>59</v>
      </c>
      <c r="C38" s="14">
        <f ca="1">IUD_Base!C38</f>
        <v>0</v>
      </c>
      <c r="D38" s="14">
        <f ca="1">IUD_Base!D38</f>
        <v>7.0900000000000002E-5</v>
      </c>
      <c r="E38" s="14">
        <f ca="1">IF('User Settings'!$N$7="On",($D38-$C38)/($D$4-$C$4),0)</f>
        <v>1.418E-5</v>
      </c>
      <c r="F38" s="14">
        <f ca="1">IUD_Base!F38</f>
        <v>1.1344E-4</v>
      </c>
      <c r="H38" s="14">
        <f ca="1">H41-SUM($H35:$H37,$H39:$H40)</f>
        <v>1.817319999999999E-3</v>
      </c>
      <c r="I38" s="14">
        <f t="shared" ca="1" si="105"/>
        <v>5.6795999999999962E-4</v>
      </c>
      <c r="J38" s="14">
        <f t="shared" ca="1" si="101"/>
        <v>9.9259999999999995E-5</v>
      </c>
      <c r="K38" s="14">
        <f t="shared" ca="1" si="102"/>
        <v>1.1344E-4</v>
      </c>
      <c r="L38" s="15">
        <f t="shared" ca="1" si="103"/>
        <v>6.8139999999999965E-4</v>
      </c>
      <c r="M38" s="15">
        <f t="shared" ca="1" si="103"/>
        <v>1.2493599999999993E-3</v>
      </c>
      <c r="N38" s="15">
        <f t="shared" ca="1" si="103"/>
        <v>1.817319999999999E-3</v>
      </c>
      <c r="O38" s="15">
        <f t="shared" ca="1" si="103"/>
        <v>2.3852799999999987E-3</v>
      </c>
      <c r="P38" s="15">
        <f t="shared" ca="1" si="103"/>
        <v>2.9532399999999985E-3</v>
      </c>
      <c r="Q38" s="15">
        <f t="shared" ca="1" si="103"/>
        <v>3.5211999999999982E-3</v>
      </c>
      <c r="R38" s="15">
        <f t="shared" ca="1" si="103"/>
        <v>4.0891599999999979E-3</v>
      </c>
      <c r="S38" s="15">
        <f t="shared" ca="1" si="103"/>
        <v>4.6571199999999972E-3</v>
      </c>
      <c r="T38" s="15">
        <f t="shared" ca="1" si="103"/>
        <v>5.2250799999999965E-3</v>
      </c>
      <c r="U38" s="15">
        <f t="shared" ca="1" si="103"/>
        <v>5.7930399999999958E-3</v>
      </c>
      <c r="V38" s="15">
        <f t="shared" ca="1" si="103"/>
        <v>6.3609999999999951E-3</v>
      </c>
      <c r="W38" s="15">
        <f t="shared" ca="1" si="103"/>
        <v>6.9289599999999944E-3</v>
      </c>
      <c r="X38" s="15">
        <f t="shared" ca="1" si="103"/>
        <v>7.4969199999999937E-3</v>
      </c>
      <c r="Y38" s="15">
        <f t="shared" ca="1" si="103"/>
        <v>8.064879999999993E-3</v>
      </c>
      <c r="Z38" s="15">
        <f t="shared" ca="1" si="103"/>
        <v>8.6328399999999923E-3</v>
      </c>
      <c r="AA38" s="15">
        <f t="shared" ca="1" si="103"/>
        <v>9.2007999999999916E-3</v>
      </c>
      <c r="AB38" s="15">
        <f t="shared" ca="1" si="103"/>
        <v>9.7687599999999909E-3</v>
      </c>
      <c r="AC38" s="15">
        <f t="shared" ca="1" si="103"/>
        <v>1.033671999999999E-2</v>
      </c>
      <c r="AD38" s="15">
        <f t="shared" ca="1" si="103"/>
        <v>1.090467999999999E-2</v>
      </c>
      <c r="AE38" s="5"/>
      <c r="AG38" s="1" t="s">
        <v>59</v>
      </c>
      <c r="AH38" s="37">
        <f t="shared" ca="1" si="104"/>
        <v>151.6115280619149</v>
      </c>
      <c r="AI38" s="37">
        <f t="shared" ca="1" si="98"/>
        <v>179.93349951817802</v>
      </c>
      <c r="AJ38" s="37">
        <f t="shared" ca="1" si="99"/>
        <v>1122.1232133244448</v>
      </c>
      <c r="AK38" s="37">
        <f t="shared" ca="1" si="99"/>
        <v>2132.9164684660923</v>
      </c>
      <c r="AL38" s="37">
        <f t="shared" ca="1" si="99"/>
        <v>3216.3552432841589</v>
      </c>
      <c r="AM38" s="37">
        <f t="shared" ca="1" si="99"/>
        <v>4375.690043615652</v>
      </c>
      <c r="AN38" s="37">
        <f t="shared" ca="1" si="99"/>
        <v>5613.5924214200131</v>
      </c>
      <c r="AO38" s="37">
        <f t="shared" ca="1" si="99"/>
        <v>6932.6066014240314</v>
      </c>
      <c r="AP38" s="37">
        <f t="shared" ca="1" si="99"/>
        <v>8329.7881304119728</v>
      </c>
      <c r="AQ38" s="37">
        <f t="shared" ca="1" si="99"/>
        <v>9812.7962834617665</v>
      </c>
      <c r="AR38" s="37">
        <f t="shared" ca="1" si="99"/>
        <v>11384.829603801783</v>
      </c>
      <c r="AS38" s="37">
        <f t="shared" ca="1" si="99"/>
        <v>13049.709125971694</v>
      </c>
      <c r="AT38" s="37">
        <f t="shared" ca="1" si="100"/>
        <v>14811.076302563562</v>
      </c>
      <c r="AU38" s="37">
        <f t="shared" ca="1" si="100"/>
        <v>16662.55258147834</v>
      </c>
      <c r="AV38" s="37">
        <f t="shared" ca="1" si="100"/>
        <v>18616.754102609331</v>
      </c>
      <c r="AW38" s="37">
        <f t="shared" ca="1" si="100"/>
        <v>20676.106488793619</v>
      </c>
      <c r="AX38" s="37">
        <f t="shared" ca="1" si="100"/>
        <v>22842.519018924319</v>
      </c>
      <c r="AY38" s="37">
        <f t="shared" ca="1" si="100"/>
        <v>25118.031828244795</v>
      </c>
      <c r="AZ38" s="37" t="e">
        <f t="shared" ca="1" si="100"/>
        <v>#N/A</v>
      </c>
      <c r="BA38" s="37" t="e">
        <f t="shared" ca="1" si="100"/>
        <v>#N/A</v>
      </c>
      <c r="BB38" s="37" t="e">
        <f t="shared" ca="1" si="100"/>
        <v>#N/A</v>
      </c>
    </row>
    <row r="39" spans="1:54" x14ac:dyDescent="0.25">
      <c r="B39" s="1" t="s">
        <v>171</v>
      </c>
      <c r="C39" s="14">
        <f ca="1">IUD_Base!C39</f>
        <v>0</v>
      </c>
      <c r="D39" s="14">
        <f ca="1">IUD_Base!D39</f>
        <v>0</v>
      </c>
      <c r="E39" s="14">
        <f ca="1">IF('User Settings'!$N$7="On",($D39-$C39)/($D$4-$C$4),0)</f>
        <v>0</v>
      </c>
      <c r="F39" s="14">
        <f ca="1">IUD_Base!F39</f>
        <v>0</v>
      </c>
      <c r="G39" s="1"/>
      <c r="H39" s="14">
        <f ca="1">IUD_Base!H39</f>
        <v>0</v>
      </c>
      <c r="I39" s="14">
        <f t="shared" ca="1" si="105"/>
        <v>0</v>
      </c>
      <c r="J39" s="14">
        <f t="shared" ca="1" si="101"/>
        <v>0</v>
      </c>
      <c r="K39" s="14">
        <f t="shared" ca="1" si="102"/>
        <v>0</v>
      </c>
      <c r="L39" s="15">
        <f t="shared" ca="1" si="103"/>
        <v>0</v>
      </c>
      <c r="M39" s="15">
        <f t="shared" ca="1" si="103"/>
        <v>0</v>
      </c>
      <c r="N39" s="15">
        <f t="shared" ca="1" si="103"/>
        <v>0</v>
      </c>
      <c r="O39" s="15">
        <f t="shared" ca="1" si="103"/>
        <v>0</v>
      </c>
      <c r="P39" s="15">
        <f t="shared" ca="1" si="103"/>
        <v>0</v>
      </c>
      <c r="Q39" s="15">
        <f t="shared" ca="1" si="103"/>
        <v>0</v>
      </c>
      <c r="R39" s="15">
        <f t="shared" ca="1" si="103"/>
        <v>0</v>
      </c>
      <c r="S39" s="15">
        <f t="shared" ca="1" si="103"/>
        <v>0</v>
      </c>
      <c r="T39" s="15">
        <f t="shared" ca="1" si="103"/>
        <v>0</v>
      </c>
      <c r="U39" s="15">
        <f t="shared" ca="1" si="103"/>
        <v>0</v>
      </c>
      <c r="V39" s="15">
        <f t="shared" ca="1" si="103"/>
        <v>0</v>
      </c>
      <c r="W39" s="15">
        <f t="shared" ca="1" si="103"/>
        <v>0</v>
      </c>
      <c r="X39" s="15">
        <f t="shared" ca="1" si="103"/>
        <v>0</v>
      </c>
      <c r="Y39" s="15">
        <f t="shared" ca="1" si="103"/>
        <v>0</v>
      </c>
      <c r="Z39" s="15">
        <f t="shared" ca="1" si="103"/>
        <v>0</v>
      </c>
      <c r="AA39" s="15">
        <f t="shared" ca="1" si="103"/>
        <v>0</v>
      </c>
      <c r="AB39" s="15">
        <f t="shared" ca="1" si="103"/>
        <v>0</v>
      </c>
      <c r="AC39" s="15">
        <f t="shared" ca="1" si="103"/>
        <v>0</v>
      </c>
      <c r="AD39" s="15">
        <f t="shared" ca="1" si="103"/>
        <v>0</v>
      </c>
      <c r="AE39" s="5"/>
      <c r="AG39" s="1" t="s">
        <v>171</v>
      </c>
      <c r="AH39" s="37">
        <f t="shared" ca="1" si="104"/>
        <v>0</v>
      </c>
      <c r="AI39" s="37">
        <f t="shared" ca="1" si="98"/>
        <v>0</v>
      </c>
      <c r="AJ39" s="37">
        <f t="shared" ca="1" si="99"/>
        <v>0</v>
      </c>
      <c r="AK39" s="37">
        <f t="shared" ca="1" si="99"/>
        <v>0</v>
      </c>
      <c r="AL39" s="37">
        <f t="shared" ca="1" si="99"/>
        <v>0</v>
      </c>
      <c r="AM39" s="37">
        <f t="shared" ca="1" si="99"/>
        <v>0</v>
      </c>
      <c r="AN39" s="37">
        <f t="shared" ca="1" si="99"/>
        <v>0</v>
      </c>
      <c r="AO39" s="37">
        <f t="shared" ca="1" si="99"/>
        <v>0</v>
      </c>
      <c r="AP39" s="37">
        <f t="shared" ca="1" si="99"/>
        <v>0</v>
      </c>
      <c r="AQ39" s="37">
        <f t="shared" ca="1" si="99"/>
        <v>0</v>
      </c>
      <c r="AR39" s="37">
        <f t="shared" ca="1" si="99"/>
        <v>0</v>
      </c>
      <c r="AS39" s="37">
        <f t="shared" ca="1" si="99"/>
        <v>0</v>
      </c>
      <c r="AT39" s="37">
        <f t="shared" ca="1" si="100"/>
        <v>0</v>
      </c>
      <c r="AU39" s="37">
        <f t="shared" ca="1" si="100"/>
        <v>0</v>
      </c>
      <c r="AV39" s="37">
        <f t="shared" ca="1" si="100"/>
        <v>0</v>
      </c>
      <c r="AW39" s="37">
        <f t="shared" ca="1" si="100"/>
        <v>0</v>
      </c>
      <c r="AX39" s="37">
        <f t="shared" ca="1" si="100"/>
        <v>0</v>
      </c>
      <c r="AY39" s="37">
        <f t="shared" ca="1" si="100"/>
        <v>0</v>
      </c>
      <c r="AZ39" s="37" t="e">
        <f t="shared" ca="1" si="100"/>
        <v>#N/A</v>
      </c>
      <c r="BA39" s="37" t="e">
        <f t="shared" ca="1" si="100"/>
        <v>#N/A</v>
      </c>
      <c r="BB39" s="37" t="e">
        <f t="shared" ca="1" si="100"/>
        <v>#N/A</v>
      </c>
    </row>
    <row r="40" spans="1:54" x14ac:dyDescent="0.25">
      <c r="B40" s="1" t="s">
        <v>116</v>
      </c>
      <c r="C40" s="14">
        <f ca="1">IUD_Base!C40</f>
        <v>0</v>
      </c>
      <c r="D40" s="14">
        <f ca="1">IUD_Base!D40</f>
        <v>0</v>
      </c>
      <c r="E40" s="14">
        <f ca="1">IF('User Settings'!$N$7="On",($D40-$C40)/($D$4-$C$4),0)</f>
        <v>0</v>
      </c>
      <c r="F40" s="14">
        <f ca="1">IUD_Base!F40</f>
        <v>0</v>
      </c>
      <c r="G40" s="1" t="str">
        <f>"Shift_RurQ2"&amp;IF(Dashboard!$Q$4="Yes",$A$1,"")</f>
        <v>Shift_RurQ2</v>
      </c>
      <c r="H40" s="14">
        <f ca="1">IUD_Base!H40*(1-INDIRECT($G40))</f>
        <v>0</v>
      </c>
      <c r="I40" s="14">
        <f t="shared" ca="1" si="105"/>
        <v>0</v>
      </c>
      <c r="J40" s="14">
        <f t="shared" ca="1" si="101"/>
        <v>0</v>
      </c>
      <c r="K40" s="14">
        <f t="shared" ca="1" si="102"/>
        <v>0</v>
      </c>
      <c r="L40" s="15">
        <f t="shared" ca="1" si="103"/>
        <v>0</v>
      </c>
      <c r="M40" s="15">
        <f t="shared" ca="1" si="103"/>
        <v>0</v>
      </c>
      <c r="N40" s="15">
        <f t="shared" ca="1" si="103"/>
        <v>0</v>
      </c>
      <c r="O40" s="15">
        <f t="shared" ca="1" si="103"/>
        <v>0</v>
      </c>
      <c r="P40" s="15">
        <f t="shared" ca="1" si="103"/>
        <v>0</v>
      </c>
      <c r="Q40" s="15">
        <f t="shared" ca="1" si="103"/>
        <v>0</v>
      </c>
      <c r="R40" s="15">
        <f t="shared" ca="1" si="103"/>
        <v>0</v>
      </c>
      <c r="S40" s="15">
        <f t="shared" ca="1" si="103"/>
        <v>0</v>
      </c>
      <c r="T40" s="15">
        <f t="shared" ca="1" si="103"/>
        <v>0</v>
      </c>
      <c r="U40" s="15">
        <f t="shared" ca="1" si="103"/>
        <v>0</v>
      </c>
      <c r="V40" s="15">
        <f t="shared" ca="1" si="103"/>
        <v>0</v>
      </c>
      <c r="W40" s="15">
        <f t="shared" ca="1" si="103"/>
        <v>0</v>
      </c>
      <c r="X40" s="15">
        <f t="shared" ca="1" si="103"/>
        <v>0</v>
      </c>
      <c r="Y40" s="15">
        <f t="shared" ca="1" si="103"/>
        <v>0</v>
      </c>
      <c r="Z40" s="15">
        <f t="shared" ca="1" si="103"/>
        <v>0</v>
      </c>
      <c r="AA40" s="15">
        <f t="shared" ca="1" si="103"/>
        <v>0</v>
      </c>
      <c r="AB40" s="15">
        <f t="shared" ca="1" si="103"/>
        <v>0</v>
      </c>
      <c r="AC40" s="15">
        <f t="shared" ca="1" si="103"/>
        <v>0</v>
      </c>
      <c r="AD40" s="15">
        <f t="shared" ca="1" si="103"/>
        <v>0</v>
      </c>
      <c r="AE40" s="5"/>
      <c r="AG40" s="1" t="s">
        <v>116</v>
      </c>
      <c r="AH40" s="37">
        <f t="shared" ca="1" si="104"/>
        <v>0</v>
      </c>
      <c r="AI40" s="37">
        <f t="shared" ca="1" si="98"/>
        <v>0</v>
      </c>
      <c r="AJ40" s="37">
        <f t="shared" ca="1" si="99"/>
        <v>0</v>
      </c>
      <c r="AK40" s="37">
        <f t="shared" ca="1" si="99"/>
        <v>0</v>
      </c>
      <c r="AL40" s="37">
        <f t="shared" ca="1" si="99"/>
        <v>0</v>
      </c>
      <c r="AM40" s="37">
        <f t="shared" ca="1" si="99"/>
        <v>0</v>
      </c>
      <c r="AN40" s="37">
        <f t="shared" ca="1" si="99"/>
        <v>0</v>
      </c>
      <c r="AO40" s="37">
        <f t="shared" ca="1" si="99"/>
        <v>0</v>
      </c>
      <c r="AP40" s="37">
        <f t="shared" ca="1" si="99"/>
        <v>0</v>
      </c>
      <c r="AQ40" s="37">
        <f t="shared" ca="1" si="99"/>
        <v>0</v>
      </c>
      <c r="AR40" s="37">
        <f t="shared" ca="1" si="99"/>
        <v>0</v>
      </c>
      <c r="AS40" s="37">
        <f t="shared" ca="1" si="99"/>
        <v>0</v>
      </c>
      <c r="AT40" s="37">
        <f t="shared" ca="1" si="100"/>
        <v>0</v>
      </c>
      <c r="AU40" s="37">
        <f t="shared" ca="1" si="100"/>
        <v>0</v>
      </c>
      <c r="AV40" s="37">
        <f t="shared" ca="1" si="100"/>
        <v>0</v>
      </c>
      <c r="AW40" s="37">
        <f t="shared" ca="1" si="100"/>
        <v>0</v>
      </c>
      <c r="AX40" s="37">
        <f t="shared" ca="1" si="100"/>
        <v>0</v>
      </c>
      <c r="AY40" s="37">
        <f t="shared" ca="1" si="100"/>
        <v>0</v>
      </c>
      <c r="AZ40" s="37" t="e">
        <f t="shared" ca="1" si="100"/>
        <v>#N/A</v>
      </c>
      <c r="BA40" s="37" t="e">
        <f t="shared" ca="1" si="100"/>
        <v>#N/A</v>
      </c>
      <c r="BB40" s="37" t="e">
        <f t="shared" ca="1" si="100"/>
        <v>#N/A</v>
      </c>
    </row>
    <row r="41" spans="1:54" x14ac:dyDescent="0.25">
      <c r="C41" s="5">
        <f ca="1">SUM(C35:C40)</f>
        <v>2.7248999999999997E-3</v>
      </c>
      <c r="D41" s="5">
        <f ca="1">SUM(D35:D40)</f>
        <v>8.3929E-3</v>
      </c>
      <c r="E41" s="131"/>
      <c r="F41" s="132">
        <f ca="1">SUM(F35:F40)</f>
        <v>1.2581139999999998E-2</v>
      </c>
      <c r="G41" s="132"/>
      <c r="H41" s="132">
        <f ca="1">IUD_Base!H41</f>
        <v>1.676938E-2</v>
      </c>
      <c r="I41" s="132"/>
      <c r="J41" s="132">
        <f ca="1">SUM(J35:J40)</f>
        <v>1.1447539999999999E-2</v>
      </c>
      <c r="K41" s="132">
        <f ca="1">SUM(K35:K40)</f>
        <v>1.2581139999999998E-2</v>
      </c>
      <c r="L41" s="5">
        <f t="shared" ref="L41:AD41" ca="1" si="106">SUM(L35:L40)</f>
        <v>1.397722E-2</v>
      </c>
      <c r="M41" s="5">
        <f t="shared" ca="1" si="106"/>
        <v>1.5373300000000001E-2</v>
      </c>
      <c r="N41" s="5">
        <f t="shared" ca="1" si="106"/>
        <v>1.676938E-2</v>
      </c>
      <c r="O41" s="5">
        <f t="shared" ca="1" si="106"/>
        <v>1.8165460000000005E-2</v>
      </c>
      <c r="P41" s="5">
        <f t="shared" ca="1" si="106"/>
        <v>1.9561540000000006E-2</v>
      </c>
      <c r="Q41" s="5">
        <f t="shared" ca="1" si="106"/>
        <v>2.0957620000000007E-2</v>
      </c>
      <c r="R41" s="5">
        <f t="shared" ca="1" si="106"/>
        <v>2.2353700000000008E-2</v>
      </c>
      <c r="S41" s="5">
        <f t="shared" ca="1" si="106"/>
        <v>2.3749780000000009E-2</v>
      </c>
      <c r="T41" s="5">
        <f t="shared" ca="1" si="106"/>
        <v>2.5145860000000009E-2</v>
      </c>
      <c r="U41" s="5">
        <f t="shared" ca="1" si="106"/>
        <v>2.654194000000001E-2</v>
      </c>
      <c r="V41" s="5">
        <f t="shared" ca="1" si="106"/>
        <v>2.7938020000000011E-2</v>
      </c>
      <c r="W41" s="5">
        <f t="shared" ca="1" si="106"/>
        <v>2.9334100000000012E-2</v>
      </c>
      <c r="X41" s="5">
        <f t="shared" ca="1" si="106"/>
        <v>3.0730180000000013E-2</v>
      </c>
      <c r="Y41" s="5">
        <f t="shared" ca="1" si="106"/>
        <v>3.2126260000000018E-2</v>
      </c>
      <c r="Z41" s="5">
        <f t="shared" ca="1" si="106"/>
        <v>3.3522340000000012E-2</v>
      </c>
      <c r="AA41" s="5">
        <f t="shared" ca="1" si="106"/>
        <v>3.4918420000000019E-2</v>
      </c>
      <c r="AB41" s="5">
        <f t="shared" ca="1" si="106"/>
        <v>3.6314500000000013E-2</v>
      </c>
      <c r="AC41" s="5">
        <f t="shared" ca="1" si="106"/>
        <v>3.7710580000000021E-2</v>
      </c>
      <c r="AD41" s="5">
        <f t="shared" ca="1" si="106"/>
        <v>3.9106660000000015E-2</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107">IF(K44=Yr_Start,"Start Year",IF(K44=Yr_End,"End Year",""))</f>
        <v>Start Year</v>
      </c>
      <c r="L43" s="205" t="str">
        <f t="shared" si="107"/>
        <v/>
      </c>
      <c r="M43" s="205" t="str">
        <f t="shared" si="107"/>
        <v/>
      </c>
      <c r="N43" s="205" t="str">
        <f t="shared" si="107"/>
        <v>End Year</v>
      </c>
      <c r="O43" s="205" t="str">
        <f t="shared" si="107"/>
        <v/>
      </c>
      <c r="P43" s="205" t="str">
        <f t="shared" si="107"/>
        <v/>
      </c>
      <c r="Q43" s="205" t="str">
        <f t="shared" si="107"/>
        <v/>
      </c>
      <c r="R43" s="205" t="str">
        <f t="shared" si="107"/>
        <v/>
      </c>
      <c r="S43" s="205" t="str">
        <f t="shared" si="107"/>
        <v/>
      </c>
      <c r="T43" s="205" t="str">
        <f t="shared" si="107"/>
        <v/>
      </c>
      <c r="U43" s="205" t="str">
        <f t="shared" si="107"/>
        <v/>
      </c>
      <c r="V43" s="205" t="str">
        <f t="shared" si="107"/>
        <v/>
      </c>
      <c r="W43" s="205" t="str">
        <f t="shared" si="107"/>
        <v/>
      </c>
      <c r="X43" s="205" t="str">
        <f t="shared" si="107"/>
        <v/>
      </c>
      <c r="Y43" s="205" t="str">
        <f t="shared" si="107"/>
        <v/>
      </c>
      <c r="Z43" s="205" t="str">
        <f t="shared" si="107"/>
        <v/>
      </c>
      <c r="AA43" s="205" t="str">
        <f t="shared" si="107"/>
        <v/>
      </c>
      <c r="AB43" s="205" t="str">
        <f t="shared" si="107"/>
        <v/>
      </c>
      <c r="AC43" s="205" t="str">
        <f t="shared" si="107"/>
        <v/>
      </c>
      <c r="AD43" s="205" t="str">
        <f t="shared" si="107"/>
        <v/>
      </c>
      <c r="AE43" s="35"/>
      <c r="AF43" s="6" t="str">
        <f>A43</f>
        <v>Other</v>
      </c>
      <c r="AI43" s="205" t="str">
        <f t="shared" ref="AI43:BB43" si="108">IF(AI44=Yr_Start,"Start Year",IF(AI44=Yr_End,"End Year",""))</f>
        <v>Start Year</v>
      </c>
      <c r="AJ43" s="205" t="str">
        <f t="shared" si="108"/>
        <v/>
      </c>
      <c r="AK43" s="205" t="str">
        <f t="shared" si="108"/>
        <v/>
      </c>
      <c r="AL43" s="205" t="str">
        <f t="shared" si="108"/>
        <v>End Year</v>
      </c>
      <c r="AM43" s="205" t="str">
        <f t="shared" si="108"/>
        <v/>
      </c>
      <c r="AN43" s="205" t="str">
        <f t="shared" si="108"/>
        <v/>
      </c>
      <c r="AO43" s="205" t="str">
        <f t="shared" si="108"/>
        <v/>
      </c>
      <c r="AP43" s="205" t="str">
        <f t="shared" si="108"/>
        <v/>
      </c>
      <c r="AQ43" s="205" t="str">
        <f t="shared" si="108"/>
        <v/>
      </c>
      <c r="AR43" s="205" t="str">
        <f t="shared" si="108"/>
        <v/>
      </c>
      <c r="AS43" s="205" t="str">
        <f t="shared" si="108"/>
        <v/>
      </c>
      <c r="AT43" s="205" t="str">
        <f t="shared" si="108"/>
        <v/>
      </c>
      <c r="AU43" s="205" t="str">
        <f t="shared" si="108"/>
        <v/>
      </c>
      <c r="AV43" s="205" t="str">
        <f t="shared" si="108"/>
        <v/>
      </c>
      <c r="AW43" s="205" t="str">
        <f t="shared" si="108"/>
        <v/>
      </c>
      <c r="AX43" s="205" t="str">
        <f t="shared" si="108"/>
        <v/>
      </c>
      <c r="AY43" s="205" t="str">
        <f t="shared" si="108"/>
        <v/>
      </c>
      <c r="AZ43" s="205" t="str">
        <f t="shared" si="108"/>
        <v/>
      </c>
      <c r="BA43" s="205" t="str">
        <f t="shared" si="108"/>
        <v/>
      </c>
      <c r="BB43" s="205" t="str">
        <f t="shared" si="108"/>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 si="109">L44+1</f>
        <v>2021</v>
      </c>
      <c r="N44" s="130">
        <f t="shared" ref="N44" si="110">M44+1</f>
        <v>2022</v>
      </c>
      <c r="O44" s="130">
        <f t="shared" ref="O44" si="111">N44+1</f>
        <v>2023</v>
      </c>
      <c r="P44" s="130">
        <f t="shared" ref="P44" si="112">O44+1</f>
        <v>2024</v>
      </c>
      <c r="Q44" s="130">
        <f t="shared" ref="Q44" si="113">P44+1</f>
        <v>2025</v>
      </c>
      <c r="R44" s="130">
        <f t="shared" ref="R44" si="114">Q44+1</f>
        <v>2026</v>
      </c>
      <c r="S44" s="130">
        <f t="shared" ref="S44" si="115">R44+1</f>
        <v>2027</v>
      </c>
      <c r="T44" s="130">
        <f t="shared" ref="T44" si="116">S44+1</f>
        <v>2028</v>
      </c>
      <c r="U44" s="130">
        <f t="shared" ref="U44" si="117">T44+1</f>
        <v>2029</v>
      </c>
      <c r="V44" s="130">
        <f t="shared" ref="V44" si="118">U44+1</f>
        <v>2030</v>
      </c>
      <c r="W44" s="130">
        <f t="shared" ref="W44" si="119">V44+1</f>
        <v>2031</v>
      </c>
      <c r="X44" s="130">
        <f t="shared" ref="X44" si="120">W44+1</f>
        <v>2032</v>
      </c>
      <c r="Y44" s="130">
        <f t="shared" ref="Y44" si="121">X44+1</f>
        <v>2033</v>
      </c>
      <c r="Z44" s="130">
        <f t="shared" ref="Z44" si="122">Y44+1</f>
        <v>2034</v>
      </c>
      <c r="AA44" s="130">
        <f t="shared" ref="AA44" si="123">Z44+1</f>
        <v>2035</v>
      </c>
      <c r="AB44" s="130">
        <f t="shared" ref="AB44" si="124">AA44+1</f>
        <v>2036</v>
      </c>
      <c r="AC44" s="130">
        <f t="shared" ref="AC44" si="125">AB44+1</f>
        <v>2037</v>
      </c>
      <c r="AD44" s="130">
        <f t="shared" ref="AD44" si="126">AC44+1</f>
        <v>2038</v>
      </c>
      <c r="AE44" s="6"/>
      <c r="AF44" s="6" t="str">
        <f>A44</f>
        <v>Urban</v>
      </c>
      <c r="AG44" s="38"/>
      <c r="AH44" s="161">
        <f>AI44-1</f>
        <v>2018</v>
      </c>
      <c r="AI44" s="36">
        <f>Yr_Start</f>
        <v>2019</v>
      </c>
      <c r="AJ44" s="36">
        <f>AI44+1</f>
        <v>2020</v>
      </c>
      <c r="AK44" s="36">
        <f t="shared" ref="AK44:BB44" si="127">AJ44+1</f>
        <v>2021</v>
      </c>
      <c r="AL44" s="36">
        <f t="shared" si="127"/>
        <v>2022</v>
      </c>
      <c r="AM44" s="36">
        <f t="shared" si="127"/>
        <v>2023</v>
      </c>
      <c r="AN44" s="36">
        <f t="shared" si="127"/>
        <v>2024</v>
      </c>
      <c r="AO44" s="36">
        <f t="shared" si="127"/>
        <v>2025</v>
      </c>
      <c r="AP44" s="36">
        <f t="shared" si="127"/>
        <v>2026</v>
      </c>
      <c r="AQ44" s="36">
        <f t="shared" si="127"/>
        <v>2027</v>
      </c>
      <c r="AR44" s="36">
        <f t="shared" si="127"/>
        <v>2028</v>
      </c>
      <c r="AS44" s="36">
        <f t="shared" si="127"/>
        <v>2029</v>
      </c>
      <c r="AT44" s="36">
        <f t="shared" si="127"/>
        <v>2030</v>
      </c>
      <c r="AU44" s="36">
        <f t="shared" si="127"/>
        <v>2031</v>
      </c>
      <c r="AV44" s="36">
        <f t="shared" si="127"/>
        <v>2032</v>
      </c>
      <c r="AW44" s="36">
        <f t="shared" si="127"/>
        <v>2033</v>
      </c>
      <c r="AX44" s="36">
        <f t="shared" si="127"/>
        <v>2034</v>
      </c>
      <c r="AY44" s="36">
        <f t="shared" si="127"/>
        <v>2035</v>
      </c>
      <c r="AZ44" s="36">
        <f t="shared" si="127"/>
        <v>2036</v>
      </c>
      <c r="BA44" s="36">
        <f t="shared" si="127"/>
        <v>2037</v>
      </c>
      <c r="BB44" s="36">
        <f t="shared" si="127"/>
        <v>2038</v>
      </c>
    </row>
    <row r="45" spans="1:54" x14ac:dyDescent="0.25">
      <c r="B45" s="1" t="s">
        <v>52</v>
      </c>
      <c r="C45" s="14">
        <f ca="1">IUD_Base!C45</f>
        <v>1.2463000000000001E-3</v>
      </c>
      <c r="D45" s="14">
        <f ca="1">IUD_Base!D45</f>
        <v>9.7798E-3</v>
      </c>
      <c r="E45" s="14">
        <f ca="1">IF('User Settings'!$N$7="On",($D45-$C45)/($D$4-$C$4),0)</f>
        <v>1.7066999999999998E-3</v>
      </c>
      <c r="F45" s="14">
        <f ca="1">IUD_Base!F45</f>
        <v>1.4899899999999999E-2</v>
      </c>
      <c r="G45" s="14"/>
      <c r="H45" s="14">
        <f ca="1">MAX(0,MIN(1,($D45+$E45*(H$4-$D$4))*$H$1))</f>
        <v>2.0019999999999996E-2</v>
      </c>
      <c r="I45" s="14">
        <f ca="1">($H45-$F45)/($H$4-$F$4)</f>
        <v>1.7066999999999991E-3</v>
      </c>
      <c r="J45" s="14">
        <f ca="1">K45-E45</f>
        <v>1.3193199999999999E-2</v>
      </c>
      <c r="K45" s="14">
        <f ca="1">MAX(0,MIN(1,D45+(K$4-D$4)*E45))</f>
        <v>1.4899899999999999E-2</v>
      </c>
      <c r="L45" s="15">
        <f ca="1">MAX(0,MIN(1,K45+$I45))</f>
        <v>1.6606599999999999E-2</v>
      </c>
      <c r="M45" s="15">
        <f t="shared" ref="M45:AD45" ca="1" si="128">MAX(0,MIN(1,L45+$I45))</f>
        <v>1.8313299999999998E-2</v>
      </c>
      <c r="N45" s="15">
        <f ca="1">MAX(0,MIN(1,M45+$I45))</f>
        <v>2.0019999999999996E-2</v>
      </c>
      <c r="O45" s="15">
        <f t="shared" ca="1" si="128"/>
        <v>2.1726699999999995E-2</v>
      </c>
      <c r="P45" s="15">
        <f t="shared" ca="1" si="128"/>
        <v>2.3433399999999993E-2</v>
      </c>
      <c r="Q45" s="15">
        <f t="shared" ca="1" si="128"/>
        <v>2.5140099999999992E-2</v>
      </c>
      <c r="R45" s="15">
        <f t="shared" ca="1" si="128"/>
        <v>2.684679999999999E-2</v>
      </c>
      <c r="S45" s="15">
        <f t="shared" ca="1" si="128"/>
        <v>2.8553499999999989E-2</v>
      </c>
      <c r="T45" s="15">
        <f t="shared" ca="1" si="128"/>
        <v>3.0260199999999987E-2</v>
      </c>
      <c r="U45" s="15">
        <f t="shared" ca="1" si="128"/>
        <v>3.1966899999999986E-2</v>
      </c>
      <c r="V45" s="15">
        <f t="shared" ca="1" si="128"/>
        <v>3.3673599999999984E-2</v>
      </c>
      <c r="W45" s="15">
        <f t="shared" ca="1" si="128"/>
        <v>3.5380299999999983E-2</v>
      </c>
      <c r="X45" s="15">
        <f t="shared" ca="1" si="128"/>
        <v>3.7086999999999981E-2</v>
      </c>
      <c r="Y45" s="15">
        <f t="shared" ca="1" si="128"/>
        <v>3.879369999999998E-2</v>
      </c>
      <c r="Z45" s="15">
        <f t="shared" ca="1" si="128"/>
        <v>4.0500399999999978E-2</v>
      </c>
      <c r="AA45" s="15">
        <f t="shared" ca="1" si="128"/>
        <v>4.2207099999999977E-2</v>
      </c>
      <c r="AB45" s="15">
        <f t="shared" ca="1" si="128"/>
        <v>4.3913799999999975E-2</v>
      </c>
      <c r="AC45" s="15">
        <f t="shared" ca="1" si="128"/>
        <v>4.5620499999999974E-2</v>
      </c>
      <c r="AD45" s="15">
        <f t="shared" ca="1" si="128"/>
        <v>4.7327199999999972E-2</v>
      </c>
      <c r="AE45" s="5"/>
      <c r="AG45" s="1" t="s">
        <v>52</v>
      </c>
      <c r="AH45" s="37">
        <f ca="1">J45*AH$51</f>
        <v>19342.941765747113</v>
      </c>
      <c r="AI45" s="37">
        <f t="shared" ref="AI45:AI50" ca="1" si="129">K45*AI$51</f>
        <v>22685.250881762913</v>
      </c>
      <c r="AJ45" s="37">
        <f t="shared" ref="AJ45:AS50" ca="1" si="130">L45*AJ$51</f>
        <v>26250.257421161867</v>
      </c>
      <c r="AK45" s="37">
        <f t="shared" ca="1" si="130"/>
        <v>30010.08905653458</v>
      </c>
      <c r="AL45" s="37">
        <f t="shared" ca="1" si="130"/>
        <v>34010.35000221058</v>
      </c>
      <c r="AM45" s="37">
        <f t="shared" ca="1" si="130"/>
        <v>38257.393315638292</v>
      </c>
      <c r="AN45" s="37">
        <f t="shared" ca="1" si="130"/>
        <v>42755.487745084341</v>
      </c>
      <c r="AO45" s="37">
        <f t="shared" ca="1" si="130"/>
        <v>47510.246990839201</v>
      </c>
      <c r="AP45" s="37">
        <f t="shared" ca="1" si="130"/>
        <v>52493.653823680892</v>
      </c>
      <c r="AQ45" s="37">
        <f t="shared" ca="1" si="130"/>
        <v>57749.619724811098</v>
      </c>
      <c r="AR45" s="37">
        <f t="shared" ca="1" si="130"/>
        <v>63287.772297930169</v>
      </c>
      <c r="AS45" s="37">
        <f t="shared" ca="1" si="130"/>
        <v>69120.878762450026</v>
      </c>
      <c r="AT45" s="37">
        <f t="shared" ref="AT45:BB50" ca="1" si="131">V45*AT$51</f>
        <v>75260.170280766062</v>
      </c>
      <c r="AU45" s="37">
        <f t="shared" ca="1" si="131"/>
        <v>81667.528724471049</v>
      </c>
      <c r="AV45" s="37">
        <f t="shared" ca="1" si="131"/>
        <v>88401.007446394346</v>
      </c>
      <c r="AW45" s="37">
        <f t="shared" ca="1" si="131"/>
        <v>95465.505741074114</v>
      </c>
      <c r="AX45" s="37">
        <f t="shared" ca="1" si="131"/>
        <v>102864.1495995658</v>
      </c>
      <c r="AY45" s="37">
        <f t="shared" ca="1" si="131"/>
        <v>110601.22914617593</v>
      </c>
      <c r="AZ45" s="37" t="e">
        <f t="shared" ca="1" si="131"/>
        <v>#N/A</v>
      </c>
      <c r="BA45" s="37" t="e">
        <f t="shared" ca="1" si="131"/>
        <v>#N/A</v>
      </c>
      <c r="BB45" s="37" t="e">
        <f t="shared" ca="1" si="131"/>
        <v>#N/A</v>
      </c>
    </row>
    <row r="46" spans="1:54" x14ac:dyDescent="0.25">
      <c r="B46" s="1" t="s">
        <v>54</v>
      </c>
      <c r="C46" s="14">
        <f ca="1">IUD_Base!C46</f>
        <v>0</v>
      </c>
      <c r="D46" s="14">
        <f ca="1">IUD_Base!D46</f>
        <v>0</v>
      </c>
      <c r="E46" s="14">
        <f ca="1">IF('User Settings'!$N$7="On",($D46-$C46)/($D$4-$C$4),0)</f>
        <v>0</v>
      </c>
      <c r="F46" s="14">
        <f ca="1">IUD_Base!F46</f>
        <v>0</v>
      </c>
      <c r="G46" s="14"/>
      <c r="H46" s="14">
        <f t="shared" ref="H46:H50" ca="1" si="132">MAX(0,MIN(1,($D46+$E46*(H$4-$D$4))*$H$1))</f>
        <v>0</v>
      </c>
      <c r="I46" s="14">
        <f ca="1">($H46-$F46)/($H$4-$F$4)</f>
        <v>0</v>
      </c>
      <c r="J46" s="14">
        <f t="shared" ref="J46:J50" ca="1" si="133">K46-E46</f>
        <v>0</v>
      </c>
      <c r="K46" s="14">
        <f t="shared" ref="K46:K50" ca="1" si="134">MAX(0,MIN(1,D46+(K$4-D$4)*E46))</f>
        <v>0</v>
      </c>
      <c r="L46" s="15">
        <f t="shared" ref="L46:AD50" ca="1" si="135">MAX(0,MIN(1,K46+$I46))</f>
        <v>0</v>
      </c>
      <c r="M46" s="15">
        <f t="shared" ca="1" si="135"/>
        <v>0</v>
      </c>
      <c r="N46" s="15">
        <f t="shared" ca="1" si="135"/>
        <v>0</v>
      </c>
      <c r="O46" s="15">
        <f t="shared" ca="1" si="135"/>
        <v>0</v>
      </c>
      <c r="P46" s="15">
        <f t="shared" ca="1" si="135"/>
        <v>0</v>
      </c>
      <c r="Q46" s="15">
        <f t="shared" ca="1" si="135"/>
        <v>0</v>
      </c>
      <c r="R46" s="15">
        <f t="shared" ca="1" si="135"/>
        <v>0</v>
      </c>
      <c r="S46" s="15">
        <f t="shared" ca="1" si="135"/>
        <v>0</v>
      </c>
      <c r="T46" s="15">
        <f t="shared" ca="1" si="135"/>
        <v>0</v>
      </c>
      <c r="U46" s="15">
        <f t="shared" ca="1" si="135"/>
        <v>0</v>
      </c>
      <c r="V46" s="15">
        <f t="shared" ca="1" si="135"/>
        <v>0</v>
      </c>
      <c r="W46" s="15">
        <f t="shared" ca="1" si="135"/>
        <v>0</v>
      </c>
      <c r="X46" s="15">
        <f t="shared" ca="1" si="135"/>
        <v>0</v>
      </c>
      <c r="Y46" s="15">
        <f t="shared" ca="1" si="135"/>
        <v>0</v>
      </c>
      <c r="Z46" s="15">
        <f t="shared" ca="1" si="135"/>
        <v>0</v>
      </c>
      <c r="AA46" s="15">
        <f t="shared" ca="1" si="135"/>
        <v>0</v>
      </c>
      <c r="AB46" s="15">
        <f t="shared" ca="1" si="135"/>
        <v>0</v>
      </c>
      <c r="AC46" s="15">
        <f t="shared" ca="1" si="135"/>
        <v>0</v>
      </c>
      <c r="AD46" s="15">
        <f t="shared" ca="1" si="135"/>
        <v>0</v>
      </c>
      <c r="AE46" s="5"/>
      <c r="AG46" s="1" t="s">
        <v>54</v>
      </c>
      <c r="AH46" s="37">
        <f t="shared" ref="AH46:AH50" ca="1" si="136">J46*AH$51</f>
        <v>0</v>
      </c>
      <c r="AI46" s="37">
        <f t="shared" ca="1" si="129"/>
        <v>0</v>
      </c>
      <c r="AJ46" s="37">
        <f t="shared" ca="1" si="130"/>
        <v>0</v>
      </c>
      <c r="AK46" s="37">
        <f t="shared" ca="1" si="130"/>
        <v>0</v>
      </c>
      <c r="AL46" s="37">
        <f t="shared" ca="1" si="130"/>
        <v>0</v>
      </c>
      <c r="AM46" s="37">
        <f t="shared" ca="1" si="130"/>
        <v>0</v>
      </c>
      <c r="AN46" s="37">
        <f t="shared" ca="1" si="130"/>
        <v>0</v>
      </c>
      <c r="AO46" s="37">
        <f t="shared" ca="1" si="130"/>
        <v>0</v>
      </c>
      <c r="AP46" s="37">
        <f t="shared" ca="1" si="130"/>
        <v>0</v>
      </c>
      <c r="AQ46" s="37">
        <f t="shared" ca="1" si="130"/>
        <v>0</v>
      </c>
      <c r="AR46" s="37">
        <f t="shared" ca="1" si="130"/>
        <v>0</v>
      </c>
      <c r="AS46" s="37">
        <f t="shared" ca="1" si="130"/>
        <v>0</v>
      </c>
      <c r="AT46" s="37">
        <f t="shared" ca="1" si="131"/>
        <v>0</v>
      </c>
      <c r="AU46" s="37">
        <f t="shared" ca="1" si="131"/>
        <v>0</v>
      </c>
      <c r="AV46" s="37">
        <f t="shared" ca="1" si="131"/>
        <v>0</v>
      </c>
      <c r="AW46" s="37">
        <f t="shared" ca="1" si="131"/>
        <v>0</v>
      </c>
      <c r="AX46" s="37">
        <f t="shared" ca="1" si="131"/>
        <v>0</v>
      </c>
      <c r="AY46" s="37">
        <f t="shared" ca="1" si="131"/>
        <v>0</v>
      </c>
      <c r="AZ46" s="37" t="e">
        <f t="shared" ca="1" si="131"/>
        <v>#N/A</v>
      </c>
      <c r="BA46" s="37" t="e">
        <f t="shared" ca="1" si="131"/>
        <v>#N/A</v>
      </c>
      <c r="BB46" s="37" t="e">
        <f t="shared" ca="1" si="131"/>
        <v>#N/A</v>
      </c>
    </row>
    <row r="47" spans="1:54" x14ac:dyDescent="0.25">
      <c r="B47" s="1" t="s">
        <v>170</v>
      </c>
      <c r="C47" s="14">
        <f ca="1">IUD_Base!C47</f>
        <v>0</v>
      </c>
      <c r="D47" s="14">
        <f ca="1">IUD_Base!D47</f>
        <v>0</v>
      </c>
      <c r="E47" s="14">
        <f ca="1">IF('User Settings'!$N$7="On",($D47-$C47)/($D$4-$C$4),0)</f>
        <v>0</v>
      </c>
      <c r="F47" s="14">
        <f ca="1">IUD_Base!F47</f>
        <v>0</v>
      </c>
      <c r="G47" s="14"/>
      <c r="H47" s="14">
        <f t="shared" ca="1" si="132"/>
        <v>0</v>
      </c>
      <c r="I47" s="14">
        <f t="shared" ref="I47:I50" ca="1" si="137">($H47-$F47)/($H$4-$F$4)</f>
        <v>0</v>
      </c>
      <c r="J47" s="14">
        <f t="shared" ca="1" si="133"/>
        <v>0</v>
      </c>
      <c r="K47" s="14">
        <f t="shared" ca="1" si="134"/>
        <v>0</v>
      </c>
      <c r="L47" s="15">
        <f t="shared" ca="1" si="135"/>
        <v>0</v>
      </c>
      <c r="M47" s="15">
        <f t="shared" ca="1" si="135"/>
        <v>0</v>
      </c>
      <c r="N47" s="15">
        <f t="shared" ca="1" si="135"/>
        <v>0</v>
      </c>
      <c r="O47" s="15">
        <f t="shared" ca="1" si="135"/>
        <v>0</v>
      </c>
      <c r="P47" s="15">
        <f t="shared" ca="1" si="135"/>
        <v>0</v>
      </c>
      <c r="Q47" s="15">
        <f t="shared" ca="1" si="135"/>
        <v>0</v>
      </c>
      <c r="R47" s="15">
        <f t="shared" ca="1" si="135"/>
        <v>0</v>
      </c>
      <c r="S47" s="15">
        <f t="shared" ca="1" si="135"/>
        <v>0</v>
      </c>
      <c r="T47" s="15">
        <f t="shared" ca="1" si="135"/>
        <v>0</v>
      </c>
      <c r="U47" s="15">
        <f t="shared" ca="1" si="135"/>
        <v>0</v>
      </c>
      <c r="V47" s="15">
        <f t="shared" ca="1" si="135"/>
        <v>0</v>
      </c>
      <c r="W47" s="15">
        <f t="shared" ca="1" si="135"/>
        <v>0</v>
      </c>
      <c r="X47" s="15">
        <f t="shared" ca="1" si="135"/>
        <v>0</v>
      </c>
      <c r="Y47" s="15">
        <f t="shared" ca="1" si="135"/>
        <v>0</v>
      </c>
      <c r="Z47" s="15">
        <f t="shared" ca="1" si="135"/>
        <v>0</v>
      </c>
      <c r="AA47" s="15">
        <f t="shared" ca="1" si="135"/>
        <v>0</v>
      </c>
      <c r="AB47" s="15">
        <f t="shared" ca="1" si="135"/>
        <v>0</v>
      </c>
      <c r="AC47" s="15">
        <f t="shared" ca="1" si="135"/>
        <v>0</v>
      </c>
      <c r="AD47" s="15">
        <f t="shared" ca="1" si="135"/>
        <v>0</v>
      </c>
      <c r="AE47" s="5"/>
      <c r="AG47" s="1" t="s">
        <v>170</v>
      </c>
      <c r="AH47" s="37">
        <f t="shared" ca="1" si="136"/>
        <v>0</v>
      </c>
      <c r="AI47" s="37">
        <f t="shared" ca="1" si="129"/>
        <v>0</v>
      </c>
      <c r="AJ47" s="37">
        <f t="shared" ca="1" si="130"/>
        <v>0</v>
      </c>
      <c r="AK47" s="37">
        <f t="shared" ca="1" si="130"/>
        <v>0</v>
      </c>
      <c r="AL47" s="37">
        <f t="shared" ca="1" si="130"/>
        <v>0</v>
      </c>
      <c r="AM47" s="37">
        <f t="shared" ca="1" si="130"/>
        <v>0</v>
      </c>
      <c r="AN47" s="37">
        <f t="shared" ca="1" si="130"/>
        <v>0</v>
      </c>
      <c r="AO47" s="37">
        <f t="shared" ca="1" si="130"/>
        <v>0</v>
      </c>
      <c r="AP47" s="37">
        <f t="shared" ca="1" si="130"/>
        <v>0</v>
      </c>
      <c r="AQ47" s="37">
        <f t="shared" ca="1" si="130"/>
        <v>0</v>
      </c>
      <c r="AR47" s="37">
        <f t="shared" ca="1" si="130"/>
        <v>0</v>
      </c>
      <c r="AS47" s="37">
        <f t="shared" ca="1" si="130"/>
        <v>0</v>
      </c>
      <c r="AT47" s="37">
        <f t="shared" ca="1" si="131"/>
        <v>0</v>
      </c>
      <c r="AU47" s="37">
        <f t="shared" ca="1" si="131"/>
        <v>0</v>
      </c>
      <c r="AV47" s="37">
        <f t="shared" ca="1" si="131"/>
        <v>0</v>
      </c>
      <c r="AW47" s="37">
        <f t="shared" ca="1" si="131"/>
        <v>0</v>
      </c>
      <c r="AX47" s="37">
        <f t="shared" ca="1" si="131"/>
        <v>0</v>
      </c>
      <c r="AY47" s="37">
        <f t="shared" ca="1" si="131"/>
        <v>0</v>
      </c>
      <c r="AZ47" s="37" t="e">
        <f t="shared" ca="1" si="131"/>
        <v>#N/A</v>
      </c>
      <c r="BA47" s="37" t="e">
        <f t="shared" ca="1" si="131"/>
        <v>#N/A</v>
      </c>
      <c r="BB47" s="37" t="e">
        <f t="shared" ca="1" si="131"/>
        <v>#N/A</v>
      </c>
    </row>
    <row r="48" spans="1:54" x14ac:dyDescent="0.25">
      <c r="B48" s="1" t="s">
        <v>59</v>
      </c>
      <c r="C48" s="14">
        <f ca="1">IUD_Base!C48</f>
        <v>2.2242E-3</v>
      </c>
      <c r="D48" s="14">
        <f ca="1">IUD_Base!D48</f>
        <v>2.4201000000000001E-3</v>
      </c>
      <c r="E48" s="14">
        <f ca="1">IF('User Settings'!$N$7="On",($D48-$C48)/($D$4-$C$4),0)</f>
        <v>3.9180000000000028E-5</v>
      </c>
      <c r="F48" s="14">
        <f ca="1">IUD_Base!F48</f>
        <v>2.5376400000000003E-3</v>
      </c>
      <c r="G48" s="14"/>
      <c r="H48" s="14">
        <f t="shared" ca="1" si="132"/>
        <v>2.6551800000000005E-3</v>
      </c>
      <c r="I48" s="14">
        <f t="shared" ca="1" si="137"/>
        <v>3.9180000000000062E-5</v>
      </c>
      <c r="J48" s="14">
        <f t="shared" ca="1" si="133"/>
        <v>2.4984600000000001E-3</v>
      </c>
      <c r="K48" s="14">
        <f t="shared" ca="1" si="134"/>
        <v>2.5376400000000003E-3</v>
      </c>
      <c r="L48" s="15">
        <f t="shared" ca="1" si="135"/>
        <v>2.5768200000000005E-3</v>
      </c>
      <c r="M48" s="15">
        <f t="shared" ca="1" si="135"/>
        <v>2.6160000000000007E-3</v>
      </c>
      <c r="N48" s="15">
        <f t="shared" ca="1" si="135"/>
        <v>2.6551800000000009E-3</v>
      </c>
      <c r="O48" s="15">
        <f t="shared" ca="1" si="135"/>
        <v>2.6943600000000011E-3</v>
      </c>
      <c r="P48" s="15">
        <f t="shared" ca="1" si="135"/>
        <v>2.7335400000000013E-3</v>
      </c>
      <c r="Q48" s="15">
        <f t="shared" ca="1" si="135"/>
        <v>2.7727200000000015E-3</v>
      </c>
      <c r="R48" s="15">
        <f t="shared" ca="1" si="135"/>
        <v>2.8119000000000017E-3</v>
      </c>
      <c r="S48" s="15">
        <f t="shared" ca="1" si="135"/>
        <v>2.8510800000000019E-3</v>
      </c>
      <c r="T48" s="15">
        <f t="shared" ca="1" si="135"/>
        <v>2.8902600000000021E-3</v>
      </c>
      <c r="U48" s="15">
        <f t="shared" ca="1" si="135"/>
        <v>2.9294400000000023E-3</v>
      </c>
      <c r="V48" s="15">
        <f t="shared" ca="1" si="135"/>
        <v>2.9686200000000025E-3</v>
      </c>
      <c r="W48" s="15">
        <f t="shared" ca="1" si="135"/>
        <v>3.0078000000000027E-3</v>
      </c>
      <c r="X48" s="15">
        <f t="shared" ca="1" si="135"/>
        <v>3.0469800000000029E-3</v>
      </c>
      <c r="Y48" s="15">
        <f t="shared" ca="1" si="135"/>
        <v>3.0861600000000032E-3</v>
      </c>
      <c r="Z48" s="15">
        <f t="shared" ca="1" si="135"/>
        <v>3.1253400000000034E-3</v>
      </c>
      <c r="AA48" s="15">
        <f t="shared" ca="1" si="135"/>
        <v>3.1645200000000036E-3</v>
      </c>
      <c r="AB48" s="15">
        <f t="shared" ca="1" si="135"/>
        <v>3.2037000000000038E-3</v>
      </c>
      <c r="AC48" s="15">
        <f t="shared" ca="1" si="135"/>
        <v>3.242880000000004E-3</v>
      </c>
      <c r="AD48" s="15">
        <f t="shared" ca="1" si="135"/>
        <v>3.2820600000000042E-3</v>
      </c>
      <c r="AE48" s="5"/>
      <c r="AG48" s="1" t="s">
        <v>59</v>
      </c>
      <c r="AH48" s="37">
        <f t="shared" ca="1" si="136"/>
        <v>3663.0662980966363</v>
      </c>
      <c r="AI48" s="37">
        <f t="shared" ca="1" si="129"/>
        <v>3863.5829802614012</v>
      </c>
      <c r="AJ48" s="37">
        <f t="shared" ca="1" si="130"/>
        <v>4073.2111526741378</v>
      </c>
      <c r="AK48" s="37">
        <f t="shared" ca="1" si="130"/>
        <v>4286.8512486495874</v>
      </c>
      <c r="AL48" s="37">
        <f t="shared" ca="1" si="130"/>
        <v>4510.6693865569196</v>
      </c>
      <c r="AM48" s="37">
        <f t="shared" ca="1" si="130"/>
        <v>4744.3555741977962</v>
      </c>
      <c r="AN48" s="37">
        <f t="shared" ca="1" si="130"/>
        <v>4987.4894795760729</v>
      </c>
      <c r="AO48" s="37">
        <f t="shared" ca="1" si="130"/>
        <v>5239.9398584906103</v>
      </c>
      <c r="AP48" s="37">
        <f t="shared" ca="1" si="130"/>
        <v>5498.1191496494348</v>
      </c>
      <c r="AQ48" s="37">
        <f t="shared" ca="1" si="130"/>
        <v>5766.3258726606055</v>
      </c>
      <c r="AR48" s="37">
        <f t="shared" ca="1" si="130"/>
        <v>6044.8416323030206</v>
      </c>
      <c r="AS48" s="37">
        <f t="shared" ca="1" si="130"/>
        <v>6334.2228080255463</v>
      </c>
      <c r="AT48" s="37">
        <f t="shared" ca="1" si="131"/>
        <v>6634.8369850235213</v>
      </c>
      <c r="AU48" s="37">
        <f t="shared" ca="1" si="131"/>
        <v>6942.835218962653</v>
      </c>
      <c r="AV48" s="37">
        <f t="shared" ca="1" si="131"/>
        <v>7262.8172046543277</v>
      </c>
      <c r="AW48" s="37">
        <f t="shared" ca="1" si="131"/>
        <v>7594.579150683584</v>
      </c>
      <c r="AX48" s="37">
        <f t="shared" ca="1" si="131"/>
        <v>7937.8337327410964</v>
      </c>
      <c r="AY48" s="37">
        <f t="shared" ca="1" si="131"/>
        <v>8292.4389891193005</v>
      </c>
      <c r="AZ48" s="37" t="e">
        <f t="shared" ca="1" si="131"/>
        <v>#N/A</v>
      </c>
      <c r="BA48" s="37" t="e">
        <f t="shared" ca="1" si="131"/>
        <v>#N/A</v>
      </c>
      <c r="BB48" s="37" t="e">
        <f t="shared" ca="1" si="131"/>
        <v>#N/A</v>
      </c>
    </row>
    <row r="49" spans="1:54" x14ac:dyDescent="0.25">
      <c r="B49" s="1" t="s">
        <v>171</v>
      </c>
      <c r="C49" s="14">
        <f ca="1">IUD_Base!C49</f>
        <v>0</v>
      </c>
      <c r="D49" s="14">
        <f ca="1">IUD_Base!D49</f>
        <v>0</v>
      </c>
      <c r="E49" s="14">
        <f ca="1">IF('User Settings'!$N$7="On",($D49-$C49)/($D$4-$C$4),0)</f>
        <v>0</v>
      </c>
      <c r="F49" s="14">
        <f ca="1">IUD_Base!F49</f>
        <v>0</v>
      </c>
      <c r="G49" s="14"/>
      <c r="H49" s="14">
        <f t="shared" ca="1" si="132"/>
        <v>0</v>
      </c>
      <c r="I49" s="14">
        <f t="shared" ca="1" si="137"/>
        <v>0</v>
      </c>
      <c r="J49" s="14">
        <f t="shared" ca="1" si="133"/>
        <v>0</v>
      </c>
      <c r="K49" s="14">
        <f t="shared" ca="1" si="134"/>
        <v>0</v>
      </c>
      <c r="L49" s="15">
        <f t="shared" ca="1" si="135"/>
        <v>0</v>
      </c>
      <c r="M49" s="15">
        <f t="shared" ca="1" si="135"/>
        <v>0</v>
      </c>
      <c r="N49" s="15">
        <f t="shared" ca="1" si="135"/>
        <v>0</v>
      </c>
      <c r="O49" s="15">
        <f t="shared" ca="1" si="135"/>
        <v>0</v>
      </c>
      <c r="P49" s="15">
        <f t="shared" ca="1" si="135"/>
        <v>0</v>
      </c>
      <c r="Q49" s="15">
        <f t="shared" ca="1" si="135"/>
        <v>0</v>
      </c>
      <c r="R49" s="15">
        <f t="shared" ca="1" si="135"/>
        <v>0</v>
      </c>
      <c r="S49" s="15">
        <f t="shared" ca="1" si="135"/>
        <v>0</v>
      </c>
      <c r="T49" s="15">
        <f t="shared" ca="1" si="135"/>
        <v>0</v>
      </c>
      <c r="U49" s="15">
        <f t="shared" ca="1" si="135"/>
        <v>0</v>
      </c>
      <c r="V49" s="15">
        <f t="shared" ca="1" si="135"/>
        <v>0</v>
      </c>
      <c r="W49" s="15">
        <f t="shared" ca="1" si="135"/>
        <v>0</v>
      </c>
      <c r="X49" s="15">
        <f t="shared" ca="1" si="135"/>
        <v>0</v>
      </c>
      <c r="Y49" s="15">
        <f t="shared" ca="1" si="135"/>
        <v>0</v>
      </c>
      <c r="Z49" s="15">
        <f t="shared" ca="1" si="135"/>
        <v>0</v>
      </c>
      <c r="AA49" s="15">
        <f t="shared" ca="1" si="135"/>
        <v>0</v>
      </c>
      <c r="AB49" s="15">
        <f t="shared" ca="1" si="135"/>
        <v>0</v>
      </c>
      <c r="AC49" s="15">
        <f t="shared" ca="1" si="135"/>
        <v>0</v>
      </c>
      <c r="AD49" s="15">
        <f t="shared" ca="1" si="135"/>
        <v>0</v>
      </c>
      <c r="AE49" s="5"/>
      <c r="AG49" s="1" t="s">
        <v>171</v>
      </c>
      <c r="AH49" s="37">
        <f t="shared" ca="1" si="136"/>
        <v>0</v>
      </c>
      <c r="AI49" s="37">
        <f t="shared" ca="1" si="129"/>
        <v>0</v>
      </c>
      <c r="AJ49" s="37">
        <f t="shared" ca="1" si="130"/>
        <v>0</v>
      </c>
      <c r="AK49" s="37">
        <f t="shared" ca="1" si="130"/>
        <v>0</v>
      </c>
      <c r="AL49" s="37">
        <f t="shared" ca="1" si="130"/>
        <v>0</v>
      </c>
      <c r="AM49" s="37">
        <f t="shared" ca="1" si="130"/>
        <v>0</v>
      </c>
      <c r="AN49" s="37">
        <f t="shared" ca="1" si="130"/>
        <v>0</v>
      </c>
      <c r="AO49" s="37">
        <f t="shared" ca="1" si="130"/>
        <v>0</v>
      </c>
      <c r="AP49" s="37">
        <f t="shared" ca="1" si="130"/>
        <v>0</v>
      </c>
      <c r="AQ49" s="37">
        <f t="shared" ca="1" si="130"/>
        <v>0</v>
      </c>
      <c r="AR49" s="37">
        <f t="shared" ca="1" si="130"/>
        <v>0</v>
      </c>
      <c r="AS49" s="37">
        <f t="shared" ca="1" si="130"/>
        <v>0</v>
      </c>
      <c r="AT49" s="37">
        <f t="shared" ca="1" si="131"/>
        <v>0</v>
      </c>
      <c r="AU49" s="37">
        <f t="shared" ca="1" si="131"/>
        <v>0</v>
      </c>
      <c r="AV49" s="37">
        <f t="shared" ca="1" si="131"/>
        <v>0</v>
      </c>
      <c r="AW49" s="37">
        <f t="shared" ca="1" si="131"/>
        <v>0</v>
      </c>
      <c r="AX49" s="37">
        <f t="shared" ca="1" si="131"/>
        <v>0</v>
      </c>
      <c r="AY49" s="37">
        <f t="shared" ca="1" si="131"/>
        <v>0</v>
      </c>
      <c r="AZ49" s="37" t="e">
        <f t="shared" ca="1" si="131"/>
        <v>#N/A</v>
      </c>
      <c r="BA49" s="37" t="e">
        <f t="shared" ca="1" si="131"/>
        <v>#N/A</v>
      </c>
      <c r="BB49" s="37" t="e">
        <f t="shared" ca="1" si="131"/>
        <v>#N/A</v>
      </c>
    </row>
    <row r="50" spans="1:54" x14ac:dyDescent="0.25">
      <c r="B50" s="1" t="s">
        <v>116</v>
      </c>
      <c r="C50" s="14">
        <f ca="1">IUD_Base!C50</f>
        <v>0</v>
      </c>
      <c r="D50" s="14">
        <f ca="1">IUD_Base!D50</f>
        <v>0</v>
      </c>
      <c r="E50" s="14">
        <f ca="1">IF('User Settings'!$N$7="On",($D50-$C50)/($D$4-$C$4),0)</f>
        <v>0</v>
      </c>
      <c r="F50" s="14">
        <f ca="1">IUD_Base!F50</f>
        <v>0</v>
      </c>
      <c r="G50" s="14"/>
      <c r="H50" s="14">
        <f t="shared" ca="1" si="132"/>
        <v>0</v>
      </c>
      <c r="I50" s="14">
        <f t="shared" ca="1" si="137"/>
        <v>0</v>
      </c>
      <c r="J50" s="14">
        <f t="shared" ca="1" si="133"/>
        <v>0</v>
      </c>
      <c r="K50" s="14">
        <f t="shared" ca="1" si="134"/>
        <v>0</v>
      </c>
      <c r="L50" s="15">
        <f t="shared" ca="1" si="135"/>
        <v>0</v>
      </c>
      <c r="M50" s="15">
        <f t="shared" ca="1" si="135"/>
        <v>0</v>
      </c>
      <c r="N50" s="15">
        <f t="shared" ca="1" si="135"/>
        <v>0</v>
      </c>
      <c r="O50" s="15">
        <f t="shared" ca="1" si="135"/>
        <v>0</v>
      </c>
      <c r="P50" s="15">
        <f t="shared" ca="1" si="135"/>
        <v>0</v>
      </c>
      <c r="Q50" s="15">
        <f t="shared" ca="1" si="135"/>
        <v>0</v>
      </c>
      <c r="R50" s="15">
        <f t="shared" ca="1" si="135"/>
        <v>0</v>
      </c>
      <c r="S50" s="15">
        <f t="shared" ca="1" si="135"/>
        <v>0</v>
      </c>
      <c r="T50" s="15">
        <f t="shared" ca="1" si="135"/>
        <v>0</v>
      </c>
      <c r="U50" s="15">
        <f t="shared" ca="1" si="135"/>
        <v>0</v>
      </c>
      <c r="V50" s="15">
        <f t="shared" ca="1" si="135"/>
        <v>0</v>
      </c>
      <c r="W50" s="15">
        <f t="shared" ca="1" si="135"/>
        <v>0</v>
      </c>
      <c r="X50" s="15">
        <f t="shared" ca="1" si="135"/>
        <v>0</v>
      </c>
      <c r="Y50" s="15">
        <f t="shared" ca="1" si="135"/>
        <v>0</v>
      </c>
      <c r="Z50" s="15">
        <f t="shared" ca="1" si="135"/>
        <v>0</v>
      </c>
      <c r="AA50" s="15">
        <f t="shared" ca="1" si="135"/>
        <v>0</v>
      </c>
      <c r="AB50" s="15">
        <f t="shared" ca="1" si="135"/>
        <v>0</v>
      </c>
      <c r="AC50" s="15">
        <f t="shared" ca="1" si="135"/>
        <v>0</v>
      </c>
      <c r="AD50" s="15">
        <f t="shared" ca="1" si="135"/>
        <v>0</v>
      </c>
      <c r="AE50" s="5"/>
      <c r="AG50" s="1" t="s">
        <v>116</v>
      </c>
      <c r="AH50" s="37">
        <f t="shared" ca="1" si="136"/>
        <v>0</v>
      </c>
      <c r="AI50" s="37">
        <f t="shared" ca="1" si="129"/>
        <v>0</v>
      </c>
      <c r="AJ50" s="37">
        <f t="shared" ca="1" si="130"/>
        <v>0</v>
      </c>
      <c r="AK50" s="37">
        <f t="shared" ca="1" si="130"/>
        <v>0</v>
      </c>
      <c r="AL50" s="37">
        <f t="shared" ca="1" si="130"/>
        <v>0</v>
      </c>
      <c r="AM50" s="37">
        <f t="shared" ca="1" si="130"/>
        <v>0</v>
      </c>
      <c r="AN50" s="37">
        <f t="shared" ca="1" si="130"/>
        <v>0</v>
      </c>
      <c r="AO50" s="37">
        <f t="shared" ca="1" si="130"/>
        <v>0</v>
      </c>
      <c r="AP50" s="37">
        <f t="shared" ca="1" si="130"/>
        <v>0</v>
      </c>
      <c r="AQ50" s="37">
        <f t="shared" ca="1" si="130"/>
        <v>0</v>
      </c>
      <c r="AR50" s="37">
        <f t="shared" ca="1" si="130"/>
        <v>0</v>
      </c>
      <c r="AS50" s="37">
        <f t="shared" ca="1" si="130"/>
        <v>0</v>
      </c>
      <c r="AT50" s="37">
        <f t="shared" ca="1" si="131"/>
        <v>0</v>
      </c>
      <c r="AU50" s="37">
        <f t="shared" ca="1" si="131"/>
        <v>0</v>
      </c>
      <c r="AV50" s="37">
        <f t="shared" ca="1" si="131"/>
        <v>0</v>
      </c>
      <c r="AW50" s="37">
        <f t="shared" ca="1" si="131"/>
        <v>0</v>
      </c>
      <c r="AX50" s="37">
        <f t="shared" ca="1" si="131"/>
        <v>0</v>
      </c>
      <c r="AY50" s="37">
        <f t="shared" ca="1" si="131"/>
        <v>0</v>
      </c>
      <c r="AZ50" s="37" t="e">
        <f t="shared" ca="1" si="131"/>
        <v>#N/A</v>
      </c>
      <c r="BA50" s="37" t="e">
        <f t="shared" ca="1" si="131"/>
        <v>#N/A</v>
      </c>
      <c r="BB50" s="37" t="e">
        <f t="shared" ca="1" si="131"/>
        <v>#N/A</v>
      </c>
    </row>
    <row r="51" spans="1:54" x14ac:dyDescent="0.25">
      <c r="D51" s="5">
        <f ca="1">SUM(D45:D50)</f>
        <v>1.21999E-2</v>
      </c>
      <c r="F51" s="132">
        <f ca="1">SUM(F45:F50)</f>
        <v>1.7437539999999998E-2</v>
      </c>
      <c r="G51" s="132"/>
      <c r="H51" s="132">
        <f ca="1">SUM(H45:H50)</f>
        <v>2.2675179999999996E-2</v>
      </c>
      <c r="I51" s="132"/>
      <c r="J51" s="132">
        <f ca="1">SUM(J45:J50)</f>
        <v>1.569166E-2</v>
      </c>
      <c r="K51" s="132">
        <f ca="1">SUM(K45:K50)</f>
        <v>1.7437539999999998E-2</v>
      </c>
      <c r="L51" s="5">
        <f t="shared" ref="L51:AD51" ca="1" si="138">SUM(L45:L50)</f>
        <v>1.918342E-2</v>
      </c>
      <c r="M51" s="5">
        <f t="shared" ca="1" si="138"/>
        <v>2.0929299999999998E-2</v>
      </c>
      <c r="N51" s="5">
        <f t="shared" ca="1" si="138"/>
        <v>2.2675179999999996E-2</v>
      </c>
      <c r="O51" s="5">
        <f t="shared" ca="1" si="138"/>
        <v>2.4421059999999994E-2</v>
      </c>
      <c r="P51" s="5">
        <f t="shared" ca="1" si="138"/>
        <v>2.6166939999999993E-2</v>
      </c>
      <c r="Q51" s="5">
        <f t="shared" ca="1" si="138"/>
        <v>2.7912819999999994E-2</v>
      </c>
      <c r="R51" s="5">
        <f t="shared" ca="1" si="138"/>
        <v>2.9658699999999993E-2</v>
      </c>
      <c r="S51" s="5">
        <f t="shared" ca="1" si="138"/>
        <v>3.1404579999999988E-2</v>
      </c>
      <c r="T51" s="5">
        <f t="shared" ca="1" si="138"/>
        <v>3.3150459999999993E-2</v>
      </c>
      <c r="U51" s="5">
        <f t="shared" ca="1" si="138"/>
        <v>3.4896339999999991E-2</v>
      </c>
      <c r="V51" s="5">
        <f t="shared" ca="1" si="138"/>
        <v>3.6642219999999989E-2</v>
      </c>
      <c r="W51" s="5">
        <f t="shared" ca="1" si="138"/>
        <v>3.8388099999999988E-2</v>
      </c>
      <c r="X51" s="5">
        <f t="shared" ca="1" si="138"/>
        <v>4.0133979999999986E-2</v>
      </c>
      <c r="Y51" s="5">
        <f t="shared" ca="1" si="138"/>
        <v>4.1879859999999984E-2</v>
      </c>
      <c r="Z51" s="5">
        <f t="shared" ca="1" si="138"/>
        <v>4.3625739999999982E-2</v>
      </c>
      <c r="AA51" s="5">
        <f t="shared" ca="1" si="138"/>
        <v>4.5371619999999981E-2</v>
      </c>
      <c r="AB51" s="5">
        <f t="shared" ca="1" si="138"/>
        <v>4.7117499999999979E-2</v>
      </c>
      <c r="AC51" s="5">
        <f t="shared" ca="1" si="138"/>
        <v>4.8863379999999977E-2</v>
      </c>
      <c r="AD51" s="5">
        <f t="shared" ca="1" si="138"/>
        <v>5.0609259999999975E-2</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139">IF(K54=Yr_Start,"Start Year",IF(K54=Yr_End,"End Year",""))</f>
        <v>Start Year</v>
      </c>
      <c r="L53" s="205" t="str">
        <f t="shared" si="139"/>
        <v/>
      </c>
      <c r="M53" s="205" t="str">
        <f t="shared" si="139"/>
        <v/>
      </c>
      <c r="N53" s="205" t="str">
        <f t="shared" si="139"/>
        <v>End Year</v>
      </c>
      <c r="O53" s="205" t="str">
        <f t="shared" si="139"/>
        <v/>
      </c>
      <c r="P53" s="205" t="str">
        <f t="shared" si="139"/>
        <v/>
      </c>
      <c r="Q53" s="205" t="str">
        <f t="shared" si="139"/>
        <v/>
      </c>
      <c r="R53" s="205" t="str">
        <f t="shared" si="139"/>
        <v/>
      </c>
      <c r="S53" s="205" t="str">
        <f t="shared" si="139"/>
        <v/>
      </c>
      <c r="T53" s="205" t="str">
        <f t="shared" si="139"/>
        <v/>
      </c>
      <c r="U53" s="205" t="str">
        <f t="shared" si="139"/>
        <v/>
      </c>
      <c r="V53" s="205" t="str">
        <f t="shared" si="139"/>
        <v/>
      </c>
      <c r="W53" s="205" t="str">
        <f t="shared" si="139"/>
        <v/>
      </c>
      <c r="X53" s="205" t="str">
        <f t="shared" si="139"/>
        <v/>
      </c>
      <c r="Y53" s="205" t="str">
        <f t="shared" si="139"/>
        <v/>
      </c>
      <c r="Z53" s="205" t="str">
        <f t="shared" si="139"/>
        <v/>
      </c>
      <c r="AA53" s="205" t="str">
        <f t="shared" si="139"/>
        <v/>
      </c>
      <c r="AB53" s="205" t="str">
        <f t="shared" si="139"/>
        <v/>
      </c>
      <c r="AC53" s="205" t="str">
        <f t="shared" si="139"/>
        <v/>
      </c>
      <c r="AD53" s="205" t="str">
        <f t="shared" si="139"/>
        <v/>
      </c>
      <c r="AE53" s="35"/>
      <c r="AF53" s="6" t="str">
        <f>A53</f>
        <v>Other</v>
      </c>
      <c r="AI53" s="205" t="str">
        <f t="shared" ref="AI53:BB53" si="140">IF(AI54=Yr_Start,"Start Year",IF(AI54=Yr_End,"End Year",""))</f>
        <v>Start Year</v>
      </c>
      <c r="AJ53" s="205" t="str">
        <f t="shared" si="140"/>
        <v/>
      </c>
      <c r="AK53" s="205" t="str">
        <f t="shared" si="140"/>
        <v/>
      </c>
      <c r="AL53" s="205" t="str">
        <f t="shared" si="140"/>
        <v>End Year</v>
      </c>
      <c r="AM53" s="205" t="str">
        <f t="shared" si="140"/>
        <v/>
      </c>
      <c r="AN53" s="205" t="str">
        <f t="shared" si="140"/>
        <v/>
      </c>
      <c r="AO53" s="205" t="str">
        <f t="shared" si="140"/>
        <v/>
      </c>
      <c r="AP53" s="205" t="str">
        <f t="shared" si="140"/>
        <v/>
      </c>
      <c r="AQ53" s="205" t="str">
        <f t="shared" si="140"/>
        <v/>
      </c>
      <c r="AR53" s="205" t="str">
        <f t="shared" si="140"/>
        <v/>
      </c>
      <c r="AS53" s="205" t="str">
        <f t="shared" si="140"/>
        <v/>
      </c>
      <c r="AT53" s="205" t="str">
        <f t="shared" si="140"/>
        <v/>
      </c>
      <c r="AU53" s="205" t="str">
        <f t="shared" si="140"/>
        <v/>
      </c>
      <c r="AV53" s="205" t="str">
        <f t="shared" si="140"/>
        <v/>
      </c>
      <c r="AW53" s="205" t="str">
        <f t="shared" si="140"/>
        <v/>
      </c>
      <c r="AX53" s="205" t="str">
        <f t="shared" si="140"/>
        <v/>
      </c>
      <c r="AY53" s="205" t="str">
        <f t="shared" si="140"/>
        <v/>
      </c>
      <c r="AZ53" s="205" t="str">
        <f t="shared" si="140"/>
        <v/>
      </c>
      <c r="BA53" s="205" t="str">
        <f t="shared" si="140"/>
        <v/>
      </c>
      <c r="BB53" s="205" t="str">
        <f t="shared" si="140"/>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 si="141">L54+1</f>
        <v>2021</v>
      </c>
      <c r="N54" s="130">
        <f t="shared" ref="N54" si="142">M54+1</f>
        <v>2022</v>
      </c>
      <c r="O54" s="130">
        <f t="shared" ref="O54" si="143">N54+1</f>
        <v>2023</v>
      </c>
      <c r="P54" s="130">
        <f t="shared" ref="P54" si="144">O54+1</f>
        <v>2024</v>
      </c>
      <c r="Q54" s="130">
        <f t="shared" ref="Q54" si="145">P54+1</f>
        <v>2025</v>
      </c>
      <c r="R54" s="130">
        <f t="shared" ref="R54" si="146">Q54+1</f>
        <v>2026</v>
      </c>
      <c r="S54" s="130">
        <f t="shared" ref="S54" si="147">R54+1</f>
        <v>2027</v>
      </c>
      <c r="T54" s="130">
        <f t="shared" ref="T54" si="148">S54+1</f>
        <v>2028</v>
      </c>
      <c r="U54" s="130">
        <f t="shared" ref="U54" si="149">T54+1</f>
        <v>2029</v>
      </c>
      <c r="V54" s="130">
        <f t="shared" ref="V54" si="150">U54+1</f>
        <v>2030</v>
      </c>
      <c r="W54" s="130">
        <f t="shared" ref="W54" si="151">V54+1</f>
        <v>2031</v>
      </c>
      <c r="X54" s="130">
        <f t="shared" ref="X54" si="152">W54+1</f>
        <v>2032</v>
      </c>
      <c r="Y54" s="130">
        <f t="shared" ref="Y54" si="153">X54+1</f>
        <v>2033</v>
      </c>
      <c r="Z54" s="130">
        <f t="shared" ref="Z54" si="154">Y54+1</f>
        <v>2034</v>
      </c>
      <c r="AA54" s="130">
        <f t="shared" ref="AA54" si="155">Z54+1</f>
        <v>2035</v>
      </c>
      <c r="AB54" s="130">
        <f t="shared" ref="AB54" si="156">AA54+1</f>
        <v>2036</v>
      </c>
      <c r="AC54" s="130">
        <f t="shared" ref="AC54" si="157">AB54+1</f>
        <v>2037</v>
      </c>
      <c r="AD54" s="130">
        <f t="shared" ref="AD54" si="158">AC54+1</f>
        <v>2038</v>
      </c>
      <c r="AE54" s="6"/>
      <c r="AF54" s="6" t="str">
        <f>A54</f>
        <v>Rural</v>
      </c>
      <c r="AG54" s="38"/>
      <c r="AH54" s="161">
        <f>AI54-1</f>
        <v>2018</v>
      </c>
      <c r="AI54" s="36">
        <f>Yr_Start</f>
        <v>2019</v>
      </c>
      <c r="AJ54" s="36">
        <f>AI54+1</f>
        <v>2020</v>
      </c>
      <c r="AK54" s="36">
        <f t="shared" ref="AK54:BB54" si="159">AJ54+1</f>
        <v>2021</v>
      </c>
      <c r="AL54" s="36">
        <f t="shared" si="159"/>
        <v>2022</v>
      </c>
      <c r="AM54" s="36">
        <f t="shared" si="159"/>
        <v>2023</v>
      </c>
      <c r="AN54" s="36">
        <f t="shared" si="159"/>
        <v>2024</v>
      </c>
      <c r="AO54" s="36">
        <f t="shared" si="159"/>
        <v>2025</v>
      </c>
      <c r="AP54" s="36">
        <f t="shared" si="159"/>
        <v>2026</v>
      </c>
      <c r="AQ54" s="36">
        <f t="shared" si="159"/>
        <v>2027</v>
      </c>
      <c r="AR54" s="36">
        <f t="shared" si="159"/>
        <v>2028</v>
      </c>
      <c r="AS54" s="36">
        <f t="shared" si="159"/>
        <v>2029</v>
      </c>
      <c r="AT54" s="36">
        <f t="shared" si="159"/>
        <v>2030</v>
      </c>
      <c r="AU54" s="36">
        <f t="shared" si="159"/>
        <v>2031</v>
      </c>
      <c r="AV54" s="36">
        <f t="shared" si="159"/>
        <v>2032</v>
      </c>
      <c r="AW54" s="36">
        <f t="shared" si="159"/>
        <v>2033</v>
      </c>
      <c r="AX54" s="36">
        <f t="shared" si="159"/>
        <v>2034</v>
      </c>
      <c r="AY54" s="36">
        <f t="shared" si="159"/>
        <v>2035</v>
      </c>
      <c r="AZ54" s="36">
        <f t="shared" si="159"/>
        <v>2036</v>
      </c>
      <c r="BA54" s="36">
        <f t="shared" si="159"/>
        <v>2037</v>
      </c>
      <c r="BB54" s="36">
        <f t="shared" si="159"/>
        <v>2038</v>
      </c>
    </row>
    <row r="55" spans="1:54" x14ac:dyDescent="0.25">
      <c r="B55" s="1" t="s">
        <v>52</v>
      </c>
      <c r="C55" s="14">
        <f ca="1">IUD_Base!C55</f>
        <v>9.6049999999999998E-4</v>
      </c>
      <c r="D55" s="14">
        <f ca="1">IUD_Base!D55</f>
        <v>5.1472999999999996E-3</v>
      </c>
      <c r="E55" s="14">
        <f ca="1">IF('User Settings'!$N$7="On",($D55-$C55)/($D$4-$C$4),0)</f>
        <v>8.3735999999999988E-4</v>
      </c>
      <c r="F55" s="14">
        <f ca="1">IUD_Base!F55</f>
        <v>7.6593799999999995E-3</v>
      </c>
      <c r="G55" s="14"/>
      <c r="H55" s="14">
        <f ca="1">MAX(0,MIN(1,($D55+$E55*(H$4-$D$4))*$H$1))</f>
        <v>1.017146E-2</v>
      </c>
      <c r="I55" s="14">
        <f ca="1">($H55-$F55)/($H$4-$F$4)</f>
        <v>8.3736000000000021E-4</v>
      </c>
      <c r="J55" s="14">
        <f ca="1">K55-E55</f>
        <v>6.8220199999999998E-3</v>
      </c>
      <c r="K55" s="14">
        <f ca="1">MAX(0,MIN(1,D55+(K$4-D$4)*E55))</f>
        <v>7.6593799999999995E-3</v>
      </c>
      <c r="L55" s="15">
        <f ca="1">MAX(0,MIN(1,K55+$I55))</f>
        <v>8.4967399999999992E-3</v>
      </c>
      <c r="M55" s="15">
        <f t="shared" ref="M55:AD55" ca="1" si="160">MAX(0,MIN(1,L55+$I55))</f>
        <v>9.3340999999999997E-3</v>
      </c>
      <c r="N55" s="15">
        <f ca="1">MAX(0,MIN(1,M55+$I55))</f>
        <v>1.017146E-2</v>
      </c>
      <c r="O55" s="15">
        <f t="shared" ca="1" si="160"/>
        <v>1.1008820000000001E-2</v>
      </c>
      <c r="P55" s="15">
        <f t="shared" ca="1" si="160"/>
        <v>1.1846180000000001E-2</v>
      </c>
      <c r="Q55" s="15">
        <f t="shared" ca="1" si="160"/>
        <v>1.2683540000000002E-2</v>
      </c>
      <c r="R55" s="15">
        <f t="shared" ca="1" si="160"/>
        <v>1.3520900000000002E-2</v>
      </c>
      <c r="S55" s="15">
        <f t="shared" ca="1" si="160"/>
        <v>1.4358260000000003E-2</v>
      </c>
      <c r="T55" s="15">
        <f t="shared" ca="1" si="160"/>
        <v>1.5195620000000003E-2</v>
      </c>
      <c r="U55" s="15">
        <f t="shared" ca="1" si="160"/>
        <v>1.6032980000000002E-2</v>
      </c>
      <c r="V55" s="15">
        <f t="shared" ca="1" si="160"/>
        <v>1.6870340000000001E-2</v>
      </c>
      <c r="W55" s="15">
        <f t="shared" ca="1" si="160"/>
        <v>1.77077E-2</v>
      </c>
      <c r="X55" s="15">
        <f t="shared" ca="1" si="160"/>
        <v>1.8545059999999999E-2</v>
      </c>
      <c r="Y55" s="15">
        <f t="shared" ca="1" si="160"/>
        <v>1.9382419999999997E-2</v>
      </c>
      <c r="Z55" s="15">
        <f t="shared" ca="1" si="160"/>
        <v>2.0219779999999996E-2</v>
      </c>
      <c r="AA55" s="15">
        <f t="shared" ca="1" si="160"/>
        <v>2.1057139999999995E-2</v>
      </c>
      <c r="AB55" s="15">
        <f t="shared" ca="1" si="160"/>
        <v>2.1894499999999994E-2</v>
      </c>
      <c r="AC55" s="15">
        <f t="shared" ca="1" si="160"/>
        <v>2.2731859999999993E-2</v>
      </c>
      <c r="AD55" s="15">
        <f t="shared" ca="1" si="160"/>
        <v>2.3569219999999991E-2</v>
      </c>
      <c r="AE55" s="5"/>
      <c r="AG55" s="1" t="s">
        <v>52</v>
      </c>
      <c r="AH55" s="37">
        <f ca="1">J55*AH$61</f>
        <v>29015.579098682683</v>
      </c>
      <c r="AI55" s="37">
        <f t="shared" ref="AI55:AI60" ca="1" si="161">K55*AI$61</f>
        <v>33829.823003010439</v>
      </c>
      <c r="AJ55" s="37">
        <f t="shared" ref="AJ55:AS60" ca="1" si="162">L55*AJ$61</f>
        <v>38962.879637728474</v>
      </c>
      <c r="AK55" s="37">
        <f t="shared" ca="1" si="162"/>
        <v>44373.0212638335</v>
      </c>
      <c r="AL55" s="37">
        <f t="shared" ca="1" si="162"/>
        <v>50127.517804231888</v>
      </c>
      <c r="AM55" s="37">
        <f t="shared" ca="1" si="162"/>
        <v>56235.201443811275</v>
      </c>
      <c r="AN55" s="37">
        <f t="shared" ca="1" si="162"/>
        <v>62701.908921267328</v>
      </c>
      <c r="AO55" s="37">
        <f t="shared" ca="1" si="162"/>
        <v>69535.510342743219</v>
      </c>
      <c r="AP55" s="37">
        <f t="shared" ca="1" si="162"/>
        <v>76694.770541379767</v>
      </c>
      <c r="AQ55" s="37">
        <f t="shared" ca="1" si="162"/>
        <v>84243.706803773763</v>
      </c>
      <c r="AR55" s="37">
        <f t="shared" ca="1" si="162"/>
        <v>92196.050179482627</v>
      </c>
      <c r="AS55" s="37">
        <f t="shared" ca="1" si="162"/>
        <v>100570.09385628317</v>
      </c>
      <c r="AT55" s="37">
        <f t="shared" ref="AT55:BB60" ca="1" si="163">V55*AT$61</f>
        <v>109381.87392669247</v>
      </c>
      <c r="AU55" s="37">
        <f t="shared" ca="1" si="163"/>
        <v>118575.76486205465</v>
      </c>
      <c r="AV55" s="37">
        <f t="shared" ca="1" si="163"/>
        <v>128235.90145583825</v>
      </c>
      <c r="AW55" s="37">
        <f t="shared" ca="1" si="163"/>
        <v>138369.11109726207</v>
      </c>
      <c r="AX55" s="37">
        <f t="shared" ca="1" si="163"/>
        <v>148979.67745809388</v>
      </c>
      <c r="AY55" s="37">
        <f t="shared" ca="1" si="163"/>
        <v>160073.59584927207</v>
      </c>
      <c r="AZ55" s="37" t="e">
        <f t="shared" ca="1" si="163"/>
        <v>#N/A</v>
      </c>
      <c r="BA55" s="37" t="e">
        <f t="shared" ca="1" si="163"/>
        <v>#N/A</v>
      </c>
      <c r="BB55" s="37" t="e">
        <f t="shared" ca="1" si="163"/>
        <v>#N/A</v>
      </c>
    </row>
    <row r="56" spans="1:54" x14ac:dyDescent="0.25">
      <c r="B56" s="1" t="s">
        <v>54</v>
      </c>
      <c r="C56" s="14">
        <f ca="1">IUD_Base!C56</f>
        <v>2.0900000000000001E-4</v>
      </c>
      <c r="D56" s="14">
        <f ca="1">IUD_Base!D56</f>
        <v>1.047E-4</v>
      </c>
      <c r="E56" s="14">
        <f ca="1">IF('User Settings'!$N$7="On",($D56-$C56)/($D$4-$C$4),0)</f>
        <v>-2.0860000000000004E-5</v>
      </c>
      <c r="F56" s="14">
        <f ca="1">IUD_Base!F56</f>
        <v>4.2119999999999983E-5</v>
      </c>
      <c r="G56" s="14"/>
      <c r="H56" s="14">
        <f t="shared" ref="H56:H60" ca="1" si="164">MAX(0,MIN(1,($D56+$E56*(H$4-$D$4))*$H$1))</f>
        <v>0</v>
      </c>
      <c r="I56" s="14">
        <f ca="1">($H56-$F56)/($H$4-$F$4)</f>
        <v>-1.4039999999999994E-5</v>
      </c>
      <c r="J56" s="14">
        <f t="shared" ref="J56:J60" ca="1" si="165">K56-E56</f>
        <v>6.2979999999999983E-5</v>
      </c>
      <c r="K56" s="14">
        <f t="shared" ref="K56:K60" ca="1" si="166">MAX(0,MIN(1,D56+(K$4-D$4)*E56))</f>
        <v>4.2119999999999983E-5</v>
      </c>
      <c r="L56" s="15">
        <f t="shared" ref="L56:AD60" ca="1" si="167">MAX(0,MIN(1,K56+$I56))</f>
        <v>2.8079999999999989E-5</v>
      </c>
      <c r="M56" s="15">
        <f t="shared" ca="1" si="167"/>
        <v>1.4039999999999994E-5</v>
      </c>
      <c r="N56" s="15">
        <f t="shared" ca="1" si="167"/>
        <v>0</v>
      </c>
      <c r="O56" s="15">
        <f t="shared" ca="1" si="167"/>
        <v>0</v>
      </c>
      <c r="P56" s="15">
        <f t="shared" ca="1" si="167"/>
        <v>0</v>
      </c>
      <c r="Q56" s="15">
        <f t="shared" ca="1" si="167"/>
        <v>0</v>
      </c>
      <c r="R56" s="15">
        <f t="shared" ca="1" si="167"/>
        <v>0</v>
      </c>
      <c r="S56" s="15">
        <f t="shared" ca="1" si="167"/>
        <v>0</v>
      </c>
      <c r="T56" s="15">
        <f t="shared" ca="1" si="167"/>
        <v>0</v>
      </c>
      <c r="U56" s="15">
        <f t="shared" ca="1" si="167"/>
        <v>0</v>
      </c>
      <c r="V56" s="15">
        <f t="shared" ca="1" si="167"/>
        <v>0</v>
      </c>
      <c r="W56" s="15">
        <f t="shared" ca="1" si="167"/>
        <v>0</v>
      </c>
      <c r="X56" s="15">
        <f t="shared" ca="1" si="167"/>
        <v>0</v>
      </c>
      <c r="Y56" s="15">
        <f t="shared" ca="1" si="167"/>
        <v>0</v>
      </c>
      <c r="Z56" s="15">
        <f t="shared" ca="1" si="167"/>
        <v>0</v>
      </c>
      <c r="AA56" s="15">
        <f t="shared" ca="1" si="167"/>
        <v>0</v>
      </c>
      <c r="AB56" s="15">
        <f t="shared" ca="1" si="167"/>
        <v>0</v>
      </c>
      <c r="AC56" s="15">
        <f t="shared" ca="1" si="167"/>
        <v>0</v>
      </c>
      <c r="AD56" s="15">
        <f t="shared" ca="1" si="167"/>
        <v>0</v>
      </c>
      <c r="AE56" s="5"/>
      <c r="AG56" s="1" t="s">
        <v>54</v>
      </c>
      <c r="AH56" s="37">
        <f t="shared" ref="AH56:AH60" ca="1" si="168">J56*AH$61</f>
        <v>267.86804665407533</v>
      </c>
      <c r="AI56" s="37">
        <f t="shared" ca="1" si="161"/>
        <v>186.03491991346547</v>
      </c>
      <c r="AJ56" s="37">
        <f t="shared" ca="1" si="162"/>
        <v>128.76440378632455</v>
      </c>
      <c r="AK56" s="37">
        <f t="shared" ca="1" si="162"/>
        <v>66.744219425999518</v>
      </c>
      <c r="AL56" s="37">
        <f t="shared" ca="1" si="162"/>
        <v>0</v>
      </c>
      <c r="AM56" s="37">
        <f t="shared" ca="1" si="162"/>
        <v>0</v>
      </c>
      <c r="AN56" s="37">
        <f t="shared" ca="1" si="162"/>
        <v>0</v>
      </c>
      <c r="AO56" s="37">
        <f t="shared" ca="1" si="162"/>
        <v>0</v>
      </c>
      <c r="AP56" s="37">
        <f t="shared" ca="1" si="162"/>
        <v>0</v>
      </c>
      <c r="AQ56" s="37">
        <f t="shared" ca="1" si="162"/>
        <v>0</v>
      </c>
      <c r="AR56" s="37">
        <f t="shared" ca="1" si="162"/>
        <v>0</v>
      </c>
      <c r="AS56" s="37">
        <f t="shared" ca="1" si="162"/>
        <v>0</v>
      </c>
      <c r="AT56" s="37">
        <f t="shared" ca="1" si="163"/>
        <v>0</v>
      </c>
      <c r="AU56" s="37">
        <f t="shared" ca="1" si="163"/>
        <v>0</v>
      </c>
      <c r="AV56" s="37">
        <f t="shared" ca="1" si="163"/>
        <v>0</v>
      </c>
      <c r="AW56" s="37">
        <f t="shared" ca="1" si="163"/>
        <v>0</v>
      </c>
      <c r="AX56" s="37">
        <f t="shared" ca="1" si="163"/>
        <v>0</v>
      </c>
      <c r="AY56" s="37">
        <f t="shared" ca="1" si="163"/>
        <v>0</v>
      </c>
      <c r="AZ56" s="37" t="e">
        <f t="shared" ca="1" si="163"/>
        <v>#N/A</v>
      </c>
      <c r="BA56" s="37" t="e">
        <f t="shared" ca="1" si="163"/>
        <v>#N/A</v>
      </c>
      <c r="BB56" s="37" t="e">
        <f t="shared" ca="1" si="163"/>
        <v>#N/A</v>
      </c>
    </row>
    <row r="57" spans="1:54" x14ac:dyDescent="0.25">
      <c r="B57" s="1" t="s">
        <v>170</v>
      </c>
      <c r="C57" s="14">
        <f ca="1">IUD_Base!C57</f>
        <v>0</v>
      </c>
      <c r="D57" s="14">
        <f ca="1">IUD_Base!D57</f>
        <v>1.6500000000000001E-5</v>
      </c>
      <c r="E57" s="14">
        <f ca="1">IF('User Settings'!$N$7="On",($D57-$C57)/($D$4-$C$4),0)</f>
        <v>3.3000000000000002E-6</v>
      </c>
      <c r="F57" s="14">
        <f ca="1">IUD_Base!F57</f>
        <v>2.6400000000000001E-5</v>
      </c>
      <c r="G57" s="14"/>
      <c r="H57" s="14">
        <f t="shared" ca="1" si="164"/>
        <v>3.6300000000000001E-5</v>
      </c>
      <c r="I57" s="14">
        <f t="shared" ref="I57:I60" ca="1" si="169">($H57-$F57)/($H$4-$F$4)</f>
        <v>3.3000000000000002E-6</v>
      </c>
      <c r="J57" s="14">
        <f t="shared" ca="1" si="165"/>
        <v>2.3100000000000002E-5</v>
      </c>
      <c r="K57" s="14">
        <f t="shared" ca="1" si="166"/>
        <v>2.6400000000000001E-5</v>
      </c>
      <c r="L57" s="15">
        <f t="shared" ca="1" si="167"/>
        <v>2.97E-5</v>
      </c>
      <c r="M57" s="15">
        <f t="shared" ca="1" si="167"/>
        <v>3.3000000000000003E-5</v>
      </c>
      <c r="N57" s="15">
        <f t="shared" ca="1" si="167"/>
        <v>3.6300000000000001E-5</v>
      </c>
      <c r="O57" s="15">
        <f t="shared" ca="1" si="167"/>
        <v>3.96E-5</v>
      </c>
      <c r="P57" s="15">
        <f t="shared" ca="1" si="167"/>
        <v>4.2899999999999999E-5</v>
      </c>
      <c r="Q57" s="15">
        <f t="shared" ca="1" si="167"/>
        <v>4.6199999999999998E-5</v>
      </c>
      <c r="R57" s="15">
        <f t="shared" ca="1" si="167"/>
        <v>4.9499999999999997E-5</v>
      </c>
      <c r="S57" s="15">
        <f t="shared" ca="1" si="167"/>
        <v>5.2799999999999996E-5</v>
      </c>
      <c r="T57" s="15">
        <f t="shared" ca="1" si="167"/>
        <v>5.6099999999999995E-5</v>
      </c>
      <c r="U57" s="15">
        <f t="shared" ca="1" si="167"/>
        <v>5.9399999999999994E-5</v>
      </c>
      <c r="V57" s="15">
        <f t="shared" ca="1" si="167"/>
        <v>6.2699999999999993E-5</v>
      </c>
      <c r="W57" s="15">
        <f t="shared" ca="1" si="167"/>
        <v>6.5999999999999992E-5</v>
      </c>
      <c r="X57" s="15">
        <f t="shared" ca="1" si="167"/>
        <v>6.929999999999999E-5</v>
      </c>
      <c r="Y57" s="15">
        <f t="shared" ca="1" si="167"/>
        <v>7.2599999999999989E-5</v>
      </c>
      <c r="Z57" s="15">
        <f t="shared" ca="1" si="167"/>
        <v>7.5899999999999988E-5</v>
      </c>
      <c r="AA57" s="15">
        <f t="shared" ca="1" si="167"/>
        <v>7.9199999999999987E-5</v>
      </c>
      <c r="AB57" s="15">
        <f t="shared" ca="1" si="167"/>
        <v>8.2499999999999986E-5</v>
      </c>
      <c r="AC57" s="15">
        <f t="shared" ca="1" si="167"/>
        <v>8.5799999999999985E-5</v>
      </c>
      <c r="AD57" s="15">
        <f t="shared" ca="1" si="167"/>
        <v>8.9099999999999984E-5</v>
      </c>
      <c r="AE57" s="5"/>
      <c r="AG57" s="1" t="s">
        <v>170</v>
      </c>
      <c r="AH57" s="37">
        <f t="shared" ca="1" si="168"/>
        <v>98.24947408239349</v>
      </c>
      <c r="AI57" s="37">
        <f t="shared" ca="1" si="161"/>
        <v>116.60308370644564</v>
      </c>
      <c r="AJ57" s="37">
        <f t="shared" ca="1" si="162"/>
        <v>136.19311938938179</v>
      </c>
      <c r="AK57" s="37">
        <f t="shared" ca="1" si="162"/>
        <v>156.87743882179382</v>
      </c>
      <c r="AL57" s="37">
        <f t="shared" ca="1" si="162"/>
        <v>178.89554658757126</v>
      </c>
      <c r="AM57" s="37">
        <f t="shared" ca="1" si="162"/>
        <v>202.28452978383936</v>
      </c>
      <c r="AN57" s="37">
        <f t="shared" ca="1" si="162"/>
        <v>227.06998312725014</v>
      </c>
      <c r="AO57" s="37">
        <f t="shared" ca="1" si="162"/>
        <v>253.2842233189422</v>
      </c>
      <c r="AP57" s="37">
        <f t="shared" ca="1" si="162"/>
        <v>280.77947043453452</v>
      </c>
      <c r="AQ57" s="37">
        <f t="shared" ca="1" si="162"/>
        <v>309.79155686268763</v>
      </c>
      <c r="AR57" s="37">
        <f t="shared" ca="1" si="162"/>
        <v>340.37429305740562</v>
      </c>
      <c r="AS57" s="37">
        <f t="shared" ca="1" si="162"/>
        <v>372.59845487633737</v>
      </c>
      <c r="AT57" s="37">
        <f t="shared" ca="1" si="163"/>
        <v>406.5266909382749</v>
      </c>
      <c r="AU57" s="37">
        <f t="shared" ca="1" si="163"/>
        <v>441.95465706419276</v>
      </c>
      <c r="AV57" s="37">
        <f t="shared" ca="1" si="163"/>
        <v>479.19758528090983</v>
      </c>
      <c r="AW57" s="37">
        <f t="shared" ca="1" si="163"/>
        <v>518.28396380128106</v>
      </c>
      <c r="AX57" s="37">
        <f t="shared" ca="1" si="163"/>
        <v>559.23247033693372</v>
      </c>
      <c r="AY57" s="37">
        <f t="shared" ca="1" si="163"/>
        <v>602.0679347367377</v>
      </c>
      <c r="AZ57" s="37" t="e">
        <f t="shared" ca="1" si="163"/>
        <v>#N/A</v>
      </c>
      <c r="BA57" s="37" t="e">
        <f t="shared" ca="1" si="163"/>
        <v>#N/A</v>
      </c>
      <c r="BB57" s="37" t="e">
        <f t="shared" ca="1" si="163"/>
        <v>#N/A</v>
      </c>
    </row>
    <row r="58" spans="1:54" x14ac:dyDescent="0.25">
      <c r="B58" s="1" t="s">
        <v>59</v>
      </c>
      <c r="C58" s="14">
        <f ca="1">IUD_Base!C58</f>
        <v>0</v>
      </c>
      <c r="D58" s="14">
        <f ca="1">IUD_Base!D58</f>
        <v>8.5139999999999999E-4</v>
      </c>
      <c r="E58" s="14">
        <f ca="1">IF('User Settings'!$N$7="On",($D58-$C58)/($D$4-$C$4),0)</f>
        <v>1.7028E-4</v>
      </c>
      <c r="F58" s="14">
        <f ca="1">IUD_Base!F58</f>
        <v>1.36224E-3</v>
      </c>
      <c r="G58" s="14"/>
      <c r="H58" s="14">
        <f t="shared" ca="1" si="164"/>
        <v>1.8730800000000001E-3</v>
      </c>
      <c r="I58" s="14">
        <f t="shared" ca="1" si="169"/>
        <v>1.7028E-4</v>
      </c>
      <c r="J58" s="14">
        <f t="shared" ca="1" si="165"/>
        <v>1.1919599999999999E-3</v>
      </c>
      <c r="K58" s="14">
        <f t="shared" ca="1" si="166"/>
        <v>1.36224E-3</v>
      </c>
      <c r="L58" s="15">
        <f t="shared" ca="1" si="167"/>
        <v>1.5325200000000001E-3</v>
      </c>
      <c r="M58" s="15">
        <f t="shared" ca="1" si="167"/>
        <v>1.7028000000000002E-3</v>
      </c>
      <c r="N58" s="15">
        <f t="shared" ca="1" si="167"/>
        <v>1.8730800000000003E-3</v>
      </c>
      <c r="O58" s="15">
        <f t="shared" ca="1" si="167"/>
        <v>2.0433600000000001E-3</v>
      </c>
      <c r="P58" s="15">
        <f t="shared" ca="1" si="167"/>
        <v>2.2136400000000002E-3</v>
      </c>
      <c r="Q58" s="15">
        <f t="shared" ca="1" si="167"/>
        <v>2.3839200000000003E-3</v>
      </c>
      <c r="R58" s="15">
        <f t="shared" ca="1" si="167"/>
        <v>2.5542000000000004E-3</v>
      </c>
      <c r="S58" s="15">
        <f t="shared" ca="1" si="167"/>
        <v>2.7244800000000005E-3</v>
      </c>
      <c r="T58" s="15">
        <f t="shared" ca="1" si="167"/>
        <v>2.8947600000000006E-3</v>
      </c>
      <c r="U58" s="15">
        <f t="shared" ca="1" si="167"/>
        <v>3.0650400000000006E-3</v>
      </c>
      <c r="V58" s="15">
        <f t="shared" ca="1" si="167"/>
        <v>3.2353200000000007E-3</v>
      </c>
      <c r="W58" s="15">
        <f t="shared" ca="1" si="167"/>
        <v>3.4056000000000008E-3</v>
      </c>
      <c r="X58" s="15">
        <f t="shared" ca="1" si="167"/>
        <v>3.5758800000000009E-3</v>
      </c>
      <c r="Y58" s="15">
        <f t="shared" ca="1" si="167"/>
        <v>3.746160000000001E-3</v>
      </c>
      <c r="Z58" s="15">
        <f t="shared" ca="1" si="167"/>
        <v>3.9164400000000011E-3</v>
      </c>
      <c r="AA58" s="15">
        <f t="shared" ca="1" si="167"/>
        <v>4.0867200000000012E-3</v>
      </c>
      <c r="AB58" s="15">
        <f t="shared" ca="1" si="167"/>
        <v>4.2570000000000012E-3</v>
      </c>
      <c r="AC58" s="15">
        <f t="shared" ca="1" si="167"/>
        <v>4.4272800000000013E-3</v>
      </c>
      <c r="AD58" s="15">
        <f t="shared" ca="1" si="167"/>
        <v>4.5975600000000014E-3</v>
      </c>
      <c r="AE58" s="5"/>
      <c r="AG58" s="1" t="s">
        <v>59</v>
      </c>
      <c r="AH58" s="37">
        <f t="shared" ca="1" si="168"/>
        <v>5069.6728626515032</v>
      </c>
      <c r="AI58" s="37">
        <f t="shared" ca="1" si="161"/>
        <v>6016.7191192525952</v>
      </c>
      <c r="AJ58" s="37">
        <f t="shared" ca="1" si="162"/>
        <v>7027.5649604921009</v>
      </c>
      <c r="AK58" s="37">
        <f t="shared" ca="1" si="162"/>
        <v>8094.8758432045606</v>
      </c>
      <c r="AL58" s="37">
        <f t="shared" ca="1" si="162"/>
        <v>9231.0102039186768</v>
      </c>
      <c r="AM58" s="37">
        <f t="shared" ca="1" si="162"/>
        <v>10437.881736846111</v>
      </c>
      <c r="AN58" s="37">
        <f t="shared" ca="1" si="162"/>
        <v>11716.81112936611</v>
      </c>
      <c r="AO58" s="37">
        <f t="shared" ca="1" si="162"/>
        <v>13069.465923257419</v>
      </c>
      <c r="AP58" s="37">
        <f t="shared" ca="1" si="162"/>
        <v>14488.220674421986</v>
      </c>
      <c r="AQ58" s="37">
        <f t="shared" ca="1" si="162"/>
        <v>15985.244334114686</v>
      </c>
      <c r="AR58" s="37">
        <f t="shared" ca="1" si="162"/>
        <v>17563.313521762135</v>
      </c>
      <c r="AS58" s="37">
        <f t="shared" ca="1" si="162"/>
        <v>19226.080271619016</v>
      </c>
      <c r="AT58" s="37">
        <f t="shared" ca="1" si="163"/>
        <v>20976.777252414991</v>
      </c>
      <c r="AU58" s="37">
        <f t="shared" ca="1" si="163"/>
        <v>22804.860304512353</v>
      </c>
      <c r="AV58" s="37">
        <f t="shared" ca="1" si="163"/>
        <v>24726.595400494956</v>
      </c>
      <c r="AW58" s="37">
        <f t="shared" ca="1" si="163"/>
        <v>26743.452532146115</v>
      </c>
      <c r="AX58" s="37">
        <f t="shared" ca="1" si="163"/>
        <v>28856.395469385792</v>
      </c>
      <c r="AY58" s="37">
        <f t="shared" ca="1" si="163"/>
        <v>31066.705432415682</v>
      </c>
      <c r="AZ58" s="37" t="e">
        <f t="shared" ca="1" si="163"/>
        <v>#N/A</v>
      </c>
      <c r="BA58" s="37" t="e">
        <f t="shared" ca="1" si="163"/>
        <v>#N/A</v>
      </c>
      <c r="BB58" s="37" t="e">
        <f t="shared" ca="1" si="163"/>
        <v>#N/A</v>
      </c>
    </row>
    <row r="59" spans="1:54" x14ac:dyDescent="0.25">
      <c r="B59" s="1" t="s">
        <v>171</v>
      </c>
      <c r="C59" s="14">
        <f ca="1">IUD_Base!C59</f>
        <v>0</v>
      </c>
      <c r="D59" s="14">
        <f ca="1">IUD_Base!D59</f>
        <v>0</v>
      </c>
      <c r="E59" s="14">
        <f ca="1">IF('User Settings'!$N$7="On",($D59-$C59)/($D$4-$C$4),0)</f>
        <v>0</v>
      </c>
      <c r="F59" s="14">
        <f ca="1">IUD_Base!F59</f>
        <v>0</v>
      </c>
      <c r="G59" s="14"/>
      <c r="H59" s="14">
        <f t="shared" ca="1" si="164"/>
        <v>0</v>
      </c>
      <c r="I59" s="14">
        <f t="shared" ca="1" si="169"/>
        <v>0</v>
      </c>
      <c r="J59" s="14">
        <f t="shared" ca="1" si="165"/>
        <v>0</v>
      </c>
      <c r="K59" s="14">
        <f t="shared" ca="1" si="166"/>
        <v>0</v>
      </c>
      <c r="L59" s="15">
        <f t="shared" ca="1" si="167"/>
        <v>0</v>
      </c>
      <c r="M59" s="15">
        <f t="shared" ca="1" si="167"/>
        <v>0</v>
      </c>
      <c r="N59" s="15">
        <f t="shared" ca="1" si="167"/>
        <v>0</v>
      </c>
      <c r="O59" s="15">
        <f t="shared" ca="1" si="167"/>
        <v>0</v>
      </c>
      <c r="P59" s="15">
        <f t="shared" ca="1" si="167"/>
        <v>0</v>
      </c>
      <c r="Q59" s="15">
        <f t="shared" ca="1" si="167"/>
        <v>0</v>
      </c>
      <c r="R59" s="15">
        <f t="shared" ca="1" si="167"/>
        <v>0</v>
      </c>
      <c r="S59" s="15">
        <f t="shared" ca="1" si="167"/>
        <v>0</v>
      </c>
      <c r="T59" s="15">
        <f t="shared" ca="1" si="167"/>
        <v>0</v>
      </c>
      <c r="U59" s="15">
        <f t="shared" ca="1" si="167"/>
        <v>0</v>
      </c>
      <c r="V59" s="15">
        <f t="shared" ca="1" si="167"/>
        <v>0</v>
      </c>
      <c r="W59" s="15">
        <f t="shared" ca="1" si="167"/>
        <v>0</v>
      </c>
      <c r="X59" s="15">
        <f t="shared" ca="1" si="167"/>
        <v>0</v>
      </c>
      <c r="Y59" s="15">
        <f t="shared" ca="1" si="167"/>
        <v>0</v>
      </c>
      <c r="Z59" s="15">
        <f t="shared" ca="1" si="167"/>
        <v>0</v>
      </c>
      <c r="AA59" s="15">
        <f t="shared" ca="1" si="167"/>
        <v>0</v>
      </c>
      <c r="AB59" s="15">
        <f t="shared" ca="1" si="167"/>
        <v>0</v>
      </c>
      <c r="AC59" s="15">
        <f t="shared" ca="1" si="167"/>
        <v>0</v>
      </c>
      <c r="AD59" s="15">
        <f t="shared" ca="1" si="167"/>
        <v>0</v>
      </c>
      <c r="AE59" s="5"/>
      <c r="AG59" s="1" t="s">
        <v>171</v>
      </c>
      <c r="AH59" s="37">
        <f t="shared" ca="1" si="168"/>
        <v>0</v>
      </c>
      <c r="AI59" s="37">
        <f t="shared" ca="1" si="161"/>
        <v>0</v>
      </c>
      <c r="AJ59" s="37">
        <f t="shared" ca="1" si="162"/>
        <v>0</v>
      </c>
      <c r="AK59" s="37">
        <f t="shared" ca="1" si="162"/>
        <v>0</v>
      </c>
      <c r="AL59" s="37">
        <f t="shared" ca="1" si="162"/>
        <v>0</v>
      </c>
      <c r="AM59" s="37">
        <f t="shared" ca="1" si="162"/>
        <v>0</v>
      </c>
      <c r="AN59" s="37">
        <f t="shared" ca="1" si="162"/>
        <v>0</v>
      </c>
      <c r="AO59" s="37">
        <f t="shared" ca="1" si="162"/>
        <v>0</v>
      </c>
      <c r="AP59" s="37">
        <f t="shared" ca="1" si="162"/>
        <v>0</v>
      </c>
      <c r="AQ59" s="37">
        <f t="shared" ca="1" si="162"/>
        <v>0</v>
      </c>
      <c r="AR59" s="37">
        <f t="shared" ca="1" si="162"/>
        <v>0</v>
      </c>
      <c r="AS59" s="37">
        <f t="shared" ca="1" si="162"/>
        <v>0</v>
      </c>
      <c r="AT59" s="37">
        <f t="shared" ca="1" si="163"/>
        <v>0</v>
      </c>
      <c r="AU59" s="37">
        <f t="shared" ca="1" si="163"/>
        <v>0</v>
      </c>
      <c r="AV59" s="37">
        <f t="shared" ca="1" si="163"/>
        <v>0</v>
      </c>
      <c r="AW59" s="37">
        <f t="shared" ca="1" si="163"/>
        <v>0</v>
      </c>
      <c r="AX59" s="37">
        <f t="shared" ca="1" si="163"/>
        <v>0</v>
      </c>
      <c r="AY59" s="37">
        <f t="shared" ca="1" si="163"/>
        <v>0</v>
      </c>
      <c r="AZ59" s="37" t="e">
        <f t="shared" ca="1" si="163"/>
        <v>#N/A</v>
      </c>
      <c r="BA59" s="37" t="e">
        <f t="shared" ca="1" si="163"/>
        <v>#N/A</v>
      </c>
      <c r="BB59" s="37" t="e">
        <f t="shared" ca="1" si="163"/>
        <v>#N/A</v>
      </c>
    </row>
    <row r="60" spans="1:54" x14ac:dyDescent="0.25">
      <c r="B60" s="1" t="s">
        <v>116</v>
      </c>
      <c r="C60" s="14">
        <f ca="1">IUD_Base!C60</f>
        <v>0</v>
      </c>
      <c r="D60" s="14">
        <f ca="1">IUD_Base!D60</f>
        <v>0</v>
      </c>
      <c r="E60" s="14">
        <f ca="1">IF('User Settings'!$N$7="On",($D60-$C60)/($D$4-$C$4),0)</f>
        <v>0</v>
      </c>
      <c r="F60" s="14">
        <f ca="1">IUD_Base!F60</f>
        <v>0</v>
      </c>
      <c r="G60" s="14"/>
      <c r="H60" s="14">
        <f t="shared" ca="1" si="164"/>
        <v>0</v>
      </c>
      <c r="I60" s="14">
        <f t="shared" ca="1" si="169"/>
        <v>0</v>
      </c>
      <c r="J60" s="14">
        <f t="shared" ca="1" si="165"/>
        <v>0</v>
      </c>
      <c r="K60" s="14">
        <f t="shared" ca="1" si="166"/>
        <v>0</v>
      </c>
      <c r="L60" s="15">
        <f t="shared" ca="1" si="167"/>
        <v>0</v>
      </c>
      <c r="M60" s="15">
        <f t="shared" ca="1" si="167"/>
        <v>0</v>
      </c>
      <c r="N60" s="15">
        <f t="shared" ca="1" si="167"/>
        <v>0</v>
      </c>
      <c r="O60" s="15">
        <f t="shared" ca="1" si="167"/>
        <v>0</v>
      </c>
      <c r="P60" s="15">
        <f t="shared" ca="1" si="167"/>
        <v>0</v>
      </c>
      <c r="Q60" s="15">
        <f t="shared" ca="1" si="167"/>
        <v>0</v>
      </c>
      <c r="R60" s="15">
        <f t="shared" ca="1" si="167"/>
        <v>0</v>
      </c>
      <c r="S60" s="15">
        <f t="shared" ca="1" si="167"/>
        <v>0</v>
      </c>
      <c r="T60" s="15">
        <f t="shared" ca="1" si="167"/>
        <v>0</v>
      </c>
      <c r="U60" s="15">
        <f t="shared" ca="1" si="167"/>
        <v>0</v>
      </c>
      <c r="V60" s="15">
        <f t="shared" ca="1" si="167"/>
        <v>0</v>
      </c>
      <c r="W60" s="15">
        <f t="shared" ca="1" si="167"/>
        <v>0</v>
      </c>
      <c r="X60" s="15">
        <f t="shared" ca="1" si="167"/>
        <v>0</v>
      </c>
      <c r="Y60" s="15">
        <f t="shared" ca="1" si="167"/>
        <v>0</v>
      </c>
      <c r="Z60" s="15">
        <f t="shared" ca="1" si="167"/>
        <v>0</v>
      </c>
      <c r="AA60" s="15">
        <f t="shared" ca="1" si="167"/>
        <v>0</v>
      </c>
      <c r="AB60" s="15">
        <f t="shared" ca="1" si="167"/>
        <v>0</v>
      </c>
      <c r="AC60" s="15">
        <f t="shared" ca="1" si="167"/>
        <v>0</v>
      </c>
      <c r="AD60" s="15">
        <f t="shared" ca="1" si="167"/>
        <v>0</v>
      </c>
      <c r="AE60" s="5"/>
      <c r="AG60" s="1" t="s">
        <v>116</v>
      </c>
      <c r="AH60" s="37">
        <f t="shared" ca="1" si="168"/>
        <v>0</v>
      </c>
      <c r="AI60" s="37">
        <f t="shared" ca="1" si="161"/>
        <v>0</v>
      </c>
      <c r="AJ60" s="37">
        <f t="shared" ca="1" si="162"/>
        <v>0</v>
      </c>
      <c r="AK60" s="37">
        <f t="shared" ca="1" si="162"/>
        <v>0</v>
      </c>
      <c r="AL60" s="37">
        <f t="shared" ca="1" si="162"/>
        <v>0</v>
      </c>
      <c r="AM60" s="37">
        <f t="shared" ca="1" si="162"/>
        <v>0</v>
      </c>
      <c r="AN60" s="37">
        <f t="shared" ca="1" si="162"/>
        <v>0</v>
      </c>
      <c r="AO60" s="37">
        <f t="shared" ca="1" si="162"/>
        <v>0</v>
      </c>
      <c r="AP60" s="37">
        <f t="shared" ca="1" si="162"/>
        <v>0</v>
      </c>
      <c r="AQ60" s="37">
        <f t="shared" ca="1" si="162"/>
        <v>0</v>
      </c>
      <c r="AR60" s="37">
        <f t="shared" ca="1" si="162"/>
        <v>0</v>
      </c>
      <c r="AS60" s="37">
        <f t="shared" ca="1" si="162"/>
        <v>0</v>
      </c>
      <c r="AT60" s="37">
        <f t="shared" ca="1" si="163"/>
        <v>0</v>
      </c>
      <c r="AU60" s="37">
        <f t="shared" ca="1" si="163"/>
        <v>0</v>
      </c>
      <c r="AV60" s="37">
        <f t="shared" ca="1" si="163"/>
        <v>0</v>
      </c>
      <c r="AW60" s="37">
        <f t="shared" ca="1" si="163"/>
        <v>0</v>
      </c>
      <c r="AX60" s="37">
        <f t="shared" ca="1" si="163"/>
        <v>0</v>
      </c>
      <c r="AY60" s="37">
        <f t="shared" ca="1" si="163"/>
        <v>0</v>
      </c>
      <c r="AZ60" s="37" t="e">
        <f t="shared" ca="1" si="163"/>
        <v>#N/A</v>
      </c>
      <c r="BA60" s="37" t="e">
        <f t="shared" ca="1" si="163"/>
        <v>#N/A</v>
      </c>
      <c r="BB60" s="37" t="e">
        <f t="shared" ca="1" si="163"/>
        <v>#N/A</v>
      </c>
    </row>
    <row r="61" spans="1:54" x14ac:dyDescent="0.25">
      <c r="D61" s="5">
        <f ca="1">SUM(D55:D60)</f>
        <v>6.1198999999999993E-3</v>
      </c>
      <c r="F61" s="132">
        <f ca="1">SUM(F55:F60)</f>
        <v>9.09014E-3</v>
      </c>
      <c r="G61" s="132"/>
      <c r="H61" s="132">
        <f ca="1">SUM(H55:H60)</f>
        <v>1.2080839999999999E-2</v>
      </c>
      <c r="I61" s="132"/>
      <c r="J61" s="132">
        <f ca="1">SUM(J55:J60)</f>
        <v>8.1000599999999992E-3</v>
      </c>
      <c r="K61" s="132">
        <f ca="1">SUM(K55:K60)</f>
        <v>9.09014E-3</v>
      </c>
      <c r="L61" s="5">
        <f t="shared" ref="L61:AD61" ca="1" si="170">SUM(L55:L60)</f>
        <v>1.008704E-2</v>
      </c>
      <c r="M61" s="5">
        <f t="shared" ca="1" si="170"/>
        <v>1.108394E-2</v>
      </c>
      <c r="N61" s="5">
        <f t="shared" ca="1" si="170"/>
        <v>1.2080840000000001E-2</v>
      </c>
      <c r="O61" s="5">
        <f t="shared" ca="1" si="170"/>
        <v>1.3091780000000001E-2</v>
      </c>
      <c r="P61" s="5">
        <f t="shared" ca="1" si="170"/>
        <v>1.4102720000000003E-2</v>
      </c>
      <c r="Q61" s="5">
        <f t="shared" ca="1" si="170"/>
        <v>1.5113660000000001E-2</v>
      </c>
      <c r="R61" s="5">
        <f t="shared" ca="1" si="170"/>
        <v>1.6124600000000003E-2</v>
      </c>
      <c r="S61" s="5">
        <f t="shared" ca="1" si="170"/>
        <v>1.7135540000000005E-2</v>
      </c>
      <c r="T61" s="5">
        <f t="shared" ca="1" si="170"/>
        <v>1.8146480000000003E-2</v>
      </c>
      <c r="U61" s="5">
        <f t="shared" ca="1" si="170"/>
        <v>1.9157420000000005E-2</v>
      </c>
      <c r="V61" s="5">
        <f t="shared" ca="1" si="170"/>
        <v>2.016836E-2</v>
      </c>
      <c r="W61" s="5">
        <f t="shared" ca="1" si="170"/>
        <v>2.1179300000000002E-2</v>
      </c>
      <c r="X61" s="5">
        <f t="shared" ca="1" si="170"/>
        <v>2.219024E-2</v>
      </c>
      <c r="Y61" s="5">
        <f t="shared" ca="1" si="170"/>
        <v>2.3201179999999998E-2</v>
      </c>
      <c r="Z61" s="5">
        <f t="shared" ca="1" si="170"/>
        <v>2.4212119999999997E-2</v>
      </c>
      <c r="AA61" s="5">
        <f t="shared" ca="1" si="170"/>
        <v>2.5223059999999999E-2</v>
      </c>
      <c r="AB61" s="5">
        <f t="shared" ca="1" si="170"/>
        <v>2.6233999999999993E-2</v>
      </c>
      <c r="AC61" s="5">
        <f t="shared" ca="1" si="170"/>
        <v>2.7244939999999995E-2</v>
      </c>
      <c r="AD61" s="5">
        <f t="shared" ca="1" si="170"/>
        <v>2.8255879999999994E-2</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171">AJ66+1</f>
        <v>2021</v>
      </c>
      <c r="AL66" s="36">
        <f t="shared" si="171"/>
        <v>2022</v>
      </c>
      <c r="AM66" s="36">
        <f t="shared" si="171"/>
        <v>2023</v>
      </c>
      <c r="AN66" s="36">
        <f t="shared" si="171"/>
        <v>2024</v>
      </c>
      <c r="AO66" s="36">
        <f t="shared" si="171"/>
        <v>2025</v>
      </c>
      <c r="AP66" s="36">
        <f t="shared" si="171"/>
        <v>2026</v>
      </c>
      <c r="AQ66" s="36">
        <f t="shared" si="171"/>
        <v>2027</v>
      </c>
      <c r="AR66" s="36">
        <f t="shared" si="171"/>
        <v>2028</v>
      </c>
      <c r="AS66" s="36">
        <f t="shared" si="171"/>
        <v>2029</v>
      </c>
      <c r="AT66" s="36">
        <f t="shared" si="171"/>
        <v>2030</v>
      </c>
      <c r="AU66" s="36">
        <f t="shared" si="171"/>
        <v>2031</v>
      </c>
      <c r="AV66" s="36">
        <f t="shared" si="171"/>
        <v>2032</v>
      </c>
      <c r="AW66" s="36">
        <f t="shared" si="171"/>
        <v>2033</v>
      </c>
      <c r="AX66" s="36">
        <f t="shared" si="171"/>
        <v>2034</v>
      </c>
      <c r="AY66" s="36">
        <f t="shared" si="171"/>
        <v>2035</v>
      </c>
      <c r="AZ66" s="36">
        <f t="shared" si="171"/>
        <v>2036</v>
      </c>
      <c r="BA66" s="36">
        <f t="shared" si="171"/>
        <v>2037</v>
      </c>
      <c r="BB66" s="36">
        <f t="shared" si="171"/>
        <v>2038</v>
      </c>
    </row>
    <row r="67" spans="1:54" x14ac:dyDescent="0.25">
      <c r="A67"/>
      <c r="AF67"/>
      <c r="AH67" s="128">
        <f>AI67</f>
        <v>1</v>
      </c>
      <c r="AI67" s="128">
        <f>1-VLOOKUP($A$1,Dashboard!$U$4:$W$9,2,FALSE)</f>
        <v>1</v>
      </c>
      <c r="AJ67" s="128">
        <f>MAX(0,AI67-(VLOOKUP($A$1,Dashboard!$U$4:$W$9,3,FALSE)-VLOOKUP($A$1,Dashboard!$U$4:$W$9,2,FALSE))/(Yr_End-Yr_Start))</f>
        <v>0.96666666666666667</v>
      </c>
      <c r="AK67" s="128">
        <f>MAX(0,AJ67-(VLOOKUP($A$1,Dashboard!$U$4:$W$9,3,FALSE)-VLOOKUP($A$1,Dashboard!$U$4:$W$9,2,FALSE))/(Yr_End-Yr_Start))</f>
        <v>0.93333333333333335</v>
      </c>
      <c r="AL67" s="128">
        <f>MAX(0,AK67-(VLOOKUP($A$1,Dashboard!$U$4:$W$9,3,FALSE)-VLOOKUP($A$1,Dashboard!$U$4:$W$9,2,FALSE))/(Yr_End-Yr_Start))</f>
        <v>0.9</v>
      </c>
      <c r="AM67" s="128">
        <f>MAX(0,AL67-(VLOOKUP($A$1,Dashboard!$U$4:$W$9,3,FALSE)-VLOOKUP($A$1,Dashboard!$U$4:$W$9,2,FALSE))/(Yr_End-Yr_Start))</f>
        <v>0.8666666666666667</v>
      </c>
      <c r="AN67" s="128">
        <f>MAX(0,AM67-(VLOOKUP($A$1,Dashboard!$U$4:$W$9,3,FALSE)-VLOOKUP($A$1,Dashboard!$U$4:$W$9,2,FALSE))/(Yr_End-Yr_Start))</f>
        <v>0.83333333333333337</v>
      </c>
      <c r="AO67" s="128">
        <f>MAX(0,AN67-(VLOOKUP($A$1,Dashboard!$U$4:$W$9,3,FALSE)-VLOOKUP($A$1,Dashboard!$U$4:$W$9,2,FALSE))/(Yr_End-Yr_Start))</f>
        <v>0.8</v>
      </c>
      <c r="AP67" s="128">
        <f>MAX(0,AO67-(VLOOKUP($A$1,Dashboard!$U$4:$W$9,3,FALSE)-VLOOKUP($A$1,Dashboard!$U$4:$W$9,2,FALSE))/(Yr_End-Yr_Start))</f>
        <v>0.76666666666666672</v>
      </c>
      <c r="AQ67" s="128">
        <f>MAX(0,AP67-(VLOOKUP($A$1,Dashboard!$U$4:$W$9,3,FALSE)-VLOOKUP($A$1,Dashboard!$U$4:$W$9,2,FALSE))/(Yr_End-Yr_Start))</f>
        <v>0.73333333333333339</v>
      </c>
      <c r="AR67" s="128">
        <f>MAX(0,AQ67-(VLOOKUP($A$1,Dashboard!$U$4:$W$9,3,FALSE)-VLOOKUP($A$1,Dashboard!$U$4:$W$9,2,FALSE))/(Yr_End-Yr_Start))</f>
        <v>0.70000000000000007</v>
      </c>
      <c r="AS67" s="128">
        <f>MAX(0,AR67-(VLOOKUP($A$1,Dashboard!$U$4:$W$9,3,FALSE)-VLOOKUP($A$1,Dashboard!$U$4:$W$9,2,FALSE))/(Yr_End-Yr_Start))</f>
        <v>0.66666666666666674</v>
      </c>
      <c r="AT67" s="128">
        <f>MAX(0,AS67-(VLOOKUP($A$1,Dashboard!$U$4:$W$9,3,FALSE)-VLOOKUP($A$1,Dashboard!$U$4:$W$9,2,FALSE))/(Yr_End-Yr_Start))</f>
        <v>0.63333333333333341</v>
      </c>
      <c r="AU67" s="128">
        <f>MAX(0,AT67-(VLOOKUP($A$1,Dashboard!$U$4:$W$9,3,FALSE)-VLOOKUP($A$1,Dashboard!$U$4:$W$9,2,FALSE))/(Yr_End-Yr_Start))</f>
        <v>0.60000000000000009</v>
      </c>
      <c r="AV67" s="128">
        <f>MAX(0,AU67-(VLOOKUP($A$1,Dashboard!$U$4:$W$9,3,FALSE)-VLOOKUP($A$1,Dashboard!$U$4:$W$9,2,FALSE))/(Yr_End-Yr_Start))</f>
        <v>0.56666666666666676</v>
      </c>
      <c r="AW67" s="128">
        <f>MAX(0,AV67-(VLOOKUP($A$1,Dashboard!$U$4:$W$9,3,FALSE)-VLOOKUP($A$1,Dashboard!$U$4:$W$9,2,FALSE))/(Yr_End-Yr_Start))</f>
        <v>0.53333333333333344</v>
      </c>
      <c r="AX67" s="128">
        <f>MAX(0,AW67-(VLOOKUP($A$1,Dashboard!$U$4:$W$9,3,FALSE)-VLOOKUP($A$1,Dashboard!$U$4:$W$9,2,FALSE))/(Yr_End-Yr_Start))</f>
        <v>0.50000000000000011</v>
      </c>
      <c r="AY67" s="128">
        <f>MAX(0,AX67-(VLOOKUP($A$1,Dashboard!$U$4:$W$9,3,FALSE)-VLOOKUP($A$1,Dashboard!$U$4:$W$9,2,FALSE))/(Yr_End-Yr_Start))</f>
        <v>0.46666666666666679</v>
      </c>
      <c r="AZ67" s="128">
        <f>MAX(0,AY67-(VLOOKUP($A$1,Dashboard!$U$4:$W$9,3,FALSE)-VLOOKUP($A$1,Dashboard!$U$4:$W$9,2,FALSE))/(Yr_End-Yr_Start))</f>
        <v>0.43333333333333346</v>
      </c>
      <c r="BA67" s="128">
        <f>MAX(0,AZ67-(VLOOKUP($A$1,Dashboard!$U$4:$W$9,3,FALSE)-VLOOKUP($A$1,Dashboard!$U$4:$W$9,2,FALSE))/(Yr_End-Yr_Start))</f>
        <v>0.40000000000000013</v>
      </c>
      <c r="BB67" s="128">
        <f>MAX(0,BA67-(VLOOKUP($A$1,Dashboard!$U$4:$W$9,3,FALSE)-VLOOKUP($A$1,Dashboard!$U$4:$W$9,2,FALSE))/(Yr_End-Yr_Start))</f>
        <v>0.36666666666666681</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172">AJ70+1</f>
        <v>2021</v>
      </c>
      <c r="AL70" s="36">
        <f t="shared" si="172"/>
        <v>2022</v>
      </c>
      <c r="AM70" s="36">
        <f t="shared" si="172"/>
        <v>2023</v>
      </c>
      <c r="AN70" s="36">
        <f t="shared" si="172"/>
        <v>2024</v>
      </c>
      <c r="AO70" s="36">
        <f t="shared" si="172"/>
        <v>2025</v>
      </c>
      <c r="AP70" s="36">
        <f t="shared" si="172"/>
        <v>2026</v>
      </c>
      <c r="AQ70" s="36">
        <f t="shared" si="172"/>
        <v>2027</v>
      </c>
      <c r="AR70" s="36">
        <f t="shared" si="172"/>
        <v>2028</v>
      </c>
      <c r="AS70" s="36">
        <f t="shared" si="172"/>
        <v>2029</v>
      </c>
      <c r="AT70" s="36">
        <f t="shared" si="172"/>
        <v>2030</v>
      </c>
      <c r="AU70" s="36">
        <f t="shared" si="172"/>
        <v>2031</v>
      </c>
      <c r="AV70" s="36">
        <f t="shared" si="172"/>
        <v>2032</v>
      </c>
      <c r="AW70" s="36">
        <f t="shared" si="172"/>
        <v>2033</v>
      </c>
      <c r="AX70" s="36">
        <f t="shared" si="172"/>
        <v>2034</v>
      </c>
      <c r="AY70" s="36">
        <f t="shared" si="172"/>
        <v>2035</v>
      </c>
      <c r="AZ70" s="36">
        <f t="shared" si="172"/>
        <v>2036</v>
      </c>
      <c r="BA70" s="36">
        <f t="shared" si="172"/>
        <v>2037</v>
      </c>
      <c r="BB70" s="36">
        <f t="shared" si="172"/>
        <v>2038</v>
      </c>
    </row>
    <row r="71" spans="1:54" x14ac:dyDescent="0.25">
      <c r="A71"/>
      <c r="AF71" s="6" t="s">
        <v>179</v>
      </c>
      <c r="AG71" s="1" t="s">
        <v>52</v>
      </c>
      <c r="AH71" s="37">
        <f ca="1">SUM(AH35,AH25,AH15,AH5)</f>
        <v>52742.792546889417</v>
      </c>
      <c r="AI71" s="37">
        <f ca="1">SUM(AI35,AI25,AI15,AI5)</f>
        <v>61553.697875113146</v>
      </c>
      <c r="AJ71" s="37">
        <f t="shared" ref="AJ71:BB71" ca="1" si="173">SUM(AJ35,AJ25,AJ15,AJ5)</f>
        <v>64844.110128790417</v>
      </c>
      <c r="AK71" s="37">
        <f t="shared" ca="1" si="173"/>
        <v>68194.819486648907</v>
      </c>
      <c r="AL71" s="37">
        <f t="shared" ca="1" si="173"/>
        <v>71703.864433599723</v>
      </c>
      <c r="AM71" s="37">
        <f t="shared" ca="1" si="173"/>
        <v>75366.133498837211</v>
      </c>
      <c r="AN71" s="37">
        <f t="shared" ca="1" si="173"/>
        <v>79174.787664282208</v>
      </c>
      <c r="AO71" s="37">
        <f t="shared" ca="1" si="173"/>
        <v>83127.601040016627</v>
      </c>
      <c r="AP71" s="37">
        <f t="shared" ca="1" si="173"/>
        <v>87167.564391586056</v>
      </c>
      <c r="AQ71" s="37">
        <f t="shared" ca="1" si="173"/>
        <v>91362.766065685777</v>
      </c>
      <c r="AR71" s="37">
        <f t="shared" ca="1" si="173"/>
        <v>96539.326556726679</v>
      </c>
      <c r="AS71" s="37">
        <f ca="1">SUM(AS35,AS25,AS15,AS5)</f>
        <v>102645.40173450447</v>
      </c>
      <c r="AT71" s="37">
        <f t="shared" ca="1" si="173"/>
        <v>109030.73447777229</v>
      </c>
      <c r="AU71" s="37">
        <f t="shared" ca="1" si="173"/>
        <v>115635.00909747419</v>
      </c>
      <c r="AV71" s="37">
        <f t="shared" ca="1" si="173"/>
        <v>122536.92544243642</v>
      </c>
      <c r="AW71" s="37">
        <f t="shared" ca="1" si="173"/>
        <v>129736.95309721809</v>
      </c>
      <c r="AX71" s="37">
        <f t="shared" ca="1" si="173"/>
        <v>137233.75166126262</v>
      </c>
      <c r="AY71" s="37">
        <f t="shared" ca="1" si="173"/>
        <v>145028.11279621534</v>
      </c>
      <c r="AZ71" s="37" t="e">
        <f t="shared" ca="1" si="173"/>
        <v>#N/A</v>
      </c>
      <c r="BA71" s="37" t="e">
        <f t="shared" ca="1" si="173"/>
        <v>#N/A</v>
      </c>
      <c r="BB71" s="37" t="e">
        <f t="shared" ca="1" si="173"/>
        <v>#N/A</v>
      </c>
    </row>
    <row r="72" spans="1:54" x14ac:dyDescent="0.25">
      <c r="B72" s="6"/>
      <c r="AG72" s="1" t="s">
        <v>54</v>
      </c>
      <c r="AH72" s="37">
        <f ca="1">SUM(AH36,AH26,AH16,AH6)+SUM(AH40,AH30,AH20,AH10)</f>
        <v>5839.449010278905</v>
      </c>
      <c r="AI72" s="37">
        <f ca="1">SUM(AI36,AI26,AI16,AI6)+SUM(AI40,AI30,AI20,AI10)</f>
        <v>6211.6171871646638</v>
      </c>
      <c r="AJ72" s="37">
        <f t="shared" ref="AJ72:BB72" ca="1" si="174">SUM(AJ36,AJ26,AJ16,AJ6)+SUM(AJ40,AJ30,AJ20,AJ10)</f>
        <v>6540.7863068003626</v>
      </c>
      <c r="AK72" s="37">
        <f t="shared" ca="1" si="174"/>
        <v>6875.8289996911044</v>
      </c>
      <c r="AL72" s="37">
        <f t="shared" ca="1" si="174"/>
        <v>7226.6271083397287</v>
      </c>
      <c r="AM72" s="37">
        <f t="shared" ca="1" si="174"/>
        <v>7592.6547343363854</v>
      </c>
      <c r="AN72" s="37">
        <f t="shared" ca="1" si="174"/>
        <v>7973.2134175736646</v>
      </c>
      <c r="AO72" s="37">
        <f t="shared" ca="1" si="174"/>
        <v>8368.0706608993114</v>
      </c>
      <c r="AP72" s="37">
        <f t="shared" ca="1" si="174"/>
        <v>8771.4820213046896</v>
      </c>
      <c r="AQ72" s="37">
        <f t="shared" ca="1" si="174"/>
        <v>9190.295522283086</v>
      </c>
      <c r="AR72" s="37">
        <f t="shared" ca="1" si="174"/>
        <v>9624.9370665839033</v>
      </c>
      <c r="AS72" s="37">
        <f t="shared" ca="1" si="174"/>
        <v>10127.360750358148</v>
      </c>
      <c r="AT72" s="37">
        <f t="shared" ca="1" si="174"/>
        <v>10729.687299410311</v>
      </c>
      <c r="AU72" s="37">
        <f t="shared" ca="1" si="174"/>
        <v>11351.80060042721</v>
      </c>
      <c r="AV72" s="37">
        <f t="shared" ca="1" si="174"/>
        <v>12001.38937736172</v>
      </c>
      <c r="AW72" s="37">
        <f t="shared" ca="1" si="174"/>
        <v>12678.431011891533</v>
      </c>
      <c r="AX72" s="37">
        <f t="shared" ca="1" si="174"/>
        <v>13382.73264771572</v>
      </c>
      <c r="AY72" s="37">
        <f t="shared" ca="1" si="174"/>
        <v>14114.315871206212</v>
      </c>
      <c r="AZ72" s="37" t="e">
        <f t="shared" ca="1" si="174"/>
        <v>#N/A</v>
      </c>
      <c r="BA72" s="37" t="e">
        <f t="shared" ca="1" si="174"/>
        <v>#N/A</v>
      </c>
      <c r="BB72" s="37" t="e">
        <f t="shared" ca="1" si="174"/>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30442.023976779976</v>
      </c>
      <c r="AI73" s="39">
        <f ca="1">SUM(AI37,AI27,AI17,AI7)+SUM(AI38,AI28,AI18,AI8)*AI67</f>
        <v>32963.967749029565</v>
      </c>
      <c r="AJ73" s="39">
        <f t="shared" ref="AJ73:BB73" ca="1" si="175">SUM(AJ37,AJ27,AJ17,AJ7)+SUM(AJ38,AJ28,AJ18,AJ8)*AJ67</f>
        <v>42342.21896840696</v>
      </c>
      <c r="AK73" s="39">
        <f t="shared" ca="1" si="175"/>
        <v>51652.987852274549</v>
      </c>
      <c r="AL73" s="39">
        <f t="shared" ca="1" si="175"/>
        <v>60906.966013068915</v>
      </c>
      <c r="AM73" s="39">
        <f t="shared" ca="1" si="175"/>
        <v>70050.98774029965</v>
      </c>
      <c r="AN73" s="39">
        <f t="shared" ca="1" si="175"/>
        <v>79022.608065703869</v>
      </c>
      <c r="AO73" s="39">
        <f t="shared" ca="1" si="175"/>
        <v>87757.275188462198</v>
      </c>
      <c r="AP73" s="39">
        <f t="shared" ca="1" si="175"/>
        <v>96124.996589312519</v>
      </c>
      <c r="AQ73" s="39">
        <f t="shared" ca="1" si="175"/>
        <v>104125.75956895415</v>
      </c>
      <c r="AR73" s="39">
        <f t="shared" ca="1" si="175"/>
        <v>111691.97569548599</v>
      </c>
      <c r="AS73" s="39">
        <f ca="1">SUM(AS37,AS27,AS17,AS7)+SUM(AS38,AS28,AS18,AS8)*AS67</f>
        <v>118757.15361148183</v>
      </c>
      <c r="AT73" s="39">
        <f t="shared" ca="1" si="175"/>
        <v>125247.21129181191</v>
      </c>
      <c r="AU73" s="39">
        <f t="shared" ca="1" si="175"/>
        <v>131004.00353394334</v>
      </c>
      <c r="AV73" s="39">
        <f t="shared" ca="1" si="175"/>
        <v>136025.2829925408</v>
      </c>
      <c r="AW73" s="39">
        <f t="shared" ca="1" si="175"/>
        <v>140213.93211319475</v>
      </c>
      <c r="AX73" s="39">
        <f t="shared" ca="1" si="175"/>
        <v>143467.07521082394</v>
      </c>
      <c r="AY73" s="39">
        <f ca="1">SUM(AY37,AY27,AY17,AY7)+SUM(AY38,AY28,AY18,AY8)*AY67</f>
        <v>145680.83280964187</v>
      </c>
      <c r="AZ73" s="39" t="e">
        <f t="shared" ca="1" si="175"/>
        <v>#N/A</v>
      </c>
      <c r="BA73" s="39" t="e">
        <f t="shared" ca="1" si="175"/>
        <v>#N/A</v>
      </c>
      <c r="BB73" s="39" t="e">
        <f t="shared" ca="1" si="175"/>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0</v>
      </c>
      <c r="AI74" s="37">
        <f ca="1">SUM(AI39,AI29,AI19,AI9)</f>
        <v>0</v>
      </c>
      <c r="AJ74" s="37">
        <f t="shared" ref="AJ74:BB74" ca="1" si="176">SUM(AJ39,AJ29,AJ19,AJ9)</f>
        <v>0</v>
      </c>
      <c r="AK74" s="37">
        <f t="shared" ca="1" si="176"/>
        <v>0</v>
      </c>
      <c r="AL74" s="37">
        <f t="shared" ca="1" si="176"/>
        <v>0</v>
      </c>
      <c r="AM74" s="37">
        <f t="shared" ca="1" si="176"/>
        <v>0</v>
      </c>
      <c r="AN74" s="37">
        <f t="shared" ca="1" si="176"/>
        <v>0</v>
      </c>
      <c r="AO74" s="37">
        <f t="shared" ca="1" si="176"/>
        <v>0</v>
      </c>
      <c r="AP74" s="37">
        <f t="shared" ca="1" si="176"/>
        <v>0</v>
      </c>
      <c r="AQ74" s="37">
        <f t="shared" ca="1" si="176"/>
        <v>0</v>
      </c>
      <c r="AR74" s="37">
        <f t="shared" ca="1" si="176"/>
        <v>0</v>
      </c>
      <c r="AS74" s="37">
        <f t="shared" ca="1" si="176"/>
        <v>0</v>
      </c>
      <c r="AT74" s="37">
        <f t="shared" ca="1" si="176"/>
        <v>0</v>
      </c>
      <c r="AU74" s="37">
        <f t="shared" ca="1" si="176"/>
        <v>0</v>
      </c>
      <c r="AV74" s="37">
        <f t="shared" ca="1" si="176"/>
        <v>0</v>
      </c>
      <c r="AW74" s="37">
        <f t="shared" ca="1" si="176"/>
        <v>0</v>
      </c>
      <c r="AX74" s="37">
        <f t="shared" ca="1" si="176"/>
        <v>0</v>
      </c>
      <c r="AY74" s="37">
        <f t="shared" ca="1" si="176"/>
        <v>0</v>
      </c>
      <c r="AZ74" s="37" t="e">
        <f t="shared" ca="1" si="176"/>
        <v>#N/A</v>
      </c>
      <c r="BA74" s="37" t="e">
        <f t="shared" ca="1" si="176"/>
        <v>#N/A</v>
      </c>
      <c r="BB74" s="37" t="e">
        <f t="shared" ca="1" si="176"/>
        <v>#N/A</v>
      </c>
    </row>
    <row r="75" spans="1:54" x14ac:dyDescent="0.25">
      <c r="AG75" s="1" t="s">
        <v>59</v>
      </c>
      <c r="AH75" s="37">
        <f ca="1">+SUM(AH38,AH28,AH18,AH8)*(1-AH67)</f>
        <v>0</v>
      </c>
      <c r="AI75" s="37">
        <f ca="1">+SUM(AI38,AI28,AI18,AI8)*(1-AI67)</f>
        <v>0</v>
      </c>
      <c r="AJ75" s="37">
        <f t="shared" ref="AJ75:BB75" ca="1" si="177">+SUM(AJ38,AJ28,AJ18,AJ8)*(1-AJ67)</f>
        <v>1434.9069886454108</v>
      </c>
      <c r="AK75" s="37">
        <f t="shared" ca="1" si="177"/>
        <v>3633.7059488322202</v>
      </c>
      <c r="AL75" s="37">
        <f t="shared" ca="1" si="177"/>
        <v>6674.6558365095279</v>
      </c>
      <c r="AM75" s="37">
        <f t="shared" ca="1" si="177"/>
        <v>10639.877696161691</v>
      </c>
      <c r="AN75" s="37">
        <f t="shared" ca="1" si="177"/>
        <v>15614.276668729593</v>
      </c>
      <c r="AO75" s="37">
        <f t="shared" ca="1" si="177"/>
        <v>21685.968555922715</v>
      </c>
      <c r="AP75" s="37">
        <f t="shared" ca="1" si="177"/>
        <v>28927.455732795694</v>
      </c>
      <c r="AQ75" s="37">
        <f t="shared" ca="1" si="177"/>
        <v>37447.619476295782</v>
      </c>
      <c r="AR75" s="37">
        <f t="shared" ca="1" si="177"/>
        <v>47347.281449719907</v>
      </c>
      <c r="AS75" s="37">
        <f ca="1">+SUM(AS38,AS28,AS18,AS8)*(1-AS67)</f>
        <v>58734.411620096456</v>
      </c>
      <c r="AT75" s="37">
        <f t="shared" ca="1" si="177"/>
        <v>71721.306827050896</v>
      </c>
      <c r="AU75" s="37">
        <f t="shared" ca="1" si="177"/>
        <v>86373.272457366882</v>
      </c>
      <c r="AV75" s="37">
        <f t="shared" ca="1" si="177"/>
        <v>102851.83396523859</v>
      </c>
      <c r="AW75" s="37">
        <f t="shared" ca="1" si="177"/>
        <v>121275.93873208768</v>
      </c>
      <c r="AX75" s="37">
        <f t="shared" ca="1" si="177"/>
        <v>141764.6197196159</v>
      </c>
      <c r="AY75" s="37">
        <f t="shared" ca="1" si="177"/>
        <v>164440.35489756733</v>
      </c>
      <c r="AZ75" s="37" t="e">
        <f t="shared" ca="1" si="177"/>
        <v>#N/A</v>
      </c>
      <c r="BA75" s="37" t="e">
        <f t="shared" ca="1" si="177"/>
        <v>#N/A</v>
      </c>
      <c r="BB75" s="37" t="e">
        <f t="shared" ca="1" si="177"/>
        <v>#N/A</v>
      </c>
    </row>
    <row r="76" spans="1:54" x14ac:dyDescent="0.25">
      <c r="AG76" s="12" t="s">
        <v>60</v>
      </c>
      <c r="AH76" s="45">
        <f ca="1">SUM(AH71:AH75)</f>
        <v>89024.265533948303</v>
      </c>
      <c r="AI76" s="45">
        <f ca="1">SUM(AI71:AI75)</f>
        <v>100729.28281130738</v>
      </c>
      <c r="AJ76" s="45">
        <f t="shared" ref="AJ76:BB76" ca="1" si="178">SUM(AJ71:AJ75)</f>
        <v>115162.02239264315</v>
      </c>
      <c r="AK76" s="45">
        <f t="shared" ca="1" si="178"/>
        <v>130357.34228744679</v>
      </c>
      <c r="AL76" s="45">
        <f t="shared" ca="1" si="178"/>
        <v>146512.11339151789</v>
      </c>
      <c r="AM76" s="45">
        <f t="shared" ca="1" si="178"/>
        <v>163649.65366963495</v>
      </c>
      <c r="AN76" s="45">
        <f t="shared" ca="1" si="178"/>
        <v>181784.88581628932</v>
      </c>
      <c r="AO76" s="45">
        <f t="shared" ca="1" si="178"/>
        <v>200938.91544530084</v>
      </c>
      <c r="AP76" s="45">
        <f t="shared" ca="1" si="178"/>
        <v>220991.49873499898</v>
      </c>
      <c r="AQ76" s="45">
        <f t="shared" ca="1" si="178"/>
        <v>242126.44063321879</v>
      </c>
      <c r="AR76" s="45">
        <f t="shared" ca="1" si="178"/>
        <v>265203.52076851646</v>
      </c>
      <c r="AS76" s="45">
        <f ca="1">SUM(AS71:AS75)</f>
        <v>290264.32771644089</v>
      </c>
      <c r="AT76" s="45">
        <f t="shared" ca="1" si="178"/>
        <v>316728.93989604537</v>
      </c>
      <c r="AU76" s="45">
        <f t="shared" ca="1" si="178"/>
        <v>344364.08568921161</v>
      </c>
      <c r="AV76" s="45">
        <f t="shared" ca="1" si="178"/>
        <v>373415.43177757756</v>
      </c>
      <c r="AW76" s="45">
        <f t="shared" ca="1" si="178"/>
        <v>403905.25495439203</v>
      </c>
      <c r="AX76" s="45">
        <f t="shared" ca="1" si="178"/>
        <v>435848.17923941818</v>
      </c>
      <c r="AY76" s="45">
        <f t="shared" ca="1" si="178"/>
        <v>469263.61637463071</v>
      </c>
      <c r="AZ76" s="45" t="e">
        <f t="shared" ca="1" si="178"/>
        <v>#N/A</v>
      </c>
      <c r="BA76" s="45" t="e">
        <f t="shared" ca="1" si="178"/>
        <v>#N/A</v>
      </c>
      <c r="BB76" s="45" t="e">
        <f t="shared" ca="1" si="178"/>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179">AJ79+1</f>
        <v>2021</v>
      </c>
      <c r="AL79" s="36">
        <f t="shared" si="179"/>
        <v>2022</v>
      </c>
      <c r="AM79" s="36">
        <f t="shared" si="179"/>
        <v>2023</v>
      </c>
      <c r="AN79" s="36">
        <f t="shared" si="179"/>
        <v>2024</v>
      </c>
      <c r="AO79" s="36">
        <f t="shared" si="179"/>
        <v>2025</v>
      </c>
      <c r="AP79" s="36">
        <f t="shared" si="179"/>
        <v>2026</v>
      </c>
      <c r="AQ79" s="36">
        <f t="shared" si="179"/>
        <v>2027</v>
      </c>
      <c r="AR79" s="36">
        <f t="shared" si="179"/>
        <v>2028</v>
      </c>
      <c r="AS79" s="36">
        <f t="shared" si="179"/>
        <v>2029</v>
      </c>
      <c r="AT79" s="36">
        <f t="shared" si="179"/>
        <v>2030</v>
      </c>
      <c r="AU79" s="36">
        <f t="shared" si="179"/>
        <v>2031</v>
      </c>
      <c r="AV79" s="36">
        <f t="shared" si="179"/>
        <v>2032</v>
      </c>
      <c r="AW79" s="36">
        <f t="shared" si="179"/>
        <v>2033</v>
      </c>
      <c r="AX79" s="36">
        <f t="shared" si="179"/>
        <v>2034</v>
      </c>
      <c r="AY79" s="36">
        <f t="shared" si="179"/>
        <v>2035</v>
      </c>
      <c r="AZ79" s="36">
        <f t="shared" si="179"/>
        <v>2036</v>
      </c>
      <c r="BA79" s="36">
        <f t="shared" si="179"/>
        <v>2037</v>
      </c>
      <c r="BB79" s="36">
        <f t="shared" si="179"/>
        <v>2038</v>
      </c>
    </row>
    <row r="80" spans="1:54" x14ac:dyDescent="0.25">
      <c r="AG80" s="1" t="s">
        <v>52</v>
      </c>
      <c r="AH80" s="37">
        <f ca="1">SUM(AH55,AH45)</f>
        <v>48358.520864429796</v>
      </c>
      <c r="AI80" s="37">
        <f ca="1">SUM(AI55,AI45)</f>
        <v>56515.073884773352</v>
      </c>
      <c r="AJ80" s="37">
        <f t="shared" ref="AJ80:BB80" ca="1" si="180">SUM(AJ55,AJ45)</f>
        <v>65213.137058890337</v>
      </c>
      <c r="AK80" s="37">
        <f t="shared" ca="1" si="180"/>
        <v>74383.110320368083</v>
      </c>
      <c r="AL80" s="37">
        <f t="shared" ca="1" si="180"/>
        <v>84137.86780644246</v>
      </c>
      <c r="AM80" s="37">
        <f t="shared" ca="1" si="180"/>
        <v>94492.594759449566</v>
      </c>
      <c r="AN80" s="37">
        <f t="shared" ca="1" si="180"/>
        <v>105457.39666635168</v>
      </c>
      <c r="AO80" s="37">
        <f t="shared" ca="1" si="180"/>
        <v>117045.75733358241</v>
      </c>
      <c r="AP80" s="37">
        <f t="shared" ca="1" si="180"/>
        <v>129188.42436506067</v>
      </c>
      <c r="AQ80" s="37">
        <f t="shared" ca="1" si="180"/>
        <v>141993.32652858488</v>
      </c>
      <c r="AR80" s="37">
        <f t="shared" ca="1" si="180"/>
        <v>155483.82247741279</v>
      </c>
      <c r="AS80" s="37">
        <f t="shared" ca="1" si="180"/>
        <v>169690.97261873318</v>
      </c>
      <c r="AT80" s="37">
        <f t="shared" ca="1" si="180"/>
        <v>184642.04420745853</v>
      </c>
      <c r="AU80" s="37">
        <f t="shared" ca="1" si="180"/>
        <v>200243.29358652572</v>
      </c>
      <c r="AV80" s="37">
        <f t="shared" ca="1" si="180"/>
        <v>216636.90890223259</v>
      </c>
      <c r="AW80" s="37">
        <f t="shared" ca="1" si="180"/>
        <v>233834.61683833617</v>
      </c>
      <c r="AX80" s="37">
        <f t="shared" ca="1" si="180"/>
        <v>251843.82705765968</v>
      </c>
      <c r="AY80" s="37">
        <f t="shared" ca="1" si="180"/>
        <v>270674.824995448</v>
      </c>
      <c r="AZ80" s="37" t="e">
        <f t="shared" ca="1" si="180"/>
        <v>#N/A</v>
      </c>
      <c r="BA80" s="37" t="e">
        <f t="shared" ca="1" si="180"/>
        <v>#N/A</v>
      </c>
      <c r="BB80" s="37" t="e">
        <f t="shared" ca="1" si="180"/>
        <v>#N/A</v>
      </c>
    </row>
    <row r="81" spans="12:54" x14ac:dyDescent="0.25">
      <c r="AG81" s="1" t="s">
        <v>54</v>
      </c>
      <c r="AH81" s="37">
        <f ca="1">SUM(AH56,AH46,AH50,AH60)</f>
        <v>267.86804665407533</v>
      </c>
      <c r="AI81" s="37">
        <f ca="1">SUM(AI56,AI46,AI50,AI60)</f>
        <v>186.03491991346547</v>
      </c>
      <c r="AJ81" s="37">
        <f t="shared" ref="AJ81:BB81" ca="1" si="181">SUM(AJ56,AJ46,AJ50,AJ60)</f>
        <v>128.76440378632455</v>
      </c>
      <c r="AK81" s="37">
        <f t="shared" ca="1" si="181"/>
        <v>66.744219425999518</v>
      </c>
      <c r="AL81" s="37">
        <f t="shared" ca="1" si="181"/>
        <v>0</v>
      </c>
      <c r="AM81" s="37">
        <f t="shared" ca="1" si="181"/>
        <v>0</v>
      </c>
      <c r="AN81" s="37">
        <f t="shared" ca="1" si="181"/>
        <v>0</v>
      </c>
      <c r="AO81" s="37">
        <f t="shared" ca="1" si="181"/>
        <v>0</v>
      </c>
      <c r="AP81" s="37">
        <f t="shared" ca="1" si="181"/>
        <v>0</v>
      </c>
      <c r="AQ81" s="37">
        <f t="shared" ca="1" si="181"/>
        <v>0</v>
      </c>
      <c r="AR81" s="37">
        <f t="shared" ca="1" si="181"/>
        <v>0</v>
      </c>
      <c r="AS81" s="37">
        <f t="shared" ca="1" si="181"/>
        <v>0</v>
      </c>
      <c r="AT81" s="37">
        <f t="shared" ca="1" si="181"/>
        <v>0</v>
      </c>
      <c r="AU81" s="37">
        <f t="shared" ca="1" si="181"/>
        <v>0</v>
      </c>
      <c r="AV81" s="37">
        <f t="shared" ca="1" si="181"/>
        <v>0</v>
      </c>
      <c r="AW81" s="37">
        <f t="shared" ca="1" si="181"/>
        <v>0</v>
      </c>
      <c r="AX81" s="37">
        <f t="shared" ca="1" si="181"/>
        <v>0</v>
      </c>
      <c r="AY81" s="37">
        <f t="shared" ca="1" si="181"/>
        <v>0</v>
      </c>
      <c r="AZ81" s="37" t="e">
        <f t="shared" ca="1" si="181"/>
        <v>#N/A</v>
      </c>
      <c r="BA81" s="37" t="e">
        <f t="shared" ca="1" si="181"/>
        <v>#N/A</v>
      </c>
      <c r="BB81" s="37" t="e">
        <f t="shared" ca="1" si="181"/>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8830.9886348305336</v>
      </c>
      <c r="AI82" s="39">
        <f ca="1">SUM(AI57,AI47)+SUM(AI48,AI58)*AI67</f>
        <v>9996.9051832204423</v>
      </c>
      <c r="AJ82" s="39">
        <f t="shared" ref="AJ82:BB82" ca="1" si="182">SUM(AJ57,AJ47)+SUM(AJ48,AJ58)*AJ67</f>
        <v>10866.943362116746</v>
      </c>
      <c r="AK82" s="39">
        <f t="shared" ca="1" si="182"/>
        <v>11713.156057885664</v>
      </c>
      <c r="AL82" s="39">
        <f t="shared" ca="1" si="182"/>
        <v>12546.407178015608</v>
      </c>
      <c r="AM82" s="39">
        <f t="shared" ca="1" si="182"/>
        <v>13360.22353268856</v>
      </c>
      <c r="AN82" s="39">
        <f t="shared" ca="1" si="182"/>
        <v>14147.32049057907</v>
      </c>
      <c r="AO82" s="39">
        <f t="shared" ca="1" si="182"/>
        <v>14900.808848717365</v>
      </c>
      <c r="AP82" s="39">
        <f t="shared" ca="1" si="182"/>
        <v>15603.640002222624</v>
      </c>
      <c r="AQ82" s="39">
        <f t="shared" ca="1" si="182"/>
        <v>16260.943041831237</v>
      </c>
      <c r="AR82" s="39">
        <f t="shared" ca="1" si="182"/>
        <v>16866.082900903017</v>
      </c>
      <c r="AS82" s="39">
        <f t="shared" ca="1" si="182"/>
        <v>17412.800507972712</v>
      </c>
      <c r="AT82" s="39">
        <f t="shared" ca="1" si="182"/>
        <v>17893.882374649333</v>
      </c>
      <c r="AU82" s="39">
        <f t="shared" ca="1" si="182"/>
        <v>18290.571971149202</v>
      </c>
      <c r="AV82" s="39">
        <f t="shared" ca="1" si="182"/>
        <v>18606.531394865506</v>
      </c>
      <c r="AW82" s="39">
        <f t="shared" ca="1" si="182"/>
        <v>18831.90086131046</v>
      </c>
      <c r="AX82" s="39">
        <f t="shared" ca="1" si="182"/>
        <v>18956.347071400382</v>
      </c>
      <c r="AY82" s="39">
        <f t="shared" ca="1" si="182"/>
        <v>18969.668664786401</v>
      </c>
      <c r="AZ82" s="39" t="e">
        <f t="shared" ca="1" si="182"/>
        <v>#N/A</v>
      </c>
      <c r="BA82" s="39" t="e">
        <f t="shared" ca="1" si="182"/>
        <v>#N/A</v>
      </c>
      <c r="BB82" s="39" t="e">
        <f t="shared" ca="1" si="182"/>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0</v>
      </c>
      <c r="AI83" s="37">
        <f ca="1">SUM(AI59,AI49)</f>
        <v>0</v>
      </c>
      <c r="AJ83" s="37">
        <f t="shared" ref="AJ83:BB83" ca="1" si="183">SUM(AJ59,AJ49)</f>
        <v>0</v>
      </c>
      <c r="AK83" s="37">
        <f t="shared" ca="1" si="183"/>
        <v>0</v>
      </c>
      <c r="AL83" s="37">
        <f t="shared" ca="1" si="183"/>
        <v>0</v>
      </c>
      <c r="AM83" s="37">
        <f t="shared" ca="1" si="183"/>
        <v>0</v>
      </c>
      <c r="AN83" s="37">
        <f t="shared" ca="1" si="183"/>
        <v>0</v>
      </c>
      <c r="AO83" s="37">
        <f t="shared" ca="1" si="183"/>
        <v>0</v>
      </c>
      <c r="AP83" s="37">
        <f t="shared" ca="1" si="183"/>
        <v>0</v>
      </c>
      <c r="AQ83" s="37">
        <f t="shared" ca="1" si="183"/>
        <v>0</v>
      </c>
      <c r="AR83" s="37">
        <f t="shared" ca="1" si="183"/>
        <v>0</v>
      </c>
      <c r="AS83" s="37">
        <f t="shared" ca="1" si="183"/>
        <v>0</v>
      </c>
      <c r="AT83" s="37">
        <f t="shared" ca="1" si="183"/>
        <v>0</v>
      </c>
      <c r="AU83" s="37">
        <f t="shared" ca="1" si="183"/>
        <v>0</v>
      </c>
      <c r="AV83" s="37">
        <f t="shared" ca="1" si="183"/>
        <v>0</v>
      </c>
      <c r="AW83" s="37">
        <f t="shared" ca="1" si="183"/>
        <v>0</v>
      </c>
      <c r="AX83" s="37">
        <f t="shared" ca="1" si="183"/>
        <v>0</v>
      </c>
      <c r="AY83" s="37">
        <f t="shared" ca="1" si="183"/>
        <v>0</v>
      </c>
      <c r="AZ83" s="37" t="e">
        <f t="shared" ca="1" si="183"/>
        <v>#N/A</v>
      </c>
      <c r="BA83" s="37" t="e">
        <f t="shared" ca="1" si="183"/>
        <v>#N/A</v>
      </c>
      <c r="BB83" s="37" t="e">
        <f t="shared" ca="1" si="183"/>
        <v>#N/A</v>
      </c>
    </row>
    <row r="84" spans="12:54" x14ac:dyDescent="0.25">
      <c r="AG84" s="1" t="s">
        <v>59</v>
      </c>
      <c r="AH84" s="37">
        <f ca="1">SUM(AH48,AH58)*(1-AH67)</f>
        <v>0</v>
      </c>
      <c r="AI84" s="37">
        <f ca="1">SUM(AI48,AI58)*(1-AI67)</f>
        <v>0</v>
      </c>
      <c r="AJ84" s="37">
        <f t="shared" ref="AJ84:BB84" ca="1" si="184">SUM(AJ48,AJ58)*(1-AJ67)</f>
        <v>370.02587043887456</v>
      </c>
      <c r="AK84" s="37">
        <f t="shared" ca="1" si="184"/>
        <v>825.44847279027624</v>
      </c>
      <c r="AL84" s="37">
        <f t="shared" ca="1" si="184"/>
        <v>1374.1679590475594</v>
      </c>
      <c r="AM84" s="37">
        <f t="shared" ca="1" si="184"/>
        <v>2024.2983081391872</v>
      </c>
      <c r="AN84" s="37">
        <f t="shared" ca="1" si="184"/>
        <v>2784.0501014903634</v>
      </c>
      <c r="AO84" s="37">
        <f t="shared" ca="1" si="184"/>
        <v>3661.8811563496047</v>
      </c>
      <c r="AP84" s="37">
        <f t="shared" ca="1" si="184"/>
        <v>4663.4792922833303</v>
      </c>
      <c r="AQ84" s="37">
        <f t="shared" ca="1" si="184"/>
        <v>5800.4187218067436</v>
      </c>
      <c r="AR84" s="37">
        <f t="shared" ca="1" si="184"/>
        <v>7082.4465462195449</v>
      </c>
      <c r="AS84" s="37">
        <f t="shared" ca="1" si="184"/>
        <v>8520.1010265481855</v>
      </c>
      <c r="AT84" s="37">
        <f t="shared" ca="1" si="184"/>
        <v>10124.258553727452</v>
      </c>
      <c r="AU84" s="37">
        <f t="shared" ca="1" si="184"/>
        <v>11899.07820939</v>
      </c>
      <c r="AV84" s="37">
        <f t="shared" ca="1" si="184"/>
        <v>13862.078795564688</v>
      </c>
      <c r="AW84" s="37">
        <f t="shared" ca="1" si="184"/>
        <v>16024.414785320523</v>
      </c>
      <c r="AX84" s="37">
        <f t="shared" ca="1" si="184"/>
        <v>18397.11460106344</v>
      </c>
      <c r="AY84" s="37">
        <f t="shared" ca="1" si="184"/>
        <v>20991.54369148532</v>
      </c>
      <c r="AZ84" s="37" t="e">
        <f t="shared" ca="1" si="184"/>
        <v>#N/A</v>
      </c>
      <c r="BA84" s="37" t="e">
        <f t="shared" ca="1" si="184"/>
        <v>#N/A</v>
      </c>
      <c r="BB84" s="37" t="e">
        <f t="shared" ca="1" si="184"/>
        <v>#N/A</v>
      </c>
    </row>
    <row r="85" spans="12:54" x14ac:dyDescent="0.25">
      <c r="AG85" s="12" t="s">
        <v>60</v>
      </c>
      <c r="AH85" s="45">
        <f ca="1">SUM(AH80:AH84)</f>
        <v>57457.377545914409</v>
      </c>
      <c r="AI85" s="45">
        <f ca="1">SUM(AI80:AI84)</f>
        <v>66698.013987907267</v>
      </c>
      <c r="AJ85" s="45">
        <f t="shared" ref="AJ85:BB85" ca="1" si="185">SUM(AJ80:AJ84)</f>
        <v>76578.870695232268</v>
      </c>
      <c r="AK85" s="45">
        <f t="shared" ca="1" si="185"/>
        <v>86988.459070470009</v>
      </c>
      <c r="AL85" s="45">
        <f t="shared" ca="1" si="185"/>
        <v>98058.442943505623</v>
      </c>
      <c r="AM85" s="45">
        <f t="shared" ca="1" si="185"/>
        <v>109877.11660027731</v>
      </c>
      <c r="AN85" s="45">
        <f t="shared" ca="1" si="185"/>
        <v>122388.7672584211</v>
      </c>
      <c r="AO85" s="45">
        <f t="shared" ca="1" si="185"/>
        <v>135608.44733864939</v>
      </c>
      <c r="AP85" s="45">
        <f t="shared" ca="1" si="185"/>
        <v>149455.54365956661</v>
      </c>
      <c r="AQ85" s="45">
        <f t="shared" ca="1" si="185"/>
        <v>164054.68829222285</v>
      </c>
      <c r="AR85" s="45">
        <f t="shared" ca="1" si="185"/>
        <v>179432.35192453535</v>
      </c>
      <c r="AS85" s="45">
        <f t="shared" ca="1" si="185"/>
        <v>195623.87415325409</v>
      </c>
      <c r="AT85" s="45">
        <f t="shared" ca="1" si="185"/>
        <v>212660.18513583532</v>
      </c>
      <c r="AU85" s="45">
        <f t="shared" ca="1" si="185"/>
        <v>230432.94376706492</v>
      </c>
      <c r="AV85" s="45">
        <f t="shared" ca="1" si="185"/>
        <v>249105.51909266278</v>
      </c>
      <c r="AW85" s="45">
        <f t="shared" ca="1" si="185"/>
        <v>268690.93248496717</v>
      </c>
      <c r="AX85" s="45">
        <f t="shared" ca="1" si="185"/>
        <v>289197.28873012349</v>
      </c>
      <c r="AY85" s="45">
        <f t="shared" ca="1" si="185"/>
        <v>310636.03735171969</v>
      </c>
      <c r="AZ85" s="45" t="e">
        <f t="shared" ca="1" si="185"/>
        <v>#N/A</v>
      </c>
      <c r="BA85" s="45" t="e">
        <f t="shared" ca="1" si="185"/>
        <v>#N/A</v>
      </c>
      <c r="BB85" s="45" t="e">
        <f t="shared" ca="1" si="185"/>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181</v>
      </c>
      <c r="AH87" s="6"/>
    </row>
    <row r="88" spans="12:54" x14ac:dyDescent="0.25">
      <c r="AF88" s="6" t="s">
        <v>178</v>
      </c>
      <c r="AG88" s="38"/>
      <c r="AH88" s="36">
        <f>AI88-1</f>
        <v>2018</v>
      </c>
      <c r="AI88" s="36">
        <f>Yr_Start</f>
        <v>2019</v>
      </c>
      <c r="AJ88" s="36">
        <f>AI88+1</f>
        <v>2020</v>
      </c>
      <c r="AK88" s="36">
        <f t="shared" ref="AK88:BB88" si="186">AJ88+1</f>
        <v>2021</v>
      </c>
      <c r="AL88" s="36">
        <f t="shared" si="186"/>
        <v>2022</v>
      </c>
      <c r="AM88" s="36">
        <f t="shared" si="186"/>
        <v>2023</v>
      </c>
      <c r="AN88" s="36">
        <f t="shared" si="186"/>
        <v>2024</v>
      </c>
      <c r="AO88" s="36">
        <f t="shared" si="186"/>
        <v>2025</v>
      </c>
      <c r="AP88" s="36">
        <f t="shared" si="186"/>
        <v>2026</v>
      </c>
      <c r="AQ88" s="36">
        <f t="shared" si="186"/>
        <v>2027</v>
      </c>
      <c r="AR88" s="36">
        <f t="shared" si="186"/>
        <v>2028</v>
      </c>
      <c r="AS88" s="36">
        <f t="shared" si="186"/>
        <v>2029</v>
      </c>
      <c r="AT88" s="36">
        <f t="shared" si="186"/>
        <v>2030</v>
      </c>
      <c r="AU88" s="36">
        <f t="shared" si="186"/>
        <v>2031</v>
      </c>
      <c r="AV88" s="36">
        <f t="shared" si="186"/>
        <v>2032</v>
      </c>
      <c r="AW88" s="36">
        <f t="shared" si="186"/>
        <v>2033</v>
      </c>
      <c r="AX88" s="36">
        <f t="shared" si="186"/>
        <v>2034</v>
      </c>
      <c r="AY88" s="36">
        <f t="shared" si="186"/>
        <v>2035</v>
      </c>
      <c r="AZ88" s="36">
        <f t="shared" si="186"/>
        <v>2036</v>
      </c>
      <c r="BA88" s="36">
        <f t="shared" si="186"/>
        <v>2037</v>
      </c>
      <c r="BB88" s="36">
        <f t="shared" si="186"/>
        <v>2038</v>
      </c>
    </row>
    <row r="89" spans="12:54" x14ac:dyDescent="0.25">
      <c r="AG89" s="1" t="s">
        <v>52</v>
      </c>
      <c r="AH89" s="1"/>
      <c r="AI89" s="37">
        <f ca="1">IF((AI71-AH71)&lt;0,AH71/4.6,(AI71-AH71)+AH71/4.6)</f>
        <v>20276.729794938823</v>
      </c>
      <c r="AJ89" s="37">
        <f ca="1">IF((AJ71-AI71)&lt;0,AI71/4.6,(AJ71-AI71)+AI71/4.6)</f>
        <v>16671.650922180132</v>
      </c>
      <c r="AK89" s="37">
        <f t="shared" ref="AK89:BB93" ca="1" si="187">IF((AK71-AJ71)&lt;0,AJ71/4.6,(AK71-AJ71)+AJ71/4.6)</f>
        <v>17447.255038030322</v>
      </c>
      <c r="AL89" s="37">
        <f t="shared" ca="1" si="187"/>
        <v>18334.005704917974</v>
      </c>
      <c r="AM89" s="37">
        <f t="shared" ca="1" si="187"/>
        <v>19250.065681237429</v>
      </c>
      <c r="AN89" s="37">
        <f t="shared" ca="1" si="187"/>
        <v>20192.59623040961</v>
      </c>
      <c r="AO89" s="37">
        <f t="shared" ca="1" si="187"/>
        <v>21164.7237375349</v>
      </c>
      <c r="AP89" s="37">
        <f t="shared" ca="1" si="187"/>
        <v>22111.180968964349</v>
      </c>
      <c r="AQ89" s="37">
        <f t="shared" ca="1" si="187"/>
        <v>23144.672194009734</v>
      </c>
      <c r="AR89" s="37">
        <f t="shared" ca="1" si="187"/>
        <v>25038.031374885639</v>
      </c>
      <c r="AS89" s="37">
        <f t="shared" ca="1" si="187"/>
        <v>27092.885298805333</v>
      </c>
      <c r="AT89" s="37">
        <f t="shared" ca="1" si="187"/>
        <v>28699.550511638357</v>
      </c>
      <c r="AU89" s="37">
        <f t="shared" ca="1" si="187"/>
        <v>30306.608201826315</v>
      </c>
      <c r="AV89" s="37">
        <f t="shared" ca="1" si="187"/>
        <v>32039.961800934881</v>
      </c>
      <c r="AW89" s="37">
        <f t="shared" ca="1" si="187"/>
        <v>33838.489707485249</v>
      </c>
      <c r="AX89" s="37">
        <f t="shared" ca="1" si="187"/>
        <v>35700.484019961506</v>
      </c>
      <c r="AY89" s="37">
        <f t="shared" ca="1" si="187"/>
        <v>37627.785409140248</v>
      </c>
      <c r="AZ89" s="37" t="e">
        <f t="shared" ca="1" si="187"/>
        <v>#N/A</v>
      </c>
      <c r="BA89" s="37" t="e">
        <f t="shared" ca="1" si="187"/>
        <v>#N/A</v>
      </c>
      <c r="BB89" s="37" t="e">
        <f t="shared" ca="1" si="187"/>
        <v>#N/A</v>
      </c>
    </row>
    <row r="90" spans="12:54" x14ac:dyDescent="0.25">
      <c r="AG90" s="1" t="s">
        <v>54</v>
      </c>
      <c r="AH90" s="1"/>
      <c r="AI90" s="37">
        <f t="shared" ref="AI90:AY93" ca="1" si="188">IF((AI72-AH72)&lt;0,AH72/4.6,(AI72-AH72)+AH72/4.6)</f>
        <v>1641.6136139029122</v>
      </c>
      <c r="AJ90" s="37">
        <f t="shared" ca="1" si="188"/>
        <v>1679.5206820627998</v>
      </c>
      <c r="AK90" s="37">
        <f t="shared" ca="1" si="188"/>
        <v>1756.9527595864729</v>
      </c>
      <c r="AL90" s="37">
        <f t="shared" ca="1" si="188"/>
        <v>1845.5435433640819</v>
      </c>
      <c r="AM90" s="37">
        <f t="shared" ca="1" si="188"/>
        <v>1937.0335191139891</v>
      </c>
      <c r="AN90" s="37">
        <f t="shared" ca="1" si="188"/>
        <v>2031.1357993973631</v>
      </c>
      <c r="AO90" s="37">
        <f t="shared" ca="1" si="188"/>
        <v>2128.164508015574</v>
      </c>
      <c r="AP90" s="37">
        <f t="shared" ca="1" si="188"/>
        <v>2222.5571562530549</v>
      </c>
      <c r="AQ90" s="37">
        <f t="shared" ca="1" si="188"/>
        <v>2325.6574186533289</v>
      </c>
      <c r="AR90" s="37">
        <f t="shared" ca="1" si="188"/>
        <v>2432.5318752319231</v>
      </c>
      <c r="AS90" s="37">
        <f t="shared" ca="1" si="188"/>
        <v>2594.8013069446583</v>
      </c>
      <c r="AT90" s="37">
        <f t="shared" ca="1" si="188"/>
        <v>2803.9267121734993</v>
      </c>
      <c r="AU90" s="37">
        <f t="shared" ca="1" si="188"/>
        <v>2954.6540182800109</v>
      </c>
      <c r="AV90" s="37">
        <f t="shared" ca="1" si="188"/>
        <v>3117.3715161578166</v>
      </c>
      <c r="AW90" s="37">
        <f t="shared" ca="1" si="188"/>
        <v>3286.0393252606214</v>
      </c>
      <c r="AX90" s="37">
        <f t="shared" ca="1" si="188"/>
        <v>3460.4822905832166</v>
      </c>
      <c r="AY90" s="37">
        <f t="shared" ca="1" si="188"/>
        <v>3640.8729295156486</v>
      </c>
      <c r="AZ90" s="37" t="e">
        <f t="shared" ca="1" si="187"/>
        <v>#N/A</v>
      </c>
      <c r="BA90" s="37" t="e">
        <f t="shared" ca="1" si="187"/>
        <v>#N/A</v>
      </c>
      <c r="BB90" s="37" t="e">
        <f t="shared" ca="1" si="187"/>
        <v>#N/A</v>
      </c>
    </row>
    <row r="91" spans="12:54" x14ac:dyDescent="0.25">
      <c r="AG91" s="1" t="s">
        <v>56</v>
      </c>
      <c r="AH91" s="1"/>
      <c r="AI91" s="37">
        <f ca="1">IF((AI73-AH73)&lt;0,AH73/4.6,(AI73-AH73)+AH73/4.6)</f>
        <v>9139.7750715495858</v>
      </c>
      <c r="AJ91" s="37">
        <f t="shared" ca="1" si="188"/>
        <v>16544.331164818606</v>
      </c>
      <c r="AK91" s="37">
        <f t="shared" ca="1" si="187"/>
        <v>18515.59909439084</v>
      </c>
      <c r="AL91" s="37">
        <f t="shared" ca="1" si="187"/>
        <v>20482.888563462748</v>
      </c>
      <c r="AM91" s="37">
        <f t="shared" ca="1" si="187"/>
        <v>22384.666512680502</v>
      </c>
      <c r="AN91" s="37">
        <f t="shared" ca="1" si="187"/>
        <v>24200.095921121538</v>
      </c>
      <c r="AO91" s="37">
        <f t="shared" ca="1" si="187"/>
        <v>25913.494963128735</v>
      </c>
      <c r="AP91" s="37">
        <f t="shared" ca="1" si="187"/>
        <v>27445.389920081234</v>
      </c>
      <c r="AQ91" s="37">
        <f t="shared" ca="1" si="187"/>
        <v>28897.501368622612</v>
      </c>
      <c r="AR91" s="37">
        <f t="shared" ca="1" si="187"/>
        <v>30202.25081543492</v>
      </c>
      <c r="AS91" s="37">
        <f t="shared" ca="1" si="187"/>
        <v>31346.042197623228</v>
      </c>
      <c r="AT91" s="37">
        <f t="shared" ca="1" si="187"/>
        <v>32306.83020456526</v>
      </c>
      <c r="AU91" s="37">
        <f t="shared" ca="1" si="187"/>
        <v>32984.446870786196</v>
      </c>
      <c r="AV91" s="37">
        <f t="shared" ca="1" si="187"/>
        <v>33500.41066162863</v>
      </c>
      <c r="AW91" s="37">
        <f t="shared" ca="1" si="187"/>
        <v>33759.362814684559</v>
      </c>
      <c r="AX91" s="37">
        <f t="shared" ca="1" si="187"/>
        <v>33734.432687454137</v>
      </c>
      <c r="AY91" s="37">
        <f t="shared" ca="1" si="187"/>
        <v>33402.252209866616</v>
      </c>
      <c r="AZ91" s="37" t="e">
        <f t="shared" ca="1" si="187"/>
        <v>#N/A</v>
      </c>
      <c r="BA91" s="37" t="e">
        <f t="shared" ca="1" si="187"/>
        <v>#N/A</v>
      </c>
      <c r="BB91" s="37" t="e">
        <f t="shared" ca="1" si="187"/>
        <v>#N/A</v>
      </c>
    </row>
    <row r="92" spans="12:54" x14ac:dyDescent="0.25">
      <c r="AG92" s="1" t="s">
        <v>57</v>
      </c>
      <c r="AH92" s="1"/>
      <c r="AI92" s="37">
        <f t="shared" ca="1" si="188"/>
        <v>0</v>
      </c>
      <c r="AJ92" s="37">
        <f t="shared" ca="1" si="188"/>
        <v>0</v>
      </c>
      <c r="AK92" s="37">
        <f t="shared" ca="1" si="187"/>
        <v>0</v>
      </c>
      <c r="AL92" s="37">
        <f t="shared" ca="1" si="187"/>
        <v>0</v>
      </c>
      <c r="AM92" s="37">
        <f t="shared" ca="1" si="187"/>
        <v>0</v>
      </c>
      <c r="AN92" s="37">
        <f t="shared" ca="1" si="187"/>
        <v>0</v>
      </c>
      <c r="AO92" s="37">
        <f t="shared" ca="1" si="187"/>
        <v>0</v>
      </c>
      <c r="AP92" s="37">
        <f t="shared" ca="1" si="187"/>
        <v>0</v>
      </c>
      <c r="AQ92" s="37">
        <f t="shared" ca="1" si="187"/>
        <v>0</v>
      </c>
      <c r="AR92" s="37">
        <f t="shared" ca="1" si="187"/>
        <v>0</v>
      </c>
      <c r="AS92" s="37">
        <f t="shared" ca="1" si="187"/>
        <v>0</v>
      </c>
      <c r="AT92" s="37">
        <f t="shared" ca="1" si="187"/>
        <v>0</v>
      </c>
      <c r="AU92" s="37">
        <f t="shared" ca="1" si="187"/>
        <v>0</v>
      </c>
      <c r="AV92" s="37">
        <f t="shared" ca="1" si="187"/>
        <v>0</v>
      </c>
      <c r="AW92" s="37">
        <f t="shared" ca="1" si="187"/>
        <v>0</v>
      </c>
      <c r="AX92" s="37">
        <f t="shared" ca="1" si="187"/>
        <v>0</v>
      </c>
      <c r="AY92" s="37">
        <f t="shared" ca="1" si="187"/>
        <v>0</v>
      </c>
      <c r="AZ92" s="37" t="e">
        <f t="shared" ca="1" si="187"/>
        <v>#N/A</v>
      </c>
      <c r="BA92" s="37" t="e">
        <f t="shared" ca="1" si="187"/>
        <v>#N/A</v>
      </c>
      <c r="BB92" s="37" t="e">
        <f t="shared" ca="1" si="187"/>
        <v>#N/A</v>
      </c>
    </row>
    <row r="93" spans="12:54" x14ac:dyDescent="0.25">
      <c r="AG93" s="1" t="s">
        <v>59</v>
      </c>
      <c r="AH93" s="1"/>
      <c r="AI93" s="37">
        <f ca="1">IF((AI75-AH75)&lt;0,AH75/4.6,(AI75-AH75)+AH75/4.6)</f>
        <v>0</v>
      </c>
      <c r="AJ93" s="37">
        <f t="shared" ca="1" si="188"/>
        <v>1434.9069886454108</v>
      </c>
      <c r="AK93" s="37">
        <f t="shared" ca="1" si="187"/>
        <v>2510.7352620662464</v>
      </c>
      <c r="AL93" s="37">
        <f t="shared" ca="1" si="187"/>
        <v>3830.8859635103991</v>
      </c>
      <c r="AM93" s="37">
        <f t="shared" ca="1" si="187"/>
        <v>5416.2339980238003</v>
      </c>
      <c r="AN93" s="37">
        <f t="shared" ca="1" si="187"/>
        <v>7287.4158630378352</v>
      </c>
      <c r="AO93" s="37">
        <f t="shared" ca="1" si="187"/>
        <v>9466.0998586560763</v>
      </c>
      <c r="AP93" s="37">
        <f t="shared" ca="1" si="187"/>
        <v>11955.828167290962</v>
      </c>
      <c r="AQ93" s="37">
        <f t="shared" ca="1" si="187"/>
        <v>14808.741076716544</v>
      </c>
      <c r="AR93" s="37">
        <f t="shared" ca="1" si="187"/>
        <v>18040.448816097123</v>
      </c>
      <c r="AS93" s="37">
        <f t="shared" ca="1" si="187"/>
        <v>21680.017442054792</v>
      </c>
      <c r="AT93" s="37">
        <f t="shared" ca="1" si="187"/>
        <v>25755.24555914932</v>
      </c>
      <c r="AU93" s="37">
        <f t="shared" ca="1" si="187"/>
        <v>30243.554070979226</v>
      </c>
      <c r="AV93" s="37">
        <f t="shared" ca="1" si="187"/>
        <v>35255.35986816886</v>
      </c>
      <c r="AW93" s="37">
        <f t="shared" ca="1" si="187"/>
        <v>40783.199107118358</v>
      </c>
      <c r="AX93" s="37">
        <f t="shared" ca="1" si="187"/>
        <v>46853.015494503808</v>
      </c>
      <c r="AY93" s="37">
        <f t="shared" ca="1" si="187"/>
        <v>53494.130769172276</v>
      </c>
      <c r="AZ93" s="37" t="e">
        <f t="shared" ca="1" si="187"/>
        <v>#N/A</v>
      </c>
      <c r="BA93" s="37" t="e">
        <f t="shared" ca="1" si="187"/>
        <v>#N/A</v>
      </c>
      <c r="BB93" s="37" t="e">
        <f t="shared" ca="1" si="187"/>
        <v>#N/A</v>
      </c>
    </row>
    <row r="94" spans="12:54" x14ac:dyDescent="0.25">
      <c r="AG94" s="12" t="s">
        <v>60</v>
      </c>
      <c r="AH94" s="12"/>
      <c r="AI94" s="45">
        <f ca="1">SUM(AI89:AI93)</f>
        <v>31058.11848039132</v>
      </c>
      <c r="AJ94" s="45">
        <f ca="1">SUM(AJ89:AJ93)</f>
        <v>36330.409757706948</v>
      </c>
      <c r="AK94" s="45">
        <f t="shared" ref="AK94:BB94" ca="1" si="189">SUM(AK89:AK93)</f>
        <v>40230.542154073883</v>
      </c>
      <c r="AL94" s="45">
        <f t="shared" ca="1" si="189"/>
        <v>44493.323775255209</v>
      </c>
      <c r="AM94" s="45">
        <f t="shared" ca="1" si="189"/>
        <v>48987.999711055723</v>
      </c>
      <c r="AN94" s="45">
        <f t="shared" ca="1" si="189"/>
        <v>53711.243813966343</v>
      </c>
      <c r="AO94" s="45">
        <f t="shared" ca="1" si="189"/>
        <v>58672.483067335284</v>
      </c>
      <c r="AP94" s="45">
        <f t="shared" ca="1" si="189"/>
        <v>63734.956212589605</v>
      </c>
      <c r="AQ94" s="45">
        <f t="shared" ca="1" si="189"/>
        <v>69176.572058002217</v>
      </c>
      <c r="AR94" s="45">
        <f t="shared" ca="1" si="189"/>
        <v>75713.2628816496</v>
      </c>
      <c r="AS94" s="45">
        <f t="shared" ca="1" si="189"/>
        <v>82713.746245428018</v>
      </c>
      <c r="AT94" s="45">
        <f t="shared" ca="1" si="189"/>
        <v>89565.552987526433</v>
      </c>
      <c r="AU94" s="45">
        <f t="shared" ca="1" si="189"/>
        <v>96489.263161871742</v>
      </c>
      <c r="AV94" s="45">
        <f t="shared" ca="1" si="189"/>
        <v>103913.10384689018</v>
      </c>
      <c r="AW94" s="45">
        <f t="shared" ca="1" si="189"/>
        <v>111667.0909545488</v>
      </c>
      <c r="AX94" s="45">
        <f t="shared" ca="1" si="189"/>
        <v>119748.41449250266</v>
      </c>
      <c r="AY94" s="45">
        <f t="shared" ca="1" si="189"/>
        <v>128165.04131769479</v>
      </c>
      <c r="AZ94" s="45" t="e">
        <f t="shared" ca="1" si="189"/>
        <v>#N/A</v>
      </c>
      <c r="BA94" s="45" t="e">
        <f t="shared" ca="1" si="189"/>
        <v>#N/A</v>
      </c>
      <c r="BB94" s="45" t="e">
        <f t="shared" ca="1" si="189"/>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181</v>
      </c>
      <c r="AH96" s="6"/>
      <c r="AS96" s="142"/>
    </row>
    <row r="97" spans="32:54" x14ac:dyDescent="0.25">
      <c r="AF97" s="6" t="s">
        <v>178</v>
      </c>
      <c r="AG97" s="38"/>
      <c r="AH97" s="36">
        <f>AI97-1</f>
        <v>2018</v>
      </c>
      <c r="AI97" s="36">
        <f>Yr_Start</f>
        <v>2019</v>
      </c>
      <c r="AJ97" s="36">
        <f>AI97+1</f>
        <v>2020</v>
      </c>
      <c r="AK97" s="36">
        <f t="shared" ref="AK97:BB97" si="190">AJ97+1</f>
        <v>2021</v>
      </c>
      <c r="AL97" s="36">
        <f t="shared" si="190"/>
        <v>2022</v>
      </c>
      <c r="AM97" s="36">
        <f t="shared" si="190"/>
        <v>2023</v>
      </c>
      <c r="AN97" s="36">
        <f t="shared" si="190"/>
        <v>2024</v>
      </c>
      <c r="AO97" s="36">
        <f t="shared" si="190"/>
        <v>2025</v>
      </c>
      <c r="AP97" s="36">
        <f t="shared" si="190"/>
        <v>2026</v>
      </c>
      <c r="AQ97" s="36">
        <f t="shared" si="190"/>
        <v>2027</v>
      </c>
      <c r="AR97" s="36">
        <f t="shared" si="190"/>
        <v>2028</v>
      </c>
      <c r="AS97" s="36">
        <f t="shared" si="190"/>
        <v>2029</v>
      </c>
      <c r="AT97" s="36">
        <f t="shared" si="190"/>
        <v>2030</v>
      </c>
      <c r="AU97" s="36">
        <f t="shared" si="190"/>
        <v>2031</v>
      </c>
      <c r="AV97" s="36">
        <f t="shared" si="190"/>
        <v>2032</v>
      </c>
      <c r="AW97" s="36">
        <f t="shared" si="190"/>
        <v>2033</v>
      </c>
      <c r="AX97" s="36">
        <f t="shared" si="190"/>
        <v>2034</v>
      </c>
      <c r="AY97" s="36">
        <f t="shared" si="190"/>
        <v>2035</v>
      </c>
      <c r="AZ97" s="36">
        <f t="shared" si="190"/>
        <v>2036</v>
      </c>
      <c r="BA97" s="36">
        <f t="shared" si="190"/>
        <v>2037</v>
      </c>
      <c r="BB97" s="36">
        <f t="shared" si="190"/>
        <v>2038</v>
      </c>
    </row>
    <row r="98" spans="32:54" x14ac:dyDescent="0.25">
      <c r="AG98" s="1" t="s">
        <v>52</v>
      </c>
      <c r="AH98" s="1"/>
      <c r="AI98" s="37">
        <f ca="1">IF((AI80-AH80)&lt;0,AH80/4.6,(AI80-AH80)+AH80/4.6)</f>
        <v>18669.274947393511</v>
      </c>
      <c r="AJ98" s="37">
        <f ca="1">IF((AJ80-AI80)&lt;0,AI80/4.6,(AJ80-AI80)+AI80/4.6)</f>
        <v>20983.948801241626</v>
      </c>
      <c r="AK98" s="37">
        <f t="shared" ref="AK98:BB98" ca="1" si="191">IF((AK80-AJ80)&lt;0,AJ80/4.6,(AK80-AJ80)+AJ80/4.6)</f>
        <v>23346.742187323471</v>
      </c>
      <c r="AL98" s="37">
        <f t="shared" ca="1" si="191"/>
        <v>25924.998860067441</v>
      </c>
      <c r="AM98" s="37">
        <f t="shared" ca="1" si="191"/>
        <v>28645.567780494599</v>
      </c>
      <c r="AN98" s="37">
        <f t="shared" ca="1" si="191"/>
        <v>31506.670332869409</v>
      </c>
      <c r="AO98" s="37">
        <f t="shared" ca="1" si="191"/>
        <v>34513.881681655017</v>
      </c>
      <c r="AP98" s="37">
        <f t="shared" ca="1" si="191"/>
        <v>37587.396886604867</v>
      </c>
      <c r="AQ98" s="37">
        <f t="shared" ca="1" si="191"/>
        <v>40889.342242885221</v>
      </c>
      <c r="AR98" s="37">
        <f t="shared" ca="1" si="191"/>
        <v>44358.610411563757</v>
      </c>
      <c r="AS98" s="37">
        <f t="shared" ca="1" si="191"/>
        <v>48007.981114671005</v>
      </c>
      <c r="AT98" s="37">
        <f t="shared" ca="1" si="191"/>
        <v>51840.413462362994</v>
      </c>
      <c r="AU98" s="37">
        <f t="shared" ca="1" si="191"/>
        <v>55740.824206775564</v>
      </c>
      <c r="AV98" s="37">
        <f t="shared" ca="1" si="191"/>
        <v>59924.766095386381</v>
      </c>
      <c r="AW98" s="37">
        <f t="shared" ca="1" si="191"/>
        <v>64292.688132241099</v>
      </c>
      <c r="AX98" s="37">
        <f t="shared" ca="1" si="191"/>
        <v>68842.822575483558</v>
      </c>
      <c r="AY98" s="37">
        <f t="shared" ca="1" si="191"/>
        <v>73579.655993801294</v>
      </c>
      <c r="AZ98" s="37" t="e">
        <f t="shared" ca="1" si="191"/>
        <v>#N/A</v>
      </c>
      <c r="BA98" s="37" t="e">
        <f t="shared" ca="1" si="191"/>
        <v>#N/A</v>
      </c>
      <c r="BB98" s="37" t="e">
        <f t="shared" ca="1" si="191"/>
        <v>#N/A</v>
      </c>
    </row>
    <row r="99" spans="32:54" x14ac:dyDescent="0.25">
      <c r="AG99" s="1" t="s">
        <v>54</v>
      </c>
      <c r="AH99" s="1"/>
      <c r="AI99" s="37">
        <f t="shared" ref="AI99:BB102" ca="1" si="192">IF((AI81-AH81)&lt;0,AH81/4.6,(AI81-AH81)+AH81/4.6)</f>
        <v>58.232184055233773</v>
      </c>
      <c r="AJ99" s="37">
        <f t="shared" ca="1" si="192"/>
        <v>40.442373894231629</v>
      </c>
      <c r="AK99" s="37">
        <f t="shared" ca="1" si="192"/>
        <v>27.992261692679254</v>
      </c>
      <c r="AL99" s="37">
        <f t="shared" ca="1" si="192"/>
        <v>14.509612918695549</v>
      </c>
      <c r="AM99" s="37">
        <f t="shared" ca="1" si="192"/>
        <v>0</v>
      </c>
      <c r="AN99" s="37">
        <f t="shared" ca="1" si="192"/>
        <v>0</v>
      </c>
      <c r="AO99" s="37">
        <f t="shared" ca="1" si="192"/>
        <v>0</v>
      </c>
      <c r="AP99" s="37">
        <f t="shared" ca="1" si="192"/>
        <v>0</v>
      </c>
      <c r="AQ99" s="37">
        <f t="shared" ca="1" si="192"/>
        <v>0</v>
      </c>
      <c r="AR99" s="37">
        <f t="shared" ca="1" si="192"/>
        <v>0</v>
      </c>
      <c r="AS99" s="37">
        <f t="shared" ca="1" si="192"/>
        <v>0</v>
      </c>
      <c r="AT99" s="37">
        <f t="shared" ca="1" si="192"/>
        <v>0</v>
      </c>
      <c r="AU99" s="37">
        <f t="shared" ca="1" si="192"/>
        <v>0</v>
      </c>
      <c r="AV99" s="37">
        <f t="shared" ca="1" si="192"/>
        <v>0</v>
      </c>
      <c r="AW99" s="37">
        <f t="shared" ca="1" si="192"/>
        <v>0</v>
      </c>
      <c r="AX99" s="37">
        <f t="shared" ca="1" si="192"/>
        <v>0</v>
      </c>
      <c r="AY99" s="37">
        <f t="shared" ca="1" si="192"/>
        <v>0</v>
      </c>
      <c r="AZ99" s="37" t="e">
        <f t="shared" ca="1" si="192"/>
        <v>#N/A</v>
      </c>
      <c r="BA99" s="37" t="e">
        <f t="shared" ca="1" si="192"/>
        <v>#N/A</v>
      </c>
      <c r="BB99" s="37" t="e">
        <f t="shared" ca="1" si="192"/>
        <v>#N/A</v>
      </c>
    </row>
    <row r="100" spans="32:54" x14ac:dyDescent="0.25">
      <c r="AG100" s="1" t="s">
        <v>56</v>
      </c>
      <c r="AH100" s="1"/>
      <c r="AI100" s="37">
        <f t="shared" ca="1" si="192"/>
        <v>3085.6966863965463</v>
      </c>
      <c r="AJ100" s="37">
        <f t="shared" ca="1" si="192"/>
        <v>3043.2784361181393</v>
      </c>
      <c r="AK100" s="37">
        <f t="shared" ca="1" si="192"/>
        <v>3208.5916875334283</v>
      </c>
      <c r="AL100" s="37">
        <f t="shared" ca="1" si="192"/>
        <v>3379.5893935833496</v>
      </c>
      <c r="AM100" s="37">
        <f t="shared" ca="1" si="192"/>
        <v>3541.2961759806931</v>
      </c>
      <c r="AN100" s="37">
        <f t="shared" ca="1" si="192"/>
        <v>3691.4933780401971</v>
      </c>
      <c r="AO100" s="37">
        <f t="shared" ca="1" si="192"/>
        <v>3828.9928126120058</v>
      </c>
      <c r="AP100" s="37">
        <f t="shared" ca="1" si="192"/>
        <v>3942.1374249655569</v>
      </c>
      <c r="AQ100" s="37">
        <f t="shared" ca="1" si="192"/>
        <v>4049.398692265705</v>
      </c>
      <c r="AR100" s="37">
        <f t="shared" ca="1" si="192"/>
        <v>4140.1274768611802</v>
      </c>
      <c r="AS100" s="37">
        <f t="shared" ca="1" si="192"/>
        <v>4213.257368135568</v>
      </c>
      <c r="AT100" s="37">
        <f t="shared" ca="1" si="192"/>
        <v>4266.4732814532981</v>
      </c>
      <c r="AU100" s="37">
        <f t="shared" ca="1" si="192"/>
        <v>4286.6640257714644</v>
      </c>
      <c r="AV100" s="37">
        <f t="shared" ca="1" si="192"/>
        <v>4292.1707217922176</v>
      </c>
      <c r="AW100" s="37">
        <f t="shared" ca="1" si="192"/>
        <v>4270.267595763542</v>
      </c>
      <c r="AX100" s="37">
        <f t="shared" ca="1" si="192"/>
        <v>4218.3377016791528</v>
      </c>
      <c r="AY100" s="37">
        <f t="shared" ca="1" si="192"/>
        <v>4134.2666089078421</v>
      </c>
      <c r="AZ100" s="37" t="e">
        <f t="shared" ca="1" si="192"/>
        <v>#N/A</v>
      </c>
      <c r="BA100" s="37" t="e">
        <f t="shared" ca="1" si="192"/>
        <v>#N/A</v>
      </c>
      <c r="BB100" s="37" t="e">
        <f t="shared" ca="1" si="192"/>
        <v>#N/A</v>
      </c>
    </row>
    <row r="101" spans="32:54" x14ac:dyDescent="0.25">
      <c r="AG101" s="1" t="s">
        <v>57</v>
      </c>
      <c r="AH101" s="1"/>
      <c r="AI101" s="37">
        <f t="shared" ca="1" si="192"/>
        <v>0</v>
      </c>
      <c r="AJ101" s="37">
        <f t="shared" ca="1" si="192"/>
        <v>0</v>
      </c>
      <c r="AK101" s="37">
        <f t="shared" ca="1" si="192"/>
        <v>0</v>
      </c>
      <c r="AL101" s="37">
        <f t="shared" ca="1" si="192"/>
        <v>0</v>
      </c>
      <c r="AM101" s="37">
        <f t="shared" ca="1" si="192"/>
        <v>0</v>
      </c>
      <c r="AN101" s="37">
        <f t="shared" ca="1" si="192"/>
        <v>0</v>
      </c>
      <c r="AO101" s="37">
        <f t="shared" ca="1" si="192"/>
        <v>0</v>
      </c>
      <c r="AP101" s="37">
        <f t="shared" ca="1" si="192"/>
        <v>0</v>
      </c>
      <c r="AQ101" s="37">
        <f t="shared" ca="1" si="192"/>
        <v>0</v>
      </c>
      <c r="AR101" s="37">
        <f t="shared" ca="1" si="192"/>
        <v>0</v>
      </c>
      <c r="AS101" s="37">
        <f t="shared" ca="1" si="192"/>
        <v>0</v>
      </c>
      <c r="AT101" s="37">
        <f t="shared" ca="1" si="192"/>
        <v>0</v>
      </c>
      <c r="AU101" s="37">
        <f t="shared" ca="1" si="192"/>
        <v>0</v>
      </c>
      <c r="AV101" s="37">
        <f t="shared" ca="1" si="192"/>
        <v>0</v>
      </c>
      <c r="AW101" s="37">
        <f t="shared" ca="1" si="192"/>
        <v>0</v>
      </c>
      <c r="AX101" s="37">
        <f t="shared" ca="1" si="192"/>
        <v>0</v>
      </c>
      <c r="AY101" s="37">
        <f t="shared" ca="1" si="192"/>
        <v>0</v>
      </c>
      <c r="AZ101" s="37" t="e">
        <f t="shared" ca="1" si="192"/>
        <v>#N/A</v>
      </c>
      <c r="BA101" s="37" t="e">
        <f t="shared" ca="1" si="192"/>
        <v>#N/A</v>
      </c>
      <c r="BB101" s="37" t="e">
        <f t="shared" ca="1" si="192"/>
        <v>#N/A</v>
      </c>
    </row>
    <row r="102" spans="32:54" x14ac:dyDescent="0.25">
      <c r="AG102" s="1" t="s">
        <v>59</v>
      </c>
      <c r="AH102" s="1"/>
      <c r="AI102" s="37">
        <f ca="1">IF((AI84-AH84)&lt;0,AH84/4.6,(AI84-AH84)+AH84/4.6)</f>
        <v>0</v>
      </c>
      <c r="AJ102" s="37">
        <f t="shared" ca="1" si="192"/>
        <v>370.02587043887456</v>
      </c>
      <c r="AK102" s="37">
        <f t="shared" ca="1" si="192"/>
        <v>535.86300896854834</v>
      </c>
      <c r="AL102" s="37">
        <f t="shared" ca="1" si="192"/>
        <v>728.16480642908232</v>
      </c>
      <c r="AM102" s="37">
        <f t="shared" ca="1" si="192"/>
        <v>948.86251410196678</v>
      </c>
      <c r="AN102" s="37">
        <f t="shared" ca="1" si="192"/>
        <v>1199.8166429466519</v>
      </c>
      <c r="AO102" s="37">
        <f t="shared" ca="1" si="192"/>
        <v>1483.059337791929</v>
      </c>
      <c r="AP102" s="37">
        <f t="shared" ca="1" si="192"/>
        <v>1797.6592568792919</v>
      </c>
      <c r="AQ102" s="37">
        <f t="shared" ca="1" si="192"/>
        <v>2150.7392756719637</v>
      </c>
      <c r="AR102" s="37">
        <f t="shared" ca="1" si="192"/>
        <v>2542.9884161099199</v>
      </c>
      <c r="AS102" s="37">
        <f t="shared" ca="1" si="192"/>
        <v>2977.3167729850638</v>
      </c>
      <c r="AT102" s="37">
        <f t="shared" ca="1" si="192"/>
        <v>3456.3534025158287</v>
      </c>
      <c r="AU102" s="37">
        <f t="shared" ca="1" si="192"/>
        <v>3975.7454282119943</v>
      </c>
      <c r="AV102" s="37">
        <f t="shared" ca="1" si="192"/>
        <v>4549.7567186507758</v>
      </c>
      <c r="AW102" s="37">
        <f t="shared" ca="1" si="192"/>
        <v>5175.8313800959841</v>
      </c>
      <c r="AX102" s="37">
        <f t="shared" ca="1" si="192"/>
        <v>5856.2682473343357</v>
      </c>
      <c r="AY102" s="37">
        <f t="shared" ca="1" si="192"/>
        <v>6593.8018297834969</v>
      </c>
      <c r="AZ102" s="37" t="e">
        <f t="shared" ca="1" si="192"/>
        <v>#N/A</v>
      </c>
      <c r="BA102" s="37" t="e">
        <f t="shared" ca="1" si="192"/>
        <v>#N/A</v>
      </c>
      <c r="BB102" s="37" t="e">
        <f t="shared" ca="1" si="192"/>
        <v>#N/A</v>
      </c>
    </row>
    <row r="103" spans="32:54" x14ac:dyDescent="0.25">
      <c r="AG103" s="12" t="s">
        <v>60</v>
      </c>
      <c r="AH103" s="12"/>
      <c r="AI103" s="45">
        <f ca="1">SUM(AI98:AI102)</f>
        <v>21813.203817845289</v>
      </c>
      <c r="AJ103" s="45">
        <f ca="1">SUM(AJ98:AJ102)</f>
        <v>24437.695481692874</v>
      </c>
      <c r="AK103" s="45">
        <f t="shared" ref="AK103:BB103" ca="1" si="193">SUM(AK98:AK102)</f>
        <v>27119.189145518125</v>
      </c>
      <c r="AL103" s="45">
        <f t="shared" ca="1" si="193"/>
        <v>30047.262672998568</v>
      </c>
      <c r="AM103" s="45">
        <f t="shared" ca="1" si="193"/>
        <v>33135.726470577261</v>
      </c>
      <c r="AN103" s="45">
        <f t="shared" ca="1" si="193"/>
        <v>36397.980353856256</v>
      </c>
      <c r="AO103" s="45">
        <f t="shared" ca="1" si="193"/>
        <v>39825.933832058952</v>
      </c>
      <c r="AP103" s="45">
        <f t="shared" ca="1" si="193"/>
        <v>43327.193568449715</v>
      </c>
      <c r="AQ103" s="45">
        <f t="shared" ca="1" si="193"/>
        <v>47089.480210822891</v>
      </c>
      <c r="AR103" s="45">
        <f t="shared" ca="1" si="193"/>
        <v>51041.726304534852</v>
      </c>
      <c r="AS103" s="45">
        <f t="shared" ca="1" si="193"/>
        <v>55198.555255791631</v>
      </c>
      <c r="AT103" s="45">
        <f t="shared" ca="1" si="193"/>
        <v>59563.240146332122</v>
      </c>
      <c r="AU103" s="45">
        <f t="shared" ca="1" si="193"/>
        <v>64003.233660759019</v>
      </c>
      <c r="AV103" s="45">
        <f t="shared" ca="1" si="193"/>
        <v>68766.69353582937</v>
      </c>
      <c r="AW103" s="45">
        <f t="shared" ca="1" si="193"/>
        <v>73738.787108100631</v>
      </c>
      <c r="AX103" s="45">
        <f t="shared" ca="1" si="193"/>
        <v>78917.428524497038</v>
      </c>
      <c r="AY103" s="45">
        <f t="shared" ca="1" si="193"/>
        <v>84307.724432492629</v>
      </c>
      <c r="AZ103" s="45" t="e">
        <f t="shared" ca="1" si="193"/>
        <v>#N/A</v>
      </c>
      <c r="BA103" s="45" t="e">
        <f t="shared" ca="1" si="193"/>
        <v>#N/A</v>
      </c>
      <c r="BB103" s="45" t="e">
        <f t="shared" ca="1" si="193"/>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94">AJ107+1</f>
        <v>2021</v>
      </c>
      <c r="AL107" s="36">
        <f t="shared" si="194"/>
        <v>2022</v>
      </c>
      <c r="AM107" s="36">
        <f t="shared" si="194"/>
        <v>2023</v>
      </c>
      <c r="AN107" s="36">
        <f t="shared" si="194"/>
        <v>2024</v>
      </c>
      <c r="AO107" s="36">
        <f t="shared" si="194"/>
        <v>2025</v>
      </c>
      <c r="AP107" s="36">
        <f t="shared" si="194"/>
        <v>2026</v>
      </c>
      <c r="AQ107" s="36">
        <f t="shared" si="194"/>
        <v>2027</v>
      </c>
      <c r="AR107" s="36">
        <f t="shared" si="194"/>
        <v>2028</v>
      </c>
      <c r="AS107" s="36">
        <f t="shared" si="194"/>
        <v>2029</v>
      </c>
      <c r="AT107" s="36">
        <f t="shared" si="194"/>
        <v>2030</v>
      </c>
      <c r="AU107" s="36">
        <f t="shared" si="194"/>
        <v>2031</v>
      </c>
      <c r="AV107" s="36">
        <f t="shared" si="194"/>
        <v>2032</v>
      </c>
      <c r="AW107" s="36">
        <f t="shared" si="194"/>
        <v>2033</v>
      </c>
      <c r="AX107" s="36">
        <f t="shared" si="194"/>
        <v>2034</v>
      </c>
      <c r="AY107" s="36">
        <f t="shared" si="194"/>
        <v>2035</v>
      </c>
      <c r="AZ107" s="36">
        <f t="shared" si="194"/>
        <v>2036</v>
      </c>
      <c r="BA107" s="36">
        <f t="shared" si="194"/>
        <v>2037</v>
      </c>
      <c r="BB107" s="36">
        <f t="shared" si="194"/>
        <v>2038</v>
      </c>
    </row>
    <row r="108" spans="32:54" x14ac:dyDescent="0.25">
      <c r="AF108"/>
      <c r="AG108" s="1" t="s">
        <v>52</v>
      </c>
      <c r="AH108" s="1"/>
      <c r="AI108" s="37">
        <f ca="1">AI89+AI98</f>
        <v>38946.004742332334</v>
      </c>
      <c r="AJ108" s="37">
        <f ca="1">AJ89+AJ98</f>
        <v>37655.599723421758</v>
      </c>
      <c r="AK108" s="37">
        <f t="shared" ref="AK108:BB108" ca="1" si="195">AK89+AK98</f>
        <v>40793.997225353793</v>
      </c>
      <c r="AL108" s="37">
        <f t="shared" ca="1" si="195"/>
        <v>44259.004564985415</v>
      </c>
      <c r="AM108" s="37">
        <f t="shared" ca="1" si="195"/>
        <v>47895.633461732024</v>
      </c>
      <c r="AN108" s="37">
        <f t="shared" ca="1" si="195"/>
        <v>51699.266563279016</v>
      </c>
      <c r="AO108" s="37">
        <f t="shared" ca="1" si="195"/>
        <v>55678.605419189917</v>
      </c>
      <c r="AP108" s="37">
        <f t="shared" ca="1" si="195"/>
        <v>59698.577855569216</v>
      </c>
      <c r="AQ108" s="37">
        <f t="shared" ca="1" si="195"/>
        <v>64034.014436894955</v>
      </c>
      <c r="AR108" s="37">
        <f t="shared" ca="1" si="195"/>
        <v>69396.6417864494</v>
      </c>
      <c r="AS108" s="37">
        <f t="shared" ca="1" si="195"/>
        <v>75100.866413476338</v>
      </c>
      <c r="AT108" s="37">
        <f t="shared" ca="1" si="195"/>
        <v>80539.963974001352</v>
      </c>
      <c r="AU108" s="37">
        <f t="shared" ca="1" si="195"/>
        <v>86047.432408601875</v>
      </c>
      <c r="AV108" s="37">
        <f t="shared" ca="1" si="195"/>
        <v>91964.727896321259</v>
      </c>
      <c r="AW108" s="37">
        <f t="shared" ca="1" si="195"/>
        <v>98131.177839726355</v>
      </c>
      <c r="AX108" s="37">
        <f t="shared" ca="1" si="195"/>
        <v>104543.30659544506</v>
      </c>
      <c r="AY108" s="37">
        <f t="shared" ca="1" si="195"/>
        <v>111207.44140294153</v>
      </c>
      <c r="AZ108" s="37" t="e">
        <f t="shared" ca="1" si="195"/>
        <v>#N/A</v>
      </c>
      <c r="BA108" s="37" t="e">
        <f t="shared" ca="1" si="195"/>
        <v>#N/A</v>
      </c>
      <c r="BB108" s="37" t="e">
        <f t="shared" ca="1" si="195"/>
        <v>#N/A</v>
      </c>
    </row>
    <row r="109" spans="32:54" x14ac:dyDescent="0.25">
      <c r="AF109"/>
      <c r="AG109" s="1" t="s">
        <v>54</v>
      </c>
      <c r="AH109" s="1"/>
      <c r="AI109" s="37">
        <f t="shared" ref="AI109" ca="1" si="196">AI90+AI99</f>
        <v>1699.845797958146</v>
      </c>
      <c r="AJ109" s="37">
        <f t="shared" ref="AJ109:BB112" ca="1" si="197">AJ90+AJ99</f>
        <v>1719.9630559570314</v>
      </c>
      <c r="AK109" s="37">
        <f t="shared" ca="1" si="197"/>
        <v>1784.9450212791521</v>
      </c>
      <c r="AL109" s="37">
        <f t="shared" ca="1" si="197"/>
        <v>1860.0531562827773</v>
      </c>
      <c r="AM109" s="37">
        <f t="shared" ca="1" si="197"/>
        <v>1937.0335191139891</v>
      </c>
      <c r="AN109" s="37">
        <f t="shared" ca="1" si="197"/>
        <v>2031.1357993973631</v>
      </c>
      <c r="AO109" s="37">
        <f t="shared" ca="1" si="197"/>
        <v>2128.164508015574</v>
      </c>
      <c r="AP109" s="37">
        <f t="shared" ca="1" si="197"/>
        <v>2222.5571562530549</v>
      </c>
      <c r="AQ109" s="37">
        <f t="shared" ca="1" si="197"/>
        <v>2325.6574186533289</v>
      </c>
      <c r="AR109" s="37">
        <f t="shared" ca="1" si="197"/>
        <v>2432.5318752319231</v>
      </c>
      <c r="AS109" s="37">
        <f t="shared" ca="1" si="197"/>
        <v>2594.8013069446583</v>
      </c>
      <c r="AT109" s="37">
        <f t="shared" ca="1" si="197"/>
        <v>2803.9267121734993</v>
      </c>
      <c r="AU109" s="37">
        <f t="shared" ca="1" si="197"/>
        <v>2954.6540182800109</v>
      </c>
      <c r="AV109" s="37">
        <f t="shared" ca="1" si="197"/>
        <v>3117.3715161578166</v>
      </c>
      <c r="AW109" s="37">
        <f t="shared" ca="1" si="197"/>
        <v>3286.0393252606214</v>
      </c>
      <c r="AX109" s="37">
        <f t="shared" ca="1" si="197"/>
        <v>3460.4822905832166</v>
      </c>
      <c r="AY109" s="37">
        <f t="shared" ca="1" si="197"/>
        <v>3640.8729295156486</v>
      </c>
      <c r="AZ109" s="37" t="e">
        <f t="shared" ca="1" si="197"/>
        <v>#N/A</v>
      </c>
      <c r="BA109" s="37" t="e">
        <f t="shared" ca="1" si="197"/>
        <v>#N/A</v>
      </c>
      <c r="BB109" s="37" t="e">
        <f t="shared" ca="1" si="197"/>
        <v>#N/A</v>
      </c>
    </row>
    <row r="110" spans="32:54" x14ac:dyDescent="0.25">
      <c r="AF110"/>
      <c r="AG110" s="1" t="s">
        <v>56</v>
      </c>
      <c r="AH110" s="1"/>
      <c r="AI110" s="37">
        <f t="shared" ref="AI110" ca="1" si="198">AI91+AI100</f>
        <v>12225.471757946132</v>
      </c>
      <c r="AJ110" s="37">
        <f t="shared" ca="1" si="197"/>
        <v>19587.609600936747</v>
      </c>
      <c r="AK110" s="37">
        <f t="shared" ca="1" si="197"/>
        <v>21724.19078192427</v>
      </c>
      <c r="AL110" s="37">
        <f t="shared" ca="1" si="197"/>
        <v>23862.477957046096</v>
      </c>
      <c r="AM110" s="37">
        <f t="shared" ca="1" si="197"/>
        <v>25925.962688661195</v>
      </c>
      <c r="AN110" s="37">
        <f t="shared" ca="1" si="197"/>
        <v>27891.589299161737</v>
      </c>
      <c r="AO110" s="37">
        <f t="shared" ca="1" si="197"/>
        <v>29742.487775740741</v>
      </c>
      <c r="AP110" s="37">
        <f t="shared" ca="1" si="197"/>
        <v>31387.52734504679</v>
      </c>
      <c r="AQ110" s="37">
        <f t="shared" ca="1" si="197"/>
        <v>32946.900060888314</v>
      </c>
      <c r="AR110" s="37">
        <f t="shared" ca="1" si="197"/>
        <v>34342.378292296096</v>
      </c>
      <c r="AS110" s="37">
        <f t="shared" ca="1" si="197"/>
        <v>35559.299565758796</v>
      </c>
      <c r="AT110" s="37">
        <f t="shared" ca="1" si="197"/>
        <v>36573.303486018558</v>
      </c>
      <c r="AU110" s="37">
        <f t="shared" ca="1" si="197"/>
        <v>37271.110896557657</v>
      </c>
      <c r="AV110" s="37">
        <f t="shared" ca="1" si="197"/>
        <v>37792.581383420846</v>
      </c>
      <c r="AW110" s="37">
        <f t="shared" ca="1" si="197"/>
        <v>38029.630410448102</v>
      </c>
      <c r="AX110" s="37">
        <f t="shared" ca="1" si="197"/>
        <v>37952.770389133293</v>
      </c>
      <c r="AY110" s="37">
        <f t="shared" ca="1" si="197"/>
        <v>37536.518818774457</v>
      </c>
      <c r="AZ110" s="37" t="e">
        <f t="shared" ca="1" si="197"/>
        <v>#N/A</v>
      </c>
      <c r="BA110" s="37" t="e">
        <f t="shared" ca="1" si="197"/>
        <v>#N/A</v>
      </c>
      <c r="BB110" s="37" t="e">
        <f t="shared" ca="1" si="197"/>
        <v>#N/A</v>
      </c>
    </row>
    <row r="111" spans="32:54" x14ac:dyDescent="0.25">
      <c r="AF111"/>
      <c r="AG111" s="1" t="s">
        <v>57</v>
      </c>
      <c r="AH111" s="1"/>
      <c r="AI111" s="37">
        <f t="shared" ref="AI111" ca="1" si="199">AI92+AI101</f>
        <v>0</v>
      </c>
      <c r="AJ111" s="37">
        <f t="shared" ca="1" si="197"/>
        <v>0</v>
      </c>
      <c r="AK111" s="37">
        <f t="shared" ca="1" si="197"/>
        <v>0</v>
      </c>
      <c r="AL111" s="37">
        <f t="shared" ca="1" si="197"/>
        <v>0</v>
      </c>
      <c r="AM111" s="37">
        <f t="shared" ca="1" si="197"/>
        <v>0</v>
      </c>
      <c r="AN111" s="37">
        <f t="shared" ca="1" si="197"/>
        <v>0</v>
      </c>
      <c r="AO111" s="37">
        <f t="shared" ca="1" si="197"/>
        <v>0</v>
      </c>
      <c r="AP111" s="37">
        <f t="shared" ca="1" si="197"/>
        <v>0</v>
      </c>
      <c r="AQ111" s="37">
        <f t="shared" ca="1" si="197"/>
        <v>0</v>
      </c>
      <c r="AR111" s="37">
        <f t="shared" ca="1" si="197"/>
        <v>0</v>
      </c>
      <c r="AS111" s="37">
        <f t="shared" ca="1" si="197"/>
        <v>0</v>
      </c>
      <c r="AT111" s="37">
        <f t="shared" ca="1" si="197"/>
        <v>0</v>
      </c>
      <c r="AU111" s="37">
        <f t="shared" ca="1" si="197"/>
        <v>0</v>
      </c>
      <c r="AV111" s="37">
        <f t="shared" ca="1" si="197"/>
        <v>0</v>
      </c>
      <c r="AW111" s="37">
        <f t="shared" ca="1" si="197"/>
        <v>0</v>
      </c>
      <c r="AX111" s="37">
        <f t="shared" ca="1" si="197"/>
        <v>0</v>
      </c>
      <c r="AY111" s="37">
        <f t="shared" ca="1" si="197"/>
        <v>0</v>
      </c>
      <c r="AZ111" s="37" t="e">
        <f t="shared" ca="1" si="197"/>
        <v>#N/A</v>
      </c>
      <c r="BA111" s="37" t="e">
        <f t="shared" ca="1" si="197"/>
        <v>#N/A</v>
      </c>
      <c r="BB111" s="37" t="e">
        <f t="shared" ca="1" si="197"/>
        <v>#N/A</v>
      </c>
    </row>
    <row r="112" spans="32:54" x14ac:dyDescent="0.25">
      <c r="AF112"/>
      <c r="AG112" s="1" t="s">
        <v>59</v>
      </c>
      <c r="AH112" s="1"/>
      <c r="AI112" s="37">
        <f ca="1">AI93+AI102</f>
        <v>0</v>
      </c>
      <c r="AJ112" s="37">
        <f ca="1">AJ93+AJ102</f>
        <v>1804.9328590842854</v>
      </c>
      <c r="AK112" s="37">
        <f t="shared" ca="1" si="197"/>
        <v>3046.5982710347948</v>
      </c>
      <c r="AL112" s="37">
        <f t="shared" ca="1" si="197"/>
        <v>4559.0507699394811</v>
      </c>
      <c r="AM112" s="37">
        <f t="shared" ca="1" si="197"/>
        <v>6365.0965121257668</v>
      </c>
      <c r="AN112" s="37">
        <f t="shared" ca="1" si="197"/>
        <v>8487.2325059844879</v>
      </c>
      <c r="AO112" s="37">
        <f t="shared" ca="1" si="197"/>
        <v>10949.159196448005</v>
      </c>
      <c r="AP112" s="37">
        <f t="shared" ca="1" si="197"/>
        <v>13753.487424170253</v>
      </c>
      <c r="AQ112" s="37">
        <f t="shared" ca="1" si="197"/>
        <v>16959.480352388506</v>
      </c>
      <c r="AR112" s="37">
        <f t="shared" ca="1" si="197"/>
        <v>20583.437232207041</v>
      </c>
      <c r="AS112" s="37">
        <f t="shared" ca="1" si="197"/>
        <v>24657.334215039857</v>
      </c>
      <c r="AT112" s="37">
        <f t="shared" ca="1" si="197"/>
        <v>29211.59896166515</v>
      </c>
      <c r="AU112" s="37">
        <f t="shared" ca="1" si="197"/>
        <v>34219.29949919122</v>
      </c>
      <c r="AV112" s="37">
        <f t="shared" ca="1" si="197"/>
        <v>39805.116586819633</v>
      </c>
      <c r="AW112" s="37">
        <f t="shared" ca="1" si="197"/>
        <v>45959.030487214346</v>
      </c>
      <c r="AX112" s="37">
        <f t="shared" ca="1" si="197"/>
        <v>52709.283741838146</v>
      </c>
      <c r="AY112" s="37">
        <f t="shared" ca="1" si="197"/>
        <v>60087.932598955769</v>
      </c>
      <c r="AZ112" s="37" t="e">
        <f t="shared" ca="1" si="197"/>
        <v>#N/A</v>
      </c>
      <c r="BA112" s="37" t="e">
        <f t="shared" ca="1" si="197"/>
        <v>#N/A</v>
      </c>
      <c r="BB112" s="37" t="e">
        <f t="shared" ca="1" si="197"/>
        <v>#N/A</v>
      </c>
    </row>
    <row r="113" spans="32:54" x14ac:dyDescent="0.25">
      <c r="AF113"/>
      <c r="AG113" s="12" t="s">
        <v>60</v>
      </c>
      <c r="AH113" s="12"/>
      <c r="AI113" s="45">
        <f ca="1">SUM(AI108:AI112)</f>
        <v>52871.322298236613</v>
      </c>
      <c r="AJ113" s="45">
        <f ca="1">SUM(AJ108:AJ112)</f>
        <v>60768.105239399818</v>
      </c>
      <c r="AK113" s="45">
        <f t="shared" ref="AK113:BB113" ca="1" si="200">SUM(AK108:AK112)</f>
        <v>67349.731299592007</v>
      </c>
      <c r="AL113" s="45">
        <f t="shared" ca="1" si="200"/>
        <v>74540.586448253758</v>
      </c>
      <c r="AM113" s="45">
        <f t="shared" ca="1" si="200"/>
        <v>82123.72618163297</v>
      </c>
      <c r="AN113" s="45">
        <f t="shared" ca="1" si="200"/>
        <v>90109.224167822598</v>
      </c>
      <c r="AO113" s="45">
        <f t="shared" ca="1" si="200"/>
        <v>98498.416899394229</v>
      </c>
      <c r="AP113" s="45">
        <f t="shared" ca="1" si="200"/>
        <v>107062.1497810393</v>
      </c>
      <c r="AQ113" s="45">
        <f t="shared" ca="1" si="200"/>
        <v>116266.05226882511</v>
      </c>
      <c r="AR113" s="45">
        <f t="shared" ca="1" si="200"/>
        <v>126754.98918618447</v>
      </c>
      <c r="AS113" s="45">
        <f t="shared" ca="1" si="200"/>
        <v>137912.30150121966</v>
      </c>
      <c r="AT113" s="45">
        <f t="shared" ca="1" si="200"/>
        <v>149128.79313385856</v>
      </c>
      <c r="AU113" s="45">
        <f t="shared" ca="1" si="200"/>
        <v>160492.49682263075</v>
      </c>
      <c r="AV113" s="45">
        <f t="shared" ca="1" si="200"/>
        <v>172679.79738271955</v>
      </c>
      <c r="AW113" s="45">
        <f t="shared" ca="1" si="200"/>
        <v>185405.8780626494</v>
      </c>
      <c r="AX113" s="45">
        <f t="shared" ca="1" si="200"/>
        <v>198665.84301699972</v>
      </c>
      <c r="AY113" s="45">
        <f t="shared" ca="1" si="200"/>
        <v>212472.76575018739</v>
      </c>
      <c r="AZ113" s="45" t="e">
        <f t="shared" ca="1" si="200"/>
        <v>#N/A</v>
      </c>
      <c r="BA113" s="45" t="e">
        <f t="shared" ca="1" si="200"/>
        <v>#N/A</v>
      </c>
      <c r="BB113" s="45" t="e">
        <f t="shared" ca="1" si="200"/>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201">AJ116+1</f>
        <v>2021</v>
      </c>
      <c r="AL116" s="36">
        <f t="shared" si="201"/>
        <v>2022</v>
      </c>
      <c r="AM116" s="36">
        <f t="shared" si="201"/>
        <v>2023</v>
      </c>
      <c r="AN116" s="36">
        <f t="shared" si="201"/>
        <v>2024</v>
      </c>
      <c r="AO116" s="36">
        <f t="shared" si="201"/>
        <v>2025</v>
      </c>
      <c r="AP116" s="36">
        <f t="shared" si="201"/>
        <v>2026</v>
      </c>
      <c r="AQ116" s="36">
        <f t="shared" si="201"/>
        <v>2027</v>
      </c>
      <c r="AR116" s="36">
        <f t="shared" si="201"/>
        <v>2028</v>
      </c>
      <c r="AS116" s="36">
        <f t="shared" si="201"/>
        <v>2029</v>
      </c>
      <c r="AT116" s="36">
        <f t="shared" si="201"/>
        <v>2030</v>
      </c>
      <c r="AU116" s="36">
        <f t="shared" si="201"/>
        <v>2031</v>
      </c>
      <c r="AV116" s="36">
        <f t="shared" si="201"/>
        <v>2032</v>
      </c>
      <c r="AW116" s="36">
        <f t="shared" si="201"/>
        <v>2033</v>
      </c>
      <c r="AX116" s="36">
        <f t="shared" si="201"/>
        <v>2034</v>
      </c>
      <c r="AY116" s="36">
        <f t="shared" si="201"/>
        <v>2035</v>
      </c>
      <c r="AZ116" s="36">
        <f t="shared" si="201"/>
        <v>2036</v>
      </c>
      <c r="BA116" s="36">
        <f t="shared" si="201"/>
        <v>2037</v>
      </c>
      <c r="BB116" s="36">
        <f t="shared" si="201"/>
        <v>2038</v>
      </c>
    </row>
    <row r="117" spans="32:54" x14ac:dyDescent="0.25">
      <c r="AF117"/>
      <c r="AG117" s="1" t="s">
        <v>52</v>
      </c>
      <c r="AH117" s="1"/>
      <c r="AI117" s="37">
        <f ca="1">AI71+AI80</f>
        <v>118068.7717598865</v>
      </c>
      <c r="AJ117" s="37">
        <f t="shared" ref="AJ117:BB117" ca="1" si="202">AJ71+AJ80</f>
        <v>130057.24718768075</v>
      </c>
      <c r="AK117" s="37">
        <f t="shared" ca="1" si="202"/>
        <v>142577.92980701698</v>
      </c>
      <c r="AL117" s="37">
        <f t="shared" ca="1" si="202"/>
        <v>155841.73224004218</v>
      </c>
      <c r="AM117" s="37">
        <f t="shared" ca="1" si="202"/>
        <v>169858.72825828678</v>
      </c>
      <c r="AN117" s="37">
        <f t="shared" ca="1" si="202"/>
        <v>184632.1843306339</v>
      </c>
      <c r="AO117" s="37">
        <f t="shared" ca="1" si="202"/>
        <v>200173.35837359904</v>
      </c>
      <c r="AP117" s="37">
        <f t="shared" ca="1" si="202"/>
        <v>216355.98875664672</v>
      </c>
      <c r="AQ117" s="37">
        <f t="shared" ca="1" si="202"/>
        <v>233356.09259427065</v>
      </c>
      <c r="AR117" s="37">
        <f t="shared" ca="1" si="202"/>
        <v>252023.14903413947</v>
      </c>
      <c r="AS117" s="37">
        <f t="shared" ca="1" si="202"/>
        <v>272336.37435323768</v>
      </c>
      <c r="AT117" s="37">
        <f t="shared" ca="1" si="202"/>
        <v>293672.77868523082</v>
      </c>
      <c r="AU117" s="37">
        <f t="shared" ca="1" si="202"/>
        <v>315878.30268399988</v>
      </c>
      <c r="AV117" s="37">
        <f t="shared" ca="1" si="202"/>
        <v>339173.83434466901</v>
      </c>
      <c r="AW117" s="37">
        <f t="shared" ca="1" si="202"/>
        <v>363571.56993555429</v>
      </c>
      <c r="AX117" s="37">
        <f t="shared" ca="1" si="202"/>
        <v>389077.57871892233</v>
      </c>
      <c r="AY117" s="37">
        <f t="shared" ca="1" si="202"/>
        <v>415702.93779166334</v>
      </c>
      <c r="AZ117" s="37" t="e">
        <f t="shared" ca="1" si="202"/>
        <v>#N/A</v>
      </c>
      <c r="BA117" s="37" t="e">
        <f t="shared" ca="1" si="202"/>
        <v>#N/A</v>
      </c>
      <c r="BB117" s="37" t="e">
        <f t="shared" ca="1" si="202"/>
        <v>#N/A</v>
      </c>
    </row>
    <row r="118" spans="32:54" x14ac:dyDescent="0.25">
      <c r="AF118"/>
      <c r="AG118" s="1" t="s">
        <v>54</v>
      </c>
      <c r="AH118" s="1"/>
      <c r="AI118" s="37">
        <f t="shared" ref="AI118:BB121" ca="1" si="203">AI72+AI81</f>
        <v>6397.6521070781291</v>
      </c>
      <c r="AJ118" s="37">
        <f t="shared" ca="1" si="203"/>
        <v>6669.5507105866873</v>
      </c>
      <c r="AK118" s="37">
        <f t="shared" ca="1" si="203"/>
        <v>6942.5732191171037</v>
      </c>
      <c r="AL118" s="37">
        <f t="shared" ca="1" si="203"/>
        <v>7226.6271083397287</v>
      </c>
      <c r="AM118" s="37">
        <f t="shared" ca="1" si="203"/>
        <v>7592.6547343363854</v>
      </c>
      <c r="AN118" s="37">
        <f t="shared" ca="1" si="203"/>
        <v>7973.2134175736646</v>
      </c>
      <c r="AO118" s="37">
        <f t="shared" ca="1" si="203"/>
        <v>8368.0706608993114</v>
      </c>
      <c r="AP118" s="37">
        <f t="shared" ca="1" si="203"/>
        <v>8771.4820213046896</v>
      </c>
      <c r="AQ118" s="37">
        <f t="shared" ca="1" si="203"/>
        <v>9190.295522283086</v>
      </c>
      <c r="AR118" s="37">
        <f t="shared" ca="1" si="203"/>
        <v>9624.9370665839033</v>
      </c>
      <c r="AS118" s="37">
        <f t="shared" ca="1" si="203"/>
        <v>10127.360750358148</v>
      </c>
      <c r="AT118" s="37">
        <f t="shared" ca="1" si="203"/>
        <v>10729.687299410311</v>
      </c>
      <c r="AU118" s="37">
        <f t="shared" ca="1" si="203"/>
        <v>11351.80060042721</v>
      </c>
      <c r="AV118" s="37">
        <f t="shared" ca="1" si="203"/>
        <v>12001.38937736172</v>
      </c>
      <c r="AW118" s="37">
        <f t="shared" ca="1" si="203"/>
        <v>12678.431011891533</v>
      </c>
      <c r="AX118" s="37">
        <f t="shared" ca="1" si="203"/>
        <v>13382.73264771572</v>
      </c>
      <c r="AY118" s="37">
        <f t="shared" ca="1" si="203"/>
        <v>14114.315871206212</v>
      </c>
      <c r="AZ118" s="37" t="e">
        <f t="shared" ca="1" si="203"/>
        <v>#N/A</v>
      </c>
      <c r="BA118" s="37" t="e">
        <f t="shared" ca="1" si="203"/>
        <v>#N/A</v>
      </c>
      <c r="BB118" s="37" t="e">
        <f t="shared" ca="1" si="203"/>
        <v>#N/A</v>
      </c>
    </row>
    <row r="119" spans="32:54" x14ac:dyDescent="0.25">
      <c r="AF119"/>
      <c r="AG119" s="1" t="s">
        <v>56</v>
      </c>
      <c r="AH119" s="1"/>
      <c r="AI119" s="37">
        <f t="shared" ca="1" si="203"/>
        <v>42960.872932250008</v>
      </c>
      <c r="AJ119" s="37">
        <f t="shared" ca="1" si="203"/>
        <v>53209.162330523708</v>
      </c>
      <c r="AK119" s="37">
        <f t="shared" ca="1" si="203"/>
        <v>63366.143910160215</v>
      </c>
      <c r="AL119" s="37">
        <f t="shared" ca="1" si="203"/>
        <v>73453.373191084524</v>
      </c>
      <c r="AM119" s="37">
        <f t="shared" ca="1" si="203"/>
        <v>83411.211272988206</v>
      </c>
      <c r="AN119" s="37">
        <f t="shared" ca="1" si="203"/>
        <v>93169.928556282946</v>
      </c>
      <c r="AO119" s="37">
        <f t="shared" ca="1" si="203"/>
        <v>102658.08403717956</v>
      </c>
      <c r="AP119" s="37">
        <f t="shared" ca="1" si="203"/>
        <v>111728.63659153515</v>
      </c>
      <c r="AQ119" s="37">
        <f t="shared" ca="1" si="203"/>
        <v>120386.70261078539</v>
      </c>
      <c r="AR119" s="37">
        <f t="shared" ca="1" si="203"/>
        <v>128558.058596389</v>
      </c>
      <c r="AS119" s="37">
        <f t="shared" ca="1" si="203"/>
        <v>136169.95411945455</v>
      </c>
      <c r="AT119" s="37">
        <f t="shared" ca="1" si="203"/>
        <v>143141.09366646124</v>
      </c>
      <c r="AU119" s="37">
        <f t="shared" ca="1" si="203"/>
        <v>149294.57550509254</v>
      </c>
      <c r="AV119" s="37">
        <f t="shared" ca="1" si="203"/>
        <v>154631.81438740631</v>
      </c>
      <c r="AW119" s="37">
        <f t="shared" ca="1" si="203"/>
        <v>159045.8329745052</v>
      </c>
      <c r="AX119" s="37">
        <f t="shared" ca="1" si="203"/>
        <v>162423.42228222432</v>
      </c>
      <c r="AY119" s="37">
        <f t="shared" ca="1" si="203"/>
        <v>164650.50147442828</v>
      </c>
      <c r="AZ119" s="37" t="e">
        <f t="shared" ca="1" si="203"/>
        <v>#N/A</v>
      </c>
      <c r="BA119" s="37" t="e">
        <f t="shared" ca="1" si="203"/>
        <v>#N/A</v>
      </c>
      <c r="BB119" s="37" t="e">
        <f t="shared" ca="1" si="203"/>
        <v>#N/A</v>
      </c>
    </row>
    <row r="120" spans="32:54" x14ac:dyDescent="0.25">
      <c r="AF120"/>
      <c r="AG120" s="1" t="s">
        <v>57</v>
      </c>
      <c r="AH120" s="1"/>
      <c r="AI120" s="37">
        <f t="shared" ca="1" si="203"/>
        <v>0</v>
      </c>
      <c r="AJ120" s="37">
        <f t="shared" ca="1" si="203"/>
        <v>0</v>
      </c>
      <c r="AK120" s="37">
        <f t="shared" ca="1" si="203"/>
        <v>0</v>
      </c>
      <c r="AL120" s="37">
        <f t="shared" ca="1" si="203"/>
        <v>0</v>
      </c>
      <c r="AM120" s="37">
        <f t="shared" ca="1" si="203"/>
        <v>0</v>
      </c>
      <c r="AN120" s="37">
        <f t="shared" ca="1" si="203"/>
        <v>0</v>
      </c>
      <c r="AO120" s="37">
        <f t="shared" ca="1" si="203"/>
        <v>0</v>
      </c>
      <c r="AP120" s="37">
        <f t="shared" ca="1" si="203"/>
        <v>0</v>
      </c>
      <c r="AQ120" s="37">
        <f t="shared" ca="1" si="203"/>
        <v>0</v>
      </c>
      <c r="AR120" s="37">
        <f t="shared" ca="1" si="203"/>
        <v>0</v>
      </c>
      <c r="AS120" s="37">
        <f t="shared" ca="1" si="203"/>
        <v>0</v>
      </c>
      <c r="AT120" s="37">
        <f t="shared" ca="1" si="203"/>
        <v>0</v>
      </c>
      <c r="AU120" s="37">
        <f t="shared" ca="1" si="203"/>
        <v>0</v>
      </c>
      <c r="AV120" s="37">
        <f t="shared" ca="1" si="203"/>
        <v>0</v>
      </c>
      <c r="AW120" s="37">
        <f t="shared" ca="1" si="203"/>
        <v>0</v>
      </c>
      <c r="AX120" s="37">
        <f t="shared" ca="1" si="203"/>
        <v>0</v>
      </c>
      <c r="AY120" s="37">
        <f t="shared" ca="1" si="203"/>
        <v>0</v>
      </c>
      <c r="AZ120" s="37" t="e">
        <f t="shared" ca="1" si="203"/>
        <v>#N/A</v>
      </c>
      <c r="BA120" s="37" t="e">
        <f t="shared" ca="1" si="203"/>
        <v>#N/A</v>
      </c>
      <c r="BB120" s="37" t="e">
        <f t="shared" ca="1" si="203"/>
        <v>#N/A</v>
      </c>
    </row>
    <row r="121" spans="32:54" x14ac:dyDescent="0.25">
      <c r="AF121"/>
      <c r="AG121" s="1" t="s">
        <v>59</v>
      </c>
      <c r="AH121" s="1"/>
      <c r="AI121" s="37">
        <f t="shared" ca="1" si="203"/>
        <v>0</v>
      </c>
      <c r="AJ121" s="37">
        <f t="shared" ca="1" si="203"/>
        <v>1804.9328590842854</v>
      </c>
      <c r="AK121" s="37">
        <f t="shared" ca="1" si="203"/>
        <v>4459.1544216224966</v>
      </c>
      <c r="AL121" s="37">
        <f t="shared" ca="1" si="203"/>
        <v>8048.8237955570876</v>
      </c>
      <c r="AM121" s="37">
        <f t="shared" ca="1" si="203"/>
        <v>12664.176004300878</v>
      </c>
      <c r="AN121" s="37">
        <f t="shared" ca="1" si="203"/>
        <v>18398.326770219956</v>
      </c>
      <c r="AO121" s="37">
        <f t="shared" ca="1" si="203"/>
        <v>25347.84971227232</v>
      </c>
      <c r="AP121" s="37">
        <f t="shared" ca="1" si="203"/>
        <v>33590.935025079023</v>
      </c>
      <c r="AQ121" s="37">
        <f t="shared" ca="1" si="203"/>
        <v>43248.038198102528</v>
      </c>
      <c r="AR121" s="37">
        <f t="shared" ca="1" si="203"/>
        <v>54429.727995939451</v>
      </c>
      <c r="AS121" s="37">
        <f t="shared" ca="1" si="203"/>
        <v>67254.512646644638</v>
      </c>
      <c r="AT121" s="37">
        <f t="shared" ca="1" si="203"/>
        <v>81845.565380778353</v>
      </c>
      <c r="AU121" s="37">
        <f t="shared" ca="1" si="203"/>
        <v>98272.350666756887</v>
      </c>
      <c r="AV121" s="37">
        <f t="shared" ca="1" si="203"/>
        <v>116713.91276080327</v>
      </c>
      <c r="AW121" s="37">
        <f t="shared" ca="1" si="203"/>
        <v>137300.35351740822</v>
      </c>
      <c r="AX121" s="37">
        <f t="shared" ca="1" si="203"/>
        <v>160161.73432067933</v>
      </c>
      <c r="AY121" s="37">
        <f t="shared" ca="1" si="203"/>
        <v>185431.89858905267</v>
      </c>
      <c r="AZ121" s="37" t="e">
        <f t="shared" ca="1" si="203"/>
        <v>#N/A</v>
      </c>
      <c r="BA121" s="37" t="e">
        <f t="shared" ca="1" si="203"/>
        <v>#N/A</v>
      </c>
      <c r="BB121" s="37" t="e">
        <f t="shared" ca="1" si="203"/>
        <v>#N/A</v>
      </c>
    </row>
    <row r="122" spans="32:54" x14ac:dyDescent="0.25">
      <c r="AF122"/>
      <c r="AG122" s="12" t="s">
        <v>60</v>
      </c>
      <c r="AH122" s="12"/>
      <c r="AI122" s="45">
        <f ca="1">SUM(AI117:AI121)</f>
        <v>167427.29679921464</v>
      </c>
      <c r="AJ122" s="45">
        <f ca="1">SUM(AJ117:AJ121)</f>
        <v>191740.89308787545</v>
      </c>
      <c r="AK122" s="45">
        <f t="shared" ref="AK122:BB122" ca="1" si="204">SUM(AK117:AK121)</f>
        <v>217345.80135791676</v>
      </c>
      <c r="AL122" s="45">
        <f t="shared" ca="1" si="204"/>
        <v>244570.55633502349</v>
      </c>
      <c r="AM122" s="45">
        <f t="shared" ca="1" si="204"/>
        <v>273526.77026991226</v>
      </c>
      <c r="AN122" s="45">
        <f t="shared" ca="1" si="204"/>
        <v>304173.65307471046</v>
      </c>
      <c r="AO122" s="45">
        <f t="shared" ca="1" si="204"/>
        <v>336547.36278395017</v>
      </c>
      <c r="AP122" s="45">
        <f t="shared" ca="1" si="204"/>
        <v>370447.04239456559</v>
      </c>
      <c r="AQ122" s="45">
        <f t="shared" ca="1" si="204"/>
        <v>406181.12892544165</v>
      </c>
      <c r="AR122" s="45">
        <f t="shared" ca="1" si="204"/>
        <v>444635.87269305182</v>
      </c>
      <c r="AS122" s="45">
        <f t="shared" ca="1" si="204"/>
        <v>485888.20186969498</v>
      </c>
      <c r="AT122" s="45">
        <f t="shared" ca="1" si="204"/>
        <v>529389.12503188069</v>
      </c>
      <c r="AU122" s="45">
        <f t="shared" ca="1" si="204"/>
        <v>574797.02945627645</v>
      </c>
      <c r="AV122" s="45">
        <f t="shared" ca="1" si="204"/>
        <v>622520.95087024034</v>
      </c>
      <c r="AW122" s="45">
        <f t="shared" ca="1" si="204"/>
        <v>672596.18743935926</v>
      </c>
      <c r="AX122" s="45">
        <f t="shared" ca="1" si="204"/>
        <v>725045.46796954167</v>
      </c>
      <c r="AY122" s="45">
        <f t="shared" ca="1" si="204"/>
        <v>779899.65372635052</v>
      </c>
      <c r="AZ122" s="45" t="e">
        <f t="shared" ca="1" si="204"/>
        <v>#N/A</v>
      </c>
      <c r="BA122" s="45" t="e">
        <f t="shared" ca="1" si="204"/>
        <v>#N/A</v>
      </c>
      <c r="BB122" s="45" t="e">
        <f t="shared" ca="1" si="204"/>
        <v>#N/A</v>
      </c>
    </row>
    <row r="123" spans="32:54" x14ac:dyDescent="0.25">
      <c r="AF123"/>
    </row>
  </sheetData>
  <conditionalFormatting sqref="AJ77">
    <cfRule type="cellIs" dxfId="100" priority="12" operator="equal">
      <formula>"Check"</formula>
    </cfRule>
  </conditionalFormatting>
  <conditionalFormatting sqref="AK77:BB77">
    <cfRule type="cellIs" dxfId="99" priority="16" operator="equal">
      <formula>"Check"</formula>
    </cfRule>
  </conditionalFormatting>
  <conditionalFormatting sqref="AK86:BB86">
    <cfRule type="cellIs" dxfId="98" priority="15" operator="equal">
      <formula>"Check"</formula>
    </cfRule>
  </conditionalFormatting>
  <conditionalFormatting sqref="AI77">
    <cfRule type="cellIs" dxfId="97" priority="11" operator="equal">
      <formula>"Check"</formula>
    </cfRule>
  </conditionalFormatting>
  <conditionalFormatting sqref="AI86:AJ86">
    <cfRule type="cellIs" dxfId="96" priority="10" operator="equal">
      <formula>"Check"</formula>
    </cfRule>
  </conditionalFormatting>
  <conditionalFormatting sqref="AK95:BB95">
    <cfRule type="cellIs" dxfId="95" priority="9" operator="equal">
      <formula>"Check"</formula>
    </cfRule>
  </conditionalFormatting>
  <conditionalFormatting sqref="AK104:BB104">
    <cfRule type="cellIs" dxfId="94" priority="8" operator="equal">
      <formula>"Check"</formula>
    </cfRule>
  </conditionalFormatting>
  <conditionalFormatting sqref="K11:AE11 K21:AE21 K31:AE31 K41:AE41 K51:AE51 K61:AE61">
    <cfRule type="expression" dxfId="93" priority="7">
      <formula>K11&gt;1</formula>
    </cfRule>
  </conditionalFormatting>
  <conditionalFormatting sqref="J11">
    <cfRule type="expression" dxfId="92" priority="6">
      <formula>J11&gt;1</formula>
    </cfRule>
  </conditionalFormatting>
  <conditionalFormatting sqref="J21">
    <cfRule type="expression" dxfId="91" priority="5">
      <formula>J21&gt;1</formula>
    </cfRule>
  </conditionalFormatting>
  <conditionalFormatting sqref="J31">
    <cfRule type="expression" dxfId="90" priority="4">
      <formula>J31&gt;1</formula>
    </cfRule>
  </conditionalFormatting>
  <conditionalFormatting sqref="J41">
    <cfRule type="expression" dxfId="89" priority="3">
      <formula>J41&gt;1</formula>
    </cfRule>
  </conditionalFormatting>
  <conditionalFormatting sqref="J51">
    <cfRule type="expression" dxfId="88" priority="2">
      <formula>J51&gt;1</formula>
    </cfRule>
  </conditionalFormatting>
  <conditionalFormatting sqref="J61">
    <cfRule type="expression" dxfId="87" priority="1">
      <formula>J61&gt;1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A4" zoomScale="70" zoomScaleNormal="70" workbookViewId="0">
      <pane xSplit="1" topLeftCell="H1" activePane="topRight" state="frozen"/>
      <selection activeCell="G24" sqref="G24"/>
      <selection pane="topRight"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2.42578125"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s>
  <sheetData>
    <row r="1" spans="1:54" x14ac:dyDescent="0.25">
      <c r="A1" s="6" t="s">
        <v>23</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36"/>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INDEX(Data_FP!$2:$1048576,MATCH(C$4&amp;$A$4&amp;$B5&amp;$A$1,Data_FP!$A$2:$A$1048576,0),MATCH($A$3,Data_FP!$2:$2,0))</f>
        <v>6.7730999999999998E-3</v>
      </c>
      <c r="D5" s="14">
        <f ca="1">INDEX(Data_FP!$2:$1048576,MATCH(D$4&amp;$A$4&amp;$B5&amp;$A$1,Data_FP!$A$2:$A$1048576,0),MATCH($A$3,Data_FP!$2:$2,0))</f>
        <v>1.8581199999999999E-2</v>
      </c>
      <c r="E5" s="14">
        <f ca="1">IF('User Settings'!$N$7="On",($D5-$C5)/($D$4-$C$4),0)</f>
        <v>2.3616199999999996E-3</v>
      </c>
      <c r="F5" s="14">
        <f ca="1">MAX(0,MIN(1,($D5+$E5*(F$4-$D$4))))</f>
        <v>2.5666059999999997E-2</v>
      </c>
      <c r="G5" s="14"/>
      <c r="H5" s="14">
        <f ca="1">MAX(0,MIN(1,($D5+$E5*(H$4-$D$4))*$H$1))</f>
        <v>3.2750919999999996E-2</v>
      </c>
      <c r="I5" s="14">
        <f t="shared" ref="I5:I10" ca="1" si="4">($H5-$F5)/($H$4-$F$4)</f>
        <v>2.3616199999999996E-3</v>
      </c>
      <c r="J5" s="14">
        <f ca="1">K5-E5</f>
        <v>2.3304439999999999E-2</v>
      </c>
      <c r="K5" s="14">
        <f ca="1">MAX(0,MIN(1,D5+(K$4-D$4)*E5))</f>
        <v>2.5666059999999997E-2</v>
      </c>
      <c r="L5" s="15">
        <f ca="1">MAX(0,MIN(1,K5+$I5))</f>
        <v>2.8027679999999996E-2</v>
      </c>
      <c r="M5" s="15">
        <f t="shared" ref="M5:AD5" ca="1" si="5">MAX(0,MIN(1,L5+$I5))</f>
        <v>3.0389299999999994E-2</v>
      </c>
      <c r="N5" s="15">
        <f ca="1">MAX(0,MIN(1,M5+$I5))</f>
        <v>3.2750919999999996E-2</v>
      </c>
      <c r="O5" s="15">
        <f t="shared" ca="1" si="5"/>
        <v>3.5112539999999998E-2</v>
      </c>
      <c r="P5" s="15">
        <f t="shared" ca="1" si="5"/>
        <v>3.7474159999999999E-2</v>
      </c>
      <c r="Q5" s="15">
        <f t="shared" ca="1" si="5"/>
        <v>3.9835780000000001E-2</v>
      </c>
      <c r="R5" s="15">
        <f t="shared" ca="1" si="5"/>
        <v>4.2197400000000003E-2</v>
      </c>
      <c r="S5" s="15">
        <f t="shared" ca="1" si="5"/>
        <v>4.4559020000000005E-2</v>
      </c>
      <c r="T5" s="15">
        <f t="shared" ca="1" si="5"/>
        <v>4.6920640000000007E-2</v>
      </c>
      <c r="U5" s="15">
        <f t="shared" ca="1" si="5"/>
        <v>4.9282260000000008E-2</v>
      </c>
      <c r="V5" s="15">
        <f t="shared" ca="1" si="5"/>
        <v>5.164388000000001E-2</v>
      </c>
      <c r="W5" s="15">
        <f t="shared" ca="1" si="5"/>
        <v>5.4005500000000012E-2</v>
      </c>
      <c r="X5" s="15">
        <f t="shared" ca="1" si="5"/>
        <v>5.6367120000000014E-2</v>
      </c>
      <c r="Y5" s="15">
        <f t="shared" ca="1" si="5"/>
        <v>5.8728740000000015E-2</v>
      </c>
      <c r="Z5" s="15">
        <f t="shared" ca="1" si="5"/>
        <v>6.1090360000000017E-2</v>
      </c>
      <c r="AA5" s="15">
        <f t="shared" ca="1" si="5"/>
        <v>6.3451980000000019E-2</v>
      </c>
      <c r="AB5" s="15">
        <f t="shared" ca="1" si="5"/>
        <v>6.5813600000000014E-2</v>
      </c>
      <c r="AC5" s="15">
        <f t="shared" ca="1" si="5"/>
        <v>6.8175220000000009E-2</v>
      </c>
      <c r="AD5" s="15">
        <f t="shared" ca="1" si="5"/>
        <v>7.0536840000000003E-2</v>
      </c>
      <c r="AE5" s="5"/>
      <c r="AG5" s="1" t="s">
        <v>52</v>
      </c>
      <c r="AH5" s="37">
        <f ca="1">J5*AH$11</f>
        <v>14956.110271419231</v>
      </c>
      <c r="AI5" s="37">
        <f t="shared" ref="AI5:AI10" ca="1" si="6">K5*AI$11</f>
        <v>17105.156303444892</v>
      </c>
      <c r="AJ5" s="37">
        <f t="shared" ref="AJ5:AS10" ca="1" si="7">L5*AJ$11</f>
        <v>19393.116255590507</v>
      </c>
      <c r="AK5" s="37">
        <f ca="1">M5*AK$11</f>
        <v>21798.618947867111</v>
      </c>
      <c r="AL5" s="37">
        <f t="shared" ca="1" si="7"/>
        <v>24354.439624408915</v>
      </c>
      <c r="AM5" s="37">
        <f t="shared" ca="1" si="7"/>
        <v>27063.96754780363</v>
      </c>
      <c r="AN5" s="37">
        <f t="shared" ca="1" si="7"/>
        <v>29929.266607485548</v>
      </c>
      <c r="AO5" s="37">
        <f t="shared" ca="1" si="7"/>
        <v>32953.475232078075</v>
      </c>
      <c r="AP5" s="37">
        <f t="shared" ca="1" si="7"/>
        <v>36116.659688949163</v>
      </c>
      <c r="AQ5" s="37">
        <f t="shared" ca="1" si="7"/>
        <v>39448.72926043121</v>
      </c>
      <c r="AR5" s="37">
        <f t="shared" ca="1" si="7"/>
        <v>42955.576407609231</v>
      </c>
      <c r="AS5" s="37">
        <f t="shared" ca="1" si="7"/>
        <v>46645.199291196019</v>
      </c>
      <c r="AT5" s="37">
        <f t="shared" ref="AT5:BB10" ca="1" si="8">V5*AT$11</f>
        <v>50524.511143052645</v>
      </c>
      <c r="AU5" s="37">
        <f t="shared" ca="1" si="8"/>
        <v>54567.430382231287</v>
      </c>
      <c r="AV5" s="37">
        <f t="shared" ca="1" si="8"/>
        <v>58812.408452270989</v>
      </c>
      <c r="AW5" s="37">
        <f t="shared" ca="1" si="8"/>
        <v>63262.094550282796</v>
      </c>
      <c r="AX5" s="37">
        <f t="shared" ca="1" si="8"/>
        <v>67918.020673165869</v>
      </c>
      <c r="AY5" s="37">
        <f t="shared" ca="1" si="8"/>
        <v>72782.543349828615</v>
      </c>
      <c r="AZ5" s="37" t="e">
        <f t="shared" ca="1" si="8"/>
        <v>#N/A</v>
      </c>
      <c r="BA5" s="37" t="e">
        <f t="shared" ca="1" si="8"/>
        <v>#N/A</v>
      </c>
      <c r="BB5" s="37" t="e">
        <f t="shared" ca="1" si="8"/>
        <v>#N/A</v>
      </c>
    </row>
    <row r="6" spans="1:54" x14ac:dyDescent="0.25">
      <c r="B6" s="1" t="s">
        <v>54</v>
      </c>
      <c r="C6" s="14">
        <f ca="1">INDEX(Data_FP!$2:$1048576,MATCH(C$4&amp;$A$4&amp;$B6&amp;$A$1,Data_FP!$A$2:$A$1048576,0),MATCH($A$3,Data_FP!$2:$2,0))</f>
        <v>0</v>
      </c>
      <c r="D6" s="14">
        <f ca="1">INDEX(Data_FP!$2:$1048576,MATCH(D$4&amp;$A$4&amp;$B6&amp;$A$1,Data_FP!$A$2:$A$1048576,0),MATCH($A$3,Data_FP!$2:$2,0))</f>
        <v>1.8314E-3</v>
      </c>
      <c r="E6" s="14">
        <f ca="1">IF('User Settings'!$N$7="On",($D6-$C6)/($D$4-$C$4),0)</f>
        <v>3.6627999999999997E-4</v>
      </c>
      <c r="F6" s="14">
        <f t="shared" ref="F6:F10" ca="1" si="9">MAX(0,MIN(1,($D6+$E6*(F$4-$D$4))))</f>
        <v>2.9302399999999998E-3</v>
      </c>
      <c r="G6" s="14"/>
      <c r="H6" s="175">
        <f t="shared" ref="H6:H10" ca="1" si="10">MAX(0,MIN(1,($D6+$E6*(H$4-$D$4))*$H$1))</f>
        <v>4.0290799999999991E-3</v>
      </c>
      <c r="I6" s="14">
        <f t="shared" ca="1" si="4"/>
        <v>3.6627999999999981E-4</v>
      </c>
      <c r="J6" s="14">
        <f t="shared" ref="J6:J10" ca="1" si="11">K6-E6</f>
        <v>2.5639599999999997E-3</v>
      </c>
      <c r="K6" s="14">
        <f t="shared" ref="K6:K10" ca="1" si="12">MAX(0,MIN(1,D6+(K$4-D$4)*E6))</f>
        <v>2.9302399999999998E-3</v>
      </c>
      <c r="L6" s="15">
        <f t="shared" ref="L6:AD10" ca="1" si="13">MAX(0,MIN(1,K6+$I6))</f>
        <v>3.2965199999999994E-3</v>
      </c>
      <c r="M6" s="15">
        <f t="shared" ca="1" si="13"/>
        <v>3.662799999999999E-3</v>
      </c>
      <c r="N6" s="15">
        <f t="shared" ca="1" si="13"/>
        <v>4.0290799999999991E-3</v>
      </c>
      <c r="O6" s="15">
        <f t="shared" ca="1" si="13"/>
        <v>4.3953599999999992E-3</v>
      </c>
      <c r="P6" s="15">
        <f t="shared" ca="1" si="13"/>
        <v>4.7616399999999993E-3</v>
      </c>
      <c r="Q6" s="15">
        <f t="shared" ca="1" si="13"/>
        <v>5.1279199999999994E-3</v>
      </c>
      <c r="R6" s="15">
        <f t="shared" ca="1" si="13"/>
        <v>5.4941999999999994E-3</v>
      </c>
      <c r="S6" s="15">
        <f t="shared" ca="1" si="13"/>
        <v>5.8604799999999995E-3</v>
      </c>
      <c r="T6" s="15">
        <f t="shared" ca="1" si="13"/>
        <v>6.2267599999999996E-3</v>
      </c>
      <c r="U6" s="15">
        <f t="shared" ca="1" si="13"/>
        <v>6.5930399999999997E-3</v>
      </c>
      <c r="V6" s="15">
        <f t="shared" ca="1" si="13"/>
        <v>6.9593199999999997E-3</v>
      </c>
      <c r="W6" s="15">
        <f t="shared" ca="1" si="13"/>
        <v>7.3255999999999998E-3</v>
      </c>
      <c r="X6" s="15">
        <f t="shared" ca="1" si="13"/>
        <v>7.6918799999999999E-3</v>
      </c>
      <c r="Y6" s="15">
        <f t="shared" ca="1" si="13"/>
        <v>8.05816E-3</v>
      </c>
      <c r="Z6" s="15">
        <f t="shared" ca="1" si="13"/>
        <v>8.4244400000000001E-3</v>
      </c>
      <c r="AA6" s="15">
        <f t="shared" ca="1" si="13"/>
        <v>8.7907200000000001E-3</v>
      </c>
      <c r="AB6" s="15">
        <f t="shared" ca="1" si="13"/>
        <v>9.1570000000000002E-3</v>
      </c>
      <c r="AC6" s="15">
        <f t="shared" ca="1" si="13"/>
        <v>9.5232800000000003E-3</v>
      </c>
      <c r="AD6" s="15">
        <f t="shared" ca="1" si="13"/>
        <v>9.8895600000000004E-3</v>
      </c>
      <c r="AE6" s="5"/>
      <c r="AG6" s="1" t="s">
        <v>54</v>
      </c>
      <c r="AH6" s="37">
        <f ca="1">J6*AH$11</f>
        <v>1645.474788989053</v>
      </c>
      <c r="AI6" s="37">
        <f t="shared" ca="1" si="6"/>
        <v>1952.8596600571479</v>
      </c>
      <c r="AJ6" s="37">
        <f t="shared" ca="1" si="7"/>
        <v>2280.9521015966793</v>
      </c>
      <c r="AK6" s="37">
        <f t="shared" ca="1" si="7"/>
        <v>2627.3715249198781</v>
      </c>
      <c r="AL6" s="37">
        <f t="shared" ca="1" si="7"/>
        <v>2996.1291347514348</v>
      </c>
      <c r="AM6" s="37">
        <f t="shared" ca="1" si="7"/>
        <v>3387.8460629995479</v>
      </c>
      <c r="AN6" s="37">
        <f t="shared" ca="1" si="7"/>
        <v>3802.9509680501837</v>
      </c>
      <c r="AO6" s="37">
        <f t="shared" ca="1" si="7"/>
        <v>4241.9850875789998</v>
      </c>
      <c r="AP6" s="37">
        <f t="shared" ca="1" si="7"/>
        <v>4702.4734145474476</v>
      </c>
      <c r="AQ6" s="37">
        <f t="shared" ca="1" si="7"/>
        <v>5188.3656520312134</v>
      </c>
      <c r="AR6" s="37">
        <f t="shared" ca="1" si="7"/>
        <v>5700.5630134594248</v>
      </c>
      <c r="AS6" s="37">
        <f t="shared" ca="1" si="7"/>
        <v>6240.2508475631384</v>
      </c>
      <c r="AT6" s="37">
        <f t="shared" ca="1" si="8"/>
        <v>6808.4783886894065</v>
      </c>
      <c r="AU6" s="37">
        <f t="shared" ca="1" si="8"/>
        <v>7401.8232959249226</v>
      </c>
      <c r="AV6" s="37">
        <f t="shared" ca="1" si="8"/>
        <v>8025.5650515026146</v>
      </c>
      <c r="AW6" s="37">
        <f t="shared" ca="1" si="8"/>
        <v>8680.1807738648349</v>
      </c>
      <c r="AX6" s="37">
        <f t="shared" ca="1" si="8"/>
        <v>9365.9832759185774</v>
      </c>
      <c r="AY6" s="37">
        <f t="shared" ca="1" si="8"/>
        <v>10083.388406101829</v>
      </c>
      <c r="AZ6" s="37" t="e">
        <f t="shared" ca="1" si="8"/>
        <v>#N/A</v>
      </c>
      <c r="BA6" s="37" t="e">
        <f t="shared" ca="1" si="8"/>
        <v>#N/A</v>
      </c>
      <c r="BB6" s="37" t="e">
        <f t="shared" ca="1" si="8"/>
        <v>#N/A</v>
      </c>
    </row>
    <row r="7" spans="1:54" x14ac:dyDescent="0.25">
      <c r="B7" s="1" t="s">
        <v>170</v>
      </c>
      <c r="C7" s="14">
        <f ca="1">INDEX(Data_FP!$2:$1048576,MATCH(C$4&amp;$A$4&amp;$B7&amp;$A$1,Data_FP!$A$2:$A$1048576,0),MATCH($A$3,Data_FP!$2:$2,0))</f>
        <v>0</v>
      </c>
      <c r="D7" s="14">
        <f ca="1">INDEX(Data_FP!$2:$1048576,MATCH(D$4&amp;$A$4&amp;$B7&amp;$A$1,Data_FP!$A$2:$A$1048576,0),MATCH($A$3,Data_FP!$2:$2,0))</f>
        <v>0</v>
      </c>
      <c r="E7" s="14">
        <f ca="1">IF('User Settings'!$N$7="On",($D7-$C7)/($D$4-$C$4),0)</f>
        <v>0</v>
      </c>
      <c r="F7" s="14">
        <f t="shared" ca="1" si="9"/>
        <v>0</v>
      </c>
      <c r="G7" s="14"/>
      <c r="H7" s="14">
        <f t="shared" ca="1" si="10"/>
        <v>0</v>
      </c>
      <c r="I7" s="14">
        <f t="shared" ca="1" si="4"/>
        <v>0</v>
      </c>
      <c r="J7" s="14">
        <f t="shared" ca="1" si="11"/>
        <v>0</v>
      </c>
      <c r="K7" s="14">
        <f t="shared" ca="1" si="12"/>
        <v>0</v>
      </c>
      <c r="L7" s="15">
        <f t="shared" ca="1" si="13"/>
        <v>0</v>
      </c>
      <c r="M7" s="15">
        <f t="shared" ca="1" si="13"/>
        <v>0</v>
      </c>
      <c r="N7" s="15">
        <f t="shared" ca="1" si="13"/>
        <v>0</v>
      </c>
      <c r="O7" s="15">
        <f t="shared" ca="1" si="13"/>
        <v>0</v>
      </c>
      <c r="P7" s="15">
        <f t="shared" ca="1" si="13"/>
        <v>0</v>
      </c>
      <c r="Q7" s="15">
        <f t="shared" ca="1" si="13"/>
        <v>0</v>
      </c>
      <c r="R7" s="15">
        <f t="shared" ca="1" si="13"/>
        <v>0</v>
      </c>
      <c r="S7" s="15">
        <f t="shared" ca="1" si="13"/>
        <v>0</v>
      </c>
      <c r="T7" s="15">
        <f t="shared" ca="1" si="13"/>
        <v>0</v>
      </c>
      <c r="U7" s="15">
        <f t="shared" ca="1" si="13"/>
        <v>0</v>
      </c>
      <c r="V7" s="15">
        <f t="shared" ca="1" si="13"/>
        <v>0</v>
      </c>
      <c r="W7" s="15">
        <f t="shared" ca="1" si="13"/>
        <v>0</v>
      </c>
      <c r="X7" s="15">
        <f t="shared" ca="1" si="13"/>
        <v>0</v>
      </c>
      <c r="Y7" s="15">
        <f t="shared" ca="1" si="13"/>
        <v>0</v>
      </c>
      <c r="Z7" s="15">
        <f t="shared" ca="1" si="13"/>
        <v>0</v>
      </c>
      <c r="AA7" s="15">
        <f t="shared" ca="1" si="13"/>
        <v>0</v>
      </c>
      <c r="AB7" s="15">
        <f t="shared" ca="1" si="13"/>
        <v>0</v>
      </c>
      <c r="AC7" s="15">
        <f t="shared" ca="1" si="13"/>
        <v>0</v>
      </c>
      <c r="AD7" s="15">
        <f t="shared" ca="1" si="13"/>
        <v>0</v>
      </c>
      <c r="AE7" s="5"/>
      <c r="AG7" s="1" t="s">
        <v>170</v>
      </c>
      <c r="AH7" s="37">
        <f t="shared" ref="AH7:AH10" ca="1" si="14">J7*AH$11</f>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INDEX(Data_FP!$2:$1048576,MATCH(C$4&amp;$A$4&amp;$B8&amp;$A$1,Data_FP!$A$2:$A$1048576,0),MATCH($A$3,Data_FP!$2:$2,0))</f>
        <v>8.6830999999999992E-3</v>
      </c>
      <c r="D8" s="14">
        <f ca="1">INDEX(Data_FP!$2:$1048576,MATCH(D$4&amp;$A$4&amp;$B8&amp;$A$1,Data_FP!$A$2:$A$1048576,0),MATCH($A$3,Data_FP!$2:$2,0))</f>
        <v>6.5278000000000003E-3</v>
      </c>
      <c r="E8" s="14">
        <f ca="1">IF('User Settings'!$N$7="On",($D8-$C8)/($D$4-$C$4),0)</f>
        <v>-4.3105999999999977E-4</v>
      </c>
      <c r="F8" s="14">
        <f t="shared" ca="1" si="9"/>
        <v>5.2346200000000006E-3</v>
      </c>
      <c r="G8" s="14"/>
      <c r="H8" s="14">
        <f t="shared" ca="1" si="10"/>
        <v>3.9414400000000018E-3</v>
      </c>
      <c r="I8" s="14">
        <f t="shared" ca="1" si="4"/>
        <v>-4.310599999999996E-4</v>
      </c>
      <c r="J8" s="14">
        <f t="shared" ca="1" si="11"/>
        <v>5.6656800000000002E-3</v>
      </c>
      <c r="K8" s="14">
        <f t="shared" ca="1" si="12"/>
        <v>5.2346200000000006E-3</v>
      </c>
      <c r="L8" s="15">
        <f t="shared" ca="1" si="13"/>
        <v>4.803560000000001E-3</v>
      </c>
      <c r="M8" s="15">
        <f t="shared" ca="1" si="13"/>
        <v>4.3725000000000014E-3</v>
      </c>
      <c r="N8" s="15">
        <f t="shared" ca="1" si="13"/>
        <v>3.9414400000000018E-3</v>
      </c>
      <c r="O8" s="15">
        <f t="shared" ca="1" si="13"/>
        <v>3.5103800000000022E-3</v>
      </c>
      <c r="P8" s="15">
        <f t="shared" ca="1" si="13"/>
        <v>3.0793200000000026E-3</v>
      </c>
      <c r="Q8" s="15">
        <f t="shared" ca="1" si="13"/>
        <v>2.648260000000003E-3</v>
      </c>
      <c r="R8" s="15">
        <f t="shared" ca="1" si="13"/>
        <v>2.2172000000000034E-3</v>
      </c>
      <c r="S8" s="15">
        <f t="shared" ca="1" si="13"/>
        <v>1.7861400000000038E-3</v>
      </c>
      <c r="T8" s="15">
        <f t="shared" ca="1" si="13"/>
        <v>1.3550800000000042E-3</v>
      </c>
      <c r="U8" s="15">
        <f t="shared" ca="1" si="13"/>
        <v>9.2402000000000456E-4</v>
      </c>
      <c r="V8" s="15">
        <f t="shared" ca="1" si="13"/>
        <v>4.9296000000000496E-4</v>
      </c>
      <c r="W8" s="15">
        <f t="shared" ca="1" si="13"/>
        <v>6.1900000000005354E-5</v>
      </c>
      <c r="X8" s="15">
        <f t="shared" ca="1" si="13"/>
        <v>0</v>
      </c>
      <c r="Y8" s="15">
        <f t="shared" ca="1" si="13"/>
        <v>0</v>
      </c>
      <c r="Z8" s="15">
        <f t="shared" ca="1" si="13"/>
        <v>0</v>
      </c>
      <c r="AA8" s="15">
        <f t="shared" ca="1" si="13"/>
        <v>0</v>
      </c>
      <c r="AB8" s="15">
        <f t="shared" ca="1" si="13"/>
        <v>0</v>
      </c>
      <c r="AC8" s="15">
        <f t="shared" ca="1" si="13"/>
        <v>0</v>
      </c>
      <c r="AD8" s="15">
        <f t="shared" ca="1" si="13"/>
        <v>0</v>
      </c>
      <c r="AE8" s="5"/>
      <c r="AG8" s="1" t="s">
        <v>59</v>
      </c>
      <c r="AH8" s="37">
        <f t="shared" ca="1" si="14"/>
        <v>3636.0682703628372</v>
      </c>
      <c r="AI8" s="37">
        <f t="shared" ca="1" si="6"/>
        <v>3488.6146642351309</v>
      </c>
      <c r="AJ8" s="37">
        <f t="shared" ca="1" si="7"/>
        <v>3323.714182576095</v>
      </c>
      <c r="AK8" s="37">
        <f t="shared" ca="1" si="7"/>
        <v>3136.4480705231445</v>
      </c>
      <c r="AL8" s="37">
        <f t="shared" ca="1" si="7"/>
        <v>2930.9577414384185</v>
      </c>
      <c r="AM8" s="37">
        <f t="shared" ca="1" si="7"/>
        <v>2705.7230949529417</v>
      </c>
      <c r="AN8" s="37">
        <f t="shared" ca="1" si="7"/>
        <v>2459.3423641720715</v>
      </c>
      <c r="AO8" s="37">
        <f t="shared" ca="1" si="7"/>
        <v>2190.7282929593239</v>
      </c>
      <c r="AP8" s="37">
        <f t="shared" ca="1" si="7"/>
        <v>1897.6964898865381</v>
      </c>
      <c r="AQ8" s="37">
        <f t="shared" ca="1" si="7"/>
        <v>1581.294949512506</v>
      </c>
      <c r="AR8" s="37">
        <f t="shared" ca="1" si="7"/>
        <v>1240.5679564137081</v>
      </c>
      <c r="AS8" s="37">
        <f t="shared" ca="1" si="7"/>
        <v>874.57630898118612</v>
      </c>
      <c r="AT8" s="37">
        <f t="shared" ca="1" si="8"/>
        <v>482.27520885494039</v>
      </c>
      <c r="AU8" s="37">
        <f t="shared" ca="1" si="8"/>
        <v>62.544073115893902</v>
      </c>
      <c r="AV8" s="37">
        <f t="shared" ca="1" si="8"/>
        <v>0</v>
      </c>
      <c r="AW8" s="37">
        <f t="shared" ca="1" si="8"/>
        <v>0</v>
      </c>
      <c r="AX8" s="37">
        <f t="shared" ca="1" si="8"/>
        <v>0</v>
      </c>
      <c r="AY8" s="37">
        <f t="shared" ca="1" si="8"/>
        <v>0</v>
      </c>
      <c r="AZ8" s="37" t="e">
        <f t="shared" ca="1" si="8"/>
        <v>#N/A</v>
      </c>
      <c r="BA8" s="37" t="e">
        <f t="shared" ca="1" si="8"/>
        <v>#N/A</v>
      </c>
      <c r="BB8" s="37" t="e">
        <f t="shared" ca="1" si="8"/>
        <v>#N/A</v>
      </c>
    </row>
    <row r="9" spans="1:54" x14ac:dyDescent="0.25">
      <c r="B9" s="1" t="s">
        <v>171</v>
      </c>
      <c r="C9" s="14">
        <f ca="1">INDEX(Data_FP!$2:$1048576,MATCH(C$4&amp;$A$4&amp;$B9&amp;$A$1,Data_FP!$A$2:$A$1048576,0),MATCH($A$3,Data_FP!$2:$2,0))</f>
        <v>0</v>
      </c>
      <c r="D9" s="14">
        <f ca="1">INDEX(Data_FP!$2:$1048576,MATCH(D$4&amp;$A$4&amp;$B9&amp;$A$1,Data_FP!$A$2:$A$1048576,0),MATCH($A$3,Data_FP!$2:$2,0))</f>
        <v>0</v>
      </c>
      <c r="E9" s="14">
        <f ca="1">IF('User Settings'!$N$7="On",($D9-$C9)/($D$4-$C$4),0)</f>
        <v>0</v>
      </c>
      <c r="F9" s="14">
        <f t="shared" ca="1" si="9"/>
        <v>0</v>
      </c>
      <c r="G9" s="14"/>
      <c r="H9" s="14">
        <f t="shared" ca="1" si="10"/>
        <v>0</v>
      </c>
      <c r="I9" s="14">
        <f t="shared" ca="1" si="4"/>
        <v>0</v>
      </c>
      <c r="J9" s="14">
        <f t="shared" ca="1" si="11"/>
        <v>0</v>
      </c>
      <c r="K9" s="14">
        <f t="shared" ca="1" si="12"/>
        <v>0</v>
      </c>
      <c r="L9" s="15">
        <f t="shared" ca="1" si="13"/>
        <v>0</v>
      </c>
      <c r="M9" s="15">
        <f t="shared" ca="1" si="13"/>
        <v>0</v>
      </c>
      <c r="N9" s="15">
        <f t="shared" ca="1" si="13"/>
        <v>0</v>
      </c>
      <c r="O9" s="15">
        <f t="shared" ca="1" si="13"/>
        <v>0</v>
      </c>
      <c r="P9" s="15">
        <f t="shared" ca="1" si="13"/>
        <v>0</v>
      </c>
      <c r="Q9" s="15">
        <f t="shared" ca="1" si="13"/>
        <v>0</v>
      </c>
      <c r="R9" s="15">
        <f t="shared" ca="1" si="13"/>
        <v>0</v>
      </c>
      <c r="S9" s="15">
        <f t="shared" ca="1" si="13"/>
        <v>0</v>
      </c>
      <c r="T9" s="15">
        <f t="shared" ca="1" si="13"/>
        <v>0</v>
      </c>
      <c r="U9" s="15">
        <f t="shared" ca="1" si="13"/>
        <v>0</v>
      </c>
      <c r="V9" s="15">
        <f t="shared" ca="1" si="13"/>
        <v>0</v>
      </c>
      <c r="W9" s="15">
        <f t="shared" ca="1" si="13"/>
        <v>0</v>
      </c>
      <c r="X9" s="15">
        <f t="shared" ca="1" si="13"/>
        <v>0</v>
      </c>
      <c r="Y9" s="15">
        <f t="shared" ca="1" si="13"/>
        <v>0</v>
      </c>
      <c r="Z9" s="15">
        <f t="shared" ca="1" si="13"/>
        <v>0</v>
      </c>
      <c r="AA9" s="15">
        <f t="shared" ca="1" si="13"/>
        <v>0</v>
      </c>
      <c r="AB9" s="15">
        <f t="shared" ca="1" si="13"/>
        <v>0</v>
      </c>
      <c r="AC9" s="15">
        <f t="shared" ca="1" si="13"/>
        <v>0</v>
      </c>
      <c r="AD9" s="15">
        <f t="shared" ca="1" si="13"/>
        <v>0</v>
      </c>
      <c r="AE9" s="5"/>
      <c r="AG9" s="1" t="s">
        <v>171</v>
      </c>
      <c r="AH9" s="37">
        <f t="shared" ca="1" si="14"/>
        <v>0</v>
      </c>
      <c r="AI9" s="37">
        <f t="shared" ca="1" si="6"/>
        <v>0</v>
      </c>
      <c r="AJ9" s="37">
        <f t="shared" ca="1" si="7"/>
        <v>0</v>
      </c>
      <c r="AK9" s="37">
        <f t="shared" ca="1" si="7"/>
        <v>0</v>
      </c>
      <c r="AL9" s="37">
        <f t="shared" ca="1" si="7"/>
        <v>0</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INDEX(Data_FP!$2:$1048576,MATCH(C$4&amp;$A$4&amp;$B10&amp;$A$1,Data_FP!$A$2:$A$1048576,0),MATCH($A$3,Data_FP!$2:$2,0))</f>
        <v>3.3040000000000001E-4</v>
      </c>
      <c r="D10" s="14">
        <f ca="1">INDEX(Data_FP!$2:$1048576,MATCH(D$4&amp;$A$4&amp;$B10&amp;$A$1,Data_FP!$A$2:$A$1048576,0),MATCH($A$3,Data_FP!$2:$2,0))</f>
        <v>0</v>
      </c>
      <c r="E10" s="14">
        <f ca="1">IF('User Settings'!$N$7="On",($D10-$C10)/($D$4-$C$4),0)</f>
        <v>-6.6080000000000004E-5</v>
      </c>
      <c r="F10" s="14">
        <f t="shared" ca="1" si="9"/>
        <v>0</v>
      </c>
      <c r="G10" s="14"/>
      <c r="H10" s="14">
        <f t="shared" ca="1" si="10"/>
        <v>0</v>
      </c>
      <c r="I10" s="14">
        <f t="shared" ca="1" si="4"/>
        <v>0</v>
      </c>
      <c r="J10" s="14">
        <f t="shared" ca="1" si="11"/>
        <v>6.6080000000000004E-5</v>
      </c>
      <c r="K10" s="14">
        <f t="shared" ca="1" si="12"/>
        <v>0</v>
      </c>
      <c r="L10" s="15">
        <f t="shared" ca="1" si="13"/>
        <v>0</v>
      </c>
      <c r="M10" s="15">
        <f t="shared" ca="1" si="13"/>
        <v>0</v>
      </c>
      <c r="N10" s="15">
        <f t="shared" ca="1" si="13"/>
        <v>0</v>
      </c>
      <c r="O10" s="15">
        <f t="shared" ca="1" si="13"/>
        <v>0</v>
      </c>
      <c r="P10" s="15">
        <f t="shared" ca="1" si="13"/>
        <v>0</v>
      </c>
      <c r="Q10" s="15">
        <f t="shared" ca="1" si="13"/>
        <v>0</v>
      </c>
      <c r="R10" s="15">
        <f t="shared" ca="1" si="13"/>
        <v>0</v>
      </c>
      <c r="S10" s="15">
        <f t="shared" ca="1" si="13"/>
        <v>0</v>
      </c>
      <c r="T10" s="15">
        <f t="shared" ca="1" si="13"/>
        <v>0</v>
      </c>
      <c r="U10" s="15">
        <f t="shared" ca="1" si="13"/>
        <v>0</v>
      </c>
      <c r="V10" s="15">
        <f t="shared" ca="1" si="13"/>
        <v>0</v>
      </c>
      <c r="W10" s="15">
        <f t="shared" ca="1" si="13"/>
        <v>0</v>
      </c>
      <c r="X10" s="15">
        <f t="shared" ca="1" si="13"/>
        <v>0</v>
      </c>
      <c r="Y10" s="15">
        <f t="shared" ca="1" si="13"/>
        <v>0</v>
      </c>
      <c r="Z10" s="15">
        <f t="shared" ca="1" si="13"/>
        <v>0</v>
      </c>
      <c r="AA10" s="15">
        <f t="shared" ca="1" si="13"/>
        <v>0</v>
      </c>
      <c r="AB10" s="15">
        <f t="shared" ca="1" si="13"/>
        <v>0</v>
      </c>
      <c r="AC10" s="15">
        <f t="shared" ca="1" si="13"/>
        <v>0</v>
      </c>
      <c r="AD10" s="15">
        <f t="shared" ca="1" si="13"/>
        <v>0</v>
      </c>
      <c r="AE10" s="5"/>
      <c r="AG10" s="1" t="s">
        <v>116</v>
      </c>
      <c r="AH10" s="37">
        <f t="shared" ca="1" si="14"/>
        <v>42.4082177789032</v>
      </c>
      <c r="AI10" s="37">
        <f t="shared" ca="1" si="6"/>
        <v>0</v>
      </c>
      <c r="AJ10" s="37">
        <f t="shared" ca="1" si="7"/>
        <v>0</v>
      </c>
      <c r="AK10" s="37">
        <f t="shared" ca="1" si="7"/>
        <v>0</v>
      </c>
      <c r="AL10" s="37">
        <f t="shared" ca="1" si="7"/>
        <v>0</v>
      </c>
      <c r="AM10" s="37">
        <f t="shared" ca="1" si="7"/>
        <v>0</v>
      </c>
      <c r="AN10" s="37">
        <f t="shared" ca="1" si="7"/>
        <v>0</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1.5786600000000001E-2</v>
      </c>
      <c r="D11" s="5">
        <f ca="1">SUM(D5:D10)</f>
        <v>2.69404E-2</v>
      </c>
      <c r="E11" s="143"/>
      <c r="F11" s="132">
        <f ca="1">SUM(F5:F10)</f>
        <v>3.383092E-2</v>
      </c>
      <c r="G11" s="132"/>
      <c r="H11" s="132">
        <f ca="1">SUM(H5:H10)</f>
        <v>4.0721439999999998E-2</v>
      </c>
      <c r="I11" s="132"/>
      <c r="J11" s="132">
        <f ca="1">SUM(J5:J10)</f>
        <v>3.1600160000000002E-2</v>
      </c>
      <c r="K11" s="132">
        <f ca="1">SUM(K5:K10)</f>
        <v>3.383092E-2</v>
      </c>
      <c r="L11" s="5">
        <f t="shared" ref="L11:AD11" ca="1" si="15">SUM(L5:L10)</f>
        <v>3.6127759999999995E-2</v>
      </c>
      <c r="M11" s="5">
        <f t="shared" ca="1" si="15"/>
        <v>3.8424599999999996E-2</v>
      </c>
      <c r="N11" s="5">
        <f t="shared" ca="1" si="15"/>
        <v>4.0721439999999998E-2</v>
      </c>
      <c r="O11" s="5">
        <f t="shared" ca="1" si="15"/>
        <v>4.3018279999999999E-2</v>
      </c>
      <c r="P11" s="5">
        <f t="shared" ca="1" si="15"/>
        <v>4.531512E-2</v>
      </c>
      <c r="Q11" s="5">
        <f t="shared" ca="1" si="15"/>
        <v>4.7611960000000009E-2</v>
      </c>
      <c r="R11" s="5">
        <f t="shared" ca="1" si="15"/>
        <v>4.9908800000000003E-2</v>
      </c>
      <c r="S11" s="5">
        <f t="shared" ca="1" si="15"/>
        <v>5.2205640000000011E-2</v>
      </c>
      <c r="T11" s="5">
        <f t="shared" ca="1" si="15"/>
        <v>5.4502480000000006E-2</v>
      </c>
      <c r="U11" s="5">
        <f t="shared" ca="1" si="15"/>
        <v>5.6799320000000014E-2</v>
      </c>
      <c r="V11" s="5">
        <f t="shared" ca="1" si="15"/>
        <v>5.9096160000000016E-2</v>
      </c>
      <c r="W11" s="5">
        <f t="shared" ca="1" si="15"/>
        <v>6.1393000000000017E-2</v>
      </c>
      <c r="X11" s="5">
        <f t="shared" ca="1" si="15"/>
        <v>6.4059000000000019E-2</v>
      </c>
      <c r="Y11" s="5">
        <f t="shared" ca="1" si="15"/>
        <v>6.678690000000001E-2</v>
      </c>
      <c r="Z11" s="5">
        <f t="shared" ca="1" si="15"/>
        <v>6.9514800000000015E-2</v>
      </c>
      <c r="AA11" s="5">
        <f t="shared" ca="1" si="15"/>
        <v>7.2242700000000021E-2</v>
      </c>
      <c r="AB11" s="5">
        <f t="shared" ca="1" si="15"/>
        <v>7.4970600000000012E-2</v>
      </c>
      <c r="AC11" s="5">
        <f t="shared" ca="1" si="15"/>
        <v>7.7698500000000004E-2</v>
      </c>
      <c r="AD11" s="5">
        <f t="shared" ca="1" si="15"/>
        <v>8.0426400000000009E-2</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AI12" s="7"/>
      <c r="AJ12" s="7"/>
      <c r="AK12" s="7"/>
      <c r="AL12" s="7"/>
      <c r="AM12" s="7"/>
      <c r="AN12" s="7"/>
      <c r="AO12" s="7"/>
      <c r="AP12" s="7"/>
      <c r="AQ12" s="7"/>
      <c r="AR12" s="7"/>
      <c r="AS12" s="7"/>
      <c r="AT12" s="7"/>
    </row>
    <row r="13" spans="1:54" x14ac:dyDescent="0.25">
      <c r="A13" s="6" t="s">
        <v>162</v>
      </c>
      <c r="C13" s="4" t="s">
        <v>163</v>
      </c>
      <c r="D13" s="4" t="s">
        <v>164</v>
      </c>
      <c r="F13" s="4" t="s">
        <v>165</v>
      </c>
      <c r="G13" s="4"/>
      <c r="H13" s="4" t="s">
        <v>167</v>
      </c>
      <c r="K13" s="205" t="str">
        <f t="shared" ref="K13:AD13" si="16">IF(K14=Yr_Start,"Start Year",IF(K14=Yr_End,"End Year",""))</f>
        <v>Start Year</v>
      </c>
      <c r="L13" s="205" t="str">
        <f t="shared" si="16"/>
        <v/>
      </c>
      <c r="M13" s="205" t="str">
        <f t="shared" si="16"/>
        <v/>
      </c>
      <c r="N13" s="205" t="str">
        <f t="shared" si="16"/>
        <v>End Year</v>
      </c>
      <c r="O13" s="205" t="str">
        <f t="shared" si="16"/>
        <v/>
      </c>
      <c r="P13" s="205" t="str">
        <f t="shared" si="16"/>
        <v/>
      </c>
      <c r="Q13" s="205" t="str">
        <f t="shared" si="16"/>
        <v/>
      </c>
      <c r="R13" s="205" t="str">
        <f t="shared" si="16"/>
        <v/>
      </c>
      <c r="S13" s="205" t="str">
        <f t="shared" si="16"/>
        <v/>
      </c>
      <c r="T13" s="205" t="str">
        <f t="shared" si="16"/>
        <v/>
      </c>
      <c r="U13" s="205" t="str">
        <f t="shared" si="16"/>
        <v/>
      </c>
      <c r="V13" s="205" t="str">
        <f t="shared" si="16"/>
        <v/>
      </c>
      <c r="W13" s="205" t="str">
        <f t="shared" si="16"/>
        <v/>
      </c>
      <c r="X13" s="205" t="str">
        <f t="shared" si="16"/>
        <v/>
      </c>
      <c r="Y13" s="205" t="str">
        <f t="shared" si="16"/>
        <v/>
      </c>
      <c r="Z13" s="205" t="str">
        <f t="shared" si="16"/>
        <v/>
      </c>
      <c r="AA13" s="205" t="str">
        <f t="shared" si="16"/>
        <v/>
      </c>
      <c r="AB13" s="205" t="str">
        <f t="shared" si="16"/>
        <v/>
      </c>
      <c r="AC13" s="205" t="str">
        <f t="shared" si="16"/>
        <v/>
      </c>
      <c r="AD13" s="205" t="str">
        <f t="shared" si="16"/>
        <v/>
      </c>
      <c r="AE13" s="35"/>
      <c r="AF13" s="6" t="str">
        <f>A13</f>
        <v>Richest</v>
      </c>
      <c r="AI13" s="205" t="str">
        <f t="shared" ref="AI13:BB13" si="17">IF(AI14=Yr_Start,"Start Year",IF(AI14=Yr_End,"End Year",""))</f>
        <v>Start Year</v>
      </c>
      <c r="AJ13" s="205" t="str">
        <f t="shared" si="17"/>
        <v/>
      </c>
      <c r="AK13" s="205" t="str">
        <f t="shared" si="17"/>
        <v/>
      </c>
      <c r="AL13" s="205" t="str">
        <f t="shared" si="17"/>
        <v>End Year</v>
      </c>
      <c r="AM13" s="205" t="str">
        <f t="shared" si="17"/>
        <v/>
      </c>
      <c r="AN13" s="205" t="str">
        <f t="shared" si="17"/>
        <v/>
      </c>
      <c r="AO13" s="205" t="str">
        <f t="shared" si="17"/>
        <v/>
      </c>
      <c r="AP13" s="205" t="str">
        <f t="shared" si="17"/>
        <v/>
      </c>
      <c r="AQ13" s="205" t="str">
        <f t="shared" si="17"/>
        <v/>
      </c>
      <c r="AR13" s="205" t="str">
        <f t="shared" si="17"/>
        <v/>
      </c>
      <c r="AS13" s="205" t="str">
        <f t="shared" si="17"/>
        <v/>
      </c>
      <c r="AT13" s="205" t="str">
        <f t="shared" si="17"/>
        <v/>
      </c>
      <c r="AU13" s="205" t="str">
        <f t="shared" si="17"/>
        <v/>
      </c>
      <c r="AV13" s="205" t="str">
        <f t="shared" si="17"/>
        <v/>
      </c>
      <c r="AW13" s="205" t="str">
        <f t="shared" si="17"/>
        <v/>
      </c>
      <c r="AX13" s="205" t="str">
        <f t="shared" si="17"/>
        <v/>
      </c>
      <c r="AY13" s="205" t="str">
        <f t="shared" si="17"/>
        <v/>
      </c>
      <c r="AZ13" s="205" t="str">
        <f t="shared" si="17"/>
        <v/>
      </c>
      <c r="BA13" s="205" t="str">
        <f t="shared" si="17"/>
        <v/>
      </c>
      <c r="BB13" s="205" t="str">
        <f t="shared" si="17"/>
        <v/>
      </c>
    </row>
    <row r="14" spans="1:54" x14ac:dyDescent="0.25">
      <c r="A14" s="6" t="s">
        <v>21</v>
      </c>
      <c r="B14" s="36"/>
      <c r="C14" s="36">
        <f>Yr_DHS1</f>
        <v>2011</v>
      </c>
      <c r="D14" s="36">
        <f>Yr_DHS2</f>
        <v>2016</v>
      </c>
      <c r="E14" s="36" t="s">
        <v>168</v>
      </c>
      <c r="F14" s="36">
        <f>Yr_Start</f>
        <v>2019</v>
      </c>
      <c r="G14" s="36"/>
      <c r="H14" s="36">
        <f>Yr_End</f>
        <v>2022</v>
      </c>
      <c r="I14" s="36" t="s">
        <v>169</v>
      </c>
      <c r="J14" s="130">
        <f>K14-1</f>
        <v>2018</v>
      </c>
      <c r="K14" s="130">
        <f>Yr_Start</f>
        <v>2019</v>
      </c>
      <c r="L14" s="130">
        <f>K14+1</f>
        <v>2020</v>
      </c>
      <c r="M14" s="130">
        <f t="shared" ref="M14:AD14" si="18">L14+1</f>
        <v>2021</v>
      </c>
      <c r="N14" s="130">
        <f t="shared" si="18"/>
        <v>2022</v>
      </c>
      <c r="O14" s="130">
        <f t="shared" si="18"/>
        <v>2023</v>
      </c>
      <c r="P14" s="130">
        <f t="shared" si="18"/>
        <v>2024</v>
      </c>
      <c r="Q14" s="130">
        <f t="shared" si="18"/>
        <v>2025</v>
      </c>
      <c r="R14" s="130">
        <f t="shared" si="18"/>
        <v>2026</v>
      </c>
      <c r="S14" s="130">
        <f t="shared" si="18"/>
        <v>2027</v>
      </c>
      <c r="T14" s="130">
        <f t="shared" si="18"/>
        <v>2028</v>
      </c>
      <c r="U14" s="130">
        <f t="shared" si="18"/>
        <v>2029</v>
      </c>
      <c r="V14" s="130">
        <f t="shared" si="18"/>
        <v>2030</v>
      </c>
      <c r="W14" s="130">
        <f t="shared" si="18"/>
        <v>2031</v>
      </c>
      <c r="X14" s="130">
        <f t="shared" si="18"/>
        <v>2032</v>
      </c>
      <c r="Y14" s="130">
        <f t="shared" si="18"/>
        <v>2033</v>
      </c>
      <c r="Z14" s="130">
        <f t="shared" si="18"/>
        <v>2034</v>
      </c>
      <c r="AA14" s="130">
        <f t="shared" si="18"/>
        <v>2035</v>
      </c>
      <c r="AB14" s="130">
        <f t="shared" si="18"/>
        <v>2036</v>
      </c>
      <c r="AC14" s="130">
        <f t="shared" si="18"/>
        <v>2037</v>
      </c>
      <c r="AD14" s="130">
        <f t="shared" si="18"/>
        <v>2038</v>
      </c>
      <c r="AE14" s="6"/>
      <c r="AF14" s="6" t="str">
        <f>A14</f>
        <v>Rural</v>
      </c>
      <c r="AG14" s="38"/>
      <c r="AH14" s="161">
        <f>AI14-1</f>
        <v>2018</v>
      </c>
      <c r="AI14" s="36">
        <f>Yr_Start</f>
        <v>2019</v>
      </c>
      <c r="AJ14" s="36">
        <f>AI14+1</f>
        <v>2020</v>
      </c>
      <c r="AK14" s="36">
        <f t="shared" ref="AK14:BB14" si="19">AJ14+1</f>
        <v>2021</v>
      </c>
      <c r="AL14" s="36">
        <f t="shared" si="19"/>
        <v>2022</v>
      </c>
      <c r="AM14" s="36">
        <f t="shared" si="19"/>
        <v>2023</v>
      </c>
      <c r="AN14" s="36">
        <f t="shared" si="19"/>
        <v>2024</v>
      </c>
      <c r="AO14" s="36">
        <f t="shared" si="19"/>
        <v>2025</v>
      </c>
      <c r="AP14" s="36">
        <f t="shared" si="19"/>
        <v>2026</v>
      </c>
      <c r="AQ14" s="36">
        <f t="shared" si="19"/>
        <v>2027</v>
      </c>
      <c r="AR14" s="36">
        <f t="shared" si="19"/>
        <v>2028</v>
      </c>
      <c r="AS14" s="36">
        <f t="shared" si="19"/>
        <v>2029</v>
      </c>
      <c r="AT14" s="36">
        <f t="shared" si="19"/>
        <v>2030</v>
      </c>
      <c r="AU14" s="36">
        <f t="shared" si="19"/>
        <v>2031</v>
      </c>
      <c r="AV14" s="36">
        <f t="shared" si="19"/>
        <v>2032</v>
      </c>
      <c r="AW14" s="36">
        <f t="shared" si="19"/>
        <v>2033</v>
      </c>
      <c r="AX14" s="36">
        <f t="shared" si="19"/>
        <v>2034</v>
      </c>
      <c r="AY14" s="36">
        <f t="shared" si="19"/>
        <v>2035</v>
      </c>
      <c r="AZ14" s="36">
        <f t="shared" si="19"/>
        <v>2036</v>
      </c>
      <c r="BA14" s="36">
        <f t="shared" si="19"/>
        <v>2037</v>
      </c>
      <c r="BB14" s="36">
        <f t="shared" si="19"/>
        <v>2038</v>
      </c>
    </row>
    <row r="15" spans="1:54" x14ac:dyDescent="0.25">
      <c r="B15" s="1" t="s">
        <v>52</v>
      </c>
      <c r="C15" s="14">
        <f ca="1">INDEX(Data_FP!$2:$1048576,MATCH(C$4&amp;$A$14&amp;$B15&amp;$A$1,Data_FP!$A$2:$A$1048576,0),MATCH($A$13,Data_FP!$2:$2,0))</f>
        <v>2.0166699999999999E-2</v>
      </c>
      <c r="D15" s="14">
        <f ca="1">INDEX(Data_FP!$2:$1048576,MATCH(D$4&amp;$A$14&amp;$B15&amp;$A$1,Data_FP!$A$2:$A$1048576,0),MATCH($A$13,Data_FP!$2:$2,0))</f>
        <v>3.1653300000000002E-2</v>
      </c>
      <c r="E15" s="14">
        <f ca="1">IF('User Settings'!$N$7="On",($D15-$C15)/($D$4-$C$4),0)</f>
        <v>2.2973200000000007E-3</v>
      </c>
      <c r="F15" s="14">
        <f ca="1">MAX(0,MIN(1,($D15+$E15*(F$4-$D$4))))</f>
        <v>3.8545260000000005E-2</v>
      </c>
      <c r="G15" s="14"/>
      <c r="H15" s="14">
        <f ca="1">MAX(0,MIN(1,($D15+$E15*(H$4-$D$4))*$H$1))</f>
        <v>4.5437220000000007E-2</v>
      </c>
      <c r="I15" s="14">
        <f ca="1">($H15-$F15)/($H$4-$F$4)</f>
        <v>2.2973200000000007E-3</v>
      </c>
      <c r="J15" s="14">
        <f ca="1">K15-E15</f>
        <v>3.6247940000000006E-2</v>
      </c>
      <c r="K15" s="14">
        <f ca="1">MAX(0,MIN(1,D15+(K$4-D$4)*E15))</f>
        <v>3.8545260000000005E-2</v>
      </c>
      <c r="L15" s="15">
        <f ca="1">MAX(0,MIN(1,K15+$I15))</f>
        <v>4.0842580000000003E-2</v>
      </c>
      <c r="M15" s="15">
        <f t="shared" ref="M15:AD15" ca="1" si="20">MAX(0,MIN(1,L15+$I15))</f>
        <v>4.3139900000000002E-2</v>
      </c>
      <c r="N15" s="15">
        <f ca="1">MAX(0,MIN(1,M15+$I15))</f>
        <v>4.543722E-2</v>
      </c>
      <c r="O15" s="15">
        <f t="shared" ca="1" si="20"/>
        <v>4.7734539999999999E-2</v>
      </c>
      <c r="P15" s="15">
        <f t="shared" ca="1" si="20"/>
        <v>5.0031859999999997E-2</v>
      </c>
      <c r="Q15" s="15">
        <f t="shared" ca="1" si="20"/>
        <v>5.2329179999999996E-2</v>
      </c>
      <c r="R15" s="15">
        <f t="shared" ca="1" si="20"/>
        <v>5.4626499999999995E-2</v>
      </c>
      <c r="S15" s="15">
        <f t="shared" ca="1" si="20"/>
        <v>5.6923819999999993E-2</v>
      </c>
      <c r="T15" s="15">
        <f t="shared" ca="1" si="20"/>
        <v>5.9221139999999992E-2</v>
      </c>
      <c r="U15" s="15">
        <f t="shared" ca="1" si="20"/>
        <v>6.151845999999999E-2</v>
      </c>
      <c r="V15" s="15">
        <f t="shared" ca="1" si="20"/>
        <v>6.3815779999999989E-2</v>
      </c>
      <c r="W15" s="15">
        <f t="shared" ca="1" si="20"/>
        <v>6.6113099999999994E-2</v>
      </c>
      <c r="X15" s="15">
        <f t="shared" ca="1" si="20"/>
        <v>6.841042E-2</v>
      </c>
      <c r="Y15" s="15">
        <f t="shared" ca="1" si="20"/>
        <v>7.0707740000000005E-2</v>
      </c>
      <c r="Z15" s="15">
        <f t="shared" ca="1" si="20"/>
        <v>7.3005060000000011E-2</v>
      </c>
      <c r="AA15" s="15">
        <f t="shared" ca="1" si="20"/>
        <v>7.5302380000000016E-2</v>
      </c>
      <c r="AB15" s="15">
        <f t="shared" ca="1" si="20"/>
        <v>7.7599700000000021E-2</v>
      </c>
      <c r="AC15" s="15">
        <f t="shared" ca="1" si="20"/>
        <v>7.9897020000000027E-2</v>
      </c>
      <c r="AD15" s="15">
        <f t="shared" ca="1" si="20"/>
        <v>8.2194340000000032E-2</v>
      </c>
      <c r="AE15" s="5"/>
      <c r="AG15" s="1" t="s">
        <v>52</v>
      </c>
      <c r="AH15" s="37">
        <f ca="1">J15*AH$21</f>
        <v>60043.643740691732</v>
      </c>
      <c r="AI15" s="37">
        <f t="shared" ref="AI15:AI20" ca="1" si="21">K15*AI$21</f>
        <v>66304.429609588959</v>
      </c>
      <c r="AJ15" s="37">
        <f t="shared" ref="AJ15:AS20" ca="1" si="22">L15*AJ$21</f>
        <v>72941.945226151482</v>
      </c>
      <c r="AK15" s="37">
        <f ca="1">M15*AK$21</f>
        <v>79871.371027283938</v>
      </c>
      <c r="AL15" s="37">
        <f t="shared" ca="1" si="22"/>
        <v>87210.768007197898</v>
      </c>
      <c r="AM15" s="37">
        <f t="shared" ca="1" si="22"/>
        <v>94965.461014119544</v>
      </c>
      <c r="AN15" s="37">
        <f t="shared" ca="1" si="22"/>
        <v>103137.0104941883</v>
      </c>
      <c r="AO15" s="37">
        <f t="shared" ca="1" si="22"/>
        <v>111731.47901853165</v>
      </c>
      <c r="AP15" s="37">
        <f t="shared" ca="1" si="22"/>
        <v>120678.24395446692</v>
      </c>
      <c r="AQ15" s="37">
        <f t="shared" ca="1" si="22"/>
        <v>130075.39281913503</v>
      </c>
      <c r="AR15" s="37">
        <f t="shared" ca="1" si="22"/>
        <v>139938.14384183357</v>
      </c>
      <c r="AS15" s="37">
        <f t="shared" ca="1" si="22"/>
        <v>150288.41856211988</v>
      </c>
      <c r="AT15" s="37">
        <f t="shared" ref="AT15:BB20" ca="1" si="23">V15*AT$21</f>
        <v>161144.3417213409</v>
      </c>
      <c r="AU15" s="37">
        <f t="shared" ca="1" si="23"/>
        <v>172419.64843430757</v>
      </c>
      <c r="AV15" s="37">
        <f t="shared" ca="1" si="23"/>
        <v>184233.7100146008</v>
      </c>
      <c r="AW15" s="37">
        <f t="shared" ca="1" si="23"/>
        <v>196590.96835865063</v>
      </c>
      <c r="AX15" s="37">
        <f t="shared" ca="1" si="23"/>
        <v>209492.76106217518</v>
      </c>
      <c r="AY15" s="37">
        <f t="shared" ca="1" si="23"/>
        <v>222943.32490563559</v>
      </c>
      <c r="AZ15" s="37" t="e">
        <f t="shared" ca="1" si="23"/>
        <v>#N/A</v>
      </c>
      <c r="BA15" s="37" t="e">
        <f t="shared" ca="1" si="23"/>
        <v>#N/A</v>
      </c>
      <c r="BB15" s="37" t="e">
        <f t="shared" ca="1" si="23"/>
        <v>#N/A</v>
      </c>
    </row>
    <row r="16" spans="1:54" x14ac:dyDescent="0.25">
      <c r="B16" s="1" t="s">
        <v>54</v>
      </c>
      <c r="C16" s="14">
        <f ca="1">INDEX(Data_FP!$2:$1048576,MATCH(C$4&amp;$A$14&amp;$B16&amp;$A$1,Data_FP!$A$2:$A$1048576,0),MATCH($A$13,Data_FP!$2:$2,0))</f>
        <v>0</v>
      </c>
      <c r="D16" s="14">
        <f ca="1">INDEX(Data_FP!$2:$1048576,MATCH(D$4&amp;$A$14&amp;$B16&amp;$A$1,Data_FP!$A$2:$A$1048576,0),MATCH($A$13,Data_FP!$2:$2,0))</f>
        <v>3.5446000000000002E-3</v>
      </c>
      <c r="E16" s="14">
        <f ca="1">IF('User Settings'!$N$7="On",($D16-$C16)/($D$4-$C$4),0)</f>
        <v>7.0892000000000004E-4</v>
      </c>
      <c r="F16" s="14">
        <f t="shared" ref="F16:F20" ca="1" si="24">MAX(0,MIN(1,($D16+$E16*(F$4-$D$4))))</f>
        <v>5.6713600000000003E-3</v>
      </c>
      <c r="G16" s="14"/>
      <c r="H16" s="14">
        <f t="shared" ref="H16:H20" ca="1" si="25">MAX(0,MIN(1,($D16+$E16*(H$4-$D$4))*$H$1))</f>
        <v>7.7981200000000004E-3</v>
      </c>
      <c r="I16" s="14">
        <f ca="1">($H16-$F16)/($H$4-$F$4)</f>
        <v>7.0892000000000004E-4</v>
      </c>
      <c r="J16" s="14">
        <f t="shared" ref="J16:J20" ca="1" si="26">K16-E16</f>
        <v>4.9624400000000003E-3</v>
      </c>
      <c r="K16" s="14">
        <f t="shared" ref="K16:K20" ca="1" si="27">MAX(0,MIN(1,D16+(K$4-D$4)*E16))</f>
        <v>5.6713600000000003E-3</v>
      </c>
      <c r="L16" s="15">
        <f t="shared" ref="L16:AD20" ca="1" si="28">MAX(0,MIN(1,K16+$I16))</f>
        <v>6.3802800000000003E-3</v>
      </c>
      <c r="M16" s="15">
        <f t="shared" ca="1" si="28"/>
        <v>7.0892000000000004E-3</v>
      </c>
      <c r="N16" s="15">
        <f t="shared" ca="1" si="28"/>
        <v>7.7981200000000004E-3</v>
      </c>
      <c r="O16" s="15">
        <f t="shared" ca="1" si="28"/>
        <v>8.5070400000000004E-3</v>
      </c>
      <c r="P16" s="15">
        <f t="shared" ca="1" si="28"/>
        <v>9.2159600000000005E-3</v>
      </c>
      <c r="Q16" s="15">
        <f t="shared" ca="1" si="28"/>
        <v>9.9248800000000005E-3</v>
      </c>
      <c r="R16" s="15">
        <f t="shared" ca="1" si="28"/>
        <v>1.0633800000000001E-2</v>
      </c>
      <c r="S16" s="15">
        <f t="shared" ca="1" si="28"/>
        <v>1.1342720000000001E-2</v>
      </c>
      <c r="T16" s="15">
        <f t="shared" ca="1" si="28"/>
        <v>1.2051640000000001E-2</v>
      </c>
      <c r="U16" s="15">
        <f t="shared" ca="1" si="28"/>
        <v>1.2760560000000001E-2</v>
      </c>
      <c r="V16" s="15">
        <f t="shared" ca="1" si="28"/>
        <v>1.3469480000000001E-2</v>
      </c>
      <c r="W16" s="15">
        <f t="shared" ca="1" si="28"/>
        <v>1.4178400000000001E-2</v>
      </c>
      <c r="X16" s="15">
        <f t="shared" ca="1" si="28"/>
        <v>1.4887320000000001E-2</v>
      </c>
      <c r="Y16" s="15">
        <f t="shared" ca="1" si="28"/>
        <v>1.5596240000000001E-2</v>
      </c>
      <c r="Z16" s="15">
        <f t="shared" ca="1" si="28"/>
        <v>1.6305159999999999E-2</v>
      </c>
      <c r="AA16" s="15">
        <f t="shared" ca="1" si="28"/>
        <v>1.7014080000000001E-2</v>
      </c>
      <c r="AB16" s="15">
        <f t="shared" ca="1" si="28"/>
        <v>1.7723000000000003E-2</v>
      </c>
      <c r="AC16" s="15">
        <f t="shared" ca="1" si="28"/>
        <v>1.8431920000000004E-2</v>
      </c>
      <c r="AD16" s="15">
        <f t="shared" ca="1" si="28"/>
        <v>1.9140840000000006E-2</v>
      </c>
      <c r="AE16" s="5"/>
      <c r="AG16" s="1" t="s">
        <v>54</v>
      </c>
      <c r="AH16" s="37">
        <f t="shared" ref="AH16:AH20" ca="1" si="29">J16*AH$21</f>
        <v>8220.135528930974</v>
      </c>
      <c r="AI16" s="37">
        <f t="shared" ca="1" si="21"/>
        <v>9755.707703376198</v>
      </c>
      <c r="AJ16" s="37">
        <f t="shared" ca="1" si="22"/>
        <v>11394.726637923211</v>
      </c>
      <c r="AK16" s="37">
        <f t="shared" ca="1" si="22"/>
        <v>13125.299861302907</v>
      </c>
      <c r="AL16" s="37">
        <f t="shared" ca="1" si="22"/>
        <v>14967.465751916383</v>
      </c>
      <c r="AM16" s="37">
        <f t="shared" ca="1" si="22"/>
        <v>16924.327236955789</v>
      </c>
      <c r="AN16" s="37">
        <f t="shared" ca="1" si="22"/>
        <v>18998.025722689898</v>
      </c>
      <c r="AO16" s="37">
        <f t="shared" ca="1" si="22"/>
        <v>21191.26501660153</v>
      </c>
      <c r="AP16" s="37">
        <f t="shared" ca="1" si="22"/>
        <v>23491.680971012429</v>
      </c>
      <c r="AQ16" s="37">
        <f t="shared" ca="1" si="22"/>
        <v>25919.004726623396</v>
      </c>
      <c r="AR16" s="37">
        <f t="shared" ca="1" si="22"/>
        <v>28477.7383861573</v>
      </c>
      <c r="AS16" s="37">
        <f t="shared" ca="1" si="22"/>
        <v>31173.803478940223</v>
      </c>
      <c r="AT16" s="37">
        <f t="shared" ca="1" si="23"/>
        <v>34012.44156114314</v>
      </c>
      <c r="AU16" s="37">
        <f t="shared" ca="1" si="23"/>
        <v>36976.555983019811</v>
      </c>
      <c r="AV16" s="37">
        <f t="shared" ca="1" si="23"/>
        <v>40092.520931381019</v>
      </c>
      <c r="AW16" s="37">
        <f t="shared" ca="1" si="23"/>
        <v>43362.719899602525</v>
      </c>
      <c r="AX16" s="37">
        <f t="shared" ca="1" si="23"/>
        <v>46788.715576160554</v>
      </c>
      <c r="AY16" s="37">
        <f t="shared" ca="1" si="23"/>
        <v>50372.585373934737</v>
      </c>
      <c r="AZ16" s="37" t="e">
        <f t="shared" ca="1" si="23"/>
        <v>#N/A</v>
      </c>
      <c r="BA16" s="37" t="e">
        <f t="shared" ca="1" si="23"/>
        <v>#N/A</v>
      </c>
      <c r="BB16" s="37" t="e">
        <f t="shared" ca="1" si="23"/>
        <v>#N/A</v>
      </c>
    </row>
    <row r="17" spans="1:54" x14ac:dyDescent="0.25">
      <c r="B17" s="1" t="s">
        <v>170</v>
      </c>
      <c r="C17" s="14">
        <f ca="1">INDEX(Data_FP!$2:$1048576,MATCH(C$4&amp;$A$14&amp;$B17&amp;$A$1,Data_FP!$A$2:$A$1048576,0),MATCH($A$13,Data_FP!$2:$2,0))</f>
        <v>6.7440000000000002E-4</v>
      </c>
      <c r="D17" s="14">
        <f ca="1">INDEX(Data_FP!$2:$1048576,MATCH(D$4&amp;$A$14&amp;$B17&amp;$A$1,Data_FP!$A$2:$A$1048576,0),MATCH($A$13,Data_FP!$2:$2,0))</f>
        <v>1.2436999999999999E-3</v>
      </c>
      <c r="E17" s="14">
        <f ca="1">IF('User Settings'!$N$7="On",($D17-$C17)/($D$4-$C$4),0)</f>
        <v>1.1385999999999998E-4</v>
      </c>
      <c r="F17" s="14">
        <f t="shared" ca="1" si="24"/>
        <v>1.5852799999999999E-3</v>
      </c>
      <c r="G17" s="14"/>
      <c r="H17" s="14">
        <f t="shared" ca="1" si="25"/>
        <v>1.9268599999999999E-3</v>
      </c>
      <c r="I17" s="14">
        <f t="shared" ref="I17:I20" ca="1" si="30">($H17-$F17)/($H$4-$F$4)</f>
        <v>1.1385999999999998E-4</v>
      </c>
      <c r="J17" s="14">
        <f t="shared" ca="1" si="26"/>
        <v>1.47142E-3</v>
      </c>
      <c r="K17" s="14">
        <f t="shared" ca="1" si="27"/>
        <v>1.5852799999999999E-3</v>
      </c>
      <c r="L17" s="15">
        <f t="shared" ca="1" si="28"/>
        <v>1.6991399999999998E-3</v>
      </c>
      <c r="M17" s="15">
        <f t="shared" ca="1" si="28"/>
        <v>1.8129999999999997E-3</v>
      </c>
      <c r="N17" s="15">
        <f t="shared" ca="1" si="28"/>
        <v>1.9268599999999996E-3</v>
      </c>
      <c r="O17" s="15">
        <f t="shared" ca="1" si="28"/>
        <v>2.0407199999999998E-3</v>
      </c>
      <c r="P17" s="15">
        <f t="shared" ca="1" si="28"/>
        <v>2.1545799999999997E-3</v>
      </c>
      <c r="Q17" s="15">
        <f t="shared" ca="1" si="28"/>
        <v>2.2684399999999996E-3</v>
      </c>
      <c r="R17" s="15">
        <f t="shared" ca="1" si="28"/>
        <v>2.3822999999999995E-3</v>
      </c>
      <c r="S17" s="15">
        <f t="shared" ca="1" si="28"/>
        <v>2.4961599999999994E-3</v>
      </c>
      <c r="T17" s="15">
        <f t="shared" ca="1" si="28"/>
        <v>2.6100199999999994E-3</v>
      </c>
      <c r="U17" s="15">
        <f t="shared" ca="1" si="28"/>
        <v>2.7238799999999993E-3</v>
      </c>
      <c r="V17" s="15">
        <f t="shared" ca="1" si="28"/>
        <v>2.8377399999999992E-3</v>
      </c>
      <c r="W17" s="15">
        <f t="shared" ca="1" si="28"/>
        <v>2.9515999999999991E-3</v>
      </c>
      <c r="X17" s="15">
        <f t="shared" ca="1" si="28"/>
        <v>3.065459999999999E-3</v>
      </c>
      <c r="Y17" s="15">
        <f t="shared" ca="1" si="28"/>
        <v>3.1793199999999989E-3</v>
      </c>
      <c r="Z17" s="15">
        <f t="shared" ca="1" si="28"/>
        <v>3.2931799999999989E-3</v>
      </c>
      <c r="AA17" s="15">
        <f t="shared" ca="1" si="28"/>
        <v>3.4070399999999988E-3</v>
      </c>
      <c r="AB17" s="15">
        <f t="shared" ca="1" si="28"/>
        <v>3.5208999999999987E-3</v>
      </c>
      <c r="AC17" s="15">
        <f t="shared" ca="1" si="28"/>
        <v>3.6347599999999986E-3</v>
      </c>
      <c r="AD17" s="15">
        <f t="shared" ca="1" si="28"/>
        <v>3.7486199999999985E-3</v>
      </c>
      <c r="AE17" s="5"/>
      <c r="AG17" s="1" t="s">
        <v>170</v>
      </c>
      <c r="AH17" s="37">
        <f t="shared" ca="1" si="29"/>
        <v>2437.363841170798</v>
      </c>
      <c r="AI17" s="37">
        <f t="shared" ca="1" si="21"/>
        <v>2726.9523197272288</v>
      </c>
      <c r="AJ17" s="37">
        <f t="shared" ca="1" si="22"/>
        <v>3034.5432832980437</v>
      </c>
      <c r="AK17" s="37">
        <f t="shared" ca="1" si="22"/>
        <v>3356.6789833185921</v>
      </c>
      <c r="AL17" s="37">
        <f t="shared" ca="1" si="22"/>
        <v>3698.3543544774375</v>
      </c>
      <c r="AM17" s="37">
        <f t="shared" ca="1" si="22"/>
        <v>4059.9095665472846</v>
      </c>
      <c r="AN17" s="37">
        <f t="shared" ca="1" si="22"/>
        <v>4441.5086720855115</v>
      </c>
      <c r="AO17" s="37">
        <f t="shared" ca="1" si="22"/>
        <v>4843.4956608301127</v>
      </c>
      <c r="AP17" s="37">
        <f t="shared" ca="1" si="22"/>
        <v>5262.8629066977837</v>
      </c>
      <c r="AQ17" s="37">
        <f t="shared" ca="1" si="22"/>
        <v>5703.9213555838669</v>
      </c>
      <c r="AR17" s="37">
        <f t="shared" ca="1" si="22"/>
        <v>6167.4151188251772</v>
      </c>
      <c r="AS17" s="37">
        <f t="shared" ca="1" si="22"/>
        <v>6654.3866272495616</v>
      </c>
      <c r="AT17" s="37">
        <f t="shared" ca="1" si="23"/>
        <v>7165.7158194465046</v>
      </c>
      <c r="AU17" s="37">
        <f t="shared" ca="1" si="23"/>
        <v>7697.6247418242701</v>
      </c>
      <c r="AV17" s="37">
        <f t="shared" ca="1" si="23"/>
        <v>8255.4831369454823</v>
      </c>
      <c r="AW17" s="37">
        <f t="shared" ca="1" si="23"/>
        <v>8839.5640635950876</v>
      </c>
      <c r="AX17" s="37">
        <f t="shared" ca="1" si="23"/>
        <v>9449.9938891185593</v>
      </c>
      <c r="AY17" s="37">
        <f t="shared" ca="1" si="23"/>
        <v>10087.022823003685</v>
      </c>
      <c r="AZ17" s="37" t="e">
        <f t="shared" ca="1" si="23"/>
        <v>#N/A</v>
      </c>
      <c r="BA17" s="37" t="e">
        <f t="shared" ca="1" si="23"/>
        <v>#N/A</v>
      </c>
      <c r="BB17" s="37" t="e">
        <f t="shared" ca="1" si="23"/>
        <v>#N/A</v>
      </c>
    </row>
    <row r="18" spans="1:54" x14ac:dyDescent="0.25">
      <c r="B18" s="1" t="s">
        <v>59</v>
      </c>
      <c r="C18" s="14">
        <f ca="1">INDEX(Data_FP!$2:$1048576,MATCH(C$4&amp;$A$14&amp;$B18&amp;$A$1,Data_FP!$A$2:$A$1048576,0),MATCH($A$13,Data_FP!$2:$2,0))</f>
        <v>2.1161000000000001E-3</v>
      </c>
      <c r="D18" s="14">
        <f ca="1">INDEX(Data_FP!$2:$1048576,MATCH(D$4&amp;$A$14&amp;$B18&amp;$A$1,Data_FP!$A$2:$A$1048576,0),MATCH($A$13,Data_FP!$2:$2,0))</f>
        <v>1.04207E-2</v>
      </c>
      <c r="E18" s="14">
        <f ca="1">IF('User Settings'!$N$7="On",($D18-$C18)/($D$4-$C$4),0)</f>
        <v>1.6609199999999998E-3</v>
      </c>
      <c r="F18" s="14">
        <f t="shared" ca="1" si="24"/>
        <v>1.5403459999999999E-2</v>
      </c>
      <c r="G18" s="14"/>
      <c r="H18" s="14">
        <f t="shared" ca="1" si="25"/>
        <v>2.0386219999999997E-2</v>
      </c>
      <c r="I18" s="14">
        <f t="shared" ca="1" si="30"/>
        <v>1.6609199999999991E-3</v>
      </c>
      <c r="J18" s="14">
        <f t="shared" ca="1" si="26"/>
        <v>1.3742539999999999E-2</v>
      </c>
      <c r="K18" s="14">
        <f t="shared" ca="1" si="27"/>
        <v>1.5403459999999999E-2</v>
      </c>
      <c r="L18" s="15">
        <f t="shared" ca="1" si="28"/>
        <v>1.7064379999999997E-2</v>
      </c>
      <c r="M18" s="15">
        <f t="shared" ca="1" si="28"/>
        <v>1.8725299999999997E-2</v>
      </c>
      <c r="N18" s="15">
        <f t="shared" ca="1" si="28"/>
        <v>2.0386219999999997E-2</v>
      </c>
      <c r="O18" s="15">
        <f t="shared" ca="1" si="28"/>
        <v>2.2047139999999996E-2</v>
      </c>
      <c r="P18" s="15">
        <f t="shared" ca="1" si="28"/>
        <v>2.3708059999999996E-2</v>
      </c>
      <c r="Q18" s="15">
        <f t="shared" ca="1" si="28"/>
        <v>2.5368979999999996E-2</v>
      </c>
      <c r="R18" s="15">
        <f t="shared" ca="1" si="28"/>
        <v>2.7029899999999996E-2</v>
      </c>
      <c r="S18" s="15">
        <f t="shared" ca="1" si="28"/>
        <v>2.8690819999999995E-2</v>
      </c>
      <c r="T18" s="15">
        <f t="shared" ca="1" si="28"/>
        <v>3.0351739999999995E-2</v>
      </c>
      <c r="U18" s="15">
        <f t="shared" ca="1" si="28"/>
        <v>3.2012659999999991E-2</v>
      </c>
      <c r="V18" s="15">
        <f t="shared" ca="1" si="28"/>
        <v>3.3673579999999988E-2</v>
      </c>
      <c r="W18" s="15">
        <f t="shared" ca="1" si="28"/>
        <v>3.5334499999999984E-2</v>
      </c>
      <c r="X18" s="15">
        <f t="shared" ca="1" si="28"/>
        <v>3.699541999999998E-2</v>
      </c>
      <c r="Y18" s="15">
        <f t="shared" ca="1" si="28"/>
        <v>3.8656339999999977E-2</v>
      </c>
      <c r="Z18" s="15">
        <f t="shared" ca="1" si="28"/>
        <v>4.0317259999999973E-2</v>
      </c>
      <c r="AA18" s="15">
        <f t="shared" ca="1" si="28"/>
        <v>4.1978179999999969E-2</v>
      </c>
      <c r="AB18" s="15">
        <f t="shared" ca="1" si="28"/>
        <v>4.3639099999999965E-2</v>
      </c>
      <c r="AC18" s="15">
        <f t="shared" ca="1" si="28"/>
        <v>4.5300019999999962E-2</v>
      </c>
      <c r="AD18" s="15">
        <f t="shared" ca="1" si="28"/>
        <v>4.6960939999999958E-2</v>
      </c>
      <c r="AE18" s="5"/>
      <c r="AG18" s="1" t="s">
        <v>59</v>
      </c>
      <c r="AH18" s="37">
        <f t="shared" ca="1" si="29"/>
        <v>22764.112273751434</v>
      </c>
      <c r="AI18" s="37">
        <f t="shared" ca="1" si="21"/>
        <v>26496.581663066198</v>
      </c>
      <c r="AJ18" s="37">
        <f t="shared" ca="1" si="22"/>
        <v>30475.769926342426</v>
      </c>
      <c r="AK18" s="37">
        <f t="shared" ca="1" si="22"/>
        <v>34668.958061961188</v>
      </c>
      <c r="AL18" s="37">
        <f t="shared" ca="1" si="22"/>
        <v>39128.668148352772</v>
      </c>
      <c r="AM18" s="37">
        <f t="shared" ca="1" si="22"/>
        <v>43861.673625488693</v>
      </c>
      <c r="AN18" s="37">
        <f t="shared" ca="1" si="22"/>
        <v>48872.427149757088</v>
      </c>
      <c r="AO18" s="37">
        <f t="shared" ca="1" si="22"/>
        <v>54166.980193298441</v>
      </c>
      <c r="AP18" s="37">
        <f t="shared" ca="1" si="22"/>
        <v>59713.158746484674</v>
      </c>
      <c r="AQ18" s="37">
        <f t="shared" ca="1" si="22"/>
        <v>65560.773711305665</v>
      </c>
      <c r="AR18" s="37">
        <f t="shared" ca="1" si="22"/>
        <v>71720.438984624983</v>
      </c>
      <c r="AS18" s="37">
        <f t="shared" ca="1" si="22"/>
        <v>78206.314744660907</v>
      </c>
      <c r="AT18" s="37">
        <f t="shared" ca="1" si="23"/>
        <v>85030.800884999117</v>
      </c>
      <c r="AU18" s="37">
        <f t="shared" ca="1" si="23"/>
        <v>92150.603550613101</v>
      </c>
      <c r="AV18" s="37">
        <f t="shared" ca="1" si="23"/>
        <v>99631.071993833088</v>
      </c>
      <c r="AW18" s="37">
        <f t="shared" ca="1" si="23"/>
        <v>107477.44608724923</v>
      </c>
      <c r="AX18" s="37">
        <f t="shared" ca="1" si="23"/>
        <v>115692.996017832</v>
      </c>
      <c r="AY18" s="37">
        <f t="shared" ca="1" si="23"/>
        <v>124282.32710157693</v>
      </c>
      <c r="AZ18" s="37" t="e">
        <f t="shared" ca="1" si="23"/>
        <v>#N/A</v>
      </c>
      <c r="BA18" s="37" t="e">
        <f t="shared" ca="1" si="23"/>
        <v>#N/A</v>
      </c>
      <c r="BB18" s="37" t="e">
        <f t="shared" ca="1" si="23"/>
        <v>#N/A</v>
      </c>
    </row>
    <row r="19" spans="1:54" x14ac:dyDescent="0.25">
      <c r="B19" s="1" t="s">
        <v>171</v>
      </c>
      <c r="C19" s="14">
        <f ca="1">INDEX(Data_FP!$2:$1048576,MATCH(C$4&amp;$A$14&amp;$B19&amp;$A$1,Data_FP!$A$2:$A$1048576,0),MATCH($A$13,Data_FP!$2:$2,0))</f>
        <v>0</v>
      </c>
      <c r="D19" s="14">
        <f ca="1">INDEX(Data_FP!$2:$1048576,MATCH(D$4&amp;$A$14&amp;$B19&amp;$A$1,Data_FP!$A$2:$A$1048576,0),MATCH($A$13,Data_FP!$2:$2,0))</f>
        <v>0</v>
      </c>
      <c r="E19" s="14">
        <f ca="1">IF('User Settings'!$N$7="On",($D19-$C19)/($D$4-$C$4),0)</f>
        <v>0</v>
      </c>
      <c r="F19" s="14">
        <f t="shared" ca="1" si="24"/>
        <v>0</v>
      </c>
      <c r="G19" s="14"/>
      <c r="H19" s="14">
        <f t="shared" ca="1" si="25"/>
        <v>0</v>
      </c>
      <c r="I19" s="14">
        <f t="shared" ca="1" si="30"/>
        <v>0</v>
      </c>
      <c r="J19" s="14">
        <f t="shared" ca="1" si="26"/>
        <v>0</v>
      </c>
      <c r="K19" s="14">
        <f t="shared" ca="1" si="27"/>
        <v>0</v>
      </c>
      <c r="L19" s="15">
        <f t="shared" ca="1" si="28"/>
        <v>0</v>
      </c>
      <c r="M19" s="15">
        <f t="shared" ca="1" si="28"/>
        <v>0</v>
      </c>
      <c r="N19" s="15">
        <f t="shared" ca="1" si="28"/>
        <v>0</v>
      </c>
      <c r="O19" s="15">
        <f t="shared" ca="1" si="28"/>
        <v>0</v>
      </c>
      <c r="P19" s="15">
        <f t="shared" ca="1" si="28"/>
        <v>0</v>
      </c>
      <c r="Q19" s="15">
        <f t="shared" ca="1" si="28"/>
        <v>0</v>
      </c>
      <c r="R19" s="15">
        <f t="shared" ca="1" si="28"/>
        <v>0</v>
      </c>
      <c r="S19" s="15">
        <f t="shared" ca="1" si="28"/>
        <v>0</v>
      </c>
      <c r="T19" s="15">
        <f t="shared" ca="1" si="28"/>
        <v>0</v>
      </c>
      <c r="U19" s="15">
        <f t="shared" ca="1" si="28"/>
        <v>0</v>
      </c>
      <c r="V19" s="15">
        <f t="shared" ca="1" si="28"/>
        <v>0</v>
      </c>
      <c r="W19" s="15">
        <f t="shared" ca="1" si="28"/>
        <v>0</v>
      </c>
      <c r="X19" s="15">
        <f t="shared" ca="1" si="28"/>
        <v>0</v>
      </c>
      <c r="Y19" s="15">
        <f t="shared" ca="1" si="28"/>
        <v>0</v>
      </c>
      <c r="Z19" s="15">
        <f t="shared" ca="1" si="28"/>
        <v>0</v>
      </c>
      <c r="AA19" s="15">
        <f t="shared" ca="1" si="28"/>
        <v>0</v>
      </c>
      <c r="AB19" s="15">
        <f t="shared" ca="1" si="28"/>
        <v>0</v>
      </c>
      <c r="AC19" s="15">
        <f t="shared" ca="1" si="28"/>
        <v>0</v>
      </c>
      <c r="AD19" s="15">
        <f t="shared" ca="1" si="28"/>
        <v>0</v>
      </c>
      <c r="AE19" s="5"/>
      <c r="AG19" s="1" t="s">
        <v>171</v>
      </c>
      <c r="AH19" s="37">
        <f t="shared" ca="1" si="29"/>
        <v>0</v>
      </c>
      <c r="AI19" s="37">
        <f t="shared" ca="1" si="21"/>
        <v>0</v>
      </c>
      <c r="AJ19" s="37">
        <f t="shared" ca="1" si="22"/>
        <v>0</v>
      </c>
      <c r="AK19" s="37">
        <f t="shared" ca="1" si="22"/>
        <v>0</v>
      </c>
      <c r="AL19" s="37">
        <f t="shared" ca="1" si="22"/>
        <v>0</v>
      </c>
      <c r="AM19" s="37">
        <f t="shared" ca="1" si="22"/>
        <v>0</v>
      </c>
      <c r="AN19" s="37">
        <f t="shared" ca="1" si="22"/>
        <v>0</v>
      </c>
      <c r="AO19" s="37">
        <f t="shared" ca="1" si="22"/>
        <v>0</v>
      </c>
      <c r="AP19" s="37">
        <f t="shared" ca="1" si="22"/>
        <v>0</v>
      </c>
      <c r="AQ19" s="37">
        <f t="shared" ca="1" si="22"/>
        <v>0</v>
      </c>
      <c r="AR19" s="37">
        <f t="shared" ca="1" si="22"/>
        <v>0</v>
      </c>
      <c r="AS19" s="37">
        <f t="shared" ca="1" si="22"/>
        <v>0</v>
      </c>
      <c r="AT19" s="37">
        <f t="shared" ca="1" si="23"/>
        <v>0</v>
      </c>
      <c r="AU19" s="37">
        <f t="shared" ca="1" si="23"/>
        <v>0</v>
      </c>
      <c r="AV19" s="37">
        <f t="shared" ca="1" si="23"/>
        <v>0</v>
      </c>
      <c r="AW19" s="37">
        <f t="shared" ca="1" si="23"/>
        <v>0</v>
      </c>
      <c r="AX19" s="37">
        <f t="shared" ca="1" si="23"/>
        <v>0</v>
      </c>
      <c r="AY19" s="37">
        <f t="shared" ca="1" si="23"/>
        <v>0</v>
      </c>
      <c r="AZ19" s="37" t="e">
        <f t="shared" ca="1" si="23"/>
        <v>#N/A</v>
      </c>
      <c r="BA19" s="37" t="e">
        <f t="shared" ca="1" si="23"/>
        <v>#N/A</v>
      </c>
      <c r="BB19" s="37" t="e">
        <f t="shared" ca="1" si="23"/>
        <v>#N/A</v>
      </c>
    </row>
    <row r="20" spans="1:54" x14ac:dyDescent="0.25">
      <c r="B20" s="1" t="s">
        <v>116</v>
      </c>
      <c r="C20" s="14">
        <f ca="1">INDEX(Data_FP!$2:$1048576,MATCH(C$4&amp;$A$14&amp;$B20&amp;$A$1,Data_FP!$A$2:$A$1048576,0),MATCH($A$13,Data_FP!$2:$2,0))</f>
        <v>0</v>
      </c>
      <c r="D20" s="14">
        <f ca="1">INDEX(Data_FP!$2:$1048576,MATCH(D$4&amp;$A$14&amp;$B20&amp;$A$1,Data_FP!$A$2:$A$1048576,0),MATCH($A$13,Data_FP!$2:$2,0))</f>
        <v>0</v>
      </c>
      <c r="E20" s="14">
        <f ca="1">IF('User Settings'!$N$7="On",($D20-$C20)/($D$4-$C$4),0)</f>
        <v>0</v>
      </c>
      <c r="F20" s="14">
        <f t="shared" ca="1" si="24"/>
        <v>0</v>
      </c>
      <c r="G20" s="14"/>
      <c r="H20" s="14">
        <f t="shared" ca="1" si="25"/>
        <v>0</v>
      </c>
      <c r="I20" s="14">
        <f t="shared" ca="1" si="30"/>
        <v>0</v>
      </c>
      <c r="J20" s="14">
        <f t="shared" ca="1" si="26"/>
        <v>0</v>
      </c>
      <c r="K20" s="14">
        <f t="shared" ca="1" si="27"/>
        <v>0</v>
      </c>
      <c r="L20" s="15">
        <f t="shared" ca="1" si="28"/>
        <v>0</v>
      </c>
      <c r="M20" s="15">
        <f t="shared" ca="1" si="28"/>
        <v>0</v>
      </c>
      <c r="N20" s="15">
        <f t="shared" ca="1" si="28"/>
        <v>0</v>
      </c>
      <c r="O20" s="15">
        <f t="shared" ca="1" si="28"/>
        <v>0</v>
      </c>
      <c r="P20" s="15">
        <f t="shared" ca="1" si="28"/>
        <v>0</v>
      </c>
      <c r="Q20" s="15">
        <f t="shared" ca="1" si="28"/>
        <v>0</v>
      </c>
      <c r="R20" s="15">
        <f t="shared" ca="1" si="28"/>
        <v>0</v>
      </c>
      <c r="S20" s="15">
        <f t="shared" ca="1" si="28"/>
        <v>0</v>
      </c>
      <c r="T20" s="15">
        <f t="shared" ca="1" si="28"/>
        <v>0</v>
      </c>
      <c r="U20" s="15">
        <f t="shared" ca="1" si="28"/>
        <v>0</v>
      </c>
      <c r="V20" s="15">
        <f t="shared" ca="1" si="28"/>
        <v>0</v>
      </c>
      <c r="W20" s="15">
        <f t="shared" ca="1" si="28"/>
        <v>0</v>
      </c>
      <c r="X20" s="15">
        <f t="shared" ca="1" si="28"/>
        <v>0</v>
      </c>
      <c r="Y20" s="15">
        <f t="shared" ca="1" si="28"/>
        <v>0</v>
      </c>
      <c r="Z20" s="15">
        <f t="shared" ca="1" si="28"/>
        <v>0</v>
      </c>
      <c r="AA20" s="15">
        <f t="shared" ca="1" si="28"/>
        <v>0</v>
      </c>
      <c r="AB20" s="15">
        <f t="shared" ca="1" si="28"/>
        <v>0</v>
      </c>
      <c r="AC20" s="15">
        <f t="shared" ca="1" si="28"/>
        <v>0</v>
      </c>
      <c r="AD20" s="15">
        <f t="shared" ca="1" si="28"/>
        <v>0</v>
      </c>
      <c r="AE20" s="5"/>
      <c r="AG20" s="1" t="s">
        <v>116</v>
      </c>
      <c r="AH20" s="37">
        <f t="shared" ca="1" si="29"/>
        <v>0</v>
      </c>
      <c r="AI20" s="37">
        <f t="shared" ca="1" si="21"/>
        <v>0</v>
      </c>
      <c r="AJ20" s="37">
        <f t="shared" ca="1" si="22"/>
        <v>0</v>
      </c>
      <c r="AK20" s="37">
        <f t="shared" ca="1" si="22"/>
        <v>0</v>
      </c>
      <c r="AL20" s="37">
        <f t="shared" ca="1" si="22"/>
        <v>0</v>
      </c>
      <c r="AM20" s="37">
        <f t="shared" ca="1" si="22"/>
        <v>0</v>
      </c>
      <c r="AN20" s="37">
        <f t="shared" ca="1" si="22"/>
        <v>0</v>
      </c>
      <c r="AO20" s="37">
        <f t="shared" ca="1" si="22"/>
        <v>0</v>
      </c>
      <c r="AP20" s="37">
        <f t="shared" ca="1" si="22"/>
        <v>0</v>
      </c>
      <c r="AQ20" s="37">
        <f t="shared" ca="1" si="22"/>
        <v>0</v>
      </c>
      <c r="AR20" s="37">
        <f t="shared" ca="1" si="22"/>
        <v>0</v>
      </c>
      <c r="AS20" s="37">
        <f t="shared" ca="1" si="22"/>
        <v>0</v>
      </c>
      <c r="AT20" s="37">
        <f t="shared" ca="1" si="23"/>
        <v>0</v>
      </c>
      <c r="AU20" s="37">
        <f t="shared" ca="1" si="23"/>
        <v>0</v>
      </c>
      <c r="AV20" s="37">
        <f t="shared" ca="1" si="23"/>
        <v>0</v>
      </c>
      <c r="AW20" s="37">
        <f t="shared" ca="1" si="23"/>
        <v>0</v>
      </c>
      <c r="AX20" s="37">
        <f t="shared" ca="1" si="23"/>
        <v>0</v>
      </c>
      <c r="AY20" s="37">
        <f t="shared" ca="1" si="23"/>
        <v>0</v>
      </c>
      <c r="AZ20" s="37" t="e">
        <f t="shared" ca="1" si="23"/>
        <v>#N/A</v>
      </c>
      <c r="BA20" s="37" t="e">
        <f t="shared" ca="1" si="23"/>
        <v>#N/A</v>
      </c>
      <c r="BB20" s="37" t="e">
        <f t="shared" ca="1" si="23"/>
        <v>#N/A</v>
      </c>
    </row>
    <row r="21" spans="1:54" x14ac:dyDescent="0.25">
      <c r="C21" s="5">
        <f ca="1">SUM(C15:C20)</f>
        <v>2.2957199999999997E-2</v>
      </c>
      <c r="D21" s="5">
        <f ca="1">SUM(D15:D20)</f>
        <v>4.6862300000000003E-2</v>
      </c>
      <c r="E21" s="131"/>
      <c r="F21" s="132">
        <f ca="1">SUM(F15:F20)</f>
        <v>6.1205360000000007E-2</v>
      </c>
      <c r="G21" s="132"/>
      <c r="H21" s="132">
        <f ca="1">SUM(H15:H20)</f>
        <v>7.5548420000000005E-2</v>
      </c>
      <c r="I21" s="132"/>
      <c r="J21" s="132">
        <f ca="1">SUM(J15:J20)</f>
        <v>5.6424340000000003E-2</v>
      </c>
      <c r="K21" s="132">
        <f ca="1">SUM(K15:K20)</f>
        <v>6.1205360000000007E-2</v>
      </c>
      <c r="L21" s="5">
        <f t="shared" ref="L21:AD21" ca="1" si="31">SUM(L15:L20)</f>
        <v>6.5986380000000011E-2</v>
      </c>
      <c r="M21" s="5">
        <f t="shared" ca="1" si="31"/>
        <v>7.0767399999999994E-2</v>
      </c>
      <c r="N21" s="5">
        <f t="shared" ca="1" si="31"/>
        <v>7.5548420000000005E-2</v>
      </c>
      <c r="O21" s="5">
        <f t="shared" ca="1" si="31"/>
        <v>8.0329440000000002E-2</v>
      </c>
      <c r="P21" s="5">
        <f t="shared" ca="1" si="31"/>
        <v>8.5110459999999999E-2</v>
      </c>
      <c r="Q21" s="5">
        <f t="shared" ca="1" si="31"/>
        <v>8.9891479999999996E-2</v>
      </c>
      <c r="R21" s="5">
        <f t="shared" ca="1" si="31"/>
        <v>9.4672499999999993E-2</v>
      </c>
      <c r="S21" s="5">
        <f t="shared" ca="1" si="31"/>
        <v>9.9453519999999976E-2</v>
      </c>
      <c r="T21" s="5">
        <f t="shared" ca="1" si="31"/>
        <v>0.10423453999999999</v>
      </c>
      <c r="U21" s="5">
        <f t="shared" ca="1" si="31"/>
        <v>0.10901555999999998</v>
      </c>
      <c r="V21" s="5">
        <f t="shared" ca="1" si="31"/>
        <v>0.11379657999999998</v>
      </c>
      <c r="W21" s="5">
        <f t="shared" ca="1" si="31"/>
        <v>0.11857759999999998</v>
      </c>
      <c r="X21" s="5">
        <f t="shared" ca="1" si="31"/>
        <v>0.12335861999999997</v>
      </c>
      <c r="Y21" s="5">
        <f t="shared" ca="1" si="31"/>
        <v>0.12813963999999997</v>
      </c>
      <c r="Z21" s="5">
        <f t="shared" ca="1" si="31"/>
        <v>0.13292065999999997</v>
      </c>
      <c r="AA21" s="5">
        <f t="shared" ca="1" si="31"/>
        <v>0.13770167999999999</v>
      </c>
      <c r="AB21" s="5">
        <f t="shared" ca="1" si="31"/>
        <v>0.14248269999999999</v>
      </c>
      <c r="AC21" s="5">
        <f t="shared" ca="1" si="31"/>
        <v>0.14726371999999999</v>
      </c>
      <c r="AD21" s="5">
        <f t="shared" ca="1" si="31"/>
        <v>0.15204473999999998</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G23" s="4"/>
      <c r="H23" s="4" t="s">
        <v>167</v>
      </c>
      <c r="K23" s="205" t="str">
        <f t="shared" ref="K23:AD23" si="32">IF(K24=Yr_Start,"Start Year",IF(K24=Yr_End,"End Year",""))</f>
        <v>Start Year</v>
      </c>
      <c r="L23" s="205" t="str">
        <f t="shared" si="32"/>
        <v/>
      </c>
      <c r="M23" s="205" t="str">
        <f t="shared" si="32"/>
        <v/>
      </c>
      <c r="N23" s="205" t="str">
        <f t="shared" si="32"/>
        <v>End Year</v>
      </c>
      <c r="O23" s="205" t="str">
        <f t="shared" si="32"/>
        <v/>
      </c>
      <c r="P23" s="205" t="str">
        <f t="shared" si="32"/>
        <v/>
      </c>
      <c r="Q23" s="205" t="str">
        <f t="shared" si="32"/>
        <v/>
      </c>
      <c r="R23" s="205" t="str">
        <f t="shared" si="32"/>
        <v/>
      </c>
      <c r="S23" s="205" t="str">
        <f t="shared" si="32"/>
        <v/>
      </c>
      <c r="T23" s="205" t="str">
        <f t="shared" si="32"/>
        <v/>
      </c>
      <c r="U23" s="205" t="str">
        <f t="shared" si="32"/>
        <v/>
      </c>
      <c r="V23" s="205" t="str">
        <f t="shared" si="32"/>
        <v/>
      </c>
      <c r="W23" s="205" t="str">
        <f t="shared" si="32"/>
        <v/>
      </c>
      <c r="X23" s="205" t="str">
        <f t="shared" si="32"/>
        <v/>
      </c>
      <c r="Y23" s="205" t="str">
        <f t="shared" si="32"/>
        <v/>
      </c>
      <c r="Z23" s="205" t="str">
        <f t="shared" si="32"/>
        <v/>
      </c>
      <c r="AA23" s="205" t="str">
        <f t="shared" si="32"/>
        <v/>
      </c>
      <c r="AB23" s="205" t="str">
        <f t="shared" si="32"/>
        <v/>
      </c>
      <c r="AC23" s="205" t="str">
        <f t="shared" si="32"/>
        <v/>
      </c>
      <c r="AD23" s="205" t="str">
        <f t="shared" si="32"/>
        <v/>
      </c>
      <c r="AE23" s="35"/>
      <c r="AF23" s="6" t="str">
        <f>A23</f>
        <v>Richer</v>
      </c>
      <c r="AI23" s="205" t="str">
        <f t="shared" ref="AI23:BB23" si="33">IF(AI24=Yr_Start,"Start Year",IF(AI24=Yr_End,"End Year",""))</f>
        <v>Start Year</v>
      </c>
      <c r="AJ23" s="205" t="str">
        <f t="shared" si="33"/>
        <v/>
      </c>
      <c r="AK23" s="205" t="str">
        <f t="shared" si="33"/>
        <v/>
      </c>
      <c r="AL23" s="205" t="str">
        <f t="shared" si="33"/>
        <v>End Year</v>
      </c>
      <c r="AM23" s="205" t="str">
        <f t="shared" si="33"/>
        <v/>
      </c>
      <c r="AN23" s="205" t="str">
        <f t="shared" si="33"/>
        <v/>
      </c>
      <c r="AO23" s="205" t="str">
        <f t="shared" si="33"/>
        <v/>
      </c>
      <c r="AP23" s="205" t="str">
        <f t="shared" si="33"/>
        <v/>
      </c>
      <c r="AQ23" s="205" t="str">
        <f t="shared" si="33"/>
        <v/>
      </c>
      <c r="AR23" s="205" t="str">
        <f t="shared" si="33"/>
        <v/>
      </c>
      <c r="AS23" s="205" t="str">
        <f t="shared" si="33"/>
        <v/>
      </c>
      <c r="AT23" s="205" t="str">
        <f t="shared" si="33"/>
        <v/>
      </c>
      <c r="AU23" s="205" t="str">
        <f t="shared" si="33"/>
        <v/>
      </c>
      <c r="AV23" s="205" t="str">
        <f t="shared" si="33"/>
        <v/>
      </c>
      <c r="AW23" s="205" t="str">
        <f t="shared" si="33"/>
        <v/>
      </c>
      <c r="AX23" s="205" t="str">
        <f t="shared" si="33"/>
        <v/>
      </c>
      <c r="AY23" s="205" t="str">
        <f t="shared" si="33"/>
        <v/>
      </c>
      <c r="AZ23" s="205" t="str">
        <f t="shared" si="33"/>
        <v/>
      </c>
      <c r="BA23" s="205" t="str">
        <f t="shared" si="33"/>
        <v/>
      </c>
      <c r="BB23" s="205" t="str">
        <f t="shared" si="33"/>
        <v/>
      </c>
    </row>
    <row r="24" spans="1:54" x14ac:dyDescent="0.25">
      <c r="A24" s="6" t="s">
        <v>20</v>
      </c>
      <c r="B24" s="36"/>
      <c r="C24" s="36">
        <f>Yr_DHS1</f>
        <v>2011</v>
      </c>
      <c r="D24" s="36">
        <f>Yr_DHS2</f>
        <v>2016</v>
      </c>
      <c r="E24" s="36" t="s">
        <v>168</v>
      </c>
      <c r="F24" s="36">
        <f>Yr_Start</f>
        <v>2019</v>
      </c>
      <c r="G24" s="36"/>
      <c r="H24" s="36">
        <f>Yr_End</f>
        <v>2022</v>
      </c>
      <c r="I24" s="36" t="s">
        <v>169</v>
      </c>
      <c r="J24" s="130">
        <f>K24-1</f>
        <v>2018</v>
      </c>
      <c r="K24" s="130">
        <f>Yr_Start</f>
        <v>2019</v>
      </c>
      <c r="L24" s="130">
        <f>K24+1</f>
        <v>2020</v>
      </c>
      <c r="M24" s="130">
        <f t="shared" ref="M24:AD24" si="34">L24+1</f>
        <v>2021</v>
      </c>
      <c r="N24" s="130">
        <f t="shared" si="34"/>
        <v>2022</v>
      </c>
      <c r="O24" s="130">
        <f t="shared" si="34"/>
        <v>2023</v>
      </c>
      <c r="P24" s="130">
        <f t="shared" si="34"/>
        <v>2024</v>
      </c>
      <c r="Q24" s="130">
        <f t="shared" si="34"/>
        <v>2025</v>
      </c>
      <c r="R24" s="130">
        <f t="shared" si="34"/>
        <v>2026</v>
      </c>
      <c r="S24" s="130">
        <f t="shared" si="34"/>
        <v>2027</v>
      </c>
      <c r="T24" s="130">
        <f t="shared" si="34"/>
        <v>2028</v>
      </c>
      <c r="U24" s="130">
        <f t="shared" si="34"/>
        <v>2029</v>
      </c>
      <c r="V24" s="130">
        <f t="shared" si="34"/>
        <v>2030</v>
      </c>
      <c r="W24" s="130">
        <f t="shared" si="34"/>
        <v>2031</v>
      </c>
      <c r="X24" s="130">
        <f t="shared" si="34"/>
        <v>2032</v>
      </c>
      <c r="Y24" s="130">
        <f t="shared" si="34"/>
        <v>2033</v>
      </c>
      <c r="Z24" s="130">
        <f t="shared" si="34"/>
        <v>2034</v>
      </c>
      <c r="AA24" s="130">
        <f t="shared" si="34"/>
        <v>2035</v>
      </c>
      <c r="AB24" s="130">
        <f t="shared" si="34"/>
        <v>2036</v>
      </c>
      <c r="AC24" s="130">
        <f t="shared" si="34"/>
        <v>2037</v>
      </c>
      <c r="AD24" s="130">
        <f t="shared" si="34"/>
        <v>2038</v>
      </c>
      <c r="AE24" s="6"/>
      <c r="AF24" s="6" t="str">
        <f>A24</f>
        <v>Urban</v>
      </c>
      <c r="AG24" s="38"/>
      <c r="AH24" s="161">
        <f>AI24-1</f>
        <v>2018</v>
      </c>
      <c r="AI24" s="36">
        <f>Yr_Start</f>
        <v>2019</v>
      </c>
      <c r="AJ24" s="36">
        <f>AI24+1</f>
        <v>2020</v>
      </c>
      <c r="AK24" s="36">
        <f t="shared" ref="AK24:BB24" si="35">AJ24+1</f>
        <v>2021</v>
      </c>
      <c r="AL24" s="36">
        <f t="shared" si="35"/>
        <v>2022</v>
      </c>
      <c r="AM24" s="36">
        <f t="shared" si="35"/>
        <v>2023</v>
      </c>
      <c r="AN24" s="36">
        <f t="shared" si="35"/>
        <v>2024</v>
      </c>
      <c r="AO24" s="36">
        <f t="shared" si="35"/>
        <v>2025</v>
      </c>
      <c r="AP24" s="36">
        <f t="shared" si="35"/>
        <v>2026</v>
      </c>
      <c r="AQ24" s="36">
        <f t="shared" si="35"/>
        <v>2027</v>
      </c>
      <c r="AR24" s="36">
        <f t="shared" si="35"/>
        <v>2028</v>
      </c>
      <c r="AS24" s="36">
        <f t="shared" si="35"/>
        <v>2029</v>
      </c>
      <c r="AT24" s="36">
        <f t="shared" si="35"/>
        <v>2030</v>
      </c>
      <c r="AU24" s="36">
        <f t="shared" si="35"/>
        <v>2031</v>
      </c>
      <c r="AV24" s="36">
        <f t="shared" si="35"/>
        <v>2032</v>
      </c>
      <c r="AW24" s="36">
        <f t="shared" si="35"/>
        <v>2033</v>
      </c>
      <c r="AX24" s="36">
        <f t="shared" si="35"/>
        <v>2034</v>
      </c>
      <c r="AY24" s="36">
        <f t="shared" si="35"/>
        <v>2035</v>
      </c>
      <c r="AZ24" s="36">
        <f t="shared" si="35"/>
        <v>2036</v>
      </c>
      <c r="BA24" s="36">
        <f t="shared" si="35"/>
        <v>2037</v>
      </c>
      <c r="BB24" s="36">
        <f t="shared" si="35"/>
        <v>2038</v>
      </c>
    </row>
    <row r="25" spans="1:54" x14ac:dyDescent="0.25">
      <c r="B25" s="1" t="s">
        <v>52</v>
      </c>
      <c r="C25" s="14">
        <f ca="1">INDEX(Data_FP!$2:$1048576,MATCH(C$4&amp;$A$24&amp;$B25&amp;$A$1,Data_FP!$A$2:$A$1048576,0),MATCH($A$23,Data_FP!$2:$2,0))</f>
        <v>6.0384000000000002E-3</v>
      </c>
      <c r="D25" s="14">
        <f ca="1">INDEX(Data_FP!$2:$1048576,MATCH(D$4&amp;$A$24&amp;$B25&amp;$A$1,Data_FP!$A$2:$A$1048576,0),MATCH($A$23,Data_FP!$2:$2,0))</f>
        <v>3.4386E-2</v>
      </c>
      <c r="E25" s="14">
        <f ca="1">IF('User Settings'!$N$7="On",($D25-$C25)/($D$4-$C$4),0)</f>
        <v>5.6695199999999999E-3</v>
      </c>
      <c r="F25" s="14">
        <f ca="1">MAX(0,MIN(1,($D25+$E25*(F$4-$D$4))))</f>
        <v>5.1394559999999999E-2</v>
      </c>
      <c r="G25" s="14"/>
      <c r="H25" s="14">
        <f ca="1">MAX(0,MIN(1,($D25+$E25*(H$4-$D$4))*$H$1))</f>
        <v>6.8403119999999998E-2</v>
      </c>
      <c r="I25" s="14">
        <f ca="1">($H25-$F25)/($H$4-$F$4)</f>
        <v>5.6695199999999999E-3</v>
      </c>
      <c r="J25" s="14">
        <f ca="1">K25-E25</f>
        <v>4.5725040000000002E-2</v>
      </c>
      <c r="K25" s="14">
        <f ca="1">MAX(0,MIN(1,D25+(K$4-D$4)*E25))</f>
        <v>5.1394559999999999E-2</v>
      </c>
      <c r="L25" s="15">
        <f ca="1">MAX(0,MIN(1,K25+$I25))</f>
        <v>5.7064079999999996E-2</v>
      </c>
      <c r="M25" s="15">
        <f t="shared" ref="M25:AD25" ca="1" si="36">MAX(0,MIN(1,L25+$I25))</f>
        <v>6.27336E-2</v>
      </c>
      <c r="N25" s="15">
        <f ca="1">MAX(0,MIN(1,M25+$I25))</f>
        <v>6.8403119999999998E-2</v>
      </c>
      <c r="O25" s="15">
        <f t="shared" ca="1" si="36"/>
        <v>7.4072639999999995E-2</v>
      </c>
      <c r="P25" s="15">
        <f t="shared" ca="1" si="36"/>
        <v>7.9742159999999992E-2</v>
      </c>
      <c r="Q25" s="15">
        <f t="shared" ca="1" si="36"/>
        <v>8.541167999999999E-2</v>
      </c>
      <c r="R25" s="15">
        <f t="shared" ca="1" si="36"/>
        <v>9.1081199999999987E-2</v>
      </c>
      <c r="S25" s="15">
        <f t="shared" ca="1" si="36"/>
        <v>9.6750719999999985E-2</v>
      </c>
      <c r="T25" s="15">
        <f t="shared" ca="1" si="36"/>
        <v>0.10242023999999998</v>
      </c>
      <c r="U25" s="15">
        <f t="shared" ca="1" si="36"/>
        <v>0.10808975999999998</v>
      </c>
      <c r="V25" s="15">
        <f t="shared" ca="1" si="36"/>
        <v>0.11375927999999998</v>
      </c>
      <c r="W25" s="15">
        <f t="shared" ca="1" si="36"/>
        <v>0.11942879999999997</v>
      </c>
      <c r="X25" s="15">
        <f t="shared" ca="1" si="36"/>
        <v>0.12509831999999999</v>
      </c>
      <c r="Y25" s="15">
        <f t="shared" ca="1" si="36"/>
        <v>0.13076784</v>
      </c>
      <c r="Z25" s="15">
        <f t="shared" ca="1" si="36"/>
        <v>0.13643736000000001</v>
      </c>
      <c r="AA25" s="15">
        <f t="shared" ca="1" si="36"/>
        <v>0.14210688000000002</v>
      </c>
      <c r="AB25" s="15">
        <f t="shared" ca="1" si="36"/>
        <v>0.14777640000000003</v>
      </c>
      <c r="AC25" s="15">
        <f t="shared" ca="1" si="36"/>
        <v>0.15344592000000004</v>
      </c>
      <c r="AD25" s="15">
        <f t="shared" ca="1" si="36"/>
        <v>0.15911544000000005</v>
      </c>
      <c r="AE25" s="5"/>
      <c r="AG25" s="1" t="s">
        <v>52</v>
      </c>
      <c r="AH25" s="37">
        <f ca="1">J25*AH$31</f>
        <v>27561.399154113584</v>
      </c>
      <c r="AI25" s="37">
        <f t="shared" ref="AI25:AI30" ca="1" si="37">K25*AI$31</f>
        <v>32170.08243008309</v>
      </c>
      <c r="AJ25" s="37">
        <f t="shared" ref="AJ25:AS30" ca="1" si="38">L25*AJ$31</f>
        <v>37084.331100661824</v>
      </c>
      <c r="AK25" s="37">
        <f ca="1">M25*AK$31</f>
        <v>42264.493941283574</v>
      </c>
      <c r="AL25" s="37">
        <f t="shared" ca="1" si="38"/>
        <v>47774.673512491499</v>
      </c>
      <c r="AM25" s="37">
        <f t="shared" ca="1" si="38"/>
        <v>53623.384326113832</v>
      </c>
      <c r="AN25" s="37">
        <f t="shared" ca="1" si="38"/>
        <v>59816.272083770578</v>
      </c>
      <c r="AO25" s="37">
        <f t="shared" ca="1" si="38"/>
        <v>66360.91110763808</v>
      </c>
      <c r="AP25" s="37">
        <f t="shared" ca="1" si="38"/>
        <v>73217.990911631859</v>
      </c>
      <c r="AQ25" s="37">
        <f t="shared" ca="1" si="38"/>
        <v>80448.652207379564</v>
      </c>
      <c r="AR25" s="37">
        <f t="shared" ca="1" si="38"/>
        <v>88066.065209458771</v>
      </c>
      <c r="AS25" s="37">
        <f t="shared" ca="1" si="38"/>
        <v>96087.760041359157</v>
      </c>
      <c r="AT25" s="37">
        <f t="shared" ref="AT25:BB30" ca="1" si="39">V25*AT$31</f>
        <v>104529.1144182055</v>
      </c>
      <c r="AU25" s="37">
        <f t="shared" ca="1" si="39"/>
        <v>113337.012296994</v>
      </c>
      <c r="AV25" s="37">
        <f t="shared" ca="1" si="39"/>
        <v>122591.89998116474</v>
      </c>
      <c r="AW25" s="37">
        <f t="shared" ca="1" si="39"/>
        <v>132300.35615188821</v>
      </c>
      <c r="AX25" s="37">
        <f t="shared" ca="1" si="39"/>
        <v>142466.52241986754</v>
      </c>
      <c r="AY25" s="37">
        <f t="shared" ca="1" si="39"/>
        <v>153096.17245470069</v>
      </c>
      <c r="AZ25" s="37" t="e">
        <f t="shared" ca="1" si="39"/>
        <v>#N/A</v>
      </c>
      <c r="BA25" s="37" t="e">
        <f t="shared" ca="1" si="39"/>
        <v>#N/A</v>
      </c>
      <c r="BB25" s="37" t="e">
        <f t="shared" ca="1" si="39"/>
        <v>#N/A</v>
      </c>
    </row>
    <row r="26" spans="1:54" x14ac:dyDescent="0.25">
      <c r="B26" s="1" t="s">
        <v>54</v>
      </c>
      <c r="C26" s="14">
        <f ca="1">INDEX(Data_FP!$2:$1048576,MATCH(C$4&amp;$A$24&amp;$B26&amp;$A$1,Data_FP!$A$2:$A$1048576,0),MATCH($A$23,Data_FP!$2:$2,0))</f>
        <v>0</v>
      </c>
      <c r="D26" s="14">
        <f ca="1">INDEX(Data_FP!$2:$1048576,MATCH(D$4&amp;$A$24&amp;$B26&amp;$A$1,Data_FP!$A$2:$A$1048576,0),MATCH($A$23,Data_FP!$2:$2,0))</f>
        <v>0</v>
      </c>
      <c r="E26" s="14">
        <f ca="1">IF('User Settings'!$N$7="On",($D26-$C26)/($D$4-$C$4),0)</f>
        <v>0</v>
      </c>
      <c r="F26" s="14">
        <f t="shared" ref="F26:F30" ca="1" si="40">MAX(0,MIN(1,($D26+$E26*(F$4-$D$4))))</f>
        <v>0</v>
      </c>
      <c r="G26" s="14"/>
      <c r="H26" s="14">
        <f t="shared" ref="H26:H30" ca="1" si="41">MAX(0,MIN(1,($D26+$E26*(H$4-$D$4))*$H$1))</f>
        <v>0</v>
      </c>
      <c r="I26" s="14">
        <f ca="1">($H26-$F26)/($H$4-$F$4)</f>
        <v>0</v>
      </c>
      <c r="J26" s="14">
        <f t="shared" ref="J26:J30" ca="1" si="42">K26-E26</f>
        <v>0</v>
      </c>
      <c r="K26" s="14">
        <f t="shared" ref="K26:K30" ca="1" si="43">MAX(0,MIN(1,D26+(K$4-D$4)*E26))</f>
        <v>0</v>
      </c>
      <c r="L26" s="15">
        <f t="shared" ref="L26:AD30" ca="1" si="44">MAX(0,MIN(1,K26+$I26))</f>
        <v>0</v>
      </c>
      <c r="M26" s="15">
        <f t="shared" ca="1" si="44"/>
        <v>0</v>
      </c>
      <c r="N26" s="15">
        <f t="shared" ca="1" si="44"/>
        <v>0</v>
      </c>
      <c r="O26" s="15">
        <f t="shared" ca="1" si="44"/>
        <v>0</v>
      </c>
      <c r="P26" s="15">
        <f t="shared" ca="1" si="44"/>
        <v>0</v>
      </c>
      <c r="Q26" s="15">
        <f t="shared" ca="1" si="44"/>
        <v>0</v>
      </c>
      <c r="R26" s="15">
        <f t="shared" ca="1" si="44"/>
        <v>0</v>
      </c>
      <c r="S26" s="15">
        <f t="shared" ca="1" si="44"/>
        <v>0</v>
      </c>
      <c r="T26" s="15">
        <f t="shared" ca="1" si="44"/>
        <v>0</v>
      </c>
      <c r="U26" s="15">
        <f t="shared" ca="1" si="44"/>
        <v>0</v>
      </c>
      <c r="V26" s="15">
        <f t="shared" ca="1" si="44"/>
        <v>0</v>
      </c>
      <c r="W26" s="15">
        <f t="shared" ca="1" si="44"/>
        <v>0</v>
      </c>
      <c r="X26" s="15">
        <f t="shared" ca="1" si="44"/>
        <v>0</v>
      </c>
      <c r="Y26" s="15">
        <f t="shared" ca="1" si="44"/>
        <v>0</v>
      </c>
      <c r="Z26" s="15">
        <f t="shared" ca="1" si="44"/>
        <v>0</v>
      </c>
      <c r="AA26" s="15">
        <f t="shared" ca="1" si="44"/>
        <v>0</v>
      </c>
      <c r="AB26" s="15">
        <f t="shared" ca="1" si="44"/>
        <v>0</v>
      </c>
      <c r="AC26" s="15">
        <f t="shared" ca="1" si="44"/>
        <v>0</v>
      </c>
      <c r="AD26" s="15">
        <f t="shared" ca="1" si="44"/>
        <v>0</v>
      </c>
      <c r="AE26" s="5"/>
      <c r="AG26" s="1" t="s">
        <v>54</v>
      </c>
      <c r="AH26" s="37">
        <f t="shared" ref="AH26:AH30" ca="1" si="45">J26*AH$31</f>
        <v>0</v>
      </c>
      <c r="AI26" s="37">
        <f t="shared" ca="1" si="37"/>
        <v>0</v>
      </c>
      <c r="AJ26" s="37">
        <f t="shared" ca="1" si="38"/>
        <v>0</v>
      </c>
      <c r="AK26" s="37">
        <f t="shared" ca="1" si="38"/>
        <v>0</v>
      </c>
      <c r="AL26" s="37">
        <f t="shared" ca="1" si="38"/>
        <v>0</v>
      </c>
      <c r="AM26" s="37">
        <f t="shared" ca="1" si="38"/>
        <v>0</v>
      </c>
      <c r="AN26" s="37">
        <f t="shared" ca="1" si="38"/>
        <v>0</v>
      </c>
      <c r="AO26" s="37">
        <f t="shared" ca="1" si="38"/>
        <v>0</v>
      </c>
      <c r="AP26" s="37">
        <f t="shared" ca="1" si="38"/>
        <v>0</v>
      </c>
      <c r="AQ26" s="37">
        <f t="shared" ca="1" si="38"/>
        <v>0</v>
      </c>
      <c r="AR26" s="37">
        <f t="shared" ca="1" si="38"/>
        <v>0</v>
      </c>
      <c r="AS26" s="37">
        <f t="shared" ca="1" si="38"/>
        <v>0</v>
      </c>
      <c r="AT26" s="37">
        <f t="shared" ca="1" si="39"/>
        <v>0</v>
      </c>
      <c r="AU26" s="37">
        <f t="shared" ca="1" si="39"/>
        <v>0</v>
      </c>
      <c r="AV26" s="37">
        <f t="shared" ca="1" si="39"/>
        <v>0</v>
      </c>
      <c r="AW26" s="37">
        <f t="shared" ca="1" si="39"/>
        <v>0</v>
      </c>
      <c r="AX26" s="37">
        <f t="shared" ca="1" si="39"/>
        <v>0</v>
      </c>
      <c r="AY26" s="37">
        <f t="shared" ca="1" si="39"/>
        <v>0</v>
      </c>
      <c r="AZ26" s="37" t="e">
        <f t="shared" ca="1" si="39"/>
        <v>#N/A</v>
      </c>
      <c r="BA26" s="37" t="e">
        <f t="shared" ca="1" si="39"/>
        <v>#N/A</v>
      </c>
      <c r="BB26" s="37" t="e">
        <f t="shared" ca="1" si="39"/>
        <v>#N/A</v>
      </c>
    </row>
    <row r="27" spans="1:54" x14ac:dyDescent="0.25">
      <c r="B27" s="1" t="s">
        <v>170</v>
      </c>
      <c r="C27" s="14">
        <f ca="1">INDEX(Data_FP!$2:$1048576,MATCH(C$4&amp;$A$24&amp;$B27&amp;$A$1,Data_FP!$A$2:$A$1048576,0),MATCH($A$23,Data_FP!$2:$2,0))</f>
        <v>0</v>
      </c>
      <c r="D27" s="14">
        <f ca="1">INDEX(Data_FP!$2:$1048576,MATCH(D$4&amp;$A$24&amp;$B27&amp;$A$1,Data_FP!$A$2:$A$1048576,0),MATCH($A$23,Data_FP!$2:$2,0))</f>
        <v>1.1647999999999999E-3</v>
      </c>
      <c r="E27" s="14">
        <f ca="1">IF('User Settings'!$N$7="On",($D27-$C27)/($D$4-$C$4),0)</f>
        <v>2.3295999999999999E-4</v>
      </c>
      <c r="F27" s="14">
        <f t="shared" ca="1" si="40"/>
        <v>1.8636799999999999E-3</v>
      </c>
      <c r="G27" s="14"/>
      <c r="H27" s="14">
        <f t="shared" ca="1" si="41"/>
        <v>2.5625600000000002E-3</v>
      </c>
      <c r="I27" s="14">
        <f t="shared" ref="I27:I30" ca="1" si="46">($H27-$F27)/($H$4-$F$4)</f>
        <v>2.3296000000000007E-4</v>
      </c>
      <c r="J27" s="14">
        <f t="shared" ca="1" si="42"/>
        <v>1.63072E-3</v>
      </c>
      <c r="K27" s="14">
        <f t="shared" ca="1" si="43"/>
        <v>1.8636799999999999E-3</v>
      </c>
      <c r="L27" s="15">
        <f t="shared" ca="1" si="44"/>
        <v>2.0966399999999999E-3</v>
      </c>
      <c r="M27" s="15">
        <f t="shared" ca="1" si="44"/>
        <v>2.3295999999999998E-3</v>
      </c>
      <c r="N27" s="15">
        <f t="shared" ca="1" si="44"/>
        <v>2.5625599999999998E-3</v>
      </c>
      <c r="O27" s="15">
        <f t="shared" ca="1" si="44"/>
        <v>2.7955199999999997E-3</v>
      </c>
      <c r="P27" s="15">
        <f t="shared" ca="1" si="44"/>
        <v>3.0284799999999996E-3</v>
      </c>
      <c r="Q27" s="15">
        <f t="shared" ca="1" si="44"/>
        <v>3.2614399999999996E-3</v>
      </c>
      <c r="R27" s="15">
        <f t="shared" ca="1" si="44"/>
        <v>3.4943999999999995E-3</v>
      </c>
      <c r="S27" s="15">
        <f t="shared" ca="1" si="44"/>
        <v>3.7273599999999994E-3</v>
      </c>
      <c r="T27" s="15">
        <f t="shared" ca="1" si="44"/>
        <v>3.9603199999999998E-3</v>
      </c>
      <c r="U27" s="15">
        <f t="shared" ca="1" si="44"/>
        <v>4.1932799999999998E-3</v>
      </c>
      <c r="V27" s="15">
        <f t="shared" ca="1" si="44"/>
        <v>4.4262399999999997E-3</v>
      </c>
      <c r="W27" s="15">
        <f t="shared" ca="1" si="44"/>
        <v>4.6591999999999996E-3</v>
      </c>
      <c r="X27" s="15">
        <f t="shared" ca="1" si="44"/>
        <v>4.8921599999999996E-3</v>
      </c>
      <c r="Y27" s="15">
        <f t="shared" ca="1" si="44"/>
        <v>5.1251199999999995E-3</v>
      </c>
      <c r="Z27" s="15">
        <f t="shared" ca="1" si="44"/>
        <v>5.3580799999999994E-3</v>
      </c>
      <c r="AA27" s="15">
        <f t="shared" ca="1" si="44"/>
        <v>5.5910399999999994E-3</v>
      </c>
      <c r="AB27" s="15">
        <f t="shared" ca="1" si="44"/>
        <v>5.8239999999999993E-3</v>
      </c>
      <c r="AC27" s="15">
        <f t="shared" ca="1" si="44"/>
        <v>6.0569599999999993E-3</v>
      </c>
      <c r="AD27" s="15">
        <f t="shared" ca="1" si="44"/>
        <v>6.2899199999999992E-3</v>
      </c>
      <c r="AE27" s="5"/>
      <c r="AG27" s="1" t="s">
        <v>170</v>
      </c>
      <c r="AH27" s="37">
        <f t="shared" ca="1" si="45"/>
        <v>982.93899422714776</v>
      </c>
      <c r="AI27" s="37">
        <f t="shared" ca="1" si="37"/>
        <v>1166.5580797519669</v>
      </c>
      <c r="AJ27" s="37">
        <f t="shared" ca="1" si="38"/>
        <v>1362.5470165976847</v>
      </c>
      <c r="AK27" s="37">
        <f t="shared" ca="1" si="38"/>
        <v>1569.4837389471384</v>
      </c>
      <c r="AL27" s="37">
        <f t="shared" ca="1" si="38"/>
        <v>1789.7643756040693</v>
      </c>
      <c r="AM27" s="37">
        <f t="shared" ca="1" si="38"/>
        <v>2023.7599652359863</v>
      </c>
      <c r="AN27" s="37">
        <f t="shared" ca="1" si="38"/>
        <v>2271.7265707407164</v>
      </c>
      <c r="AO27" s="37">
        <f t="shared" ca="1" si="38"/>
        <v>2533.987505255664</v>
      </c>
      <c r="AP27" s="37">
        <f t="shared" ca="1" si="38"/>
        <v>2809.0643013224067</v>
      </c>
      <c r="AQ27" s="37">
        <f t="shared" ca="1" si="38"/>
        <v>3099.3163491878745</v>
      </c>
      <c r="AR27" s="37">
        <f t="shared" ca="1" si="38"/>
        <v>3405.2819967061569</v>
      </c>
      <c r="AS27" s="37">
        <f t="shared" ca="1" si="38"/>
        <v>3727.6693224800438</v>
      </c>
      <c r="AT27" s="37">
        <f t="shared" ca="1" si="39"/>
        <v>4067.1050959749214</v>
      </c>
      <c r="AU27" s="37">
        <f t="shared" ca="1" si="39"/>
        <v>4421.5449514200473</v>
      </c>
      <c r="AV27" s="37">
        <f t="shared" ca="1" si="39"/>
        <v>4794.142634464275</v>
      </c>
      <c r="AW27" s="37">
        <f t="shared" ca="1" si="39"/>
        <v>5185.1831560509472</v>
      </c>
      <c r="AX27" s="37">
        <f t="shared" ca="1" si="39"/>
        <v>5594.8533777511066</v>
      </c>
      <c r="AY27" s="37">
        <f t="shared" ca="1" si="39"/>
        <v>6023.4017103262668</v>
      </c>
      <c r="AZ27" s="37" t="e">
        <f t="shared" ca="1" si="39"/>
        <v>#N/A</v>
      </c>
      <c r="BA27" s="37" t="e">
        <f t="shared" ca="1" si="39"/>
        <v>#N/A</v>
      </c>
      <c r="BB27" s="37" t="e">
        <f t="shared" ca="1" si="39"/>
        <v>#N/A</v>
      </c>
    </row>
    <row r="28" spans="1:54" x14ac:dyDescent="0.25">
      <c r="B28" s="1" t="s">
        <v>59</v>
      </c>
      <c r="C28" s="14">
        <f ca="1">INDEX(Data_FP!$2:$1048576,MATCH(C$4&amp;$A$24&amp;$B28&amp;$A$1,Data_FP!$A$2:$A$1048576,0),MATCH($A$23,Data_FP!$2:$2,0))</f>
        <v>0</v>
      </c>
      <c r="D28" s="14">
        <f ca="1">INDEX(Data_FP!$2:$1048576,MATCH(D$4&amp;$A$24&amp;$B28&amp;$A$1,Data_FP!$A$2:$A$1048576,0),MATCH($A$23,Data_FP!$2:$2,0))</f>
        <v>1.45229E-2</v>
      </c>
      <c r="E28" s="14">
        <f ca="1">IF('User Settings'!$N$7="On",($D28-$C28)/($D$4-$C$4),0)</f>
        <v>2.9045799999999999E-3</v>
      </c>
      <c r="F28" s="14">
        <f t="shared" ca="1" si="40"/>
        <v>2.3236639999999999E-2</v>
      </c>
      <c r="G28" s="14"/>
      <c r="H28" s="14">
        <f t="shared" ca="1" si="41"/>
        <v>3.195038E-2</v>
      </c>
      <c r="I28" s="14">
        <f t="shared" ca="1" si="46"/>
        <v>2.9045800000000004E-3</v>
      </c>
      <c r="J28" s="14">
        <f t="shared" ca="1" si="42"/>
        <v>2.0332059999999999E-2</v>
      </c>
      <c r="K28" s="14">
        <f t="shared" ca="1" si="43"/>
        <v>2.3236639999999999E-2</v>
      </c>
      <c r="L28" s="15">
        <f t="shared" ca="1" si="44"/>
        <v>2.614122E-2</v>
      </c>
      <c r="M28" s="15">
        <f t="shared" ca="1" si="44"/>
        <v>2.90458E-2</v>
      </c>
      <c r="N28" s="15">
        <f t="shared" ca="1" si="44"/>
        <v>3.195038E-2</v>
      </c>
      <c r="O28" s="15">
        <f t="shared" ca="1" si="44"/>
        <v>3.4854960000000004E-2</v>
      </c>
      <c r="P28" s="15">
        <f t="shared" ca="1" si="44"/>
        <v>3.7759540000000008E-2</v>
      </c>
      <c r="Q28" s="15">
        <f t="shared" ca="1" si="44"/>
        <v>4.0664120000000012E-2</v>
      </c>
      <c r="R28" s="15">
        <f t="shared" ca="1" si="44"/>
        <v>4.3568700000000016E-2</v>
      </c>
      <c r="S28" s="15">
        <f t="shared" ca="1" si="44"/>
        <v>4.647328000000002E-2</v>
      </c>
      <c r="T28" s="15">
        <f t="shared" ca="1" si="44"/>
        <v>4.9377860000000023E-2</v>
      </c>
      <c r="U28" s="15">
        <f t="shared" ca="1" si="44"/>
        <v>5.2282440000000027E-2</v>
      </c>
      <c r="V28" s="15">
        <f t="shared" ca="1" si="44"/>
        <v>5.5187020000000031E-2</v>
      </c>
      <c r="W28" s="15">
        <f t="shared" ca="1" si="44"/>
        <v>5.8091600000000035E-2</v>
      </c>
      <c r="X28" s="15">
        <f t="shared" ca="1" si="44"/>
        <v>6.0996180000000039E-2</v>
      </c>
      <c r="Y28" s="15">
        <f t="shared" ca="1" si="44"/>
        <v>6.3900760000000043E-2</v>
      </c>
      <c r="Z28" s="15">
        <f t="shared" ca="1" si="44"/>
        <v>6.6805340000000046E-2</v>
      </c>
      <c r="AA28" s="15">
        <f t="shared" ca="1" si="44"/>
        <v>6.970992000000005E-2</v>
      </c>
      <c r="AB28" s="15">
        <f t="shared" ca="1" si="44"/>
        <v>7.2614500000000054E-2</v>
      </c>
      <c r="AC28" s="15">
        <f t="shared" ca="1" si="44"/>
        <v>7.5519080000000058E-2</v>
      </c>
      <c r="AD28" s="15">
        <f t="shared" ca="1" si="44"/>
        <v>7.8423660000000062E-2</v>
      </c>
      <c r="AE28" s="5"/>
      <c r="AG28" s="1" t="s">
        <v>59</v>
      </c>
      <c r="AH28" s="37">
        <f t="shared" ca="1" si="45"/>
        <v>12255.429875739565</v>
      </c>
      <c r="AI28" s="37">
        <f t="shared" ca="1" si="37"/>
        <v>14544.820000369025</v>
      </c>
      <c r="AJ28" s="37">
        <f t="shared" ca="1" si="38"/>
        <v>16988.439274851062</v>
      </c>
      <c r="AK28" s="37">
        <f t="shared" ca="1" si="38"/>
        <v>19568.557170634787</v>
      </c>
      <c r="AL28" s="37">
        <f t="shared" ca="1" si="38"/>
        <v>22315.048978760595</v>
      </c>
      <c r="AM28" s="37">
        <f t="shared" ca="1" si="38"/>
        <v>25232.540864634026</v>
      </c>
      <c r="AN28" s="37">
        <f t="shared" ca="1" si="38"/>
        <v>28324.2254586284</v>
      </c>
      <c r="AO28" s="37">
        <f t="shared" ca="1" si="38"/>
        <v>31594.133877126977</v>
      </c>
      <c r="AP28" s="37">
        <f t="shared" ca="1" si="38"/>
        <v>35023.832367509618</v>
      </c>
      <c r="AQ28" s="37">
        <f t="shared" ca="1" si="38"/>
        <v>38642.738159014945</v>
      </c>
      <c r="AR28" s="37">
        <f t="shared" ca="1" si="38"/>
        <v>42457.563452922281</v>
      </c>
      <c r="AS28" s="37">
        <f t="shared" ca="1" si="38"/>
        <v>46477.136678782161</v>
      </c>
      <c r="AT28" s="37">
        <f t="shared" ca="1" si="39"/>
        <v>50709.272491701777</v>
      </c>
      <c r="AU28" s="37">
        <f t="shared" ca="1" si="39"/>
        <v>55128.481434562367</v>
      </c>
      <c r="AV28" s="37">
        <f t="shared" ca="1" si="39"/>
        <v>59774.084878143265</v>
      </c>
      <c r="AW28" s="37">
        <f t="shared" ca="1" si="39"/>
        <v>64649.636381363627</v>
      </c>
      <c r="AX28" s="37">
        <f t="shared" ca="1" si="39"/>
        <v>69757.465762140811</v>
      </c>
      <c r="AY28" s="37">
        <f t="shared" ca="1" si="39"/>
        <v>75100.670242872089</v>
      </c>
      <c r="AZ28" s="37" t="e">
        <f t="shared" ca="1" si="39"/>
        <v>#N/A</v>
      </c>
      <c r="BA28" s="37" t="e">
        <f t="shared" ca="1" si="39"/>
        <v>#N/A</v>
      </c>
      <c r="BB28" s="37" t="e">
        <f t="shared" ca="1" si="39"/>
        <v>#N/A</v>
      </c>
    </row>
    <row r="29" spans="1:54" x14ac:dyDescent="0.25">
      <c r="B29" s="1" t="s">
        <v>171</v>
      </c>
      <c r="C29" s="14">
        <f ca="1">INDEX(Data_FP!$2:$1048576,MATCH(C$4&amp;$A$24&amp;$B29&amp;$A$1,Data_FP!$A$2:$A$1048576,0),MATCH($A$23,Data_FP!$2:$2,0))</f>
        <v>0</v>
      </c>
      <c r="D29" s="14">
        <f ca="1">INDEX(Data_FP!$2:$1048576,MATCH(D$4&amp;$A$24&amp;$B29&amp;$A$1,Data_FP!$A$2:$A$1048576,0),MATCH($A$23,Data_FP!$2:$2,0))</f>
        <v>0</v>
      </c>
      <c r="E29" s="14">
        <f ca="1">IF('User Settings'!$N$7="On",($D29-$C29)/($D$4-$C$4),0)</f>
        <v>0</v>
      </c>
      <c r="F29" s="14">
        <f t="shared" ca="1" si="40"/>
        <v>0</v>
      </c>
      <c r="G29" s="14"/>
      <c r="H29" s="14">
        <f t="shared" ca="1" si="41"/>
        <v>0</v>
      </c>
      <c r="I29" s="14">
        <f t="shared" ca="1" si="46"/>
        <v>0</v>
      </c>
      <c r="J29" s="14">
        <f t="shared" ca="1" si="42"/>
        <v>0</v>
      </c>
      <c r="K29" s="14">
        <f t="shared" ca="1" si="43"/>
        <v>0</v>
      </c>
      <c r="L29" s="15">
        <f t="shared" ca="1" si="44"/>
        <v>0</v>
      </c>
      <c r="M29" s="15">
        <f t="shared" ca="1" si="44"/>
        <v>0</v>
      </c>
      <c r="N29" s="15">
        <f t="shared" ca="1" si="44"/>
        <v>0</v>
      </c>
      <c r="O29" s="15">
        <f t="shared" ca="1" si="44"/>
        <v>0</v>
      </c>
      <c r="P29" s="15">
        <f t="shared" ca="1" si="44"/>
        <v>0</v>
      </c>
      <c r="Q29" s="15">
        <f t="shared" ca="1" si="44"/>
        <v>0</v>
      </c>
      <c r="R29" s="15">
        <f t="shared" ca="1" si="44"/>
        <v>0</v>
      </c>
      <c r="S29" s="15">
        <f t="shared" ca="1" si="44"/>
        <v>0</v>
      </c>
      <c r="T29" s="15">
        <f t="shared" ca="1" si="44"/>
        <v>0</v>
      </c>
      <c r="U29" s="15">
        <f t="shared" ca="1" si="44"/>
        <v>0</v>
      </c>
      <c r="V29" s="15">
        <f t="shared" ca="1" si="44"/>
        <v>0</v>
      </c>
      <c r="W29" s="15">
        <f t="shared" ca="1" si="44"/>
        <v>0</v>
      </c>
      <c r="X29" s="15">
        <f t="shared" ca="1" si="44"/>
        <v>0</v>
      </c>
      <c r="Y29" s="15">
        <f t="shared" ca="1" si="44"/>
        <v>0</v>
      </c>
      <c r="Z29" s="15">
        <f t="shared" ca="1" si="44"/>
        <v>0</v>
      </c>
      <c r="AA29" s="15">
        <f t="shared" ca="1" si="44"/>
        <v>0</v>
      </c>
      <c r="AB29" s="15">
        <f t="shared" ca="1" si="44"/>
        <v>0</v>
      </c>
      <c r="AC29" s="15">
        <f t="shared" ca="1" si="44"/>
        <v>0</v>
      </c>
      <c r="AD29" s="15">
        <f t="shared" ca="1" si="44"/>
        <v>0</v>
      </c>
      <c r="AE29" s="5"/>
      <c r="AG29" s="1" t="s">
        <v>171</v>
      </c>
      <c r="AH29" s="37">
        <f t="shared" ca="1" si="45"/>
        <v>0</v>
      </c>
      <c r="AI29" s="37">
        <f t="shared" ca="1" si="37"/>
        <v>0</v>
      </c>
      <c r="AJ29" s="37">
        <f t="shared" ca="1" si="38"/>
        <v>0</v>
      </c>
      <c r="AK29" s="37">
        <f t="shared" ca="1" si="38"/>
        <v>0</v>
      </c>
      <c r="AL29" s="37">
        <f t="shared" ca="1" si="38"/>
        <v>0</v>
      </c>
      <c r="AM29" s="37">
        <f t="shared" ca="1" si="38"/>
        <v>0</v>
      </c>
      <c r="AN29" s="37">
        <f t="shared" ca="1" si="38"/>
        <v>0</v>
      </c>
      <c r="AO29" s="37">
        <f t="shared" ca="1" si="38"/>
        <v>0</v>
      </c>
      <c r="AP29" s="37">
        <f t="shared" ca="1" si="38"/>
        <v>0</v>
      </c>
      <c r="AQ29" s="37">
        <f t="shared" ca="1" si="38"/>
        <v>0</v>
      </c>
      <c r="AR29" s="37">
        <f t="shared" ca="1" si="38"/>
        <v>0</v>
      </c>
      <c r="AS29" s="37">
        <f t="shared" ca="1" si="38"/>
        <v>0</v>
      </c>
      <c r="AT29" s="37">
        <f t="shared" ca="1" si="39"/>
        <v>0</v>
      </c>
      <c r="AU29" s="37">
        <f t="shared" ca="1" si="39"/>
        <v>0</v>
      </c>
      <c r="AV29" s="37">
        <f t="shared" ca="1" si="39"/>
        <v>0</v>
      </c>
      <c r="AW29" s="37">
        <f t="shared" ca="1" si="39"/>
        <v>0</v>
      </c>
      <c r="AX29" s="37">
        <f t="shared" ca="1" si="39"/>
        <v>0</v>
      </c>
      <c r="AY29" s="37">
        <f t="shared" ca="1" si="39"/>
        <v>0</v>
      </c>
      <c r="AZ29" s="37" t="e">
        <f t="shared" ca="1" si="39"/>
        <v>#N/A</v>
      </c>
      <c r="BA29" s="37" t="e">
        <f t="shared" ca="1" si="39"/>
        <v>#N/A</v>
      </c>
      <c r="BB29" s="37" t="e">
        <f t="shared" ca="1" si="39"/>
        <v>#N/A</v>
      </c>
    </row>
    <row r="30" spans="1:54" ht="15.75" customHeight="1" x14ac:dyDescent="0.25">
      <c r="B30" s="1" t="s">
        <v>116</v>
      </c>
      <c r="C30" s="14">
        <f ca="1">INDEX(Data_FP!$2:$1048576,MATCH(C$4&amp;$A$24&amp;$B30&amp;$A$1,Data_FP!$A$2:$A$1048576,0),MATCH($A$23,Data_FP!$2:$2,0))</f>
        <v>0</v>
      </c>
      <c r="D30" s="14">
        <f ca="1">INDEX(Data_FP!$2:$1048576,MATCH(D$4&amp;$A$24&amp;$B30&amp;$A$1,Data_FP!$A$2:$A$1048576,0),MATCH($A$23,Data_FP!$2:$2,0))</f>
        <v>0</v>
      </c>
      <c r="E30" s="14">
        <f ca="1">IF('User Settings'!$N$7="On",($D30-$C30)/($D$4-$C$4),0)</f>
        <v>0</v>
      </c>
      <c r="F30" s="14">
        <f t="shared" ca="1" si="40"/>
        <v>0</v>
      </c>
      <c r="G30" s="14"/>
      <c r="H30" s="14">
        <f t="shared" ca="1" si="41"/>
        <v>0</v>
      </c>
      <c r="I30" s="14">
        <f t="shared" ca="1" si="46"/>
        <v>0</v>
      </c>
      <c r="J30" s="14">
        <f t="shared" ca="1" si="42"/>
        <v>0</v>
      </c>
      <c r="K30" s="14">
        <f t="shared" ca="1" si="43"/>
        <v>0</v>
      </c>
      <c r="L30" s="15">
        <f t="shared" ca="1" si="44"/>
        <v>0</v>
      </c>
      <c r="M30" s="15">
        <f t="shared" ca="1" si="44"/>
        <v>0</v>
      </c>
      <c r="N30" s="15">
        <f t="shared" ca="1" si="44"/>
        <v>0</v>
      </c>
      <c r="O30" s="15">
        <f t="shared" ca="1" si="44"/>
        <v>0</v>
      </c>
      <c r="P30" s="15">
        <f t="shared" ca="1" si="44"/>
        <v>0</v>
      </c>
      <c r="Q30" s="15">
        <f t="shared" ca="1" si="44"/>
        <v>0</v>
      </c>
      <c r="R30" s="15">
        <f t="shared" ca="1" si="44"/>
        <v>0</v>
      </c>
      <c r="S30" s="15">
        <f t="shared" ca="1" si="44"/>
        <v>0</v>
      </c>
      <c r="T30" s="15">
        <f t="shared" ca="1" si="44"/>
        <v>0</v>
      </c>
      <c r="U30" s="15">
        <f t="shared" ca="1" si="44"/>
        <v>0</v>
      </c>
      <c r="V30" s="15">
        <f t="shared" ca="1" si="44"/>
        <v>0</v>
      </c>
      <c r="W30" s="15">
        <f t="shared" ca="1" si="44"/>
        <v>0</v>
      </c>
      <c r="X30" s="15">
        <f t="shared" ca="1" si="44"/>
        <v>0</v>
      </c>
      <c r="Y30" s="15">
        <f t="shared" ca="1" si="44"/>
        <v>0</v>
      </c>
      <c r="Z30" s="15">
        <f t="shared" ca="1" si="44"/>
        <v>0</v>
      </c>
      <c r="AA30" s="15">
        <f t="shared" ca="1" si="44"/>
        <v>0</v>
      </c>
      <c r="AB30" s="15">
        <f t="shared" ca="1" si="44"/>
        <v>0</v>
      </c>
      <c r="AC30" s="15">
        <f t="shared" ca="1" si="44"/>
        <v>0</v>
      </c>
      <c r="AD30" s="15">
        <f t="shared" ca="1" si="44"/>
        <v>0</v>
      </c>
      <c r="AE30" s="5"/>
      <c r="AG30" s="1" t="s">
        <v>116</v>
      </c>
      <c r="AH30" s="37">
        <f t="shared" ca="1" si="45"/>
        <v>0</v>
      </c>
      <c r="AI30" s="37">
        <f t="shared" ca="1" si="37"/>
        <v>0</v>
      </c>
      <c r="AJ30" s="37">
        <f t="shared" ca="1" si="38"/>
        <v>0</v>
      </c>
      <c r="AK30" s="37">
        <f t="shared" ca="1" si="38"/>
        <v>0</v>
      </c>
      <c r="AL30" s="37">
        <f t="shared" ca="1" si="38"/>
        <v>0</v>
      </c>
      <c r="AM30" s="37">
        <f t="shared" ca="1" si="38"/>
        <v>0</v>
      </c>
      <c r="AN30" s="37">
        <f t="shared" ca="1" si="38"/>
        <v>0</v>
      </c>
      <c r="AO30" s="37">
        <f t="shared" ca="1" si="38"/>
        <v>0</v>
      </c>
      <c r="AP30" s="37">
        <f t="shared" ca="1" si="38"/>
        <v>0</v>
      </c>
      <c r="AQ30" s="37">
        <f t="shared" ca="1" si="38"/>
        <v>0</v>
      </c>
      <c r="AR30" s="37">
        <f t="shared" ca="1" si="38"/>
        <v>0</v>
      </c>
      <c r="AS30" s="37">
        <f t="shared" ca="1" si="38"/>
        <v>0</v>
      </c>
      <c r="AT30" s="37">
        <f t="shared" ca="1" si="39"/>
        <v>0</v>
      </c>
      <c r="AU30" s="37">
        <f t="shared" ca="1" si="39"/>
        <v>0</v>
      </c>
      <c r="AV30" s="37">
        <f t="shared" ca="1" si="39"/>
        <v>0</v>
      </c>
      <c r="AW30" s="37">
        <f t="shared" ca="1" si="39"/>
        <v>0</v>
      </c>
      <c r="AX30" s="37">
        <f t="shared" ca="1" si="39"/>
        <v>0</v>
      </c>
      <c r="AY30" s="37">
        <f t="shared" ca="1" si="39"/>
        <v>0</v>
      </c>
      <c r="AZ30" s="37" t="e">
        <f t="shared" ca="1" si="39"/>
        <v>#N/A</v>
      </c>
      <c r="BA30" s="37" t="e">
        <f t="shared" ca="1" si="39"/>
        <v>#N/A</v>
      </c>
      <c r="BB30" s="37" t="e">
        <f t="shared" ca="1" si="39"/>
        <v>#N/A</v>
      </c>
    </row>
    <row r="31" spans="1:54" x14ac:dyDescent="0.25">
      <c r="C31" s="5">
        <f ca="1">SUM(C25:C30)</f>
        <v>6.0384000000000002E-3</v>
      </c>
      <c r="D31" s="5">
        <f ca="1">SUM(D25:D30)</f>
        <v>5.0073699999999999E-2</v>
      </c>
      <c r="E31" s="131"/>
      <c r="F31" s="132">
        <f ca="1">SUM(F25:F30)</f>
        <v>7.6494880000000001E-2</v>
      </c>
      <c r="G31" s="132"/>
      <c r="H31" s="132">
        <f ca="1">SUM(H25:H30)</f>
        <v>0.10291606</v>
      </c>
      <c r="I31" s="132"/>
      <c r="J31" s="132">
        <f ca="1">SUM(J25:J30)</f>
        <v>6.768782000000001E-2</v>
      </c>
      <c r="K31" s="132">
        <f ca="1">SUM(K25:K30)</f>
        <v>7.6494880000000001E-2</v>
      </c>
      <c r="L31" s="5">
        <f t="shared" ref="L31:AD31" ca="1" si="47">SUM(L25:L30)</f>
        <v>8.5301939999999993E-2</v>
      </c>
      <c r="M31" s="5">
        <f t="shared" ca="1" si="47"/>
        <v>9.4108999999999998E-2</v>
      </c>
      <c r="N31" s="5">
        <f t="shared" ca="1" si="47"/>
        <v>0.10291606</v>
      </c>
      <c r="O31" s="5">
        <f t="shared" ca="1" si="47"/>
        <v>0.11172312</v>
      </c>
      <c r="P31" s="5">
        <f t="shared" ca="1" si="47"/>
        <v>0.12053018</v>
      </c>
      <c r="Q31" s="5">
        <f t="shared" ca="1" si="47"/>
        <v>0.12933724000000002</v>
      </c>
      <c r="R31" s="5">
        <f t="shared" ca="1" si="47"/>
        <v>0.1381443</v>
      </c>
      <c r="S31" s="5">
        <f t="shared" ca="1" si="47"/>
        <v>0.14695136</v>
      </c>
      <c r="T31" s="5">
        <f t="shared" ca="1" si="47"/>
        <v>0.15575842000000001</v>
      </c>
      <c r="U31" s="5">
        <f t="shared" ca="1" si="47"/>
        <v>0.16456547999999999</v>
      </c>
      <c r="V31" s="5">
        <f t="shared" ca="1" si="47"/>
        <v>0.17337254000000002</v>
      </c>
      <c r="W31" s="5">
        <f t="shared" ca="1" si="47"/>
        <v>0.1821796</v>
      </c>
      <c r="X31" s="5">
        <f t="shared" ca="1" si="47"/>
        <v>0.19098666000000003</v>
      </c>
      <c r="Y31" s="5">
        <f t="shared" ca="1" si="47"/>
        <v>0.19979372000000006</v>
      </c>
      <c r="Z31" s="5">
        <f t="shared" ca="1" si="47"/>
        <v>0.20860078000000004</v>
      </c>
      <c r="AA31" s="5">
        <f t="shared" ca="1" si="47"/>
        <v>0.21740784000000007</v>
      </c>
      <c r="AB31" s="5">
        <f t="shared" ca="1" si="47"/>
        <v>0.22621490000000008</v>
      </c>
      <c r="AC31" s="5">
        <f t="shared" ca="1" si="47"/>
        <v>0.23502196000000009</v>
      </c>
      <c r="AD31" s="5">
        <f t="shared" ca="1" si="47"/>
        <v>0.24382902000000012</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G33" s="4"/>
      <c r="H33" s="4" t="s">
        <v>167</v>
      </c>
      <c r="K33" s="205" t="str">
        <f t="shared" ref="K33:AD33" si="48">IF(K34=Yr_Start,"Start Year",IF(K34=Yr_End,"End Year",""))</f>
        <v>Start Year</v>
      </c>
      <c r="L33" s="205" t="str">
        <f t="shared" si="48"/>
        <v/>
      </c>
      <c r="M33" s="205" t="str">
        <f t="shared" si="48"/>
        <v/>
      </c>
      <c r="N33" s="205" t="str">
        <f t="shared" si="48"/>
        <v>End Year</v>
      </c>
      <c r="O33" s="205" t="str">
        <f t="shared" si="48"/>
        <v/>
      </c>
      <c r="P33" s="205" t="str">
        <f t="shared" si="48"/>
        <v/>
      </c>
      <c r="Q33" s="205" t="str">
        <f t="shared" si="48"/>
        <v/>
      </c>
      <c r="R33" s="205" t="str">
        <f t="shared" si="48"/>
        <v/>
      </c>
      <c r="S33" s="205" t="str">
        <f t="shared" si="48"/>
        <v/>
      </c>
      <c r="T33" s="205" t="str">
        <f t="shared" si="48"/>
        <v/>
      </c>
      <c r="U33" s="205" t="str">
        <f t="shared" si="48"/>
        <v/>
      </c>
      <c r="V33" s="205" t="str">
        <f t="shared" si="48"/>
        <v/>
      </c>
      <c r="W33" s="205" t="str">
        <f t="shared" si="48"/>
        <v/>
      </c>
      <c r="X33" s="205" t="str">
        <f t="shared" si="48"/>
        <v/>
      </c>
      <c r="Y33" s="205" t="str">
        <f t="shared" si="48"/>
        <v/>
      </c>
      <c r="Z33" s="205" t="str">
        <f t="shared" si="48"/>
        <v/>
      </c>
      <c r="AA33" s="205" t="str">
        <f t="shared" si="48"/>
        <v/>
      </c>
      <c r="AB33" s="205" t="str">
        <f t="shared" si="48"/>
        <v/>
      </c>
      <c r="AC33" s="205" t="str">
        <f t="shared" si="48"/>
        <v/>
      </c>
      <c r="AD33" s="205" t="str">
        <f t="shared" si="48"/>
        <v/>
      </c>
      <c r="AE33" s="35"/>
      <c r="AF33" s="6" t="str">
        <f>A33</f>
        <v>Richer</v>
      </c>
      <c r="AI33" s="205" t="str">
        <f t="shared" ref="AI33:BB33" si="49">IF(AI34=Yr_Start,"Start Year",IF(AI34=Yr_End,"End Year",""))</f>
        <v>Start Year</v>
      </c>
      <c r="AJ33" s="205" t="str">
        <f t="shared" si="49"/>
        <v/>
      </c>
      <c r="AK33" s="205" t="str">
        <f t="shared" si="49"/>
        <v/>
      </c>
      <c r="AL33" s="205" t="str">
        <f t="shared" si="49"/>
        <v>End Year</v>
      </c>
      <c r="AM33" s="205" t="str">
        <f t="shared" si="49"/>
        <v/>
      </c>
      <c r="AN33" s="205" t="str">
        <f t="shared" si="49"/>
        <v/>
      </c>
      <c r="AO33" s="205" t="str">
        <f t="shared" si="49"/>
        <v/>
      </c>
      <c r="AP33" s="205" t="str">
        <f t="shared" si="49"/>
        <v/>
      </c>
      <c r="AQ33" s="205" t="str">
        <f t="shared" si="49"/>
        <v/>
      </c>
      <c r="AR33" s="205" t="str">
        <f t="shared" si="49"/>
        <v/>
      </c>
      <c r="AS33" s="205" t="str">
        <f t="shared" si="49"/>
        <v/>
      </c>
      <c r="AT33" s="205" t="str">
        <f t="shared" si="49"/>
        <v/>
      </c>
      <c r="AU33" s="205" t="str">
        <f t="shared" si="49"/>
        <v/>
      </c>
      <c r="AV33" s="205" t="str">
        <f t="shared" si="49"/>
        <v/>
      </c>
      <c r="AW33" s="205" t="str">
        <f t="shared" si="49"/>
        <v/>
      </c>
      <c r="AX33" s="205" t="str">
        <f t="shared" si="49"/>
        <v/>
      </c>
      <c r="AY33" s="205" t="str">
        <f t="shared" si="49"/>
        <v/>
      </c>
      <c r="AZ33" s="205" t="str">
        <f t="shared" si="49"/>
        <v/>
      </c>
      <c r="BA33" s="205" t="str">
        <f t="shared" si="49"/>
        <v/>
      </c>
      <c r="BB33" s="205" t="str">
        <f t="shared" si="49"/>
        <v/>
      </c>
    </row>
    <row r="34" spans="1:54" x14ac:dyDescent="0.25">
      <c r="A34" s="6" t="s">
        <v>21</v>
      </c>
      <c r="B34" s="36"/>
      <c r="C34" s="36">
        <f>Yr_DHS1</f>
        <v>2011</v>
      </c>
      <c r="D34" s="36">
        <f>Yr_DHS2</f>
        <v>2016</v>
      </c>
      <c r="E34" s="36" t="s">
        <v>168</v>
      </c>
      <c r="F34" s="36">
        <f>Yr_Start</f>
        <v>2019</v>
      </c>
      <c r="G34" s="36"/>
      <c r="H34" s="36">
        <f>Yr_End</f>
        <v>2022</v>
      </c>
      <c r="I34" s="36" t="s">
        <v>169</v>
      </c>
      <c r="J34" s="130">
        <f>K34-1</f>
        <v>2018</v>
      </c>
      <c r="K34" s="130">
        <f>Yr_Start</f>
        <v>2019</v>
      </c>
      <c r="L34" s="130">
        <f>K34+1</f>
        <v>2020</v>
      </c>
      <c r="M34" s="130">
        <f t="shared" ref="M34:AD34" si="50">L34+1</f>
        <v>2021</v>
      </c>
      <c r="N34" s="130">
        <f t="shared" si="50"/>
        <v>2022</v>
      </c>
      <c r="O34" s="130">
        <f t="shared" si="50"/>
        <v>2023</v>
      </c>
      <c r="P34" s="130">
        <f t="shared" si="50"/>
        <v>2024</v>
      </c>
      <c r="Q34" s="130">
        <f t="shared" si="50"/>
        <v>2025</v>
      </c>
      <c r="R34" s="130">
        <f t="shared" si="50"/>
        <v>2026</v>
      </c>
      <c r="S34" s="130">
        <f t="shared" si="50"/>
        <v>2027</v>
      </c>
      <c r="T34" s="130">
        <f t="shared" si="50"/>
        <v>2028</v>
      </c>
      <c r="U34" s="130">
        <f t="shared" si="50"/>
        <v>2029</v>
      </c>
      <c r="V34" s="130">
        <f t="shared" si="50"/>
        <v>2030</v>
      </c>
      <c r="W34" s="130">
        <f t="shared" si="50"/>
        <v>2031</v>
      </c>
      <c r="X34" s="130">
        <f t="shared" si="50"/>
        <v>2032</v>
      </c>
      <c r="Y34" s="130">
        <f t="shared" si="50"/>
        <v>2033</v>
      </c>
      <c r="Z34" s="130">
        <f t="shared" si="50"/>
        <v>2034</v>
      </c>
      <c r="AA34" s="130">
        <f t="shared" si="50"/>
        <v>2035</v>
      </c>
      <c r="AB34" s="130">
        <f t="shared" si="50"/>
        <v>2036</v>
      </c>
      <c r="AC34" s="130">
        <f t="shared" si="50"/>
        <v>2037</v>
      </c>
      <c r="AD34" s="130">
        <f t="shared" si="50"/>
        <v>2038</v>
      </c>
      <c r="AE34" s="6"/>
      <c r="AF34" s="6" t="str">
        <f>A34</f>
        <v>Rural</v>
      </c>
      <c r="AG34" s="38"/>
      <c r="AH34" s="161">
        <f>AI34-1</f>
        <v>2018</v>
      </c>
      <c r="AI34" s="36">
        <f>Yr_Start</f>
        <v>2019</v>
      </c>
      <c r="AJ34" s="36">
        <f>AI34+1</f>
        <v>2020</v>
      </c>
      <c r="AK34" s="36">
        <f t="shared" ref="AK34:BB34" si="51">AJ34+1</f>
        <v>2021</v>
      </c>
      <c r="AL34" s="36">
        <f t="shared" si="51"/>
        <v>2022</v>
      </c>
      <c r="AM34" s="36">
        <f t="shared" si="51"/>
        <v>2023</v>
      </c>
      <c r="AN34" s="36">
        <f t="shared" si="51"/>
        <v>2024</v>
      </c>
      <c r="AO34" s="36">
        <f t="shared" si="51"/>
        <v>2025</v>
      </c>
      <c r="AP34" s="36">
        <f t="shared" si="51"/>
        <v>2026</v>
      </c>
      <c r="AQ34" s="36">
        <f t="shared" si="51"/>
        <v>2027</v>
      </c>
      <c r="AR34" s="36">
        <f t="shared" si="51"/>
        <v>2028</v>
      </c>
      <c r="AS34" s="36">
        <f t="shared" si="51"/>
        <v>2029</v>
      </c>
      <c r="AT34" s="36">
        <f t="shared" si="51"/>
        <v>2030</v>
      </c>
      <c r="AU34" s="36">
        <f t="shared" si="51"/>
        <v>2031</v>
      </c>
      <c r="AV34" s="36">
        <f t="shared" si="51"/>
        <v>2032</v>
      </c>
      <c r="AW34" s="36">
        <f t="shared" si="51"/>
        <v>2033</v>
      </c>
      <c r="AX34" s="36">
        <f t="shared" si="51"/>
        <v>2034</v>
      </c>
      <c r="AY34" s="36">
        <f t="shared" si="51"/>
        <v>2035</v>
      </c>
      <c r="AZ34" s="36">
        <f t="shared" si="51"/>
        <v>2036</v>
      </c>
      <c r="BA34" s="36">
        <f t="shared" si="51"/>
        <v>2037</v>
      </c>
      <c r="BB34" s="36">
        <f t="shared" si="51"/>
        <v>2038</v>
      </c>
    </row>
    <row r="35" spans="1:54" x14ac:dyDescent="0.25">
      <c r="B35" s="1" t="s">
        <v>52</v>
      </c>
      <c r="C35" s="14">
        <f ca="1">INDEX(Data_FP!$2:$1048576,MATCH(C$4&amp;$A$34&amp;$B35&amp;$A$1,Data_FP!$A$2:$A$1048576,0),MATCH($A$33,Data_FP!$2:$2,0))</f>
        <v>1.5374199999999999E-2</v>
      </c>
      <c r="D35" s="14">
        <f ca="1">INDEX(Data_FP!$2:$1048576,MATCH(D$4&amp;$A$34&amp;$B35&amp;$A$1,Data_FP!$A$2:$A$1048576,0),MATCH($A$33,Data_FP!$2:$2,0))</f>
        <v>3.71948E-2</v>
      </c>
      <c r="E35" s="14">
        <f ca="1">IF('User Settings'!$N$7="On",($D35-$C35)/($D$4-$C$4),0)</f>
        <v>4.3641200000000008E-3</v>
      </c>
      <c r="F35" s="14">
        <f ca="1">MAX(0,MIN(1,($D35+$E35*(F$4-$D$4))))</f>
        <v>5.0287160000000004E-2</v>
      </c>
      <c r="G35" s="14"/>
      <c r="H35" s="14">
        <f ca="1">MAX(0,MIN(1,($D35+$E35*(H$4-$D$4))*$H$1))</f>
        <v>6.3379520000000009E-2</v>
      </c>
      <c r="I35" s="14">
        <f ca="1">($H35-$F35)/($H$4-$F$4)</f>
        <v>4.3641200000000017E-3</v>
      </c>
      <c r="J35" s="14">
        <f ca="1">K35-E35</f>
        <v>4.5923040000000005E-2</v>
      </c>
      <c r="K35" s="14">
        <f ca="1">MAX(0,MIN(1,D35+(K$4-D$4)*E35))</f>
        <v>5.0287160000000004E-2</v>
      </c>
      <c r="L35" s="15">
        <f ca="1">MAX(0,MIN(1,K35+$I35))</f>
        <v>5.4651280000000003E-2</v>
      </c>
      <c r="M35" s="15">
        <f t="shared" ref="M35:AD35" ca="1" si="52">MAX(0,MIN(1,L35+$I35))</f>
        <v>5.9015400000000003E-2</v>
      </c>
      <c r="N35" s="15">
        <f ca="1">MAX(0,MIN(1,M35+$I35))</f>
        <v>6.3379520000000009E-2</v>
      </c>
      <c r="O35" s="15">
        <f t="shared" ca="1" si="52"/>
        <v>6.7743640000000008E-2</v>
      </c>
      <c r="P35" s="15">
        <f t="shared" ca="1" si="52"/>
        <v>7.2107760000000007E-2</v>
      </c>
      <c r="Q35" s="15">
        <f t="shared" ca="1" si="52"/>
        <v>7.6471880000000006E-2</v>
      </c>
      <c r="R35" s="15">
        <f t="shared" ca="1" si="52"/>
        <v>8.0836000000000005E-2</v>
      </c>
      <c r="S35" s="15">
        <f t="shared" ca="1" si="52"/>
        <v>8.5200120000000004E-2</v>
      </c>
      <c r="T35" s="15">
        <f t="shared" ca="1" si="52"/>
        <v>8.9564240000000003E-2</v>
      </c>
      <c r="U35" s="15">
        <f t="shared" ca="1" si="52"/>
        <v>9.3928360000000002E-2</v>
      </c>
      <c r="V35" s="15">
        <f t="shared" ca="1" si="52"/>
        <v>9.8292480000000002E-2</v>
      </c>
      <c r="W35" s="15">
        <f t="shared" ca="1" si="52"/>
        <v>0.1026566</v>
      </c>
      <c r="X35" s="15">
        <f t="shared" ca="1" si="52"/>
        <v>0.10702072</v>
      </c>
      <c r="Y35" s="15">
        <f t="shared" ca="1" si="52"/>
        <v>0.11138484</v>
      </c>
      <c r="Z35" s="15">
        <f t="shared" ca="1" si="52"/>
        <v>0.11574896</v>
      </c>
      <c r="AA35" s="15">
        <f t="shared" ca="1" si="52"/>
        <v>0.12011308</v>
      </c>
      <c r="AB35" s="15">
        <f t="shared" ca="1" si="52"/>
        <v>0.1244772</v>
      </c>
      <c r="AC35" s="15">
        <f t="shared" ca="1" si="52"/>
        <v>0.12884132000000001</v>
      </c>
      <c r="AD35" s="15">
        <f t="shared" ca="1" si="52"/>
        <v>0.13320544000000001</v>
      </c>
      <c r="AE35" s="5"/>
      <c r="AG35" s="1" t="s">
        <v>52</v>
      </c>
      <c r="AH35" s="37">
        <f ca="1">J35*AH$41</f>
        <v>70143.685952533153</v>
      </c>
      <c r="AI35" s="37">
        <f t="shared" ref="AI35:AI40" ca="1" si="53">K35*AI$41</f>
        <v>79763.264101115506</v>
      </c>
      <c r="AJ35" s="37">
        <f t="shared" ref="AJ35:AS40" ca="1" si="54">L35*AJ$41</f>
        <v>89999.222080854131</v>
      </c>
      <c r="AK35" s="37">
        <f ca="1">M35*AK$41</f>
        <v>100751.51962053684</v>
      </c>
      <c r="AL35" s="37">
        <f t="shared" ca="1" si="54"/>
        <v>112171.24747916346</v>
      </c>
      <c r="AM35" s="37">
        <f t="shared" ca="1" si="54"/>
        <v>124272.69379958881</v>
      </c>
      <c r="AN35" s="37">
        <f t="shared" ca="1" si="54"/>
        <v>137064.23286342237</v>
      </c>
      <c r="AO35" s="37">
        <f t="shared" ca="1" si="54"/>
        <v>150559.31503785829</v>
      </c>
      <c r="AP35" s="37">
        <f t="shared" ca="1" si="54"/>
        <v>164666.27701287856</v>
      </c>
      <c r="AQ35" s="37">
        <f t="shared" ca="1" si="54"/>
        <v>179521.12483390959</v>
      </c>
      <c r="AR35" s="37">
        <f t="shared" ca="1" si="54"/>
        <v>195149.85626899658</v>
      </c>
      <c r="AS35" s="37">
        <f t="shared" ca="1" si="54"/>
        <v>211588.00503354982</v>
      </c>
      <c r="AT35" s="37">
        <f t="shared" ref="AT35:BB40" ca="1" si="55">V35*AT$41</f>
        <v>228866.12501936866</v>
      </c>
      <c r="AU35" s="37">
        <f t="shared" ca="1" si="55"/>
        <v>246865.47408785598</v>
      </c>
      <c r="AV35" s="37">
        <f t="shared" ca="1" si="55"/>
        <v>265759.59569052438</v>
      </c>
      <c r="AW35" s="37">
        <f t="shared" ca="1" si="55"/>
        <v>285559.71236735588</v>
      </c>
      <c r="AX35" s="37">
        <f t="shared" ca="1" si="55"/>
        <v>306272.07503216929</v>
      </c>
      <c r="AY35" s="37">
        <f t="shared" ca="1" si="55"/>
        <v>327906.72185337322</v>
      </c>
      <c r="AZ35" s="37" t="e">
        <f t="shared" ca="1" si="55"/>
        <v>#N/A</v>
      </c>
      <c r="BA35" s="37" t="e">
        <f t="shared" ca="1" si="55"/>
        <v>#N/A</v>
      </c>
      <c r="BB35" s="37" t="e">
        <f t="shared" ca="1" si="55"/>
        <v>#N/A</v>
      </c>
    </row>
    <row r="36" spans="1:54" x14ac:dyDescent="0.25">
      <c r="B36" s="1" t="s">
        <v>54</v>
      </c>
      <c r="C36" s="14">
        <f ca="1">INDEX(Data_FP!$2:$1048576,MATCH(C$4&amp;$A$34&amp;$B36&amp;$A$1,Data_FP!$A$2:$A$1048576,0),MATCH($A$33,Data_FP!$2:$2,0))</f>
        <v>7.5900000000000002E-4</v>
      </c>
      <c r="D36" s="14">
        <f ca="1">INDEX(Data_FP!$2:$1048576,MATCH(D$4&amp;$A$34&amp;$B36&amp;$A$1,Data_FP!$A$2:$A$1048576,0),MATCH($A$33,Data_FP!$2:$2,0))</f>
        <v>1.8622000000000001E-3</v>
      </c>
      <c r="E36" s="14">
        <f ca="1">IF('User Settings'!$N$7="On",($D36-$C36)/($D$4-$C$4),0)</f>
        <v>2.2063999999999997E-4</v>
      </c>
      <c r="F36" s="14">
        <f t="shared" ref="F36:F40" ca="1" si="56">MAX(0,MIN(1,($D36+$E36*(F$4-$D$4))))</f>
        <v>2.5241199999999999E-3</v>
      </c>
      <c r="G36" s="14"/>
      <c r="H36" s="14">
        <f t="shared" ref="H36:H40" ca="1" si="57">MAX(0,MIN(1,($D36+$E36*(H$4-$D$4))*$H$1))</f>
        <v>3.1860399999999998E-3</v>
      </c>
      <c r="I36" s="14">
        <f ca="1">($H36-$F36)/($H$4-$F$4)</f>
        <v>2.2063999999999995E-4</v>
      </c>
      <c r="J36" s="14">
        <f t="shared" ref="J36:J40" ca="1" si="58">K36-E36</f>
        <v>2.3034800000000001E-3</v>
      </c>
      <c r="K36" s="14">
        <f t="shared" ref="K36:K40" ca="1" si="59">MAX(0,MIN(1,D36+(K$4-D$4)*E36))</f>
        <v>2.5241199999999999E-3</v>
      </c>
      <c r="L36" s="15">
        <f t="shared" ref="L36:AD40" ca="1" si="60">MAX(0,MIN(1,K36+$I36))</f>
        <v>2.7447599999999997E-3</v>
      </c>
      <c r="M36" s="15">
        <f t="shared" ca="1" si="60"/>
        <v>2.9653999999999995E-3</v>
      </c>
      <c r="N36" s="15">
        <f t="shared" ca="1" si="60"/>
        <v>3.1860399999999994E-3</v>
      </c>
      <c r="O36" s="15">
        <f t="shared" ca="1" si="60"/>
        <v>3.4066799999999992E-3</v>
      </c>
      <c r="P36" s="15">
        <f t="shared" ca="1" si="60"/>
        <v>3.627319999999999E-3</v>
      </c>
      <c r="Q36" s="15">
        <f t="shared" ca="1" si="60"/>
        <v>3.8479599999999988E-3</v>
      </c>
      <c r="R36" s="15">
        <f t="shared" ca="1" si="60"/>
        <v>4.0685999999999986E-3</v>
      </c>
      <c r="S36" s="15">
        <f t="shared" ca="1" si="60"/>
        <v>4.2892399999999989E-3</v>
      </c>
      <c r="T36" s="15">
        <f t="shared" ca="1" si="60"/>
        <v>4.5098799999999991E-3</v>
      </c>
      <c r="U36" s="15">
        <f t="shared" ca="1" si="60"/>
        <v>4.7305199999999993E-3</v>
      </c>
      <c r="V36" s="15">
        <f t="shared" ca="1" si="60"/>
        <v>4.9511599999999996E-3</v>
      </c>
      <c r="W36" s="15">
        <f t="shared" ca="1" si="60"/>
        <v>5.1717999999999998E-3</v>
      </c>
      <c r="X36" s="15">
        <f t="shared" ca="1" si="60"/>
        <v>5.3924400000000001E-3</v>
      </c>
      <c r="Y36" s="15">
        <f t="shared" ca="1" si="60"/>
        <v>5.6130800000000003E-3</v>
      </c>
      <c r="Z36" s="15">
        <f t="shared" ca="1" si="60"/>
        <v>5.8337200000000006E-3</v>
      </c>
      <c r="AA36" s="15">
        <f t="shared" ca="1" si="60"/>
        <v>6.0543600000000008E-3</v>
      </c>
      <c r="AB36" s="15">
        <f t="shared" ca="1" si="60"/>
        <v>6.2750000000000011E-3</v>
      </c>
      <c r="AC36" s="15">
        <f t="shared" ca="1" si="60"/>
        <v>6.4956400000000013E-3</v>
      </c>
      <c r="AD36" s="15">
        <f t="shared" ca="1" si="60"/>
        <v>6.7162800000000016E-3</v>
      </c>
      <c r="AE36" s="5"/>
      <c r="AG36" s="1" t="s">
        <v>54</v>
      </c>
      <c r="AH36" s="37">
        <f t="shared" ref="AH36:AH40" ca="1" si="61">J36*AH$41</f>
        <v>3518.3772180139003</v>
      </c>
      <c r="AI36" s="37">
        <f t="shared" ca="1" si="53"/>
        <v>4003.6472567332821</v>
      </c>
      <c r="AJ36" s="37">
        <f t="shared" ca="1" si="54"/>
        <v>4520.0453639630241</v>
      </c>
      <c r="AK36" s="37">
        <f t="shared" ca="1" si="54"/>
        <v>5062.5524233122187</v>
      </c>
      <c r="AL36" s="37">
        <f t="shared" ca="1" si="54"/>
        <v>5638.7628262018052</v>
      </c>
      <c r="AM36" s="37">
        <f t="shared" ca="1" si="54"/>
        <v>6249.4029035520243</v>
      </c>
      <c r="AN36" s="37">
        <f t="shared" ca="1" si="54"/>
        <v>6894.9005370593813</v>
      </c>
      <c r="AO36" s="37">
        <f t="shared" ca="1" si="54"/>
        <v>7575.9380035259628</v>
      </c>
      <c r="AP36" s="37">
        <f t="shared" ca="1" si="54"/>
        <v>8287.9065596342898</v>
      </c>
      <c r="AQ36" s="37">
        <f t="shared" ca="1" si="54"/>
        <v>9037.6538141331039</v>
      </c>
      <c r="AR36" s="37">
        <f t="shared" ca="1" si="54"/>
        <v>9826.493629493445</v>
      </c>
      <c r="AS36" s="37">
        <f t="shared" ca="1" si="54"/>
        <v>10656.22022540698</v>
      </c>
      <c r="AT36" s="37">
        <f t="shared" ca="1" si="55"/>
        <v>11528.377385033902</v>
      </c>
      <c r="AU36" s="37">
        <f t="shared" ca="1" si="55"/>
        <v>12436.987576907608</v>
      </c>
      <c r="AV36" s="37">
        <f t="shared" ca="1" si="55"/>
        <v>13390.796419472896</v>
      </c>
      <c r="AW36" s="37">
        <f t="shared" ca="1" si="55"/>
        <v>14390.374042777798</v>
      </c>
      <c r="AX36" s="37">
        <f t="shared" ca="1" si="55"/>
        <v>15436.039594279438</v>
      </c>
      <c r="AY36" s="37">
        <f t="shared" ca="1" si="55"/>
        <v>16528.302667121588</v>
      </c>
      <c r="AZ36" s="37" t="e">
        <f t="shared" ca="1" si="55"/>
        <v>#N/A</v>
      </c>
      <c r="BA36" s="37" t="e">
        <f t="shared" ca="1" si="55"/>
        <v>#N/A</v>
      </c>
      <c r="BB36" s="37" t="e">
        <f t="shared" ca="1" si="55"/>
        <v>#N/A</v>
      </c>
    </row>
    <row r="37" spans="1:54" x14ac:dyDescent="0.25">
      <c r="B37" s="1" t="s">
        <v>170</v>
      </c>
      <c r="C37" s="14">
        <f ca="1">INDEX(Data_FP!$2:$1048576,MATCH(C$4&amp;$A$34&amp;$B37&amp;$A$1,Data_FP!$A$2:$A$1048576,0),MATCH($A$33,Data_FP!$2:$2,0))</f>
        <v>8.4119999999999996E-4</v>
      </c>
      <c r="D37" s="14">
        <f ca="1">INDEX(Data_FP!$2:$1048576,MATCH(D$4&amp;$A$34&amp;$B37&amp;$A$1,Data_FP!$A$2:$A$1048576,0),MATCH($A$33,Data_FP!$2:$2,0))</f>
        <v>8.5999999999999998E-4</v>
      </c>
      <c r="E37" s="14">
        <f ca="1">IF('User Settings'!$N$7="On",($D37-$C37)/($D$4-$C$4),0)</f>
        <v>3.7600000000000047E-6</v>
      </c>
      <c r="F37" s="14">
        <f t="shared" ca="1" si="56"/>
        <v>8.7127999999999999E-4</v>
      </c>
      <c r="G37" s="14"/>
      <c r="H37" s="14">
        <f t="shared" ca="1" si="57"/>
        <v>8.8256000000000001E-4</v>
      </c>
      <c r="I37" s="14">
        <f t="shared" ref="I37:I40" ca="1" si="62">($H37-$F37)/($H$4-$F$4)</f>
        <v>3.7600000000000047E-6</v>
      </c>
      <c r="J37" s="14">
        <f t="shared" ca="1" si="58"/>
        <v>8.6751999999999999E-4</v>
      </c>
      <c r="K37" s="14">
        <f t="shared" ca="1" si="59"/>
        <v>8.7127999999999999E-4</v>
      </c>
      <c r="L37" s="15">
        <f t="shared" ca="1" si="60"/>
        <v>8.7504E-4</v>
      </c>
      <c r="M37" s="15">
        <f t="shared" ca="1" si="60"/>
        <v>8.788E-4</v>
      </c>
      <c r="N37" s="15">
        <f t="shared" ca="1" si="60"/>
        <v>8.8256000000000001E-4</v>
      </c>
      <c r="O37" s="15">
        <f t="shared" ca="1" si="60"/>
        <v>8.8632000000000001E-4</v>
      </c>
      <c r="P37" s="15">
        <f t="shared" ca="1" si="60"/>
        <v>8.9008000000000002E-4</v>
      </c>
      <c r="Q37" s="15">
        <f t="shared" ca="1" si="60"/>
        <v>8.9384000000000002E-4</v>
      </c>
      <c r="R37" s="15">
        <f t="shared" ca="1" si="60"/>
        <v>8.9760000000000003E-4</v>
      </c>
      <c r="S37" s="15">
        <f t="shared" ca="1" si="60"/>
        <v>9.0136000000000003E-4</v>
      </c>
      <c r="T37" s="15">
        <f t="shared" ca="1" si="60"/>
        <v>9.0512000000000003E-4</v>
      </c>
      <c r="U37" s="15">
        <f t="shared" ca="1" si="60"/>
        <v>9.0888000000000004E-4</v>
      </c>
      <c r="V37" s="15">
        <f t="shared" ca="1" si="60"/>
        <v>9.1264000000000004E-4</v>
      </c>
      <c r="W37" s="15">
        <f t="shared" ca="1" si="60"/>
        <v>9.1640000000000005E-4</v>
      </c>
      <c r="X37" s="15">
        <f t="shared" ca="1" si="60"/>
        <v>9.2016000000000005E-4</v>
      </c>
      <c r="Y37" s="15">
        <f t="shared" ca="1" si="60"/>
        <v>9.2392000000000006E-4</v>
      </c>
      <c r="Z37" s="15">
        <f t="shared" ca="1" si="60"/>
        <v>9.2768000000000006E-4</v>
      </c>
      <c r="AA37" s="15">
        <f t="shared" ca="1" si="60"/>
        <v>9.3144000000000007E-4</v>
      </c>
      <c r="AB37" s="15">
        <f t="shared" ca="1" si="60"/>
        <v>9.3520000000000007E-4</v>
      </c>
      <c r="AC37" s="15">
        <f t="shared" ca="1" si="60"/>
        <v>9.3896000000000008E-4</v>
      </c>
      <c r="AD37" s="15">
        <f t="shared" ca="1" si="60"/>
        <v>9.4272000000000008E-4</v>
      </c>
      <c r="AE37" s="5"/>
      <c r="AG37" s="1" t="s">
        <v>170</v>
      </c>
      <c r="AH37" s="37">
        <f t="shared" ca="1" si="61"/>
        <v>1325.0658152757649</v>
      </c>
      <c r="AI37" s="37">
        <f t="shared" ca="1" si="53"/>
        <v>1381.9857145645112</v>
      </c>
      <c r="AJ37" s="37">
        <f t="shared" ca="1" si="54"/>
        <v>1441.0077730957187</v>
      </c>
      <c r="AK37" s="37">
        <f t="shared" ca="1" si="54"/>
        <v>1500.2937443875289</v>
      </c>
      <c r="AL37" s="37">
        <f t="shared" ca="1" si="54"/>
        <v>1561.9849467968595</v>
      </c>
      <c r="AM37" s="37">
        <f t="shared" ca="1" si="54"/>
        <v>1625.9146093781135</v>
      </c>
      <c r="AN37" s="37">
        <f t="shared" ca="1" si="54"/>
        <v>1691.8863155238071</v>
      </c>
      <c r="AO37" s="37">
        <f t="shared" ca="1" si="54"/>
        <v>1759.809463994337</v>
      </c>
      <c r="AP37" s="37">
        <f t="shared" ca="1" si="54"/>
        <v>1828.4483429011802</v>
      </c>
      <c r="AQ37" s="37">
        <f t="shared" ca="1" si="54"/>
        <v>1899.21283068959</v>
      </c>
      <c r="AR37" s="37">
        <f t="shared" ca="1" si="54"/>
        <v>1972.1491290072263</v>
      </c>
      <c r="AS37" s="37">
        <f t="shared" ca="1" si="54"/>
        <v>2047.3912885830518</v>
      </c>
      <c r="AT37" s="37">
        <f t="shared" ca="1" si="55"/>
        <v>2125.0087528331428</v>
      </c>
      <c r="AU37" s="37">
        <f t="shared" ca="1" si="55"/>
        <v>2203.7308897246862</v>
      </c>
      <c r="AV37" s="37">
        <f t="shared" ca="1" si="55"/>
        <v>2284.9906968537771</v>
      </c>
      <c r="AW37" s="37">
        <f t="shared" ca="1" si="55"/>
        <v>2368.673595531021</v>
      </c>
      <c r="AX37" s="37">
        <f t="shared" ca="1" si="55"/>
        <v>2454.6438997451282</v>
      </c>
      <c r="AY37" s="37">
        <f t="shared" ca="1" si="55"/>
        <v>2542.8157949417828</v>
      </c>
      <c r="AZ37" s="37" t="e">
        <f t="shared" ca="1" si="55"/>
        <v>#N/A</v>
      </c>
      <c r="BA37" s="37" t="e">
        <f t="shared" ca="1" si="55"/>
        <v>#N/A</v>
      </c>
      <c r="BB37" s="37" t="e">
        <f t="shared" ca="1" si="55"/>
        <v>#N/A</v>
      </c>
    </row>
    <row r="38" spans="1:54" x14ac:dyDescent="0.25">
      <c r="B38" s="1" t="s">
        <v>59</v>
      </c>
      <c r="C38" s="14">
        <f ca="1">INDEX(Data_FP!$2:$1048576,MATCH(C$4&amp;$A$34&amp;$B38&amp;$A$1,Data_FP!$A$2:$A$1048576,0),MATCH($A$33,Data_FP!$2:$2,0))</f>
        <v>2.0523999999999998E-3</v>
      </c>
      <c r="D38" s="14">
        <f ca="1">INDEX(Data_FP!$2:$1048576,MATCH(D$4&amp;$A$34&amp;$B38&amp;$A$1,Data_FP!$A$2:$A$1048576,0),MATCH($A$33,Data_FP!$2:$2,0))</f>
        <v>5.7995E-3</v>
      </c>
      <c r="E38" s="14">
        <f ca="1">IF('User Settings'!$N$7="On",($D38-$C38)/($D$4-$C$4),0)</f>
        <v>7.4941999999999999E-4</v>
      </c>
      <c r="F38" s="14">
        <f t="shared" ca="1" si="56"/>
        <v>8.047760000000001E-3</v>
      </c>
      <c r="G38" s="14"/>
      <c r="H38" s="14">
        <f t="shared" ca="1" si="57"/>
        <v>1.0296019999999999E-2</v>
      </c>
      <c r="I38" s="14">
        <f t="shared" ca="1" si="62"/>
        <v>7.4941999999999945E-4</v>
      </c>
      <c r="J38" s="14">
        <f t="shared" ca="1" si="58"/>
        <v>7.2983400000000013E-3</v>
      </c>
      <c r="K38" s="14">
        <f t="shared" ca="1" si="59"/>
        <v>8.047760000000001E-3</v>
      </c>
      <c r="L38" s="15">
        <f t="shared" ca="1" si="60"/>
        <v>8.7971799999999999E-3</v>
      </c>
      <c r="M38" s="15">
        <f t="shared" ca="1" si="60"/>
        <v>9.5465999999999988E-3</v>
      </c>
      <c r="N38" s="15">
        <f t="shared" ca="1" si="60"/>
        <v>1.0296019999999998E-2</v>
      </c>
      <c r="O38" s="15">
        <f t="shared" ca="1" si="60"/>
        <v>1.1045439999999997E-2</v>
      </c>
      <c r="P38" s="15">
        <f t="shared" ca="1" si="60"/>
        <v>1.1794859999999996E-2</v>
      </c>
      <c r="Q38" s="15">
        <f t="shared" ca="1" si="60"/>
        <v>1.2544279999999994E-2</v>
      </c>
      <c r="R38" s="15">
        <f t="shared" ca="1" si="60"/>
        <v>1.3293699999999993E-2</v>
      </c>
      <c r="S38" s="15">
        <f t="shared" ca="1" si="60"/>
        <v>1.4043119999999992E-2</v>
      </c>
      <c r="T38" s="15">
        <f t="shared" ca="1" si="60"/>
        <v>1.4792539999999991E-2</v>
      </c>
      <c r="U38" s="15">
        <f t="shared" ca="1" si="60"/>
        <v>1.554195999999999E-2</v>
      </c>
      <c r="V38" s="15">
        <f t="shared" ca="1" si="60"/>
        <v>1.6291379999999991E-2</v>
      </c>
      <c r="W38" s="15">
        <f t="shared" ca="1" si="60"/>
        <v>1.7040799999999991E-2</v>
      </c>
      <c r="X38" s="15">
        <f t="shared" ca="1" si="60"/>
        <v>1.7790219999999992E-2</v>
      </c>
      <c r="Y38" s="15">
        <f t="shared" ca="1" si="60"/>
        <v>1.8539639999999993E-2</v>
      </c>
      <c r="Z38" s="15">
        <f t="shared" ca="1" si="60"/>
        <v>1.9289059999999993E-2</v>
      </c>
      <c r="AA38" s="15">
        <f t="shared" ca="1" si="60"/>
        <v>2.0038479999999994E-2</v>
      </c>
      <c r="AB38" s="15">
        <f t="shared" ca="1" si="60"/>
        <v>2.0787899999999995E-2</v>
      </c>
      <c r="AC38" s="15">
        <f t="shared" ca="1" si="60"/>
        <v>2.1537319999999995E-2</v>
      </c>
      <c r="AD38" s="15">
        <f t="shared" ca="1" si="60"/>
        <v>2.2286739999999996E-2</v>
      </c>
      <c r="AE38" s="5"/>
      <c r="AG38" s="1" t="s">
        <v>59</v>
      </c>
      <c r="AH38" s="37">
        <f t="shared" ca="1" si="61"/>
        <v>11147.617164168811</v>
      </c>
      <c r="AI38" s="37">
        <f t="shared" ca="1" si="53"/>
        <v>12765.000177031141</v>
      </c>
      <c r="AJ38" s="37">
        <f t="shared" ca="1" si="54"/>
        <v>14487.114601986417</v>
      </c>
      <c r="AK38" s="37">
        <f t="shared" ca="1" si="54"/>
        <v>16298.024875022738</v>
      </c>
      <c r="AL38" s="37">
        <f t="shared" ca="1" si="54"/>
        <v>18222.249197696925</v>
      </c>
      <c r="AM38" s="37">
        <f t="shared" ca="1" si="54"/>
        <v>20262.368290244365</v>
      </c>
      <c r="AN38" s="37">
        <f t="shared" ca="1" si="54"/>
        <v>22419.964753189739</v>
      </c>
      <c r="AO38" s="37">
        <f t="shared" ca="1" si="54"/>
        <v>24697.420861669729</v>
      </c>
      <c r="AP38" s="37">
        <f t="shared" ca="1" si="54"/>
        <v>27079.816996463243</v>
      </c>
      <c r="AQ38" s="37">
        <f t="shared" ca="1" si="54"/>
        <v>29589.590936932615</v>
      </c>
      <c r="AR38" s="37">
        <f t="shared" ca="1" si="54"/>
        <v>32231.190203292972</v>
      </c>
      <c r="AS38" s="37">
        <f t="shared" ca="1" si="54"/>
        <v>35010.643331909851</v>
      </c>
      <c r="AT38" s="37">
        <f t="shared" ca="1" si="55"/>
        <v>37933.166523197295</v>
      </c>
      <c r="AU38" s="37">
        <f t="shared" ca="1" si="55"/>
        <v>40979.198325644276</v>
      </c>
      <c r="AV38" s="37">
        <f t="shared" ca="1" si="55"/>
        <v>44177.629102527797</v>
      </c>
      <c r="AW38" s="37">
        <f t="shared" ca="1" si="55"/>
        <v>47530.474217086667</v>
      </c>
      <c r="AX38" s="37">
        <f t="shared" ca="1" si="55"/>
        <v>51038.907231823199</v>
      </c>
      <c r="AY38" s="37">
        <f t="shared" ca="1" si="55"/>
        <v>54704.718984180407</v>
      </c>
      <c r="AZ38" s="37" t="e">
        <f t="shared" ca="1" si="55"/>
        <v>#N/A</v>
      </c>
      <c r="BA38" s="37" t="e">
        <f t="shared" ca="1" si="55"/>
        <v>#N/A</v>
      </c>
      <c r="BB38" s="37" t="e">
        <f t="shared" ca="1" si="55"/>
        <v>#N/A</v>
      </c>
    </row>
    <row r="39" spans="1:54" x14ac:dyDescent="0.25">
      <c r="B39" s="1" t="s">
        <v>171</v>
      </c>
      <c r="C39" s="14">
        <f ca="1">INDEX(Data_FP!$2:$1048576,MATCH(C$4&amp;$A$34&amp;$B39&amp;$A$1,Data_FP!$A$2:$A$1048576,0),MATCH($A$33,Data_FP!$2:$2,0))</f>
        <v>0</v>
      </c>
      <c r="D39" s="14">
        <f ca="1">INDEX(Data_FP!$2:$1048576,MATCH(D$4&amp;$A$34&amp;$B39&amp;$A$1,Data_FP!$A$2:$A$1048576,0),MATCH($A$33,Data_FP!$2:$2,0))</f>
        <v>0</v>
      </c>
      <c r="E39" s="14">
        <f ca="1">IF('User Settings'!$N$7="On",($D39-$C39)/($D$4-$C$4),0)</f>
        <v>0</v>
      </c>
      <c r="F39" s="14">
        <f t="shared" ca="1" si="56"/>
        <v>0</v>
      </c>
      <c r="G39" s="14"/>
      <c r="H39" s="14">
        <f t="shared" ca="1" si="57"/>
        <v>0</v>
      </c>
      <c r="I39" s="14">
        <f t="shared" ca="1" si="62"/>
        <v>0</v>
      </c>
      <c r="J39" s="14">
        <f t="shared" ca="1" si="58"/>
        <v>0</v>
      </c>
      <c r="K39" s="14">
        <f t="shared" ca="1" si="59"/>
        <v>0</v>
      </c>
      <c r="L39" s="15">
        <f t="shared" ca="1" si="60"/>
        <v>0</v>
      </c>
      <c r="M39" s="15">
        <f t="shared" ca="1" si="60"/>
        <v>0</v>
      </c>
      <c r="N39" s="15">
        <f t="shared" ca="1" si="60"/>
        <v>0</v>
      </c>
      <c r="O39" s="15">
        <f t="shared" ca="1" si="60"/>
        <v>0</v>
      </c>
      <c r="P39" s="15">
        <f t="shared" ca="1" si="60"/>
        <v>0</v>
      </c>
      <c r="Q39" s="15">
        <f t="shared" ca="1" si="60"/>
        <v>0</v>
      </c>
      <c r="R39" s="15">
        <f t="shared" ca="1" si="60"/>
        <v>0</v>
      </c>
      <c r="S39" s="15">
        <f t="shared" ca="1" si="60"/>
        <v>0</v>
      </c>
      <c r="T39" s="15">
        <f t="shared" ca="1" si="60"/>
        <v>0</v>
      </c>
      <c r="U39" s="15">
        <f t="shared" ca="1" si="60"/>
        <v>0</v>
      </c>
      <c r="V39" s="15">
        <f t="shared" ca="1" si="60"/>
        <v>0</v>
      </c>
      <c r="W39" s="15">
        <f t="shared" ca="1" si="60"/>
        <v>0</v>
      </c>
      <c r="X39" s="15">
        <f t="shared" ca="1" si="60"/>
        <v>0</v>
      </c>
      <c r="Y39" s="15">
        <f t="shared" ca="1" si="60"/>
        <v>0</v>
      </c>
      <c r="Z39" s="15">
        <f t="shared" ca="1" si="60"/>
        <v>0</v>
      </c>
      <c r="AA39" s="15">
        <f t="shared" ca="1" si="60"/>
        <v>0</v>
      </c>
      <c r="AB39" s="15">
        <f t="shared" ca="1" si="60"/>
        <v>0</v>
      </c>
      <c r="AC39" s="15">
        <f t="shared" ca="1" si="60"/>
        <v>0</v>
      </c>
      <c r="AD39" s="15">
        <f t="shared" ca="1" si="60"/>
        <v>0</v>
      </c>
      <c r="AE39" s="5"/>
      <c r="AG39" s="1" t="s">
        <v>171</v>
      </c>
      <c r="AH39" s="37">
        <f t="shared" ca="1" si="61"/>
        <v>0</v>
      </c>
      <c r="AI39" s="37">
        <f t="shared" ca="1" si="53"/>
        <v>0</v>
      </c>
      <c r="AJ39" s="37">
        <f t="shared" ca="1" si="54"/>
        <v>0</v>
      </c>
      <c r="AK39" s="37">
        <f t="shared" ca="1" si="54"/>
        <v>0</v>
      </c>
      <c r="AL39" s="37">
        <f t="shared" ca="1" si="54"/>
        <v>0</v>
      </c>
      <c r="AM39" s="37">
        <f t="shared" ca="1" si="54"/>
        <v>0</v>
      </c>
      <c r="AN39" s="37">
        <f t="shared" ca="1" si="54"/>
        <v>0</v>
      </c>
      <c r="AO39" s="37">
        <f t="shared" ca="1" si="54"/>
        <v>0</v>
      </c>
      <c r="AP39" s="37">
        <f t="shared" ca="1" si="54"/>
        <v>0</v>
      </c>
      <c r="AQ39" s="37">
        <f t="shared" ca="1" si="54"/>
        <v>0</v>
      </c>
      <c r="AR39" s="37">
        <f t="shared" ca="1" si="54"/>
        <v>0</v>
      </c>
      <c r="AS39" s="37">
        <f t="shared" ca="1" si="54"/>
        <v>0</v>
      </c>
      <c r="AT39" s="37">
        <f t="shared" ca="1" si="55"/>
        <v>0</v>
      </c>
      <c r="AU39" s="37">
        <f t="shared" ca="1" si="55"/>
        <v>0</v>
      </c>
      <c r="AV39" s="37">
        <f t="shared" ca="1" si="55"/>
        <v>0</v>
      </c>
      <c r="AW39" s="37">
        <f t="shared" ca="1" si="55"/>
        <v>0</v>
      </c>
      <c r="AX39" s="37">
        <f t="shared" ca="1" si="55"/>
        <v>0</v>
      </c>
      <c r="AY39" s="37">
        <f t="shared" ca="1" si="55"/>
        <v>0</v>
      </c>
      <c r="AZ39" s="37" t="e">
        <f t="shared" ca="1" si="55"/>
        <v>#N/A</v>
      </c>
      <c r="BA39" s="37" t="e">
        <f t="shared" ca="1" si="55"/>
        <v>#N/A</v>
      </c>
      <c r="BB39" s="37" t="e">
        <f t="shared" ca="1" si="55"/>
        <v>#N/A</v>
      </c>
    </row>
    <row r="40" spans="1:54" x14ac:dyDescent="0.25">
      <c r="B40" s="1" t="s">
        <v>116</v>
      </c>
      <c r="C40" s="14">
        <f ca="1">INDEX(Data_FP!$2:$1048576,MATCH(C$4&amp;$A$34&amp;$B40&amp;$A$1,Data_FP!$A$2:$A$1048576,0),MATCH($A$33,Data_FP!$2:$2,0))</f>
        <v>0</v>
      </c>
      <c r="D40" s="14">
        <f ca="1">INDEX(Data_FP!$2:$1048576,MATCH(D$4&amp;$A$34&amp;$B40&amp;$A$1,Data_FP!$A$2:$A$1048576,0),MATCH($A$33,Data_FP!$2:$2,0))</f>
        <v>0</v>
      </c>
      <c r="E40" s="14">
        <f ca="1">IF('User Settings'!$N$7="On",($D40-$C40)/($D$4-$C$4),0)</f>
        <v>0</v>
      </c>
      <c r="F40" s="14">
        <f t="shared" ca="1" si="56"/>
        <v>0</v>
      </c>
      <c r="G40" s="14"/>
      <c r="H40" s="14">
        <f t="shared" ca="1" si="57"/>
        <v>0</v>
      </c>
      <c r="I40" s="14">
        <f t="shared" ca="1" si="62"/>
        <v>0</v>
      </c>
      <c r="J40" s="14">
        <f t="shared" ca="1" si="58"/>
        <v>0</v>
      </c>
      <c r="K40" s="14">
        <f t="shared" ca="1" si="59"/>
        <v>0</v>
      </c>
      <c r="L40" s="15">
        <f t="shared" ca="1" si="60"/>
        <v>0</v>
      </c>
      <c r="M40" s="15">
        <f t="shared" ca="1" si="60"/>
        <v>0</v>
      </c>
      <c r="N40" s="15">
        <f t="shared" ca="1" si="60"/>
        <v>0</v>
      </c>
      <c r="O40" s="15">
        <f t="shared" ca="1" si="60"/>
        <v>0</v>
      </c>
      <c r="P40" s="15">
        <f t="shared" ca="1" si="60"/>
        <v>0</v>
      </c>
      <c r="Q40" s="15">
        <f t="shared" ca="1" si="60"/>
        <v>0</v>
      </c>
      <c r="R40" s="15">
        <f t="shared" ca="1" si="60"/>
        <v>0</v>
      </c>
      <c r="S40" s="15">
        <f t="shared" ca="1" si="60"/>
        <v>0</v>
      </c>
      <c r="T40" s="15">
        <f t="shared" ca="1" si="60"/>
        <v>0</v>
      </c>
      <c r="U40" s="15">
        <f t="shared" ca="1" si="60"/>
        <v>0</v>
      </c>
      <c r="V40" s="15">
        <f t="shared" ca="1" si="60"/>
        <v>0</v>
      </c>
      <c r="W40" s="15">
        <f t="shared" ca="1" si="60"/>
        <v>0</v>
      </c>
      <c r="X40" s="15">
        <f t="shared" ca="1" si="60"/>
        <v>0</v>
      </c>
      <c r="Y40" s="15">
        <f t="shared" ca="1" si="60"/>
        <v>0</v>
      </c>
      <c r="Z40" s="15">
        <f t="shared" ca="1" si="60"/>
        <v>0</v>
      </c>
      <c r="AA40" s="15">
        <f t="shared" ca="1" si="60"/>
        <v>0</v>
      </c>
      <c r="AB40" s="15">
        <f t="shared" ca="1" si="60"/>
        <v>0</v>
      </c>
      <c r="AC40" s="15">
        <f t="shared" ca="1" si="60"/>
        <v>0</v>
      </c>
      <c r="AD40" s="15">
        <f t="shared" ca="1" si="60"/>
        <v>0</v>
      </c>
      <c r="AE40" s="5"/>
      <c r="AG40" s="1" t="s">
        <v>116</v>
      </c>
      <c r="AH40" s="37">
        <f t="shared" ca="1" si="61"/>
        <v>0</v>
      </c>
      <c r="AI40" s="37">
        <f t="shared" ca="1" si="53"/>
        <v>0</v>
      </c>
      <c r="AJ40" s="37">
        <f t="shared" ca="1" si="54"/>
        <v>0</v>
      </c>
      <c r="AK40" s="37">
        <f t="shared" ca="1" si="54"/>
        <v>0</v>
      </c>
      <c r="AL40" s="37">
        <f t="shared" ca="1" si="54"/>
        <v>0</v>
      </c>
      <c r="AM40" s="37">
        <f t="shared" ca="1" si="54"/>
        <v>0</v>
      </c>
      <c r="AN40" s="37">
        <f t="shared" ca="1" si="54"/>
        <v>0</v>
      </c>
      <c r="AO40" s="37">
        <f t="shared" ca="1" si="54"/>
        <v>0</v>
      </c>
      <c r="AP40" s="37">
        <f t="shared" ca="1" si="54"/>
        <v>0</v>
      </c>
      <c r="AQ40" s="37">
        <f t="shared" ca="1" si="54"/>
        <v>0</v>
      </c>
      <c r="AR40" s="37">
        <f t="shared" ca="1" si="54"/>
        <v>0</v>
      </c>
      <c r="AS40" s="37">
        <f t="shared" ca="1" si="54"/>
        <v>0</v>
      </c>
      <c r="AT40" s="37">
        <f t="shared" ca="1" si="55"/>
        <v>0</v>
      </c>
      <c r="AU40" s="37">
        <f t="shared" ca="1" si="55"/>
        <v>0</v>
      </c>
      <c r="AV40" s="37">
        <f t="shared" ca="1" si="55"/>
        <v>0</v>
      </c>
      <c r="AW40" s="37">
        <f t="shared" ca="1" si="55"/>
        <v>0</v>
      </c>
      <c r="AX40" s="37">
        <f t="shared" ca="1" si="55"/>
        <v>0</v>
      </c>
      <c r="AY40" s="37">
        <f t="shared" ca="1" si="55"/>
        <v>0</v>
      </c>
      <c r="AZ40" s="37" t="e">
        <f t="shared" ca="1" si="55"/>
        <v>#N/A</v>
      </c>
      <c r="BA40" s="37" t="e">
        <f t="shared" ca="1" si="55"/>
        <v>#N/A</v>
      </c>
      <c r="BB40" s="37" t="e">
        <f t="shared" ca="1" si="55"/>
        <v>#N/A</v>
      </c>
    </row>
    <row r="41" spans="1:54" x14ac:dyDescent="0.25">
      <c r="C41" s="5">
        <f ca="1">SUM(C35:C40)</f>
        <v>1.90268E-2</v>
      </c>
      <c r="D41" s="5">
        <f ca="1">SUM(D35:D40)</f>
        <v>4.57165E-2</v>
      </c>
      <c r="E41" s="131"/>
      <c r="F41" s="132">
        <f ca="1">SUM(F35:F40)</f>
        <v>6.1730320000000005E-2</v>
      </c>
      <c r="G41" s="132"/>
      <c r="H41" s="132">
        <f ca="1">SUM(H35:H40)</f>
        <v>7.7744140000000017E-2</v>
      </c>
      <c r="I41" s="132"/>
      <c r="J41" s="132">
        <f ca="1">SUM(J35:J40)</f>
        <v>5.6392380000000006E-2</v>
      </c>
      <c r="K41" s="132">
        <f ca="1">SUM(K35:K40)</f>
        <v>6.1730320000000005E-2</v>
      </c>
      <c r="L41" s="5">
        <f t="shared" ref="L41:AD41" ca="1" si="63">SUM(L35:L40)</f>
        <v>6.7068260000000005E-2</v>
      </c>
      <c r="M41" s="5">
        <f t="shared" ca="1" si="63"/>
        <v>7.2406200000000004E-2</v>
      </c>
      <c r="N41" s="5">
        <f t="shared" ca="1" si="63"/>
        <v>7.7744140000000017E-2</v>
      </c>
      <c r="O41" s="5">
        <f t="shared" ca="1" si="63"/>
        <v>8.3082080000000003E-2</v>
      </c>
      <c r="P41" s="5">
        <f t="shared" ca="1" si="63"/>
        <v>8.8420020000000002E-2</v>
      </c>
      <c r="Q41" s="5">
        <f t="shared" ca="1" si="63"/>
        <v>9.3757960000000001E-2</v>
      </c>
      <c r="R41" s="5">
        <f t="shared" ca="1" si="63"/>
        <v>9.9095899999999987E-2</v>
      </c>
      <c r="S41" s="5">
        <f t="shared" ca="1" si="63"/>
        <v>0.10443384</v>
      </c>
      <c r="T41" s="5">
        <f t="shared" ca="1" si="63"/>
        <v>0.10977177999999999</v>
      </c>
      <c r="U41" s="5">
        <f t="shared" ca="1" si="63"/>
        <v>0.11510972</v>
      </c>
      <c r="V41" s="5">
        <f t="shared" ca="1" si="63"/>
        <v>0.12044766</v>
      </c>
      <c r="W41" s="5">
        <f t="shared" ca="1" si="63"/>
        <v>0.1257856</v>
      </c>
      <c r="X41" s="5">
        <f t="shared" ca="1" si="63"/>
        <v>0.13112353999999998</v>
      </c>
      <c r="Y41" s="5">
        <f t="shared" ca="1" si="63"/>
        <v>0.13646148</v>
      </c>
      <c r="Z41" s="5">
        <f t="shared" ca="1" si="63"/>
        <v>0.14179941999999998</v>
      </c>
      <c r="AA41" s="5">
        <f t="shared" ca="1" si="63"/>
        <v>0.14713735999999999</v>
      </c>
      <c r="AB41" s="5">
        <f t="shared" ca="1" si="63"/>
        <v>0.15247529999999998</v>
      </c>
      <c r="AC41" s="5">
        <f t="shared" ca="1" si="63"/>
        <v>0.15781323999999999</v>
      </c>
      <c r="AD41" s="5">
        <f t="shared" ca="1" si="63"/>
        <v>0.16315118000000001</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64">IF(K44=Yr_Start,"Start Year",IF(K44=Yr_End,"End Year",""))</f>
        <v>Start Year</v>
      </c>
      <c r="L43" s="205" t="str">
        <f t="shared" si="64"/>
        <v/>
      </c>
      <c r="M43" s="205" t="str">
        <f t="shared" si="64"/>
        <v/>
      </c>
      <c r="N43" s="205" t="str">
        <f t="shared" si="64"/>
        <v>End Year</v>
      </c>
      <c r="O43" s="205" t="str">
        <f t="shared" si="64"/>
        <v/>
      </c>
      <c r="P43" s="205" t="str">
        <f t="shared" si="64"/>
        <v/>
      </c>
      <c r="Q43" s="205" t="str">
        <f t="shared" si="64"/>
        <v/>
      </c>
      <c r="R43" s="205" t="str">
        <f t="shared" si="64"/>
        <v/>
      </c>
      <c r="S43" s="205" t="str">
        <f t="shared" si="64"/>
        <v/>
      </c>
      <c r="T43" s="205" t="str">
        <f t="shared" si="64"/>
        <v/>
      </c>
      <c r="U43" s="205" t="str">
        <f t="shared" si="64"/>
        <v/>
      </c>
      <c r="V43" s="205" t="str">
        <f t="shared" si="64"/>
        <v/>
      </c>
      <c r="W43" s="205" t="str">
        <f t="shared" si="64"/>
        <v/>
      </c>
      <c r="X43" s="205" t="str">
        <f t="shared" si="64"/>
        <v/>
      </c>
      <c r="Y43" s="205" t="str">
        <f t="shared" si="64"/>
        <v/>
      </c>
      <c r="Z43" s="205" t="str">
        <f t="shared" si="64"/>
        <v/>
      </c>
      <c r="AA43" s="205" t="str">
        <f t="shared" si="64"/>
        <v/>
      </c>
      <c r="AB43" s="205" t="str">
        <f t="shared" si="64"/>
        <v/>
      </c>
      <c r="AC43" s="205" t="str">
        <f t="shared" si="64"/>
        <v/>
      </c>
      <c r="AD43" s="205" t="str">
        <f t="shared" si="64"/>
        <v/>
      </c>
      <c r="AE43" s="35"/>
      <c r="AF43" s="6" t="str">
        <f>A43</f>
        <v>Other</v>
      </c>
      <c r="AI43" s="205" t="str">
        <f t="shared" ref="AI43:BB43" si="65">IF(AI44=Yr_Start,"Start Year",IF(AI44=Yr_End,"End Year",""))</f>
        <v>Start Year</v>
      </c>
      <c r="AJ43" s="205" t="str">
        <f t="shared" si="65"/>
        <v/>
      </c>
      <c r="AK43" s="205" t="str">
        <f t="shared" si="65"/>
        <v/>
      </c>
      <c r="AL43" s="205" t="str">
        <f t="shared" si="65"/>
        <v>End Year</v>
      </c>
      <c r="AM43" s="205" t="str">
        <f t="shared" si="65"/>
        <v/>
      </c>
      <c r="AN43" s="205" t="str">
        <f t="shared" si="65"/>
        <v/>
      </c>
      <c r="AO43" s="205" t="str">
        <f t="shared" si="65"/>
        <v/>
      </c>
      <c r="AP43" s="205" t="str">
        <f t="shared" si="65"/>
        <v/>
      </c>
      <c r="AQ43" s="205" t="str">
        <f t="shared" si="65"/>
        <v/>
      </c>
      <c r="AR43" s="205" t="str">
        <f t="shared" si="65"/>
        <v/>
      </c>
      <c r="AS43" s="205" t="str">
        <f t="shared" si="65"/>
        <v/>
      </c>
      <c r="AT43" s="205" t="str">
        <f t="shared" si="65"/>
        <v/>
      </c>
      <c r="AU43" s="205" t="str">
        <f t="shared" si="65"/>
        <v/>
      </c>
      <c r="AV43" s="205" t="str">
        <f t="shared" si="65"/>
        <v/>
      </c>
      <c r="AW43" s="205" t="str">
        <f t="shared" si="65"/>
        <v/>
      </c>
      <c r="AX43" s="205" t="str">
        <f t="shared" si="65"/>
        <v/>
      </c>
      <c r="AY43" s="205" t="str">
        <f t="shared" si="65"/>
        <v/>
      </c>
      <c r="AZ43" s="205" t="str">
        <f t="shared" si="65"/>
        <v/>
      </c>
      <c r="BA43" s="205" t="str">
        <f t="shared" si="65"/>
        <v/>
      </c>
      <c r="BB43" s="205" t="str">
        <f t="shared" si="65"/>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66">L44+1</f>
        <v>2021</v>
      </c>
      <c r="N44" s="130">
        <f t="shared" si="66"/>
        <v>2022</v>
      </c>
      <c r="O44" s="130">
        <f t="shared" si="66"/>
        <v>2023</v>
      </c>
      <c r="P44" s="130">
        <f t="shared" si="66"/>
        <v>2024</v>
      </c>
      <c r="Q44" s="130">
        <f t="shared" si="66"/>
        <v>2025</v>
      </c>
      <c r="R44" s="130">
        <f t="shared" si="66"/>
        <v>2026</v>
      </c>
      <c r="S44" s="130">
        <f t="shared" si="66"/>
        <v>2027</v>
      </c>
      <c r="T44" s="130">
        <f t="shared" si="66"/>
        <v>2028</v>
      </c>
      <c r="U44" s="130">
        <f t="shared" si="66"/>
        <v>2029</v>
      </c>
      <c r="V44" s="130">
        <f t="shared" si="66"/>
        <v>2030</v>
      </c>
      <c r="W44" s="130">
        <f t="shared" si="66"/>
        <v>2031</v>
      </c>
      <c r="X44" s="130">
        <f t="shared" si="66"/>
        <v>2032</v>
      </c>
      <c r="Y44" s="130">
        <f t="shared" si="66"/>
        <v>2033</v>
      </c>
      <c r="Z44" s="130">
        <f t="shared" si="66"/>
        <v>2034</v>
      </c>
      <c r="AA44" s="130">
        <f t="shared" si="66"/>
        <v>2035</v>
      </c>
      <c r="AB44" s="130">
        <f t="shared" si="66"/>
        <v>2036</v>
      </c>
      <c r="AC44" s="130">
        <f t="shared" si="66"/>
        <v>2037</v>
      </c>
      <c r="AD44" s="130">
        <f t="shared" si="66"/>
        <v>2038</v>
      </c>
      <c r="AE44" s="6"/>
      <c r="AF44" s="6" t="str">
        <f>A44</f>
        <v>Urban</v>
      </c>
      <c r="AG44" s="38"/>
      <c r="AH44" s="161">
        <f>AI44-1</f>
        <v>2018</v>
      </c>
      <c r="AI44" s="36">
        <f>Yr_Start</f>
        <v>2019</v>
      </c>
      <c r="AJ44" s="36">
        <f>AI44+1</f>
        <v>2020</v>
      </c>
      <c r="AK44" s="36">
        <f t="shared" ref="AK44:BB44" si="67">AJ44+1</f>
        <v>2021</v>
      </c>
      <c r="AL44" s="36">
        <f t="shared" si="67"/>
        <v>2022</v>
      </c>
      <c r="AM44" s="36">
        <f t="shared" si="67"/>
        <v>2023</v>
      </c>
      <c r="AN44" s="36">
        <f t="shared" si="67"/>
        <v>2024</v>
      </c>
      <c r="AO44" s="36">
        <f t="shared" si="67"/>
        <v>2025</v>
      </c>
      <c r="AP44" s="36">
        <f t="shared" si="67"/>
        <v>2026</v>
      </c>
      <c r="AQ44" s="36">
        <f t="shared" si="67"/>
        <v>2027</v>
      </c>
      <c r="AR44" s="36">
        <f t="shared" si="67"/>
        <v>2028</v>
      </c>
      <c r="AS44" s="36">
        <f t="shared" si="67"/>
        <v>2029</v>
      </c>
      <c r="AT44" s="36">
        <f t="shared" si="67"/>
        <v>2030</v>
      </c>
      <c r="AU44" s="36">
        <f t="shared" si="67"/>
        <v>2031</v>
      </c>
      <c r="AV44" s="36">
        <f t="shared" si="67"/>
        <v>2032</v>
      </c>
      <c r="AW44" s="36">
        <f t="shared" si="67"/>
        <v>2033</v>
      </c>
      <c r="AX44" s="36">
        <f t="shared" si="67"/>
        <v>2034</v>
      </c>
      <c r="AY44" s="36">
        <f t="shared" si="67"/>
        <v>2035</v>
      </c>
      <c r="AZ44" s="36">
        <f t="shared" si="67"/>
        <v>2036</v>
      </c>
      <c r="BA44" s="36">
        <f t="shared" si="67"/>
        <v>2037</v>
      </c>
      <c r="BB44" s="36">
        <f t="shared" si="67"/>
        <v>2038</v>
      </c>
    </row>
    <row r="45" spans="1:54" x14ac:dyDescent="0.25">
      <c r="B45" s="1" t="s">
        <v>52</v>
      </c>
      <c r="C45" s="14">
        <f ca="1">INDEX(Data_FP!$2:$1048576,MATCH(C$4&amp;$A$44&amp;$B45&amp;$A$1,Data_FP!$A$2:$A$1048576,0),MATCH($A$43,Data_FP!$2:$2,0))</f>
        <v>1.3792199999999999E-2</v>
      </c>
      <c r="D45" s="14">
        <f ca="1">INDEX(Data_FP!$2:$1048576,MATCH(D$4&amp;$A$44&amp;$B45&amp;$A$1,Data_FP!$A$2:$A$1048576,0),MATCH($A$43,Data_FP!$2:$2,0))</f>
        <v>4.5020699999999997E-2</v>
      </c>
      <c r="E45" s="14">
        <f ca="1">IF('User Settings'!$N$7="On",($D45-$C45)/($D$4-$C$4),0)</f>
        <v>6.2456999999999999E-3</v>
      </c>
      <c r="F45" s="14">
        <f ca="1">MAX(0,MIN(1,($D45+$E45*(F$4-$D$4))))</f>
        <v>6.3757800000000003E-2</v>
      </c>
      <c r="G45" s="14"/>
      <c r="H45" s="14">
        <f ca="1">MAX(0,MIN(1,($D45+$E45*(H$4-$D$4))*$H$1))</f>
        <v>8.2494899999999996E-2</v>
      </c>
      <c r="I45" s="14">
        <f ca="1">($H45-$F45)/($H$4-$F$4)</f>
        <v>6.2456999999999973E-3</v>
      </c>
      <c r="J45" s="14">
        <f ca="1">K45-E45</f>
        <v>5.7512100000000003E-2</v>
      </c>
      <c r="K45" s="14">
        <f ca="1">MAX(0,MIN(1,D45+(K$4-D$4)*E45))</f>
        <v>6.3757800000000003E-2</v>
      </c>
      <c r="L45" s="15">
        <f ca="1">MAX(0,MIN(1,K45+$I45))</f>
        <v>7.0003499999999996E-2</v>
      </c>
      <c r="M45" s="15">
        <f ca="1">MAX(0,MIN(1,L45+$I45))</f>
        <v>7.6249199999999989E-2</v>
      </c>
      <c r="N45" s="15">
        <f ca="1">MAX(0,MIN(1,M45+$I45))</f>
        <v>8.2494899999999982E-2</v>
      </c>
      <c r="O45" s="15">
        <f t="shared" ref="O45:AD45" ca="1" si="68">MAX(0,MIN(1,N45+$I45))</f>
        <v>8.8740599999999975E-2</v>
      </c>
      <c r="P45" s="15">
        <f t="shared" ca="1" si="68"/>
        <v>9.4986299999999968E-2</v>
      </c>
      <c r="Q45" s="15">
        <f t="shared" ca="1" si="68"/>
        <v>0.10123199999999996</v>
      </c>
      <c r="R45" s="15">
        <f t="shared" ca="1" si="68"/>
        <v>0.10747769999999995</v>
      </c>
      <c r="S45" s="15">
        <f t="shared" ca="1" si="68"/>
        <v>0.11372339999999995</v>
      </c>
      <c r="T45" s="15">
        <f t="shared" ca="1" si="68"/>
        <v>0.11996909999999994</v>
      </c>
      <c r="U45" s="15">
        <f t="shared" ca="1" si="68"/>
        <v>0.12621479999999993</v>
      </c>
      <c r="V45" s="15">
        <f t="shared" ca="1" si="68"/>
        <v>0.13246049999999993</v>
      </c>
      <c r="W45" s="15">
        <f t="shared" ca="1" si="68"/>
        <v>0.13870619999999992</v>
      </c>
      <c r="X45" s="15">
        <f t="shared" ca="1" si="68"/>
        <v>0.14495189999999991</v>
      </c>
      <c r="Y45" s="15">
        <f t="shared" ca="1" si="68"/>
        <v>0.1511975999999999</v>
      </c>
      <c r="Z45" s="15">
        <f t="shared" ca="1" si="68"/>
        <v>0.1574432999999999</v>
      </c>
      <c r="AA45" s="15">
        <f t="shared" ca="1" si="68"/>
        <v>0.16368899999999989</v>
      </c>
      <c r="AB45" s="15">
        <f t="shared" ca="1" si="68"/>
        <v>0.16993469999999988</v>
      </c>
      <c r="AC45" s="15">
        <f t="shared" ca="1" si="68"/>
        <v>0.17618039999999988</v>
      </c>
      <c r="AD45" s="15">
        <f t="shared" ca="1" si="68"/>
        <v>0.18242609999999987</v>
      </c>
      <c r="AE45" s="5"/>
      <c r="AG45" s="1" t="s">
        <v>52</v>
      </c>
      <c r="AH45" s="37">
        <f ca="1">J45*AH$51</f>
        <v>84320.195337433281</v>
      </c>
      <c r="AI45" s="37">
        <f t="shared" ref="AI45:AI50" ca="1" si="69">K45*AI$51</f>
        <v>97071.905762405368</v>
      </c>
      <c r="AJ45" s="37">
        <f t="shared" ref="AJ45:AS50" ca="1" si="70">L45*AJ$51</f>
        <v>110655.3957692908</v>
      </c>
      <c r="AK45" s="37">
        <f t="shared" ca="1" si="70"/>
        <v>124949.915224974</v>
      </c>
      <c r="AL45" s="37">
        <f t="shared" ca="1" si="70"/>
        <v>140143.87724262546</v>
      </c>
      <c r="AM45" s="37">
        <f t="shared" ca="1" si="70"/>
        <v>156258.61438993181</v>
      </c>
      <c r="AN45" s="37">
        <f t="shared" ca="1" si="70"/>
        <v>173307.56892302886</v>
      </c>
      <c r="AO45" s="37">
        <f t="shared" ca="1" si="70"/>
        <v>191310.19062679281</v>
      </c>
      <c r="AP45" s="37">
        <f t="shared" ca="1" si="70"/>
        <v>210151.57030131813</v>
      </c>
      <c r="AQ45" s="37">
        <f t="shared" ca="1" si="70"/>
        <v>230006.23754750143</v>
      </c>
      <c r="AR45" s="37">
        <f t="shared" ca="1" si="70"/>
        <v>250909.67949939569</v>
      </c>
      <c r="AS45" s="37">
        <f t="shared" ca="1" si="70"/>
        <v>272909.72502266022</v>
      </c>
      <c r="AT45" s="37">
        <f t="shared" ref="AT45:BB50" ca="1" si="71">V45*AT$51</f>
        <v>296047.93623121415</v>
      </c>
      <c r="AU45" s="37">
        <f t="shared" ca="1" si="71"/>
        <v>320172.31546262256</v>
      </c>
      <c r="AV45" s="37">
        <f t="shared" ca="1" si="71"/>
        <v>345509.04606112675</v>
      </c>
      <c r="AW45" s="37">
        <f t="shared" ca="1" si="71"/>
        <v>372074.72736131452</v>
      </c>
      <c r="AX45" s="37">
        <f t="shared" ca="1" si="71"/>
        <v>399879.2892082379</v>
      </c>
      <c r="AY45" s="37">
        <f t="shared" ca="1" si="71"/>
        <v>428937.42042709381</v>
      </c>
      <c r="AZ45" s="37" t="e">
        <f t="shared" ca="1" si="71"/>
        <v>#N/A</v>
      </c>
      <c r="BA45" s="37" t="e">
        <f t="shared" ca="1" si="71"/>
        <v>#N/A</v>
      </c>
      <c r="BB45" s="37" t="e">
        <f t="shared" ca="1" si="71"/>
        <v>#N/A</v>
      </c>
    </row>
    <row r="46" spans="1:54" x14ac:dyDescent="0.25">
      <c r="B46" s="1" t="s">
        <v>54</v>
      </c>
      <c r="C46" s="14">
        <f ca="1">INDEX(Data_FP!$2:$1048576,MATCH(C$4&amp;$A$44&amp;$B46&amp;$A$1,Data_FP!$A$2:$A$1048576,0),MATCH($A$43,Data_FP!$2:$2,0))</f>
        <v>0</v>
      </c>
      <c r="D46" s="14">
        <f ca="1">INDEX(Data_FP!$2:$1048576,MATCH(D$4&amp;$A$44&amp;$B46&amp;$A$1,Data_FP!$A$2:$A$1048576,0),MATCH($A$43,Data_FP!$2:$2,0))</f>
        <v>5.4086000000000004E-3</v>
      </c>
      <c r="E46" s="14">
        <f ca="1">IF('User Settings'!$N$7="On",($D46-$C46)/($D$4-$C$4),0)</f>
        <v>1.08172E-3</v>
      </c>
      <c r="F46" s="14">
        <f t="shared" ref="F46:F50" ca="1" si="72">MAX(0,MIN(1,($D46+$E46*(F$4-$D$4))))</f>
        <v>8.6537599999999999E-3</v>
      </c>
      <c r="G46" s="14"/>
      <c r="H46" s="14">
        <f t="shared" ref="H46:H50" ca="1" si="73">MAX(0,MIN(1,($D46+$E46*(H$4-$D$4))*$H$1))</f>
        <v>1.189892E-2</v>
      </c>
      <c r="I46" s="14">
        <f ca="1">($H46-$F46)/($H$4-$F$4)</f>
        <v>1.0817200000000002E-3</v>
      </c>
      <c r="J46" s="14">
        <f t="shared" ref="J46:J50" ca="1" si="74">K46-E46</f>
        <v>7.5720400000000004E-3</v>
      </c>
      <c r="K46" s="14">
        <f t="shared" ref="K46:K50" ca="1" si="75">MAX(0,MIN(1,D46+(K$4-D$4)*E46))</f>
        <v>8.6537599999999999E-3</v>
      </c>
      <c r="L46" s="15">
        <f t="shared" ref="L46:AD50" ca="1" si="76">MAX(0,MIN(1,K46+$I46))</f>
        <v>9.7354799999999995E-3</v>
      </c>
      <c r="M46" s="15">
        <f t="shared" ca="1" si="76"/>
        <v>1.0817199999999999E-2</v>
      </c>
      <c r="N46" s="15">
        <f t="shared" ca="1" si="76"/>
        <v>1.1898919999999999E-2</v>
      </c>
      <c r="O46" s="15">
        <f t="shared" ca="1" si="76"/>
        <v>1.2980639999999998E-2</v>
      </c>
      <c r="P46" s="15">
        <f t="shared" ca="1" si="76"/>
        <v>1.4062359999999998E-2</v>
      </c>
      <c r="Q46" s="15">
        <f t="shared" ca="1" si="76"/>
        <v>1.5144079999999997E-2</v>
      </c>
      <c r="R46" s="15">
        <f t="shared" ca="1" si="76"/>
        <v>1.6225799999999999E-2</v>
      </c>
      <c r="S46" s="15">
        <f t="shared" ca="1" si="76"/>
        <v>1.730752E-2</v>
      </c>
      <c r="T46" s="15">
        <f t="shared" ca="1" si="76"/>
        <v>1.8389240000000001E-2</v>
      </c>
      <c r="U46" s="15">
        <f t="shared" ca="1" si="76"/>
        <v>1.9470960000000002E-2</v>
      </c>
      <c r="V46" s="15">
        <f t="shared" ca="1" si="76"/>
        <v>2.0552680000000004E-2</v>
      </c>
      <c r="W46" s="15">
        <f t="shared" ca="1" si="76"/>
        <v>2.1634400000000005E-2</v>
      </c>
      <c r="X46" s="15">
        <f t="shared" ca="1" si="76"/>
        <v>2.2716120000000006E-2</v>
      </c>
      <c r="Y46" s="15">
        <f t="shared" ca="1" si="76"/>
        <v>2.3797840000000008E-2</v>
      </c>
      <c r="Z46" s="15">
        <f t="shared" ca="1" si="76"/>
        <v>2.4879560000000009E-2</v>
      </c>
      <c r="AA46" s="15">
        <f t="shared" ca="1" si="76"/>
        <v>2.596128000000001E-2</v>
      </c>
      <c r="AB46" s="15">
        <f t="shared" ca="1" si="76"/>
        <v>2.7043000000000011E-2</v>
      </c>
      <c r="AC46" s="15">
        <f t="shared" ca="1" si="76"/>
        <v>2.8124720000000013E-2</v>
      </c>
      <c r="AD46" s="15">
        <f t="shared" ca="1" si="76"/>
        <v>2.9206440000000014E-2</v>
      </c>
      <c r="AE46" s="5"/>
      <c r="AG46" s="1" t="s">
        <v>54</v>
      </c>
      <c r="AH46" s="37">
        <f t="shared" ref="AH46:AH50" ca="1" si="77">J46*AH$51</f>
        <v>11101.592393650351</v>
      </c>
      <c r="AI46" s="37">
        <f t="shared" ca="1" si="69"/>
        <v>13175.438537880431</v>
      </c>
      <c r="AJ46" s="37">
        <f t="shared" ca="1" si="70"/>
        <v>15388.99329896384</v>
      </c>
      <c r="AK46" s="37">
        <f t="shared" ca="1" si="70"/>
        <v>17726.195461350268</v>
      </c>
      <c r="AL46" s="37">
        <f t="shared" ca="1" si="70"/>
        <v>20214.107584830348</v>
      </c>
      <c r="AM46" s="37">
        <f t="shared" ca="1" si="70"/>
        <v>22856.920285579821</v>
      </c>
      <c r="AN46" s="37">
        <f t="shared" ca="1" si="70"/>
        <v>25657.52561075065</v>
      </c>
      <c r="AO46" s="37">
        <f t="shared" ca="1" si="70"/>
        <v>28619.575150815956</v>
      </c>
      <c r="AP46" s="37">
        <f t="shared" ca="1" si="70"/>
        <v>31726.370674057307</v>
      </c>
      <c r="AQ46" s="37">
        <f t="shared" ca="1" si="70"/>
        <v>35004.559804562065</v>
      </c>
      <c r="AR46" s="37">
        <f t="shared" ca="1" si="70"/>
        <v>38460.222796015558</v>
      </c>
      <c r="AS46" s="37">
        <f t="shared" ca="1" si="70"/>
        <v>42101.35688942358</v>
      </c>
      <c r="AT46" s="37">
        <f t="shared" ca="1" si="71"/>
        <v>45935.040997282624</v>
      </c>
      <c r="AU46" s="37">
        <f t="shared" ca="1" si="71"/>
        <v>49938.185471482648</v>
      </c>
      <c r="AV46" s="37">
        <f t="shared" ca="1" si="71"/>
        <v>54146.409611809773</v>
      </c>
      <c r="AW46" s="37">
        <f t="shared" ca="1" si="71"/>
        <v>58562.932412870265</v>
      </c>
      <c r="AX46" s="37">
        <f t="shared" ca="1" si="71"/>
        <v>63189.864342361449</v>
      </c>
      <c r="AY46" s="37">
        <f t="shared" ca="1" si="71"/>
        <v>68030.011022032719</v>
      </c>
      <c r="AZ46" s="37" t="e">
        <f t="shared" ca="1" si="71"/>
        <v>#N/A</v>
      </c>
      <c r="BA46" s="37" t="e">
        <f t="shared" ca="1" si="71"/>
        <v>#N/A</v>
      </c>
      <c r="BB46" s="37" t="e">
        <f t="shared" ca="1" si="71"/>
        <v>#N/A</v>
      </c>
    </row>
    <row r="47" spans="1:54" x14ac:dyDescent="0.25">
      <c r="B47" s="1" t="s">
        <v>170</v>
      </c>
      <c r="C47" s="14">
        <f ca="1">INDEX(Data_FP!$2:$1048576,MATCH(C$4&amp;$A$44&amp;$B47&amp;$A$1,Data_FP!$A$2:$A$1048576,0),MATCH($A$43,Data_FP!$2:$2,0))</f>
        <v>0</v>
      </c>
      <c r="D47" s="14">
        <f ca="1">INDEX(Data_FP!$2:$1048576,MATCH(D$4&amp;$A$44&amp;$B47&amp;$A$1,Data_FP!$A$2:$A$1048576,0),MATCH($A$43,Data_FP!$2:$2,0))</f>
        <v>1.4874000000000001E-3</v>
      </c>
      <c r="E47" s="14">
        <f ca="1">IF('User Settings'!$N$7="On",($D47-$C47)/($D$4-$C$4),0)</f>
        <v>2.9748000000000003E-4</v>
      </c>
      <c r="F47" s="14">
        <f t="shared" ca="1" si="72"/>
        <v>2.3798400000000003E-3</v>
      </c>
      <c r="G47" s="14"/>
      <c r="H47" s="14">
        <f t="shared" ca="1" si="73"/>
        <v>3.2722800000000002E-3</v>
      </c>
      <c r="I47" s="14">
        <f t="shared" ref="I47:I50" ca="1" si="78">($H47-$F47)/($H$4-$F$4)</f>
        <v>2.9747999999999998E-4</v>
      </c>
      <c r="J47" s="14">
        <f t="shared" ca="1" si="74"/>
        <v>2.0823600000000001E-3</v>
      </c>
      <c r="K47" s="14">
        <f t="shared" ca="1" si="75"/>
        <v>2.3798400000000003E-3</v>
      </c>
      <c r="L47" s="15">
        <f t="shared" ca="1" si="76"/>
        <v>2.6773200000000004E-3</v>
      </c>
      <c r="M47" s="15">
        <f t="shared" ca="1" si="76"/>
        <v>2.9748000000000005E-3</v>
      </c>
      <c r="N47" s="15">
        <f t="shared" ca="1" si="76"/>
        <v>3.2722800000000007E-3</v>
      </c>
      <c r="O47" s="15">
        <f t="shared" ca="1" si="76"/>
        <v>3.5697600000000008E-3</v>
      </c>
      <c r="P47" s="15">
        <f t="shared" ca="1" si="76"/>
        <v>3.867240000000001E-3</v>
      </c>
      <c r="Q47" s="15">
        <f t="shared" ca="1" si="76"/>
        <v>4.1647200000000011E-3</v>
      </c>
      <c r="R47" s="15">
        <f t="shared" ca="1" si="76"/>
        <v>4.4622000000000012E-3</v>
      </c>
      <c r="S47" s="15">
        <f t="shared" ca="1" si="76"/>
        <v>4.7596800000000014E-3</v>
      </c>
      <c r="T47" s="15">
        <f t="shared" ca="1" si="76"/>
        <v>5.0571600000000015E-3</v>
      </c>
      <c r="U47" s="15">
        <f t="shared" ca="1" si="76"/>
        <v>5.3546400000000017E-3</v>
      </c>
      <c r="V47" s="15">
        <f t="shared" ca="1" si="76"/>
        <v>5.6521200000000018E-3</v>
      </c>
      <c r="W47" s="15">
        <f t="shared" ca="1" si="76"/>
        <v>5.9496000000000019E-3</v>
      </c>
      <c r="X47" s="15">
        <f t="shared" ca="1" si="76"/>
        <v>6.2470800000000021E-3</v>
      </c>
      <c r="Y47" s="15">
        <f t="shared" ca="1" si="76"/>
        <v>6.5445600000000022E-3</v>
      </c>
      <c r="Z47" s="15">
        <f t="shared" ca="1" si="76"/>
        <v>6.8420400000000024E-3</v>
      </c>
      <c r="AA47" s="15">
        <f t="shared" ca="1" si="76"/>
        <v>7.1395200000000025E-3</v>
      </c>
      <c r="AB47" s="15">
        <f t="shared" ca="1" si="76"/>
        <v>7.4370000000000026E-3</v>
      </c>
      <c r="AC47" s="15">
        <f t="shared" ca="1" si="76"/>
        <v>7.7344800000000028E-3</v>
      </c>
      <c r="AD47" s="15">
        <f t="shared" ca="1" si="76"/>
        <v>8.0319600000000029E-3</v>
      </c>
      <c r="AE47" s="5"/>
      <c r="AG47" s="1" t="s">
        <v>170</v>
      </c>
      <c r="AH47" s="37">
        <f t="shared" ca="1" si="77"/>
        <v>3053.0097486069467</v>
      </c>
      <c r="AI47" s="37">
        <f t="shared" ca="1" si="69"/>
        <v>3623.3308584926517</v>
      </c>
      <c r="AJ47" s="37">
        <f t="shared" ca="1" si="70"/>
        <v>4232.0727420920057</v>
      </c>
      <c r="AK47" s="37">
        <f t="shared" ca="1" si="70"/>
        <v>4874.8184611937277</v>
      </c>
      <c r="AL47" s="37">
        <f t="shared" ca="1" si="70"/>
        <v>5559.0103948668175</v>
      </c>
      <c r="AM47" s="37">
        <f t="shared" ca="1" si="70"/>
        <v>6285.8009896778167</v>
      </c>
      <c r="AN47" s="37">
        <f t="shared" ca="1" si="70"/>
        <v>7055.9855773084591</v>
      </c>
      <c r="AO47" s="37">
        <f t="shared" ca="1" si="70"/>
        <v>7870.568368768937</v>
      </c>
      <c r="AP47" s="37">
        <f t="shared" ca="1" si="70"/>
        <v>8724.9572422794918</v>
      </c>
      <c r="AQ47" s="37">
        <f t="shared" ca="1" si="70"/>
        <v>9626.4804669056011</v>
      </c>
      <c r="AR47" s="37">
        <f t="shared" ca="1" si="70"/>
        <v>10576.810151757118</v>
      </c>
      <c r="AS47" s="37">
        <f t="shared" ca="1" si="70"/>
        <v>11578.145589862192</v>
      </c>
      <c r="AT47" s="37">
        <f t="shared" ca="1" si="71"/>
        <v>12632.433527966235</v>
      </c>
      <c r="AU47" s="37">
        <f t="shared" ca="1" si="71"/>
        <v>13733.324163421828</v>
      </c>
      <c r="AV47" s="37">
        <f t="shared" ca="1" si="71"/>
        <v>14890.613034168891</v>
      </c>
      <c r="AW47" s="37">
        <f t="shared" ca="1" si="71"/>
        <v>16105.185384554827</v>
      </c>
      <c r="AX47" s="37">
        <f t="shared" ca="1" si="71"/>
        <v>17377.621606853609</v>
      </c>
      <c r="AY47" s="37">
        <f t="shared" ca="1" si="71"/>
        <v>18708.693265201986</v>
      </c>
      <c r="AZ47" s="37" t="e">
        <f t="shared" ca="1" si="71"/>
        <v>#N/A</v>
      </c>
      <c r="BA47" s="37" t="e">
        <f t="shared" ca="1" si="71"/>
        <v>#N/A</v>
      </c>
      <c r="BB47" s="37" t="e">
        <f t="shared" ca="1" si="71"/>
        <v>#N/A</v>
      </c>
    </row>
    <row r="48" spans="1:54" x14ac:dyDescent="0.25">
      <c r="B48" s="1" t="s">
        <v>59</v>
      </c>
      <c r="C48" s="14">
        <f ca="1">INDEX(Data_FP!$2:$1048576,MATCH(C$4&amp;$A$44&amp;$B48&amp;$A$1,Data_FP!$A$2:$A$1048576,0),MATCH($A$43,Data_FP!$2:$2,0))</f>
        <v>2.7785000000000002E-3</v>
      </c>
      <c r="D48" s="14">
        <f ca="1">INDEX(Data_FP!$2:$1048576,MATCH(D$4&amp;$A$44&amp;$B48&amp;$A$1,Data_FP!$A$2:$A$1048576,0),MATCH($A$43,Data_FP!$2:$2,0))</f>
        <v>8.8821000000000004E-3</v>
      </c>
      <c r="E48" s="14">
        <f ca="1">IF('User Settings'!$N$7="On",($D48-$C48)/($D$4-$C$4),0)</f>
        <v>1.2207200000000002E-3</v>
      </c>
      <c r="F48" s="14">
        <f t="shared" ca="1" si="72"/>
        <v>1.2544260000000002E-2</v>
      </c>
      <c r="G48" s="14"/>
      <c r="H48" s="14">
        <f t="shared" ca="1" si="73"/>
        <v>1.6206420000000003E-2</v>
      </c>
      <c r="I48" s="14">
        <f t="shared" ca="1" si="78"/>
        <v>1.2207200000000004E-3</v>
      </c>
      <c r="J48" s="14">
        <f t="shared" ca="1" si="74"/>
        <v>1.1323540000000002E-2</v>
      </c>
      <c r="K48" s="14">
        <f t="shared" ca="1" si="75"/>
        <v>1.2544260000000002E-2</v>
      </c>
      <c r="L48" s="15">
        <f t="shared" ca="1" si="76"/>
        <v>1.3764980000000001E-2</v>
      </c>
      <c r="M48" s="15">
        <f t="shared" ca="1" si="76"/>
        <v>1.4985700000000001E-2</v>
      </c>
      <c r="N48" s="15">
        <f t="shared" ca="1" si="76"/>
        <v>1.6206420000000003E-2</v>
      </c>
      <c r="O48" s="15">
        <f t="shared" ca="1" si="76"/>
        <v>1.7427140000000004E-2</v>
      </c>
      <c r="P48" s="15">
        <f t="shared" ca="1" si="76"/>
        <v>1.8647860000000006E-2</v>
      </c>
      <c r="Q48" s="15">
        <f t="shared" ca="1" si="76"/>
        <v>1.9868580000000007E-2</v>
      </c>
      <c r="R48" s="15">
        <f t="shared" ca="1" si="76"/>
        <v>2.1089300000000009E-2</v>
      </c>
      <c r="S48" s="15">
        <f t="shared" ca="1" si="76"/>
        <v>2.231002000000001E-2</v>
      </c>
      <c r="T48" s="15">
        <f t="shared" ca="1" si="76"/>
        <v>2.3530740000000012E-2</v>
      </c>
      <c r="U48" s="15">
        <f t="shared" ca="1" si="76"/>
        <v>2.4751460000000013E-2</v>
      </c>
      <c r="V48" s="15">
        <f t="shared" ca="1" si="76"/>
        <v>2.5972180000000015E-2</v>
      </c>
      <c r="W48" s="15">
        <f t="shared" ca="1" si="76"/>
        <v>2.7192900000000016E-2</v>
      </c>
      <c r="X48" s="15">
        <f t="shared" ca="1" si="76"/>
        <v>2.8413620000000018E-2</v>
      </c>
      <c r="Y48" s="15">
        <f t="shared" ca="1" si="76"/>
        <v>2.9634340000000019E-2</v>
      </c>
      <c r="Z48" s="15">
        <f t="shared" ca="1" si="76"/>
        <v>3.0855060000000021E-2</v>
      </c>
      <c r="AA48" s="15">
        <f t="shared" ca="1" si="76"/>
        <v>3.2075780000000019E-2</v>
      </c>
      <c r="AB48" s="15">
        <f t="shared" ca="1" si="76"/>
        <v>3.3296500000000021E-2</v>
      </c>
      <c r="AC48" s="15">
        <f t="shared" ca="1" si="76"/>
        <v>3.4517220000000022E-2</v>
      </c>
      <c r="AD48" s="15">
        <f t="shared" ca="1" si="76"/>
        <v>3.5737940000000024E-2</v>
      </c>
      <c r="AE48" s="5"/>
      <c r="AG48" s="1" t="s">
        <v>59</v>
      </c>
      <c r="AH48" s="37">
        <f t="shared" ca="1" si="77"/>
        <v>16601.777794781261</v>
      </c>
      <c r="AI48" s="37">
        <f t="shared" ca="1" si="69"/>
        <v>19098.764771982584</v>
      </c>
      <c r="AJ48" s="37">
        <f t="shared" ca="1" si="70"/>
        <v>21758.473642837467</v>
      </c>
      <c r="AK48" s="37">
        <f t="shared" ca="1" si="70"/>
        <v>24557.135610431236</v>
      </c>
      <c r="AL48" s="37">
        <f t="shared" ca="1" si="70"/>
        <v>27531.769055086203</v>
      </c>
      <c r="AM48" s="37">
        <f t="shared" ca="1" si="70"/>
        <v>30686.526225643705</v>
      </c>
      <c r="AN48" s="37">
        <f t="shared" ca="1" si="70"/>
        <v>34024.014854952715</v>
      </c>
      <c r="AO48" s="37">
        <f t="shared" ca="1" si="70"/>
        <v>37548.026585305888</v>
      </c>
      <c r="AP48" s="37">
        <f t="shared" ca="1" si="70"/>
        <v>41235.991387567767</v>
      </c>
      <c r="AQ48" s="37">
        <f t="shared" ca="1" si="70"/>
        <v>45122.145132923499</v>
      </c>
      <c r="AR48" s="37">
        <f t="shared" ca="1" si="70"/>
        <v>49213.426055406067</v>
      </c>
      <c r="AS48" s="37">
        <f t="shared" ca="1" si="70"/>
        <v>53519.192222381054</v>
      </c>
      <c r="AT48" s="37">
        <f t="shared" ca="1" si="71"/>
        <v>58047.571075344153</v>
      </c>
      <c r="AU48" s="37">
        <f t="shared" ca="1" si="71"/>
        <v>62768.742544627123</v>
      </c>
      <c r="AV48" s="37">
        <f t="shared" ca="1" si="71"/>
        <v>67727.037323024837</v>
      </c>
      <c r="AW48" s="37">
        <f t="shared" ca="1" si="71"/>
        <v>72925.687815365527</v>
      </c>
      <c r="AX48" s="37">
        <f t="shared" ca="1" si="71"/>
        <v>78366.621261606866</v>
      </c>
      <c r="AY48" s="37">
        <f t="shared" ca="1" si="71"/>
        <v>84052.699517908855</v>
      </c>
      <c r="AZ48" s="37" t="e">
        <f t="shared" ca="1" si="71"/>
        <v>#N/A</v>
      </c>
      <c r="BA48" s="37" t="e">
        <f t="shared" ca="1" si="71"/>
        <v>#N/A</v>
      </c>
      <c r="BB48" s="37" t="e">
        <f t="shared" ca="1" si="71"/>
        <v>#N/A</v>
      </c>
    </row>
    <row r="49" spans="1:54" x14ac:dyDescent="0.25">
      <c r="B49" s="1" t="s">
        <v>171</v>
      </c>
      <c r="C49" s="14">
        <f ca="1">INDEX(Data_FP!$2:$1048576,MATCH(C$4&amp;$A$44&amp;$B49&amp;$A$1,Data_FP!$A$2:$A$1048576,0),MATCH($A$43,Data_FP!$2:$2,0))</f>
        <v>0</v>
      </c>
      <c r="D49" s="14">
        <f ca="1">INDEX(Data_FP!$2:$1048576,MATCH(D$4&amp;$A$44&amp;$B49&amp;$A$1,Data_FP!$A$2:$A$1048576,0),MATCH($A$43,Data_FP!$2:$2,0))</f>
        <v>0</v>
      </c>
      <c r="E49" s="14">
        <f ca="1">IF('User Settings'!$N$7="On",($D49-$C49)/($D$4-$C$4),0)</f>
        <v>0</v>
      </c>
      <c r="F49" s="14">
        <f t="shared" ca="1" si="72"/>
        <v>0</v>
      </c>
      <c r="G49" s="14"/>
      <c r="H49" s="14">
        <f t="shared" ca="1" si="73"/>
        <v>0</v>
      </c>
      <c r="I49" s="14">
        <f t="shared" ca="1" si="78"/>
        <v>0</v>
      </c>
      <c r="J49" s="14">
        <f t="shared" ca="1" si="74"/>
        <v>0</v>
      </c>
      <c r="K49" s="14">
        <f t="shared" ca="1" si="75"/>
        <v>0</v>
      </c>
      <c r="L49" s="15">
        <f t="shared" ca="1" si="76"/>
        <v>0</v>
      </c>
      <c r="M49" s="15">
        <f t="shared" ca="1" si="76"/>
        <v>0</v>
      </c>
      <c r="N49" s="15">
        <f t="shared" ca="1" si="76"/>
        <v>0</v>
      </c>
      <c r="O49" s="15">
        <f t="shared" ca="1" si="76"/>
        <v>0</v>
      </c>
      <c r="P49" s="15">
        <f t="shared" ca="1" si="76"/>
        <v>0</v>
      </c>
      <c r="Q49" s="15">
        <f t="shared" ca="1" si="76"/>
        <v>0</v>
      </c>
      <c r="R49" s="15">
        <f t="shared" ca="1" si="76"/>
        <v>0</v>
      </c>
      <c r="S49" s="15">
        <f t="shared" ca="1" si="76"/>
        <v>0</v>
      </c>
      <c r="T49" s="15">
        <f t="shared" ca="1" si="76"/>
        <v>0</v>
      </c>
      <c r="U49" s="15">
        <f t="shared" ca="1" si="76"/>
        <v>0</v>
      </c>
      <c r="V49" s="15">
        <f t="shared" ca="1" si="76"/>
        <v>0</v>
      </c>
      <c r="W49" s="15">
        <f t="shared" ca="1" si="76"/>
        <v>0</v>
      </c>
      <c r="X49" s="15">
        <f t="shared" ca="1" si="76"/>
        <v>0</v>
      </c>
      <c r="Y49" s="15">
        <f t="shared" ca="1" si="76"/>
        <v>0</v>
      </c>
      <c r="Z49" s="15">
        <f t="shared" ca="1" si="76"/>
        <v>0</v>
      </c>
      <c r="AA49" s="15">
        <f t="shared" ca="1" si="76"/>
        <v>0</v>
      </c>
      <c r="AB49" s="15">
        <f t="shared" ca="1" si="76"/>
        <v>0</v>
      </c>
      <c r="AC49" s="15">
        <f t="shared" ca="1" si="76"/>
        <v>0</v>
      </c>
      <c r="AD49" s="15">
        <f t="shared" ca="1" si="76"/>
        <v>0</v>
      </c>
      <c r="AE49" s="5"/>
      <c r="AG49" s="1" t="s">
        <v>171</v>
      </c>
      <c r="AH49" s="37">
        <f t="shared" ca="1" si="77"/>
        <v>0</v>
      </c>
      <c r="AI49" s="37">
        <f t="shared" ca="1" si="69"/>
        <v>0</v>
      </c>
      <c r="AJ49" s="37">
        <f t="shared" ca="1" si="70"/>
        <v>0</v>
      </c>
      <c r="AK49" s="37">
        <f t="shared" ca="1" si="70"/>
        <v>0</v>
      </c>
      <c r="AL49" s="37">
        <f t="shared" ca="1" si="70"/>
        <v>0</v>
      </c>
      <c r="AM49" s="37">
        <f t="shared" ca="1" si="70"/>
        <v>0</v>
      </c>
      <c r="AN49" s="37">
        <f t="shared" ca="1" si="70"/>
        <v>0</v>
      </c>
      <c r="AO49" s="37">
        <f t="shared" ca="1" si="70"/>
        <v>0</v>
      </c>
      <c r="AP49" s="37">
        <f t="shared" ca="1" si="70"/>
        <v>0</v>
      </c>
      <c r="AQ49" s="37">
        <f t="shared" ca="1" si="70"/>
        <v>0</v>
      </c>
      <c r="AR49" s="37">
        <f t="shared" ca="1" si="70"/>
        <v>0</v>
      </c>
      <c r="AS49" s="37">
        <f t="shared" ca="1" si="70"/>
        <v>0</v>
      </c>
      <c r="AT49" s="37">
        <f t="shared" ca="1" si="71"/>
        <v>0</v>
      </c>
      <c r="AU49" s="37">
        <f t="shared" ca="1" si="71"/>
        <v>0</v>
      </c>
      <c r="AV49" s="37">
        <f t="shared" ca="1" si="71"/>
        <v>0</v>
      </c>
      <c r="AW49" s="37">
        <f t="shared" ca="1" si="71"/>
        <v>0</v>
      </c>
      <c r="AX49" s="37">
        <f t="shared" ca="1" si="71"/>
        <v>0</v>
      </c>
      <c r="AY49" s="37">
        <f t="shared" ca="1" si="71"/>
        <v>0</v>
      </c>
      <c r="AZ49" s="37" t="e">
        <f t="shared" ca="1" si="71"/>
        <v>#N/A</v>
      </c>
      <c r="BA49" s="37" t="e">
        <f t="shared" ca="1" si="71"/>
        <v>#N/A</v>
      </c>
      <c r="BB49" s="37" t="e">
        <f t="shared" ca="1" si="71"/>
        <v>#N/A</v>
      </c>
    </row>
    <row r="50" spans="1:54" x14ac:dyDescent="0.25">
      <c r="B50" s="1" t="s">
        <v>116</v>
      </c>
      <c r="C50" s="14">
        <f ca="1">INDEX(Data_FP!$2:$1048576,MATCH(C$4&amp;$A$44&amp;$B50&amp;$A$1,Data_FP!$A$2:$A$1048576,0),MATCH($A$43,Data_FP!$2:$2,0))</f>
        <v>0</v>
      </c>
      <c r="D50" s="14">
        <f ca="1">INDEX(Data_FP!$2:$1048576,MATCH(D$4&amp;$A$44&amp;$B50&amp;$A$1,Data_FP!$A$2:$A$1048576,0),MATCH($A$43,Data_FP!$2:$2,0))</f>
        <v>3.9500000000000001E-4</v>
      </c>
      <c r="E50" s="14">
        <f ca="1">IF('User Settings'!$N$7="On",($D50-$C50)/($D$4-$C$4),0)</f>
        <v>7.8999999999999996E-5</v>
      </c>
      <c r="F50" s="14">
        <f t="shared" ca="1" si="72"/>
        <v>6.3199999999999997E-4</v>
      </c>
      <c r="G50" s="14"/>
      <c r="H50" s="14">
        <f t="shared" ca="1" si="73"/>
        <v>8.6899999999999998E-4</v>
      </c>
      <c r="I50" s="14">
        <f t="shared" ca="1" si="78"/>
        <v>7.9000000000000009E-5</v>
      </c>
      <c r="J50" s="14">
        <f t="shared" ca="1" si="74"/>
        <v>5.53E-4</v>
      </c>
      <c r="K50" s="14">
        <f t="shared" ca="1" si="75"/>
        <v>6.3199999999999997E-4</v>
      </c>
      <c r="L50" s="15">
        <f t="shared" ca="1" si="76"/>
        <v>7.1099999999999994E-4</v>
      </c>
      <c r="M50" s="15">
        <f t="shared" ca="1" si="76"/>
        <v>7.899999999999999E-4</v>
      </c>
      <c r="N50" s="15">
        <f t="shared" ca="1" si="76"/>
        <v>8.6899999999999987E-4</v>
      </c>
      <c r="O50" s="15">
        <f t="shared" ca="1" si="76"/>
        <v>9.4799999999999984E-4</v>
      </c>
      <c r="P50" s="15">
        <f t="shared" ca="1" si="76"/>
        <v>1.0269999999999999E-3</v>
      </c>
      <c r="Q50" s="15">
        <f t="shared" ca="1" si="76"/>
        <v>1.106E-3</v>
      </c>
      <c r="R50" s="15">
        <f t="shared" ca="1" si="76"/>
        <v>1.1850000000000001E-3</v>
      </c>
      <c r="S50" s="15">
        <f t="shared" ca="1" si="76"/>
        <v>1.2640000000000001E-3</v>
      </c>
      <c r="T50" s="15">
        <f t="shared" ca="1" si="76"/>
        <v>1.3430000000000002E-3</v>
      </c>
      <c r="U50" s="15">
        <f t="shared" ca="1" si="76"/>
        <v>1.4220000000000003E-3</v>
      </c>
      <c r="V50" s="15">
        <f t="shared" ca="1" si="76"/>
        <v>1.5010000000000004E-3</v>
      </c>
      <c r="W50" s="15">
        <f t="shared" ca="1" si="76"/>
        <v>1.5800000000000005E-3</v>
      </c>
      <c r="X50" s="15">
        <f t="shared" ca="1" si="76"/>
        <v>1.6590000000000005E-3</v>
      </c>
      <c r="Y50" s="15">
        <f t="shared" ca="1" si="76"/>
        <v>1.7380000000000006E-3</v>
      </c>
      <c r="Z50" s="15">
        <f t="shared" ca="1" si="76"/>
        <v>1.8170000000000007E-3</v>
      </c>
      <c r="AA50" s="15">
        <f t="shared" ca="1" si="76"/>
        <v>1.8960000000000008E-3</v>
      </c>
      <c r="AB50" s="15">
        <f t="shared" ca="1" si="76"/>
        <v>1.9750000000000006E-3</v>
      </c>
      <c r="AC50" s="15">
        <f t="shared" ca="1" si="76"/>
        <v>2.0540000000000007E-3</v>
      </c>
      <c r="AD50" s="15">
        <f t="shared" ca="1" si="76"/>
        <v>2.1330000000000008E-3</v>
      </c>
      <c r="AE50" s="5"/>
      <c r="AG50" s="1" t="s">
        <v>116</v>
      </c>
      <c r="AH50" s="37">
        <f t="shared" ca="1" si="77"/>
        <v>810.76969927372852</v>
      </c>
      <c r="AI50" s="37">
        <f t="shared" ca="1" si="69"/>
        <v>962.22649529689204</v>
      </c>
      <c r="AJ50" s="37">
        <f t="shared" ca="1" si="70"/>
        <v>1123.8864684189471</v>
      </c>
      <c r="AK50" s="37">
        <f t="shared" ca="1" si="70"/>
        <v>1294.5766385447907</v>
      </c>
      <c r="AL50" s="37">
        <f t="shared" ca="1" si="70"/>
        <v>1476.273434161888</v>
      </c>
      <c r="AM50" s="37">
        <f t="shared" ca="1" si="70"/>
        <v>1669.2829036726748</v>
      </c>
      <c r="AN50" s="37">
        <f t="shared" ca="1" si="70"/>
        <v>1873.8162585967732</v>
      </c>
      <c r="AO50" s="37">
        <f t="shared" ca="1" si="70"/>
        <v>2090.1401812987287</v>
      </c>
      <c r="AP50" s="37">
        <f t="shared" ca="1" si="70"/>
        <v>2317.0351692217278</v>
      </c>
      <c r="AQ50" s="37">
        <f t="shared" ca="1" si="70"/>
        <v>2556.4473473360977</v>
      </c>
      <c r="AR50" s="37">
        <f t="shared" ca="1" si="70"/>
        <v>2808.8207677450996</v>
      </c>
      <c r="AS50" s="37">
        <f t="shared" ca="1" si="70"/>
        <v>3074.7394836597855</v>
      </c>
      <c r="AT50" s="37">
        <f t="shared" ca="1" si="71"/>
        <v>3354.7204810721141</v>
      </c>
      <c r="AU50" s="37">
        <f t="shared" ca="1" si="71"/>
        <v>3647.0774805375972</v>
      </c>
      <c r="AV50" s="37">
        <f t="shared" ca="1" si="71"/>
        <v>3954.4118249944277</v>
      </c>
      <c r="AW50" s="37">
        <f t="shared" ca="1" si="71"/>
        <v>4276.9586035358052</v>
      </c>
      <c r="AX50" s="37">
        <f t="shared" ca="1" si="71"/>
        <v>4614.8719474970922</v>
      </c>
      <c r="AY50" s="37">
        <f t="shared" ca="1" si="71"/>
        <v>4968.3567565918947</v>
      </c>
      <c r="AZ50" s="37" t="e">
        <f t="shared" ca="1" si="71"/>
        <v>#N/A</v>
      </c>
      <c r="BA50" s="37" t="e">
        <f t="shared" ca="1" si="71"/>
        <v>#N/A</v>
      </c>
      <c r="BB50" s="37" t="e">
        <f t="shared" ca="1" si="71"/>
        <v>#N/A</v>
      </c>
    </row>
    <row r="51" spans="1:54" x14ac:dyDescent="0.25">
      <c r="C51" s="5">
        <f ca="1">SUM(C45:C50)</f>
        <v>1.6570700000000001E-2</v>
      </c>
      <c r="D51" s="5">
        <f ca="1">SUM(D45:D50)</f>
        <v>6.11938E-2</v>
      </c>
      <c r="F51" s="132">
        <f ca="1">SUM(F45:F50)</f>
        <v>8.7967659999999989E-2</v>
      </c>
      <c r="G51" s="132"/>
      <c r="H51" s="132">
        <f ca="1">SUM(H45:H50)</f>
        <v>0.11474151999999999</v>
      </c>
      <c r="I51" s="132"/>
      <c r="J51" s="132">
        <f ca="1">SUM(J45:J50)</f>
        <v>7.9043040000000009E-2</v>
      </c>
      <c r="K51" s="132">
        <f ca="1">SUM(K45:K50)</f>
        <v>8.7967659999999989E-2</v>
      </c>
      <c r="L51" s="5">
        <f t="shared" ref="L51:AD51" ca="1" si="79">SUM(L45:L50)</f>
        <v>9.6892279999999997E-2</v>
      </c>
      <c r="M51" s="5">
        <f t="shared" ca="1" si="79"/>
        <v>0.10581689999999999</v>
      </c>
      <c r="N51" s="5">
        <f t="shared" ca="1" si="79"/>
        <v>0.11474151999999997</v>
      </c>
      <c r="O51" s="5">
        <f t="shared" ca="1" si="79"/>
        <v>0.12366613999999999</v>
      </c>
      <c r="P51" s="5">
        <f t="shared" ca="1" si="79"/>
        <v>0.13259075999999997</v>
      </c>
      <c r="Q51" s="5">
        <f t="shared" ca="1" si="79"/>
        <v>0.14151537999999997</v>
      </c>
      <c r="R51" s="5">
        <f t="shared" ca="1" si="79"/>
        <v>0.15043999999999996</v>
      </c>
      <c r="S51" s="5">
        <f t="shared" ca="1" si="79"/>
        <v>0.15936461999999993</v>
      </c>
      <c r="T51" s="5">
        <f t="shared" ca="1" si="79"/>
        <v>0.16828923999999998</v>
      </c>
      <c r="U51" s="5">
        <f t="shared" ca="1" si="79"/>
        <v>0.17721385999999995</v>
      </c>
      <c r="V51" s="5">
        <f t="shared" ca="1" si="79"/>
        <v>0.18613847999999994</v>
      </c>
      <c r="W51" s="5">
        <f t="shared" ca="1" si="79"/>
        <v>0.19506309999999993</v>
      </c>
      <c r="X51" s="5">
        <f t="shared" ca="1" si="79"/>
        <v>0.20398771999999996</v>
      </c>
      <c r="Y51" s="5">
        <f t="shared" ca="1" si="79"/>
        <v>0.21291233999999992</v>
      </c>
      <c r="Z51" s="5">
        <f t="shared" ca="1" si="79"/>
        <v>0.22183695999999994</v>
      </c>
      <c r="AA51" s="5">
        <f t="shared" ca="1" si="79"/>
        <v>0.23076157999999994</v>
      </c>
      <c r="AB51" s="5">
        <f t="shared" ca="1" si="79"/>
        <v>0.2396861999999999</v>
      </c>
      <c r="AC51" s="5">
        <f t="shared" ca="1" si="79"/>
        <v>0.24861081999999993</v>
      </c>
      <c r="AD51" s="5">
        <f t="shared" ca="1" si="79"/>
        <v>0.25753543999999989</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80">IF(K54=Yr_Start,"Start Year",IF(K54=Yr_End,"End Year",""))</f>
        <v>Start Year</v>
      </c>
      <c r="L53" s="205" t="str">
        <f t="shared" si="80"/>
        <v/>
      </c>
      <c r="M53" s="205" t="str">
        <f t="shared" si="80"/>
        <v/>
      </c>
      <c r="N53" s="205" t="str">
        <f t="shared" si="80"/>
        <v>End Year</v>
      </c>
      <c r="O53" s="205" t="str">
        <f t="shared" si="80"/>
        <v/>
      </c>
      <c r="P53" s="205" t="str">
        <f t="shared" si="80"/>
        <v/>
      </c>
      <c r="Q53" s="205" t="str">
        <f t="shared" si="80"/>
        <v/>
      </c>
      <c r="R53" s="205" t="str">
        <f t="shared" si="80"/>
        <v/>
      </c>
      <c r="S53" s="205" t="str">
        <f t="shared" si="80"/>
        <v/>
      </c>
      <c r="T53" s="205" t="str">
        <f t="shared" si="80"/>
        <v/>
      </c>
      <c r="U53" s="205" t="str">
        <f t="shared" si="80"/>
        <v/>
      </c>
      <c r="V53" s="205" t="str">
        <f t="shared" si="80"/>
        <v/>
      </c>
      <c r="W53" s="205" t="str">
        <f t="shared" si="80"/>
        <v/>
      </c>
      <c r="X53" s="205" t="str">
        <f t="shared" si="80"/>
        <v/>
      </c>
      <c r="Y53" s="205" t="str">
        <f t="shared" si="80"/>
        <v/>
      </c>
      <c r="Z53" s="205" t="str">
        <f t="shared" si="80"/>
        <v/>
      </c>
      <c r="AA53" s="205" t="str">
        <f t="shared" si="80"/>
        <v/>
      </c>
      <c r="AB53" s="205" t="str">
        <f t="shared" si="80"/>
        <v/>
      </c>
      <c r="AC53" s="205" t="str">
        <f t="shared" si="80"/>
        <v/>
      </c>
      <c r="AD53" s="205" t="str">
        <f t="shared" si="80"/>
        <v/>
      </c>
      <c r="AE53" s="35"/>
      <c r="AF53" s="6" t="str">
        <f>A53</f>
        <v>Other</v>
      </c>
      <c r="AI53" s="205" t="str">
        <f t="shared" ref="AI53:BB53" si="81">IF(AI54=Yr_Start,"Start Year",IF(AI54=Yr_End,"End Year",""))</f>
        <v>Start Year</v>
      </c>
      <c r="AJ53" s="205" t="str">
        <f t="shared" si="81"/>
        <v/>
      </c>
      <c r="AK53" s="205" t="str">
        <f t="shared" si="81"/>
        <v/>
      </c>
      <c r="AL53" s="205" t="str">
        <f t="shared" si="81"/>
        <v>End Year</v>
      </c>
      <c r="AM53" s="205" t="str">
        <f t="shared" si="81"/>
        <v/>
      </c>
      <c r="AN53" s="205" t="str">
        <f t="shared" si="81"/>
        <v/>
      </c>
      <c r="AO53" s="205" t="str">
        <f t="shared" si="81"/>
        <v/>
      </c>
      <c r="AP53" s="205" t="str">
        <f t="shared" si="81"/>
        <v/>
      </c>
      <c r="AQ53" s="205" t="str">
        <f t="shared" si="81"/>
        <v/>
      </c>
      <c r="AR53" s="205" t="str">
        <f t="shared" si="81"/>
        <v/>
      </c>
      <c r="AS53" s="205" t="str">
        <f t="shared" si="81"/>
        <v/>
      </c>
      <c r="AT53" s="205" t="str">
        <f t="shared" si="81"/>
        <v/>
      </c>
      <c r="AU53" s="205" t="str">
        <f t="shared" si="81"/>
        <v/>
      </c>
      <c r="AV53" s="205" t="str">
        <f t="shared" si="81"/>
        <v/>
      </c>
      <c r="AW53" s="205" t="str">
        <f t="shared" si="81"/>
        <v/>
      </c>
      <c r="AX53" s="205" t="str">
        <f t="shared" si="81"/>
        <v/>
      </c>
      <c r="AY53" s="205" t="str">
        <f t="shared" si="81"/>
        <v/>
      </c>
      <c r="AZ53" s="205" t="str">
        <f t="shared" si="81"/>
        <v/>
      </c>
      <c r="BA53" s="205" t="str">
        <f t="shared" si="81"/>
        <v/>
      </c>
      <c r="BB53" s="205" t="str">
        <f t="shared" si="81"/>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82">L54+1</f>
        <v>2021</v>
      </c>
      <c r="N54" s="130">
        <f t="shared" si="82"/>
        <v>2022</v>
      </c>
      <c r="O54" s="130">
        <f t="shared" si="82"/>
        <v>2023</v>
      </c>
      <c r="P54" s="130">
        <f t="shared" si="82"/>
        <v>2024</v>
      </c>
      <c r="Q54" s="130">
        <f t="shared" si="82"/>
        <v>2025</v>
      </c>
      <c r="R54" s="130">
        <f t="shared" si="82"/>
        <v>2026</v>
      </c>
      <c r="S54" s="130">
        <f t="shared" si="82"/>
        <v>2027</v>
      </c>
      <c r="T54" s="130">
        <f t="shared" si="82"/>
        <v>2028</v>
      </c>
      <c r="U54" s="130">
        <f t="shared" si="82"/>
        <v>2029</v>
      </c>
      <c r="V54" s="130">
        <f t="shared" si="82"/>
        <v>2030</v>
      </c>
      <c r="W54" s="130">
        <f t="shared" si="82"/>
        <v>2031</v>
      </c>
      <c r="X54" s="130">
        <f t="shared" si="82"/>
        <v>2032</v>
      </c>
      <c r="Y54" s="130">
        <f t="shared" si="82"/>
        <v>2033</v>
      </c>
      <c r="Z54" s="130">
        <f t="shared" si="82"/>
        <v>2034</v>
      </c>
      <c r="AA54" s="130">
        <f t="shared" si="82"/>
        <v>2035</v>
      </c>
      <c r="AB54" s="130">
        <f t="shared" si="82"/>
        <v>2036</v>
      </c>
      <c r="AC54" s="130">
        <f t="shared" si="82"/>
        <v>2037</v>
      </c>
      <c r="AD54" s="130">
        <f t="shared" si="82"/>
        <v>2038</v>
      </c>
      <c r="AE54" s="6"/>
      <c r="AF54" s="6" t="str">
        <f>A54</f>
        <v>Rural</v>
      </c>
      <c r="AG54" s="38"/>
      <c r="AH54" s="161">
        <f>AI54-1</f>
        <v>2018</v>
      </c>
      <c r="AI54" s="36">
        <f>Yr_Start</f>
        <v>2019</v>
      </c>
      <c r="AJ54" s="36">
        <f>AI54+1</f>
        <v>2020</v>
      </c>
      <c r="AK54" s="36">
        <f t="shared" ref="AK54:BB54" si="83">AJ54+1</f>
        <v>2021</v>
      </c>
      <c r="AL54" s="36">
        <f t="shared" si="83"/>
        <v>2022</v>
      </c>
      <c r="AM54" s="36">
        <f t="shared" si="83"/>
        <v>2023</v>
      </c>
      <c r="AN54" s="36">
        <f t="shared" si="83"/>
        <v>2024</v>
      </c>
      <c r="AO54" s="36">
        <f t="shared" si="83"/>
        <v>2025</v>
      </c>
      <c r="AP54" s="36">
        <f t="shared" si="83"/>
        <v>2026</v>
      </c>
      <c r="AQ54" s="36">
        <f t="shared" si="83"/>
        <v>2027</v>
      </c>
      <c r="AR54" s="36">
        <f t="shared" si="83"/>
        <v>2028</v>
      </c>
      <c r="AS54" s="36">
        <f t="shared" si="83"/>
        <v>2029</v>
      </c>
      <c r="AT54" s="36">
        <f t="shared" si="83"/>
        <v>2030</v>
      </c>
      <c r="AU54" s="36">
        <f t="shared" si="83"/>
        <v>2031</v>
      </c>
      <c r="AV54" s="36">
        <f t="shared" si="83"/>
        <v>2032</v>
      </c>
      <c r="AW54" s="36">
        <f t="shared" si="83"/>
        <v>2033</v>
      </c>
      <c r="AX54" s="36">
        <f t="shared" si="83"/>
        <v>2034</v>
      </c>
      <c r="AY54" s="36">
        <f t="shared" si="83"/>
        <v>2035</v>
      </c>
      <c r="AZ54" s="36">
        <f t="shared" si="83"/>
        <v>2036</v>
      </c>
      <c r="BA54" s="36">
        <f t="shared" si="83"/>
        <v>2037</v>
      </c>
      <c r="BB54" s="36">
        <f t="shared" si="83"/>
        <v>2038</v>
      </c>
    </row>
    <row r="55" spans="1:54" x14ac:dyDescent="0.25">
      <c r="B55" s="1" t="s">
        <v>52</v>
      </c>
      <c r="C55" s="14">
        <f ca="1">INDEX(Data_FP!$2:$1048576,MATCH(C$4&amp;$A$54&amp;$B55&amp;$A$1,Data_FP!$A$2:$A$1048576,0),MATCH($A$53,Data_FP!$2:$2,0))</f>
        <v>1.6174999999999998E-2</v>
      </c>
      <c r="D55" s="14">
        <f ca="1">INDEX(Data_FP!$2:$1048576,MATCH(D$4&amp;$A$54&amp;$B55&amp;$A$1,Data_FP!$A$2:$A$1048576,0),MATCH($A$53,Data_FP!$2:$2,0))</f>
        <v>3.87763E-2</v>
      </c>
      <c r="E55" s="14">
        <f ca="1">IF('User Settings'!$N$7="On",($D55-$C55)/($D$4-$C$4),0)</f>
        <v>4.5202599999999999E-3</v>
      </c>
      <c r="F55" s="14">
        <f ca="1">MAX(0,MIN(1,($D55+$E55*(F$4-$D$4))))</f>
        <v>5.2337080000000001E-2</v>
      </c>
      <c r="G55" s="14"/>
      <c r="H55" s="14">
        <f ca="1">MAX(0,MIN(1,($D55+$E55*(H$4-$D$4))*$H$1))</f>
        <v>6.5897860000000003E-2</v>
      </c>
      <c r="I55" s="14">
        <f ca="1">($H55-$F55)/($H$4-$F$4)</f>
        <v>4.5202600000000008E-3</v>
      </c>
      <c r="J55" s="14">
        <f ca="1">K55-E55</f>
        <v>4.7816820000000003E-2</v>
      </c>
      <c r="K55" s="14">
        <f ca="1">MAX(0,MIN(1,D55+(K$4-D$4)*E55))</f>
        <v>5.2337080000000001E-2</v>
      </c>
      <c r="L55" s="15">
        <f ca="1">MAX(0,MIN(1,K55+$I55))</f>
        <v>5.6857339999999999E-2</v>
      </c>
      <c r="M55" s="15">
        <f t="shared" ref="M55:AD55" ca="1" si="84">MAX(0,MIN(1,L55+$I55))</f>
        <v>6.1377599999999997E-2</v>
      </c>
      <c r="N55" s="15">
        <f ca="1">MAX(0,MIN(1,M55+$I55))</f>
        <v>6.5897860000000003E-2</v>
      </c>
      <c r="O55" s="15">
        <f t="shared" ca="1" si="84"/>
        <v>7.0418120000000001E-2</v>
      </c>
      <c r="P55" s="15">
        <f t="shared" ca="1" si="84"/>
        <v>7.4938379999999999E-2</v>
      </c>
      <c r="Q55" s="15">
        <f t="shared" ca="1" si="84"/>
        <v>7.9458639999999997E-2</v>
      </c>
      <c r="R55" s="15">
        <f t="shared" ca="1" si="84"/>
        <v>8.3978899999999995E-2</v>
      </c>
      <c r="S55" s="15">
        <f t="shared" ca="1" si="84"/>
        <v>8.8499159999999993E-2</v>
      </c>
      <c r="T55" s="15">
        <f t="shared" ca="1" si="84"/>
        <v>9.3019419999999992E-2</v>
      </c>
      <c r="U55" s="15">
        <f t="shared" ca="1" si="84"/>
        <v>9.753967999999999E-2</v>
      </c>
      <c r="V55" s="15">
        <f t="shared" ca="1" si="84"/>
        <v>0.10205993999999999</v>
      </c>
      <c r="W55" s="15">
        <f t="shared" ca="1" si="84"/>
        <v>0.10658019999999999</v>
      </c>
      <c r="X55" s="15">
        <f t="shared" ca="1" si="84"/>
        <v>0.11110045999999998</v>
      </c>
      <c r="Y55" s="15">
        <f t="shared" ca="1" si="84"/>
        <v>0.11562071999999998</v>
      </c>
      <c r="Z55" s="15">
        <f t="shared" ca="1" si="84"/>
        <v>0.12014097999999998</v>
      </c>
      <c r="AA55" s="15">
        <f t="shared" ca="1" si="84"/>
        <v>0.12466123999999998</v>
      </c>
      <c r="AB55" s="15">
        <f t="shared" ca="1" si="84"/>
        <v>0.12918149999999998</v>
      </c>
      <c r="AC55" s="15">
        <f t="shared" ca="1" si="84"/>
        <v>0.13370175999999998</v>
      </c>
      <c r="AD55" s="15">
        <f t="shared" ca="1" si="84"/>
        <v>0.13822201999999997</v>
      </c>
      <c r="AE55" s="5"/>
      <c r="AG55" s="1" t="s">
        <v>52</v>
      </c>
      <c r="AH55" s="37">
        <f ca="1">J55*AH$61</f>
        <v>203375.645770237</v>
      </c>
      <c r="AI55" s="37">
        <f t="shared" ref="AI55:AI60" ca="1" si="85">K55*AI$61</f>
        <v>231161.55000723264</v>
      </c>
      <c r="AJ55" s="37">
        <f t="shared" ref="AJ55:AS60" ca="1" si="86">L55*AJ$61</f>
        <v>260726.54864588124</v>
      </c>
      <c r="AK55" s="37">
        <f t="shared" ca="1" si="86"/>
        <v>291780.62694025849</v>
      </c>
      <c r="AL55" s="37">
        <f t="shared" ca="1" si="86"/>
        <v>324761.25850278919</v>
      </c>
      <c r="AM55" s="37">
        <f t="shared" ca="1" si="86"/>
        <v>359709.50233489834</v>
      </c>
      <c r="AN55" s="37">
        <f t="shared" ca="1" si="86"/>
        <v>396649.33991103637</v>
      </c>
      <c r="AO55" s="37">
        <f t="shared" ca="1" si="86"/>
        <v>435619.4787528016</v>
      </c>
      <c r="AP55" s="37">
        <f t="shared" ca="1" si="86"/>
        <v>476354.56706413598</v>
      </c>
      <c r="AQ55" s="37">
        <f t="shared" ca="1" si="86"/>
        <v>519247.96510303207</v>
      </c>
      <c r="AR55" s="37">
        <f t="shared" ca="1" si="86"/>
        <v>564374.67599126371</v>
      </c>
      <c r="AS55" s="37">
        <f t="shared" ca="1" si="86"/>
        <v>611837.27368909738</v>
      </c>
      <c r="AT55" s="37">
        <f t="shared" ref="AT55:BB60" ca="1" si="87">V55*AT$61</f>
        <v>661723.9184299662</v>
      </c>
      <c r="AU55" s="37">
        <f t="shared" ca="1" si="87"/>
        <v>713691.14758837991</v>
      </c>
      <c r="AV55" s="37">
        <f t="shared" ca="1" si="87"/>
        <v>768240.57944586314</v>
      </c>
      <c r="AW55" s="37">
        <f t="shared" ca="1" si="87"/>
        <v>825404.47739887121</v>
      </c>
      <c r="AX55" s="37">
        <f t="shared" ca="1" si="87"/>
        <v>885200.75143741956</v>
      </c>
      <c r="AY55" s="37">
        <f t="shared" ca="1" si="87"/>
        <v>947658.27409748477</v>
      </c>
      <c r="AZ55" s="37" t="e">
        <f t="shared" ca="1" si="87"/>
        <v>#N/A</v>
      </c>
      <c r="BA55" s="37" t="e">
        <f t="shared" ca="1" si="87"/>
        <v>#N/A</v>
      </c>
      <c r="BB55" s="37" t="e">
        <f t="shared" ca="1" si="87"/>
        <v>#N/A</v>
      </c>
    </row>
    <row r="56" spans="1:54" x14ac:dyDescent="0.25">
      <c r="B56" s="1" t="s">
        <v>54</v>
      </c>
      <c r="C56" s="14">
        <f ca="1">INDEX(Data_FP!$2:$1048576,MATCH(C$4&amp;$A$54&amp;$B56&amp;$A$1,Data_FP!$A$2:$A$1048576,0),MATCH($A$53,Data_FP!$2:$2,0))</f>
        <v>7.8189999999999998E-4</v>
      </c>
      <c r="D56" s="14">
        <f ca="1">INDEX(Data_FP!$2:$1048576,MATCH(D$4&amp;$A$54&amp;$B56&amp;$A$1,Data_FP!$A$2:$A$1048576,0),MATCH($A$53,Data_FP!$2:$2,0))</f>
        <v>1.2178E-3</v>
      </c>
      <c r="E56" s="14">
        <f ca="1">IF('User Settings'!$N$7="On",($D56-$C56)/($D$4-$C$4),0)</f>
        <v>8.7180000000000002E-5</v>
      </c>
      <c r="F56" s="14">
        <f t="shared" ref="F56:F60" ca="1" si="88">MAX(0,MIN(1,($D56+$E56*(F$4-$D$4))))</f>
        <v>1.47934E-3</v>
      </c>
      <c r="G56" s="14"/>
      <c r="H56" s="14">
        <f t="shared" ref="H56:H60" ca="1" si="89">MAX(0,MIN(1,($D56+$E56*(H$4-$D$4))*$H$1))</f>
        <v>1.74088E-3</v>
      </c>
      <c r="I56" s="14">
        <f ca="1">($H56-$F56)/($H$4-$F$4)</f>
        <v>8.7180000000000002E-5</v>
      </c>
      <c r="J56" s="14">
        <f t="shared" ref="J56:J60" ca="1" si="90">K56-E56</f>
        <v>1.3921599999999999E-3</v>
      </c>
      <c r="K56" s="14">
        <f t="shared" ref="K56:K60" ca="1" si="91">MAX(0,MIN(1,D56+(K$4-D$4)*E56))</f>
        <v>1.47934E-3</v>
      </c>
      <c r="L56" s="15">
        <f t="shared" ref="L56:AD60" ca="1" si="92">MAX(0,MIN(1,K56+$I56))</f>
        <v>1.5665200000000001E-3</v>
      </c>
      <c r="M56" s="15">
        <f t="shared" ca="1" si="92"/>
        <v>1.6537000000000001E-3</v>
      </c>
      <c r="N56" s="15">
        <f t="shared" ca="1" si="92"/>
        <v>1.7408800000000002E-3</v>
      </c>
      <c r="O56" s="15">
        <f t="shared" ca="1" si="92"/>
        <v>1.8280600000000003E-3</v>
      </c>
      <c r="P56" s="15">
        <f t="shared" ca="1" si="92"/>
        <v>1.9152400000000003E-3</v>
      </c>
      <c r="Q56" s="15">
        <f t="shared" ca="1" si="92"/>
        <v>2.0024200000000004E-3</v>
      </c>
      <c r="R56" s="15">
        <f t="shared" ca="1" si="92"/>
        <v>2.0896000000000005E-3</v>
      </c>
      <c r="S56" s="15">
        <f t="shared" ca="1" si="92"/>
        <v>2.1767800000000006E-3</v>
      </c>
      <c r="T56" s="15">
        <f t="shared" ca="1" si="92"/>
        <v>2.2639600000000006E-3</v>
      </c>
      <c r="U56" s="15">
        <f t="shared" ca="1" si="92"/>
        <v>2.3511400000000007E-3</v>
      </c>
      <c r="V56" s="15">
        <f t="shared" ca="1" si="92"/>
        <v>2.4383200000000008E-3</v>
      </c>
      <c r="W56" s="15">
        <f t="shared" ca="1" si="92"/>
        <v>2.5255000000000008E-3</v>
      </c>
      <c r="X56" s="15">
        <f t="shared" ca="1" si="92"/>
        <v>2.6126800000000009E-3</v>
      </c>
      <c r="Y56" s="15">
        <f t="shared" ca="1" si="92"/>
        <v>2.699860000000001E-3</v>
      </c>
      <c r="Z56" s="15">
        <f t="shared" ca="1" si="92"/>
        <v>2.787040000000001E-3</v>
      </c>
      <c r="AA56" s="15">
        <f t="shared" ca="1" si="92"/>
        <v>2.8742200000000011E-3</v>
      </c>
      <c r="AB56" s="15">
        <f t="shared" ca="1" si="92"/>
        <v>2.9614000000000012E-3</v>
      </c>
      <c r="AC56" s="15">
        <f t="shared" ca="1" si="92"/>
        <v>3.0485800000000013E-3</v>
      </c>
      <c r="AD56" s="15">
        <f t="shared" ca="1" si="92"/>
        <v>3.1357600000000013E-3</v>
      </c>
      <c r="AE56" s="5"/>
      <c r="AG56" s="1" t="s">
        <v>54</v>
      </c>
      <c r="AH56" s="37">
        <f t="shared" ref="AH56:AH60" ca="1" si="93">J56*AH$61</f>
        <v>5921.1683046989137</v>
      </c>
      <c r="AI56" s="37">
        <f t="shared" ca="1" si="85"/>
        <v>6533.9244640262605</v>
      </c>
      <c r="AJ56" s="37">
        <f t="shared" ca="1" si="86"/>
        <v>7183.4762756179916</v>
      </c>
      <c r="AK56" s="37">
        <f t="shared" ca="1" si="86"/>
        <v>7861.4612296848609</v>
      </c>
      <c r="AL56" s="37">
        <f t="shared" ca="1" si="86"/>
        <v>8579.495293205815</v>
      </c>
      <c r="AM56" s="37">
        <f t="shared" ca="1" si="86"/>
        <v>9338.0873110264001</v>
      </c>
      <c r="AN56" s="37">
        <f t="shared" ca="1" si="86"/>
        <v>10137.377960014794</v>
      </c>
      <c r="AO56" s="37">
        <f t="shared" ca="1" si="86"/>
        <v>10977.952261002518</v>
      </c>
      <c r="AP56" s="37">
        <f t="shared" ca="1" si="86"/>
        <v>11852.864271111182</v>
      </c>
      <c r="AQ56" s="37">
        <f t="shared" ca="1" si="86"/>
        <v>12771.743658097754</v>
      </c>
      <c r="AR56" s="37">
        <f t="shared" ca="1" si="86"/>
        <v>13736.074590200433</v>
      </c>
      <c r="AS56" s="37">
        <f t="shared" ca="1" si="86"/>
        <v>14747.998841716366</v>
      </c>
      <c r="AT56" s="37">
        <f t="shared" ca="1" si="87"/>
        <v>15809.284865209169</v>
      </c>
      <c r="AU56" s="37">
        <f t="shared" ca="1" si="87"/>
        <v>16911.461915388172</v>
      </c>
      <c r="AV56" s="37">
        <f t="shared" ca="1" si="87"/>
        <v>18066.23300305524</v>
      </c>
      <c r="AW56" s="37">
        <f t="shared" ca="1" si="87"/>
        <v>19274.024001494869</v>
      </c>
      <c r="AX56" s="37">
        <f t="shared" ca="1" si="87"/>
        <v>20534.957366638322</v>
      </c>
      <c r="AY56" s="37">
        <f t="shared" ca="1" si="87"/>
        <v>21849.440648725093</v>
      </c>
      <c r="AZ56" s="37" t="e">
        <f t="shared" ca="1" si="87"/>
        <v>#N/A</v>
      </c>
      <c r="BA56" s="37" t="e">
        <f t="shared" ca="1" si="87"/>
        <v>#N/A</v>
      </c>
      <c r="BB56" s="37" t="e">
        <f t="shared" ca="1" si="87"/>
        <v>#N/A</v>
      </c>
    </row>
    <row r="57" spans="1:54" x14ac:dyDescent="0.25">
      <c r="B57" s="1" t="s">
        <v>170</v>
      </c>
      <c r="C57" s="14">
        <f ca="1">INDEX(Data_FP!$2:$1048576,MATCH(C$4&amp;$A$54&amp;$B57&amp;$A$1,Data_FP!$A$2:$A$1048576,0),MATCH($A$53,Data_FP!$2:$2,0))</f>
        <v>4.0939999999999998E-4</v>
      </c>
      <c r="D57" s="14">
        <f ca="1">INDEX(Data_FP!$2:$1048576,MATCH(D$4&amp;$A$54&amp;$B57&amp;$A$1,Data_FP!$A$2:$A$1048576,0),MATCH($A$53,Data_FP!$2:$2,0))</f>
        <v>4.461E-4</v>
      </c>
      <c r="E57" s="14">
        <f ca="1">IF('User Settings'!$N$7="On",($D57-$C57)/($D$4-$C$4),0)</f>
        <v>7.3400000000000051E-6</v>
      </c>
      <c r="F57" s="14">
        <f t="shared" ca="1" si="88"/>
        <v>4.6812000000000004E-4</v>
      </c>
      <c r="G57" s="14"/>
      <c r="H57" s="14">
        <f t="shared" ca="1" si="89"/>
        <v>4.9014000000000002E-4</v>
      </c>
      <c r="I57" s="14">
        <f t="shared" ref="I57:I60" ca="1" si="94">($H57-$F57)/($H$4-$F$4)</f>
        <v>7.3399999999999941E-6</v>
      </c>
      <c r="J57" s="14">
        <f t="shared" ca="1" si="90"/>
        <v>4.6078000000000004E-4</v>
      </c>
      <c r="K57" s="14">
        <f t="shared" ca="1" si="91"/>
        <v>4.6812000000000004E-4</v>
      </c>
      <c r="L57" s="15">
        <f t="shared" ca="1" si="92"/>
        <v>4.7546000000000003E-4</v>
      </c>
      <c r="M57" s="15">
        <f t="shared" ca="1" si="92"/>
        <v>4.8280000000000003E-4</v>
      </c>
      <c r="N57" s="15">
        <f t="shared" ca="1" si="92"/>
        <v>4.9014000000000002E-4</v>
      </c>
      <c r="O57" s="15">
        <f t="shared" ca="1" si="92"/>
        <v>4.9748000000000001E-4</v>
      </c>
      <c r="P57" s="15">
        <f t="shared" ca="1" si="92"/>
        <v>5.0482000000000001E-4</v>
      </c>
      <c r="Q57" s="15">
        <f t="shared" ca="1" si="92"/>
        <v>5.1216E-4</v>
      </c>
      <c r="R57" s="15">
        <f t="shared" ca="1" si="92"/>
        <v>5.195E-4</v>
      </c>
      <c r="S57" s="15">
        <f t="shared" ca="1" si="92"/>
        <v>5.2683999999999999E-4</v>
      </c>
      <c r="T57" s="15">
        <f t="shared" ca="1" si="92"/>
        <v>5.3417999999999998E-4</v>
      </c>
      <c r="U57" s="15">
        <f t="shared" ca="1" si="92"/>
        <v>5.4151999999999998E-4</v>
      </c>
      <c r="V57" s="15">
        <f t="shared" ca="1" si="92"/>
        <v>5.4885999999999997E-4</v>
      </c>
      <c r="W57" s="15">
        <f t="shared" ca="1" si="92"/>
        <v>5.5619999999999997E-4</v>
      </c>
      <c r="X57" s="15">
        <f t="shared" ca="1" si="92"/>
        <v>5.6353999999999996E-4</v>
      </c>
      <c r="Y57" s="15">
        <f t="shared" ca="1" si="92"/>
        <v>5.7087999999999996E-4</v>
      </c>
      <c r="Z57" s="15">
        <f t="shared" ca="1" si="92"/>
        <v>5.7821999999999995E-4</v>
      </c>
      <c r="AA57" s="15">
        <f t="shared" ca="1" si="92"/>
        <v>5.8555999999999994E-4</v>
      </c>
      <c r="AB57" s="15">
        <f t="shared" ca="1" si="92"/>
        <v>5.9289999999999994E-4</v>
      </c>
      <c r="AC57" s="15">
        <f t="shared" ca="1" si="92"/>
        <v>6.0023999999999993E-4</v>
      </c>
      <c r="AD57" s="15">
        <f t="shared" ca="1" si="92"/>
        <v>6.0757999999999993E-4</v>
      </c>
      <c r="AE57" s="5"/>
      <c r="AG57" s="1" t="s">
        <v>170</v>
      </c>
      <c r="AH57" s="37">
        <f t="shared" ca="1" si="93"/>
        <v>1959.8005483846439</v>
      </c>
      <c r="AI57" s="37">
        <f t="shared" ca="1" si="85"/>
        <v>2067.5846797220202</v>
      </c>
      <c r="AJ57" s="37">
        <f t="shared" ca="1" si="86"/>
        <v>2180.28217322813</v>
      </c>
      <c r="AK57" s="37">
        <f t="shared" ca="1" si="86"/>
        <v>2295.1644685806682</v>
      </c>
      <c r="AL57" s="37">
        <f t="shared" ca="1" si="86"/>
        <v>2415.5334216097017</v>
      </c>
      <c r="AM57" s="37">
        <f t="shared" ca="1" si="86"/>
        <v>2541.224946385465</v>
      </c>
      <c r="AN57" s="37">
        <f t="shared" ca="1" si="86"/>
        <v>2672.0155916619678</v>
      </c>
      <c r="AO57" s="37">
        <f t="shared" ca="1" si="86"/>
        <v>2807.836532792845</v>
      </c>
      <c r="AP57" s="37">
        <f t="shared" ca="1" si="86"/>
        <v>2946.766361429105</v>
      </c>
      <c r="AQ57" s="37">
        <f t="shared" ca="1" si="86"/>
        <v>3091.1095419988328</v>
      </c>
      <c r="AR57" s="37">
        <f t="shared" ca="1" si="86"/>
        <v>3241.0185359252218</v>
      </c>
      <c r="AS57" s="37">
        <f t="shared" ca="1" si="86"/>
        <v>3396.7931866100039</v>
      </c>
      <c r="AT57" s="37">
        <f t="shared" ca="1" si="87"/>
        <v>3558.6322103410139</v>
      </c>
      <c r="AU57" s="37">
        <f t="shared" ca="1" si="87"/>
        <v>3724.4724281682429</v>
      </c>
      <c r="AV57" s="37">
        <f t="shared" ca="1" si="87"/>
        <v>3896.7822108110236</v>
      </c>
      <c r="AW57" s="37">
        <f t="shared" ca="1" si="87"/>
        <v>4075.4538464858865</v>
      </c>
      <c r="AX57" s="37">
        <f t="shared" ca="1" si="87"/>
        <v>4260.3346376577319</v>
      </c>
      <c r="AY57" s="37">
        <f t="shared" ca="1" si="87"/>
        <v>4451.3497457631838</v>
      </c>
      <c r="AZ57" s="37" t="e">
        <f t="shared" ca="1" si="87"/>
        <v>#N/A</v>
      </c>
      <c r="BA57" s="37" t="e">
        <f t="shared" ca="1" si="87"/>
        <v>#N/A</v>
      </c>
      <c r="BB57" s="37" t="e">
        <f t="shared" ca="1" si="87"/>
        <v>#N/A</v>
      </c>
    </row>
    <row r="58" spans="1:54" x14ac:dyDescent="0.25">
      <c r="B58" s="1" t="s">
        <v>59</v>
      </c>
      <c r="C58" s="14">
        <f ca="1">INDEX(Data_FP!$2:$1048576,MATCH(C$4&amp;$A$54&amp;$B58&amp;$A$1,Data_FP!$A$2:$A$1048576,0),MATCH($A$53,Data_FP!$2:$2,0))</f>
        <v>1.8887000000000001E-3</v>
      </c>
      <c r="D58" s="14">
        <f ca="1">INDEX(Data_FP!$2:$1048576,MATCH(D$4&amp;$A$54&amp;$B58&amp;$A$1,Data_FP!$A$2:$A$1048576,0),MATCH($A$53,Data_FP!$2:$2,0))</f>
        <v>5.3004999999999997E-3</v>
      </c>
      <c r="E58" s="14">
        <f ca="1">IF('User Settings'!$N$7="On",($D58-$C58)/($D$4-$C$4),0)</f>
        <v>6.8235999999999991E-4</v>
      </c>
      <c r="F58" s="14">
        <f t="shared" ca="1" si="88"/>
        <v>7.3475799999999994E-3</v>
      </c>
      <c r="G58" s="14"/>
      <c r="H58" s="14">
        <f t="shared" ca="1" si="89"/>
        <v>9.3946599999999991E-3</v>
      </c>
      <c r="I58" s="14">
        <f t="shared" ca="1" si="94"/>
        <v>6.8235999999999991E-4</v>
      </c>
      <c r="J58" s="14">
        <f t="shared" ca="1" si="90"/>
        <v>6.6652199999999995E-3</v>
      </c>
      <c r="K58" s="14">
        <f t="shared" ca="1" si="91"/>
        <v>7.3475799999999994E-3</v>
      </c>
      <c r="L58" s="15">
        <f t="shared" ca="1" si="92"/>
        <v>8.0299399999999993E-3</v>
      </c>
      <c r="M58" s="15">
        <f t="shared" ca="1" si="92"/>
        <v>8.7122999999999992E-3</v>
      </c>
      <c r="N58" s="15">
        <f t="shared" ca="1" si="92"/>
        <v>9.3946599999999991E-3</v>
      </c>
      <c r="O58" s="15">
        <f t="shared" ca="1" si="92"/>
        <v>1.0077019999999999E-2</v>
      </c>
      <c r="P58" s="15">
        <f t="shared" ca="1" si="92"/>
        <v>1.0759379999999999E-2</v>
      </c>
      <c r="Q58" s="15">
        <f t="shared" ca="1" si="92"/>
        <v>1.1441739999999999E-2</v>
      </c>
      <c r="R58" s="15">
        <f t="shared" ca="1" si="92"/>
        <v>1.2124099999999999E-2</v>
      </c>
      <c r="S58" s="15">
        <f t="shared" ca="1" si="92"/>
        <v>1.2806459999999999E-2</v>
      </c>
      <c r="T58" s="15">
        <f t="shared" ca="1" si="92"/>
        <v>1.3488819999999999E-2</v>
      </c>
      <c r="U58" s="15">
        <f t="shared" ca="1" si="92"/>
        <v>1.4171179999999999E-2</v>
      </c>
      <c r="V58" s="15">
        <f t="shared" ca="1" si="92"/>
        <v>1.4853539999999998E-2</v>
      </c>
      <c r="W58" s="15">
        <f t="shared" ca="1" si="92"/>
        <v>1.5535899999999998E-2</v>
      </c>
      <c r="X58" s="15">
        <f t="shared" ca="1" si="92"/>
        <v>1.6218259999999998E-2</v>
      </c>
      <c r="Y58" s="15">
        <f t="shared" ca="1" si="92"/>
        <v>1.6900619999999998E-2</v>
      </c>
      <c r="Z58" s="15">
        <f t="shared" ca="1" si="92"/>
        <v>1.7582979999999998E-2</v>
      </c>
      <c r="AA58" s="15">
        <f t="shared" ca="1" si="92"/>
        <v>1.8265339999999998E-2</v>
      </c>
      <c r="AB58" s="15">
        <f t="shared" ca="1" si="92"/>
        <v>1.8947699999999998E-2</v>
      </c>
      <c r="AC58" s="15">
        <f t="shared" ca="1" si="92"/>
        <v>1.9630059999999998E-2</v>
      </c>
      <c r="AD58" s="15">
        <f t="shared" ca="1" si="92"/>
        <v>2.0312419999999998E-2</v>
      </c>
      <c r="AE58" s="5"/>
      <c r="AG58" s="1" t="s">
        <v>59</v>
      </c>
      <c r="AH58" s="37">
        <f t="shared" ca="1" si="93"/>
        <v>28348.673577638554</v>
      </c>
      <c r="AI58" s="37">
        <f t="shared" ca="1" si="85"/>
        <v>32452.669915901733</v>
      </c>
      <c r="AJ58" s="37">
        <f t="shared" ca="1" si="86"/>
        <v>36822.308993588289</v>
      </c>
      <c r="AK58" s="37">
        <f t="shared" ca="1" si="86"/>
        <v>41417.070007488299</v>
      </c>
      <c r="AL58" s="37">
        <f t="shared" ca="1" si="86"/>
        <v>46299.251672297294</v>
      </c>
      <c r="AM58" s="37">
        <f t="shared" ca="1" si="86"/>
        <v>51475.385159655169</v>
      </c>
      <c r="AN58" s="37">
        <f t="shared" ca="1" si="86"/>
        <v>56949.469348710314</v>
      </c>
      <c r="AO58" s="37">
        <f t="shared" ca="1" si="86"/>
        <v>62727.53743110982</v>
      </c>
      <c r="AP58" s="37">
        <f t="shared" ca="1" si="86"/>
        <v>68771.684393845251</v>
      </c>
      <c r="AQ58" s="37">
        <f t="shared" ca="1" si="86"/>
        <v>75138.886009464666</v>
      </c>
      <c r="AR58" s="37">
        <f t="shared" ca="1" si="86"/>
        <v>81840.420172523955</v>
      </c>
      <c r="AS58" s="37">
        <f t="shared" ca="1" si="86"/>
        <v>88891.578649401592</v>
      </c>
      <c r="AT58" s="37">
        <f t="shared" ca="1" si="87"/>
        <v>96305.589552142003</v>
      </c>
      <c r="AU58" s="37">
        <f t="shared" ca="1" si="87"/>
        <v>104032.77813156958</v>
      </c>
      <c r="AV58" s="37">
        <f t="shared" ca="1" si="87"/>
        <v>112146.47950155799</v>
      </c>
      <c r="AW58" s="37">
        <f t="shared" ca="1" si="87"/>
        <v>120651.79510054004</v>
      </c>
      <c r="AX58" s="37">
        <f t="shared" ca="1" si="87"/>
        <v>129551.69092601976</v>
      </c>
      <c r="AY58" s="37">
        <f t="shared" ca="1" si="87"/>
        <v>138850.7011498021</v>
      </c>
      <c r="AZ58" s="37" t="e">
        <f t="shared" ca="1" si="87"/>
        <v>#N/A</v>
      </c>
      <c r="BA58" s="37" t="e">
        <f t="shared" ca="1" si="87"/>
        <v>#N/A</v>
      </c>
      <c r="BB58" s="37" t="e">
        <f t="shared" ca="1" si="87"/>
        <v>#N/A</v>
      </c>
    </row>
    <row r="59" spans="1:54" x14ac:dyDescent="0.25">
      <c r="B59" s="1" t="s">
        <v>171</v>
      </c>
      <c r="C59" s="14">
        <f ca="1">INDEX(Data_FP!$2:$1048576,MATCH(C$4&amp;$A$54&amp;$B59&amp;$A$1,Data_FP!$A$2:$A$1048576,0),MATCH($A$53,Data_FP!$2:$2,0))</f>
        <v>0</v>
      </c>
      <c r="D59" s="14">
        <f ca="1">INDEX(Data_FP!$2:$1048576,MATCH(D$4&amp;$A$54&amp;$B59&amp;$A$1,Data_FP!$A$2:$A$1048576,0),MATCH($A$53,Data_FP!$2:$2,0))</f>
        <v>0</v>
      </c>
      <c r="E59" s="14">
        <f ca="1">IF('User Settings'!$N$7="On",($D59-$C59)/($D$4-$C$4),0)</f>
        <v>0</v>
      </c>
      <c r="F59" s="14">
        <f t="shared" ca="1" si="88"/>
        <v>0</v>
      </c>
      <c r="G59" s="14"/>
      <c r="H59" s="14">
        <f t="shared" ca="1" si="89"/>
        <v>0</v>
      </c>
      <c r="I59" s="14">
        <f t="shared" ca="1" si="94"/>
        <v>0</v>
      </c>
      <c r="J59" s="14">
        <f t="shared" ca="1" si="90"/>
        <v>0</v>
      </c>
      <c r="K59" s="14">
        <f t="shared" ca="1" si="91"/>
        <v>0</v>
      </c>
      <c r="L59" s="15">
        <f t="shared" ca="1" si="92"/>
        <v>0</v>
      </c>
      <c r="M59" s="15">
        <f t="shared" ca="1" si="92"/>
        <v>0</v>
      </c>
      <c r="N59" s="15">
        <f t="shared" ca="1" si="92"/>
        <v>0</v>
      </c>
      <c r="O59" s="15">
        <f t="shared" ca="1" si="92"/>
        <v>0</v>
      </c>
      <c r="P59" s="15">
        <f t="shared" ca="1" si="92"/>
        <v>0</v>
      </c>
      <c r="Q59" s="15">
        <f t="shared" ca="1" si="92"/>
        <v>0</v>
      </c>
      <c r="R59" s="15">
        <f t="shared" ca="1" si="92"/>
        <v>0</v>
      </c>
      <c r="S59" s="15">
        <f t="shared" ca="1" si="92"/>
        <v>0</v>
      </c>
      <c r="T59" s="15">
        <f t="shared" ca="1" si="92"/>
        <v>0</v>
      </c>
      <c r="U59" s="15">
        <f t="shared" ca="1" si="92"/>
        <v>0</v>
      </c>
      <c r="V59" s="15">
        <f t="shared" ca="1" si="92"/>
        <v>0</v>
      </c>
      <c r="W59" s="15">
        <f t="shared" ca="1" si="92"/>
        <v>0</v>
      </c>
      <c r="X59" s="15">
        <f t="shared" ca="1" si="92"/>
        <v>0</v>
      </c>
      <c r="Y59" s="15">
        <f t="shared" ca="1" si="92"/>
        <v>0</v>
      </c>
      <c r="Z59" s="15">
        <f t="shared" ca="1" si="92"/>
        <v>0</v>
      </c>
      <c r="AA59" s="15">
        <f t="shared" ca="1" si="92"/>
        <v>0</v>
      </c>
      <c r="AB59" s="15">
        <f t="shared" ca="1" si="92"/>
        <v>0</v>
      </c>
      <c r="AC59" s="15">
        <f t="shared" ca="1" si="92"/>
        <v>0</v>
      </c>
      <c r="AD59" s="15">
        <f t="shared" ca="1" si="92"/>
        <v>0</v>
      </c>
      <c r="AE59" s="5"/>
      <c r="AG59" s="1" t="s">
        <v>171</v>
      </c>
      <c r="AH59" s="37">
        <f t="shared" ca="1" si="93"/>
        <v>0</v>
      </c>
      <c r="AI59" s="37">
        <f t="shared" ca="1" si="85"/>
        <v>0</v>
      </c>
      <c r="AJ59" s="37">
        <f t="shared" ca="1" si="86"/>
        <v>0</v>
      </c>
      <c r="AK59" s="37">
        <f t="shared" ca="1" si="86"/>
        <v>0</v>
      </c>
      <c r="AL59" s="37">
        <f t="shared" ca="1" si="86"/>
        <v>0</v>
      </c>
      <c r="AM59" s="37">
        <f t="shared" ca="1" si="86"/>
        <v>0</v>
      </c>
      <c r="AN59" s="37">
        <f t="shared" ca="1" si="86"/>
        <v>0</v>
      </c>
      <c r="AO59" s="37">
        <f t="shared" ca="1" si="86"/>
        <v>0</v>
      </c>
      <c r="AP59" s="37">
        <f t="shared" ca="1" si="86"/>
        <v>0</v>
      </c>
      <c r="AQ59" s="37">
        <f t="shared" ca="1" si="86"/>
        <v>0</v>
      </c>
      <c r="AR59" s="37">
        <f t="shared" ca="1" si="86"/>
        <v>0</v>
      </c>
      <c r="AS59" s="37">
        <f t="shared" ca="1" si="86"/>
        <v>0</v>
      </c>
      <c r="AT59" s="37">
        <f t="shared" ca="1" si="87"/>
        <v>0</v>
      </c>
      <c r="AU59" s="37">
        <f t="shared" ca="1" si="87"/>
        <v>0</v>
      </c>
      <c r="AV59" s="37">
        <f t="shared" ca="1" si="87"/>
        <v>0</v>
      </c>
      <c r="AW59" s="37">
        <f t="shared" ca="1" si="87"/>
        <v>0</v>
      </c>
      <c r="AX59" s="37">
        <f t="shared" ca="1" si="87"/>
        <v>0</v>
      </c>
      <c r="AY59" s="37">
        <f t="shared" ca="1" si="87"/>
        <v>0</v>
      </c>
      <c r="AZ59" s="37" t="e">
        <f t="shared" ca="1" si="87"/>
        <v>#N/A</v>
      </c>
      <c r="BA59" s="37" t="e">
        <f t="shared" ca="1" si="87"/>
        <v>#N/A</v>
      </c>
      <c r="BB59" s="37" t="e">
        <f t="shared" ca="1" si="87"/>
        <v>#N/A</v>
      </c>
    </row>
    <row r="60" spans="1:54" x14ac:dyDescent="0.25">
      <c r="B60" s="1" t="s">
        <v>116</v>
      </c>
      <c r="C60" s="14">
        <f ca="1">INDEX(Data_FP!$2:$1048576,MATCH(C$4&amp;$A$54&amp;$B60&amp;$A$1,Data_FP!$A$2:$A$1048576,0),MATCH($A$53,Data_FP!$2:$2,0))</f>
        <v>0</v>
      </c>
      <c r="D60" s="14">
        <f ca="1">INDEX(Data_FP!$2:$1048576,MATCH(D$4&amp;$A$54&amp;$B60&amp;$A$1,Data_FP!$A$2:$A$1048576,0),MATCH($A$53,Data_FP!$2:$2,0))</f>
        <v>0</v>
      </c>
      <c r="E60" s="14">
        <f ca="1">IF('User Settings'!$N$7="On",($D60-$C60)/($D$4-$C$4),0)</f>
        <v>0</v>
      </c>
      <c r="F60" s="14">
        <f t="shared" ca="1" si="88"/>
        <v>0</v>
      </c>
      <c r="G60" s="14"/>
      <c r="H60" s="14">
        <f t="shared" ca="1" si="89"/>
        <v>0</v>
      </c>
      <c r="I60" s="14">
        <f t="shared" ca="1" si="94"/>
        <v>0</v>
      </c>
      <c r="J60" s="14">
        <f t="shared" ca="1" si="90"/>
        <v>0</v>
      </c>
      <c r="K60" s="14">
        <f t="shared" ca="1" si="91"/>
        <v>0</v>
      </c>
      <c r="L60" s="15">
        <f t="shared" ca="1" si="92"/>
        <v>0</v>
      </c>
      <c r="M60" s="15">
        <f t="shared" ca="1" si="92"/>
        <v>0</v>
      </c>
      <c r="N60" s="15">
        <f t="shared" ca="1" si="92"/>
        <v>0</v>
      </c>
      <c r="O60" s="15">
        <f t="shared" ca="1" si="92"/>
        <v>0</v>
      </c>
      <c r="P60" s="15">
        <f t="shared" ca="1" si="92"/>
        <v>0</v>
      </c>
      <c r="Q60" s="15">
        <f t="shared" ca="1" si="92"/>
        <v>0</v>
      </c>
      <c r="R60" s="15">
        <f t="shared" ca="1" si="92"/>
        <v>0</v>
      </c>
      <c r="S60" s="15">
        <f t="shared" ca="1" si="92"/>
        <v>0</v>
      </c>
      <c r="T60" s="15">
        <f t="shared" ca="1" si="92"/>
        <v>0</v>
      </c>
      <c r="U60" s="15">
        <f t="shared" ca="1" si="92"/>
        <v>0</v>
      </c>
      <c r="V60" s="15">
        <f t="shared" ca="1" si="92"/>
        <v>0</v>
      </c>
      <c r="W60" s="15">
        <f t="shared" ca="1" si="92"/>
        <v>0</v>
      </c>
      <c r="X60" s="15">
        <f t="shared" ca="1" si="92"/>
        <v>0</v>
      </c>
      <c r="Y60" s="15">
        <f t="shared" ca="1" si="92"/>
        <v>0</v>
      </c>
      <c r="Z60" s="15">
        <f t="shared" ca="1" si="92"/>
        <v>0</v>
      </c>
      <c r="AA60" s="15">
        <f t="shared" ca="1" si="92"/>
        <v>0</v>
      </c>
      <c r="AB60" s="15">
        <f t="shared" ca="1" si="92"/>
        <v>0</v>
      </c>
      <c r="AC60" s="15">
        <f t="shared" ca="1" si="92"/>
        <v>0</v>
      </c>
      <c r="AD60" s="15">
        <f t="shared" ca="1" si="92"/>
        <v>0</v>
      </c>
      <c r="AE60" s="5"/>
      <c r="AG60" s="1" t="s">
        <v>116</v>
      </c>
      <c r="AH60" s="37">
        <f t="shared" ca="1" si="93"/>
        <v>0</v>
      </c>
      <c r="AI60" s="37">
        <f t="shared" ca="1" si="85"/>
        <v>0</v>
      </c>
      <c r="AJ60" s="37">
        <f t="shared" ca="1" si="86"/>
        <v>0</v>
      </c>
      <c r="AK60" s="37">
        <f t="shared" ca="1" si="86"/>
        <v>0</v>
      </c>
      <c r="AL60" s="37">
        <f t="shared" ca="1" si="86"/>
        <v>0</v>
      </c>
      <c r="AM60" s="37">
        <f t="shared" ca="1" si="86"/>
        <v>0</v>
      </c>
      <c r="AN60" s="37">
        <f t="shared" ca="1" si="86"/>
        <v>0</v>
      </c>
      <c r="AO60" s="37">
        <f t="shared" ca="1" si="86"/>
        <v>0</v>
      </c>
      <c r="AP60" s="37">
        <f t="shared" ca="1" si="86"/>
        <v>0</v>
      </c>
      <c r="AQ60" s="37">
        <f t="shared" ca="1" si="86"/>
        <v>0</v>
      </c>
      <c r="AR60" s="37">
        <f t="shared" ca="1" si="86"/>
        <v>0</v>
      </c>
      <c r="AS60" s="37">
        <f t="shared" ca="1" si="86"/>
        <v>0</v>
      </c>
      <c r="AT60" s="37">
        <f t="shared" ca="1" si="87"/>
        <v>0</v>
      </c>
      <c r="AU60" s="37">
        <f t="shared" ca="1" si="87"/>
        <v>0</v>
      </c>
      <c r="AV60" s="37">
        <f t="shared" ca="1" si="87"/>
        <v>0</v>
      </c>
      <c r="AW60" s="37">
        <f t="shared" ca="1" si="87"/>
        <v>0</v>
      </c>
      <c r="AX60" s="37">
        <f t="shared" ca="1" si="87"/>
        <v>0</v>
      </c>
      <c r="AY60" s="37">
        <f t="shared" ca="1" si="87"/>
        <v>0</v>
      </c>
      <c r="AZ60" s="37" t="e">
        <f t="shared" ca="1" si="87"/>
        <v>#N/A</v>
      </c>
      <c r="BA60" s="37" t="e">
        <f t="shared" ca="1" si="87"/>
        <v>#N/A</v>
      </c>
      <c r="BB60" s="37" t="e">
        <f t="shared" ca="1" si="87"/>
        <v>#N/A</v>
      </c>
    </row>
    <row r="61" spans="1:54" x14ac:dyDescent="0.25">
      <c r="C61" s="5">
        <f ca="1">SUM(C55:C60)</f>
        <v>1.9254999999999998E-2</v>
      </c>
      <c r="D61" s="5">
        <f ca="1">SUM(D55:D60)</f>
        <v>4.5740699999999995E-2</v>
      </c>
      <c r="F61" s="132">
        <f ca="1">SUM(F55:F60)</f>
        <v>6.1632120000000006E-2</v>
      </c>
      <c r="G61" s="132"/>
      <c r="H61" s="132">
        <f ca="1">SUM(H55:H60)</f>
        <v>7.7523540000000002E-2</v>
      </c>
      <c r="I61" s="132"/>
      <c r="J61" s="132">
        <f ca="1">SUM(J55:J60)</f>
        <v>5.633498E-2</v>
      </c>
      <c r="K61" s="132">
        <f ca="1">SUM(K55:K60)</f>
        <v>6.1632120000000006E-2</v>
      </c>
      <c r="L61" s="5">
        <f t="shared" ref="L61:AD61" ca="1" si="95">SUM(L55:L60)</f>
        <v>6.692925999999999E-2</v>
      </c>
      <c r="M61" s="5">
        <f t="shared" ca="1" si="95"/>
        <v>7.2226399999999996E-2</v>
      </c>
      <c r="N61" s="5">
        <f t="shared" ca="1" si="95"/>
        <v>7.7523540000000002E-2</v>
      </c>
      <c r="O61" s="5">
        <f t="shared" ca="1" si="95"/>
        <v>8.2820680000000008E-2</v>
      </c>
      <c r="P61" s="5">
        <f t="shared" ca="1" si="95"/>
        <v>8.8117819999999999E-2</v>
      </c>
      <c r="Q61" s="5">
        <f t="shared" ca="1" si="95"/>
        <v>9.3414959999999991E-2</v>
      </c>
      <c r="R61" s="5">
        <f t="shared" ca="1" si="95"/>
        <v>9.8712099999999997E-2</v>
      </c>
      <c r="S61" s="5">
        <f t="shared" ca="1" si="95"/>
        <v>0.10400924</v>
      </c>
      <c r="T61" s="5">
        <f t="shared" ca="1" si="95"/>
        <v>0.10930637999999998</v>
      </c>
      <c r="U61" s="5">
        <f t="shared" ca="1" si="95"/>
        <v>0.11460351999999999</v>
      </c>
      <c r="V61" s="5">
        <f t="shared" ca="1" si="95"/>
        <v>0.11990065999999998</v>
      </c>
      <c r="W61" s="5">
        <f t="shared" ca="1" si="95"/>
        <v>0.1251978</v>
      </c>
      <c r="X61" s="5">
        <f t="shared" ca="1" si="95"/>
        <v>0.13049494</v>
      </c>
      <c r="Y61" s="5">
        <f t="shared" ca="1" si="95"/>
        <v>0.13579207999999998</v>
      </c>
      <c r="Z61" s="5">
        <f t="shared" ca="1" si="95"/>
        <v>0.14108921999999999</v>
      </c>
      <c r="AA61" s="5">
        <f t="shared" ca="1" si="95"/>
        <v>0.14638635999999999</v>
      </c>
      <c r="AB61" s="5">
        <f t="shared" ca="1" si="95"/>
        <v>0.15168349999999997</v>
      </c>
      <c r="AC61" s="5">
        <f t="shared" ca="1" si="95"/>
        <v>0.15698063999999998</v>
      </c>
      <c r="AD61" s="5">
        <f t="shared" ca="1" si="95"/>
        <v>0.16227777999999998</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96">AJ66+1</f>
        <v>2021</v>
      </c>
      <c r="AL66" s="36">
        <f t="shared" si="96"/>
        <v>2022</v>
      </c>
      <c r="AM66" s="36">
        <f t="shared" si="96"/>
        <v>2023</v>
      </c>
      <c r="AN66" s="36">
        <f t="shared" si="96"/>
        <v>2024</v>
      </c>
      <c r="AO66" s="36">
        <f t="shared" si="96"/>
        <v>2025</v>
      </c>
      <c r="AP66" s="36">
        <f t="shared" si="96"/>
        <v>2026</v>
      </c>
      <c r="AQ66" s="36">
        <f t="shared" si="96"/>
        <v>2027</v>
      </c>
      <c r="AR66" s="36">
        <f t="shared" si="96"/>
        <v>2028</v>
      </c>
      <c r="AS66" s="36">
        <f t="shared" si="96"/>
        <v>2029</v>
      </c>
      <c r="AT66" s="36">
        <f t="shared" si="96"/>
        <v>2030</v>
      </c>
      <c r="AU66" s="36">
        <f t="shared" si="96"/>
        <v>2031</v>
      </c>
      <c r="AV66" s="36">
        <f t="shared" si="96"/>
        <v>2032</v>
      </c>
      <c r="AW66" s="36">
        <f t="shared" si="96"/>
        <v>2033</v>
      </c>
      <c r="AX66" s="36">
        <f t="shared" si="96"/>
        <v>2034</v>
      </c>
      <c r="AY66" s="36">
        <f t="shared" si="96"/>
        <v>2035</v>
      </c>
      <c r="AZ66" s="36">
        <f t="shared" si="96"/>
        <v>2036</v>
      </c>
      <c r="BA66" s="36">
        <f t="shared" si="96"/>
        <v>2037</v>
      </c>
      <c r="BB66" s="36">
        <f t="shared" si="96"/>
        <v>2038</v>
      </c>
    </row>
    <row r="67" spans="1:54" x14ac:dyDescent="0.25">
      <c r="A67"/>
      <c r="AF67"/>
      <c r="AH67" s="128">
        <f>1-INDEX(Dashboard!$U$4:$V$9,MATCH($A$1,Dashboard!$U$4:$U$9,0),2)</f>
        <v>5.0000000000000044E-2</v>
      </c>
      <c r="AI67" s="128">
        <f>1-INDEX(Dashboard!$U$4:$V$9,MATCH($A$1,Dashboard!$U$4:$U$9,0),2)</f>
        <v>5.0000000000000044E-2</v>
      </c>
      <c r="AJ67" s="128">
        <f>1-INDEX(Dashboard!$U$4:$V$9,MATCH($A$1,Dashboard!$U$4:$U$9,0),2)</f>
        <v>5.0000000000000044E-2</v>
      </c>
      <c r="AK67" s="128">
        <f>1-INDEX(Dashboard!$U$4:$V$9,MATCH($A$1,Dashboard!$U$4:$U$9,0),2)</f>
        <v>5.0000000000000044E-2</v>
      </c>
      <c r="AL67" s="128">
        <f>1-INDEX(Dashboard!$U$4:$V$9,MATCH($A$1,Dashboard!$U$4:$U$9,0),2)</f>
        <v>5.0000000000000044E-2</v>
      </c>
      <c r="AM67" s="128">
        <f>1-INDEX(Dashboard!$U$4:$V$9,MATCH($A$1,Dashboard!$U$4:$U$9,0),2)</f>
        <v>5.0000000000000044E-2</v>
      </c>
      <c r="AN67" s="128">
        <f>1-INDEX(Dashboard!$U$4:$V$9,MATCH($A$1,Dashboard!$U$4:$U$9,0),2)</f>
        <v>5.0000000000000044E-2</v>
      </c>
      <c r="AO67" s="128">
        <f>1-INDEX(Dashboard!$U$4:$V$9,MATCH($A$1,Dashboard!$U$4:$U$9,0),2)</f>
        <v>5.0000000000000044E-2</v>
      </c>
      <c r="AP67" s="128">
        <f>1-INDEX(Dashboard!$U$4:$V$9,MATCH($A$1,Dashboard!$U$4:$U$9,0),2)</f>
        <v>5.0000000000000044E-2</v>
      </c>
      <c r="AQ67" s="128">
        <f>1-INDEX(Dashboard!$U$4:$V$9,MATCH($A$1,Dashboard!$U$4:$U$9,0),2)</f>
        <v>5.0000000000000044E-2</v>
      </c>
      <c r="AR67" s="128">
        <f>1-INDEX(Dashboard!$U$4:$V$9,MATCH($A$1,Dashboard!$U$4:$U$9,0),2)</f>
        <v>5.0000000000000044E-2</v>
      </c>
      <c r="AS67" s="128">
        <f>1-INDEX(Dashboard!$U$4:$V$9,MATCH($A$1,Dashboard!$U$4:$U$9,0),2)</f>
        <v>5.0000000000000044E-2</v>
      </c>
      <c r="AT67" s="128">
        <f>1-INDEX(Dashboard!$U$4:$V$9,MATCH($A$1,Dashboard!$U$4:$U$9,0),2)</f>
        <v>5.0000000000000044E-2</v>
      </c>
      <c r="AU67" s="128">
        <f>1-INDEX(Dashboard!$U$4:$V$9,MATCH($A$1,Dashboard!$U$4:$U$9,0),2)</f>
        <v>5.0000000000000044E-2</v>
      </c>
      <c r="AV67" s="128">
        <f>1-INDEX(Dashboard!$U$4:$V$9,MATCH($A$1,Dashboard!$U$4:$U$9,0),2)</f>
        <v>5.0000000000000044E-2</v>
      </c>
      <c r="AW67" s="128">
        <f>1-INDEX(Dashboard!$U$4:$V$9,MATCH($A$1,Dashboard!$U$4:$U$9,0),2)</f>
        <v>5.0000000000000044E-2</v>
      </c>
      <c r="AX67" s="128">
        <f>1-INDEX(Dashboard!$U$4:$V$9,MATCH($A$1,Dashboard!$U$4:$U$9,0),2)</f>
        <v>5.0000000000000044E-2</v>
      </c>
      <c r="AY67" s="128">
        <f>1-INDEX(Dashboard!$U$4:$V$9,MATCH($A$1,Dashboard!$U$4:$U$9,0),2)</f>
        <v>5.0000000000000044E-2</v>
      </c>
      <c r="AZ67" s="128">
        <f>1-INDEX(Dashboard!$U$4:$V$9,MATCH($A$1,Dashboard!$U$4:$U$9,0),2)</f>
        <v>5.0000000000000044E-2</v>
      </c>
      <c r="BA67" s="128">
        <f>1-INDEX(Dashboard!$U$4:$V$9,MATCH($A$1,Dashboard!$U$4:$U$9,0),2)</f>
        <v>5.0000000000000044E-2</v>
      </c>
      <c r="BB67" s="128">
        <f>1-INDEX(Dashboard!$U$4:$V$9,MATCH($A$1,Dashboard!$U$4:$U$9,0),2)</f>
        <v>5.0000000000000044E-2</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188"/>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97">AJ70+1</f>
        <v>2021</v>
      </c>
      <c r="AL70" s="36">
        <f t="shared" si="97"/>
        <v>2022</v>
      </c>
      <c r="AM70" s="36">
        <f t="shared" si="97"/>
        <v>2023</v>
      </c>
      <c r="AN70" s="36">
        <f t="shared" si="97"/>
        <v>2024</v>
      </c>
      <c r="AO70" s="36">
        <f t="shared" si="97"/>
        <v>2025</v>
      </c>
      <c r="AP70" s="36">
        <f t="shared" si="97"/>
        <v>2026</v>
      </c>
      <c r="AQ70" s="36">
        <f t="shared" si="97"/>
        <v>2027</v>
      </c>
      <c r="AR70" s="36">
        <f t="shared" si="97"/>
        <v>2028</v>
      </c>
      <c r="AS70" s="36">
        <f t="shared" si="97"/>
        <v>2029</v>
      </c>
      <c r="AT70" s="36">
        <f t="shared" si="97"/>
        <v>2030</v>
      </c>
      <c r="AU70" s="36">
        <f t="shared" si="97"/>
        <v>2031</v>
      </c>
      <c r="AV70" s="36">
        <f t="shared" si="97"/>
        <v>2032</v>
      </c>
      <c r="AW70" s="36">
        <f t="shared" si="97"/>
        <v>2033</v>
      </c>
      <c r="AX70" s="36">
        <f t="shared" si="97"/>
        <v>2034</v>
      </c>
      <c r="AY70" s="36">
        <f t="shared" si="97"/>
        <v>2035</v>
      </c>
      <c r="AZ70" s="36">
        <f t="shared" si="97"/>
        <v>2036</v>
      </c>
      <c r="BA70" s="36">
        <f t="shared" si="97"/>
        <v>2037</v>
      </c>
      <c r="BB70" s="36">
        <f t="shared" si="97"/>
        <v>2038</v>
      </c>
    </row>
    <row r="71" spans="1:54" x14ac:dyDescent="0.25">
      <c r="A71"/>
      <c r="AF71" s="6" t="s">
        <v>179</v>
      </c>
      <c r="AG71" s="1" t="s">
        <v>52</v>
      </c>
      <c r="AH71" s="37">
        <f ca="1">SUM(AH35,AH25,AH15,AH5)</f>
        <v>172704.83911875769</v>
      </c>
      <c r="AI71" s="37">
        <f ca="1">SUM(AI35,AI25,AI15,AI5)</f>
        <v>195342.93244423246</v>
      </c>
      <c r="AJ71" s="37">
        <f t="shared" ref="AJ71:BB71" ca="1" si="98">SUM(AJ35,AJ25,AJ15,AJ5)</f>
        <v>219418.61466325796</v>
      </c>
      <c r="AK71" s="37">
        <f ca="1">SUM(AK35,AK25,AK15,AK5)</f>
        <v>244686.00353697143</v>
      </c>
      <c r="AL71" s="37">
        <f t="shared" ca="1" si="98"/>
        <v>271511.12862326176</v>
      </c>
      <c r="AM71" s="37">
        <f t="shared" ca="1" si="98"/>
        <v>299925.50668762584</v>
      </c>
      <c r="AN71" s="37">
        <f t="shared" ca="1" si="98"/>
        <v>329946.78204886679</v>
      </c>
      <c r="AO71" s="37">
        <f t="shared" ca="1" si="98"/>
        <v>361605.18039610604</v>
      </c>
      <c r="AP71" s="37">
        <f t="shared" ca="1" si="98"/>
        <v>394679.17156792647</v>
      </c>
      <c r="AQ71" s="37">
        <f t="shared" ca="1" si="98"/>
        <v>429493.89912085538</v>
      </c>
      <c r="AR71" s="37">
        <f t="shared" ca="1" si="98"/>
        <v>466109.64172789815</v>
      </c>
      <c r="AS71" s="37">
        <f ca="1">SUM(AS35,AS25,AS15,AS5)</f>
        <v>504609.38292822486</v>
      </c>
      <c r="AT71" s="37">
        <f t="shared" ca="1" si="98"/>
        <v>545064.09230196767</v>
      </c>
      <c r="AU71" s="37">
        <f t="shared" ca="1" si="98"/>
        <v>587189.56520138879</v>
      </c>
      <c r="AV71" s="37">
        <f t="shared" ca="1" si="98"/>
        <v>631397.61413856095</v>
      </c>
      <c r="AW71" s="37">
        <f t="shared" ca="1" si="98"/>
        <v>677713.13142817758</v>
      </c>
      <c r="AX71" s="37">
        <f t="shared" ca="1" si="98"/>
        <v>726149.37918737787</v>
      </c>
      <c r="AY71" s="37">
        <f t="shared" ca="1" si="98"/>
        <v>776728.76256353804</v>
      </c>
      <c r="AZ71" s="37" t="e">
        <f t="shared" ca="1" si="98"/>
        <v>#N/A</v>
      </c>
      <c r="BA71" s="37" t="e">
        <f t="shared" ca="1" si="98"/>
        <v>#N/A</v>
      </c>
      <c r="BB71" s="37" t="e">
        <f t="shared" ca="1" si="98"/>
        <v>#N/A</v>
      </c>
    </row>
    <row r="72" spans="1:54" x14ac:dyDescent="0.25">
      <c r="B72" s="6"/>
      <c r="AG72" s="1" t="s">
        <v>54</v>
      </c>
      <c r="AH72" s="37">
        <f ca="1">SUM(AH36,AH26,AH16,AH6)+SUM(AH40,AH30,AH20,AH10)</f>
        <v>13426.39575371283</v>
      </c>
      <c r="AI72" s="37">
        <f ca="1">SUM(AI36,AI26,AI16,AI6)+SUM(AI40,AI30,AI20,AI10)</f>
        <v>15712.214620166627</v>
      </c>
      <c r="AJ72" s="37">
        <f t="shared" ref="AJ72:BB72" ca="1" si="99">SUM(AJ36,AJ26,AJ16,AJ6)+SUM(AJ40,AJ30,AJ20,AJ10)</f>
        <v>18195.724103482913</v>
      </c>
      <c r="AK72" s="37">
        <f t="shared" ca="1" si="99"/>
        <v>20815.223809535004</v>
      </c>
      <c r="AL72" s="37">
        <f t="shared" ca="1" si="99"/>
        <v>23602.357712869623</v>
      </c>
      <c r="AM72" s="37">
        <f t="shared" ca="1" si="99"/>
        <v>26561.576203507364</v>
      </c>
      <c r="AN72" s="37">
        <f t="shared" ca="1" si="99"/>
        <v>29695.877227799461</v>
      </c>
      <c r="AO72" s="37">
        <f t="shared" ca="1" si="99"/>
        <v>33009.18810770649</v>
      </c>
      <c r="AP72" s="37">
        <f t="shared" ca="1" si="99"/>
        <v>36482.060945194171</v>
      </c>
      <c r="AQ72" s="37">
        <f t="shared" ca="1" si="99"/>
        <v>40145.024192787714</v>
      </c>
      <c r="AR72" s="37">
        <f t="shared" ca="1" si="99"/>
        <v>44004.795029110173</v>
      </c>
      <c r="AS72" s="37">
        <f t="shared" ca="1" si="99"/>
        <v>48070.274551910341</v>
      </c>
      <c r="AT72" s="37">
        <f t="shared" ca="1" si="99"/>
        <v>52349.297334866445</v>
      </c>
      <c r="AU72" s="37">
        <f t="shared" ca="1" si="99"/>
        <v>56815.366855852342</v>
      </c>
      <c r="AV72" s="37">
        <f t="shared" ca="1" si="99"/>
        <v>61508.882402356532</v>
      </c>
      <c r="AW72" s="37">
        <f t="shared" ca="1" si="99"/>
        <v>66433.274716245156</v>
      </c>
      <c r="AX72" s="37">
        <f t="shared" ca="1" si="99"/>
        <v>71590.738446358577</v>
      </c>
      <c r="AY72" s="37">
        <f t="shared" ca="1" si="99"/>
        <v>76984.276447158161</v>
      </c>
      <c r="AZ72" s="37" t="e">
        <f t="shared" ca="1" si="99"/>
        <v>#N/A</v>
      </c>
      <c r="BA72" s="37" t="e">
        <f t="shared" ca="1" si="99"/>
        <v>#N/A</v>
      </c>
      <c r="BB72" s="37" t="e">
        <f t="shared" ca="1" si="99"/>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7235.5300298748452</v>
      </c>
      <c r="AI73" s="39">
        <f ca="1">SUM(AI37,AI27,AI17,AI7)+SUM(AI38,AI28,AI18,AI8)*AI67</f>
        <v>8140.2469392787834</v>
      </c>
      <c r="AJ73" s="39">
        <f t="shared" ref="AJ73:BB73" ca="1" si="100">SUM(AJ37,AJ27,AJ17,AJ7)+SUM(AJ38,AJ28,AJ18,AJ8)*AJ67</f>
        <v>9101.8499722792494</v>
      </c>
      <c r="AK73" s="39">
        <f t="shared" ca="1" si="100"/>
        <v>10110.055875560356</v>
      </c>
      <c r="AL73" s="39">
        <f t="shared" ca="1" si="100"/>
        <v>11179.949880190805</v>
      </c>
      <c r="AM73" s="39">
        <f t="shared" ca="1" si="100"/>
        <v>12312.699434927388</v>
      </c>
      <c r="AN73" s="39">
        <f t="shared" ca="1" si="100"/>
        <v>13508.919544637403</v>
      </c>
      <c r="AO73" s="39">
        <f t="shared" ca="1" si="100"/>
        <v>14769.755791332842</v>
      </c>
      <c r="AP73" s="39">
        <f t="shared" ca="1" si="100"/>
        <v>16086.100780938577</v>
      </c>
      <c r="AQ73" s="39">
        <f t="shared" ca="1" si="100"/>
        <v>17471.170423299624</v>
      </c>
      <c r="AR73" s="39">
        <f t="shared" ca="1" si="100"/>
        <v>18927.334274401263</v>
      </c>
      <c r="AS73" s="39">
        <f ca="1">SUM(AS37,AS27,AS17,AS7)+SUM(AS38,AS28,AS18,AS8)*AS67</f>
        <v>20457.880791529373</v>
      </c>
      <c r="AT73" s="39">
        <f t="shared" ca="1" si="100"/>
        <v>22065.605423692235</v>
      </c>
      <c r="AU73" s="39">
        <f t="shared" ca="1" si="100"/>
        <v>23738.941952165791</v>
      </c>
      <c r="AV73" s="39">
        <f t="shared" ca="1" si="100"/>
        <v>25513.755766988754</v>
      </c>
      <c r="AW73" s="39">
        <f t="shared" ca="1" si="100"/>
        <v>27376.298649462042</v>
      </c>
      <c r="AX73" s="39">
        <f t="shared" ca="1" si="100"/>
        <v>29323.959617204608</v>
      </c>
      <c r="AY73" s="39">
        <f ca="1">SUM(AY37,AY27,AY17,AY7)+SUM(AY38,AY28,AY18,AY8)*AY67</f>
        <v>31357.626144703216</v>
      </c>
      <c r="AZ73" s="39" t="e">
        <f t="shared" ca="1" si="100"/>
        <v>#N/A</v>
      </c>
      <c r="BA73" s="39" t="e">
        <f t="shared" ca="1" si="100"/>
        <v>#N/A</v>
      </c>
      <c r="BB73" s="39" t="e">
        <f t="shared" ca="1" si="100"/>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0</v>
      </c>
      <c r="AI74" s="37">
        <f ca="1">SUM(AI39,AI29,AI19,AI9)</f>
        <v>0</v>
      </c>
      <c r="AJ74" s="37">
        <f t="shared" ref="AJ74:BB74" ca="1" si="101">SUM(AJ39,AJ29,AJ19,AJ9)</f>
        <v>0</v>
      </c>
      <c r="AK74" s="37">
        <f t="shared" ca="1" si="101"/>
        <v>0</v>
      </c>
      <c r="AL74" s="37">
        <f t="shared" ca="1" si="101"/>
        <v>0</v>
      </c>
      <c r="AM74" s="37">
        <f t="shared" ca="1" si="101"/>
        <v>0</v>
      </c>
      <c r="AN74" s="37">
        <f t="shared" ca="1" si="101"/>
        <v>0</v>
      </c>
      <c r="AO74" s="37">
        <f t="shared" ca="1" si="101"/>
        <v>0</v>
      </c>
      <c r="AP74" s="37">
        <f t="shared" ca="1" si="101"/>
        <v>0</v>
      </c>
      <c r="AQ74" s="37">
        <f t="shared" ca="1" si="101"/>
        <v>0</v>
      </c>
      <c r="AR74" s="37">
        <f t="shared" ca="1" si="101"/>
        <v>0</v>
      </c>
      <c r="AS74" s="37">
        <f t="shared" ca="1" si="101"/>
        <v>0</v>
      </c>
      <c r="AT74" s="37">
        <f t="shared" ca="1" si="101"/>
        <v>0</v>
      </c>
      <c r="AU74" s="37">
        <f t="shared" ca="1" si="101"/>
        <v>0</v>
      </c>
      <c r="AV74" s="37">
        <f t="shared" ca="1" si="101"/>
        <v>0</v>
      </c>
      <c r="AW74" s="37">
        <f t="shared" ca="1" si="101"/>
        <v>0</v>
      </c>
      <c r="AX74" s="37">
        <f t="shared" ca="1" si="101"/>
        <v>0</v>
      </c>
      <c r="AY74" s="37">
        <f t="shared" ca="1" si="101"/>
        <v>0</v>
      </c>
      <c r="AZ74" s="37" t="e">
        <f t="shared" ca="1" si="101"/>
        <v>#N/A</v>
      </c>
      <c r="BA74" s="37" t="e">
        <f t="shared" ca="1" si="101"/>
        <v>#N/A</v>
      </c>
      <c r="BB74" s="37" t="e">
        <f t="shared" ca="1" si="101"/>
        <v>#N/A</v>
      </c>
    </row>
    <row r="75" spans="1:54" x14ac:dyDescent="0.25">
      <c r="AG75" s="1" t="s">
        <v>59</v>
      </c>
      <c r="AH75" s="37">
        <f ca="1">+SUM(AH38,AH28,AH18,AH8)*(1-AH67)</f>
        <v>47313.066204821516</v>
      </c>
      <c r="AI75" s="37">
        <f ca="1">+SUM(AI38,AI28,AI18,AI8)*(1-AI67)</f>
        <v>54430.265679466422</v>
      </c>
      <c r="AJ75" s="37">
        <f t="shared" ref="AJ75:BB75" ca="1" si="102">+SUM(AJ38,AJ28,AJ18,AJ8)*(1-AJ67)</f>
        <v>62011.286086468193</v>
      </c>
      <c r="AK75" s="37">
        <f t="shared" ca="1" si="102"/>
        <v>69988.388769234749</v>
      </c>
      <c r="AL75" s="37">
        <f t="shared" ca="1" si="102"/>
        <v>78467.077862936261</v>
      </c>
      <c r="AM75" s="37">
        <f t="shared" ca="1" si="102"/>
        <v>87459.190581554023</v>
      </c>
      <c r="AN75" s="37">
        <f t="shared" ca="1" si="102"/>
        <v>96972.161739459916</v>
      </c>
      <c r="AO75" s="37">
        <f t="shared" ca="1" si="102"/>
        <v>107016.80006380174</v>
      </c>
      <c r="AP75" s="37">
        <f t="shared" ca="1" si="102"/>
        <v>117528.77937032685</v>
      </c>
      <c r="AQ75" s="37">
        <f t="shared" ca="1" si="102"/>
        <v>128605.67786892742</v>
      </c>
      <c r="AR75" s="37">
        <f t="shared" ca="1" si="102"/>
        <v>140267.27256739125</v>
      </c>
      <c r="AS75" s="37">
        <f ca="1">+SUM(AS38,AS28,AS18,AS8)*(1-AS67)</f>
        <v>152540.23751111742</v>
      </c>
      <c r="AT75" s="37">
        <f t="shared" ca="1" si="102"/>
        <v>165447.73935331544</v>
      </c>
      <c r="AU75" s="37">
        <f t="shared" ca="1" si="102"/>
        <v>178904.78601473884</v>
      </c>
      <c r="AV75" s="37">
        <f t="shared" ca="1" si="102"/>
        <v>193403.64667577893</v>
      </c>
      <c r="AW75" s="37">
        <f t="shared" ca="1" si="102"/>
        <v>208674.67885141453</v>
      </c>
      <c r="AX75" s="37">
        <f t="shared" ca="1" si="102"/>
        <v>224664.90056120622</v>
      </c>
      <c r="AY75" s="37">
        <f t="shared" ca="1" si="102"/>
        <v>241383.33051219792</v>
      </c>
      <c r="AZ75" s="37" t="e">
        <f t="shared" ca="1" si="102"/>
        <v>#N/A</v>
      </c>
      <c r="BA75" s="37" t="e">
        <f t="shared" ca="1" si="102"/>
        <v>#N/A</v>
      </c>
      <c r="BB75" s="37" t="e">
        <f t="shared" ca="1" si="102"/>
        <v>#N/A</v>
      </c>
    </row>
    <row r="76" spans="1:54" x14ac:dyDescent="0.25">
      <c r="AG76" s="12" t="s">
        <v>60</v>
      </c>
      <c r="AH76" s="45">
        <f ca="1">SUM(AH71:AH75)</f>
        <v>240679.83110716689</v>
      </c>
      <c r="AI76" s="45">
        <f ca="1">SUM(AI71:AI75)</f>
        <v>273625.6596831443</v>
      </c>
      <c r="AJ76" s="45">
        <f t="shared" ref="AJ76:BB76" ca="1" si="103">SUM(AJ71:AJ75)</f>
        <v>308727.47482548829</v>
      </c>
      <c r="AK76" s="45">
        <f t="shared" ca="1" si="103"/>
        <v>345599.67199130158</v>
      </c>
      <c r="AL76" s="45">
        <f t="shared" ca="1" si="103"/>
        <v>384760.51407925849</v>
      </c>
      <c r="AM76" s="45">
        <f t="shared" ca="1" si="103"/>
        <v>426258.9729076146</v>
      </c>
      <c r="AN76" s="45">
        <f t="shared" ca="1" si="103"/>
        <v>470123.74056076352</v>
      </c>
      <c r="AO76" s="45">
        <f t="shared" ca="1" si="103"/>
        <v>516400.92435894714</v>
      </c>
      <c r="AP76" s="45">
        <f t="shared" ca="1" si="103"/>
        <v>564776.11266438605</v>
      </c>
      <c r="AQ76" s="45">
        <f t="shared" ca="1" si="103"/>
        <v>615715.7716058701</v>
      </c>
      <c r="AR76" s="45">
        <f t="shared" ca="1" si="103"/>
        <v>669309.0435988009</v>
      </c>
      <c r="AS76" s="45">
        <f ca="1">SUM(AS71:AS75)</f>
        <v>725677.77578278212</v>
      </c>
      <c r="AT76" s="45">
        <f t="shared" ca="1" si="103"/>
        <v>784926.73441384186</v>
      </c>
      <c r="AU76" s="45">
        <f t="shared" ca="1" si="103"/>
        <v>846648.66002414573</v>
      </c>
      <c r="AV76" s="45">
        <f t="shared" ca="1" si="103"/>
        <v>911823.89898368507</v>
      </c>
      <c r="AW76" s="45">
        <f t="shared" ca="1" si="103"/>
        <v>980197.38364529936</v>
      </c>
      <c r="AX76" s="45">
        <f t="shared" ca="1" si="103"/>
        <v>1051728.9778121472</v>
      </c>
      <c r="AY76" s="45">
        <f t="shared" ca="1" si="103"/>
        <v>1126453.9956675973</v>
      </c>
      <c r="AZ76" s="45" t="e">
        <f t="shared" ca="1" si="103"/>
        <v>#N/A</v>
      </c>
      <c r="BA76" s="45" t="e">
        <f t="shared" ca="1" si="103"/>
        <v>#N/A</v>
      </c>
      <c r="BB76" s="45" t="e">
        <f t="shared" ca="1" si="103"/>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c r="AK78" s="142"/>
    </row>
    <row r="79" spans="1:54" x14ac:dyDescent="0.25">
      <c r="AF79" s="6" t="s">
        <v>178</v>
      </c>
      <c r="AG79" s="38"/>
      <c r="AH79" s="36">
        <f>AI79-1</f>
        <v>2018</v>
      </c>
      <c r="AI79" s="36">
        <f>Yr_Start</f>
        <v>2019</v>
      </c>
      <c r="AJ79" s="36">
        <f>AI79+1</f>
        <v>2020</v>
      </c>
      <c r="AK79" s="36">
        <f t="shared" ref="AK79:BB79" si="104">AJ79+1</f>
        <v>2021</v>
      </c>
      <c r="AL79" s="36">
        <f t="shared" si="104"/>
        <v>2022</v>
      </c>
      <c r="AM79" s="36">
        <f t="shared" si="104"/>
        <v>2023</v>
      </c>
      <c r="AN79" s="36">
        <f t="shared" si="104"/>
        <v>2024</v>
      </c>
      <c r="AO79" s="36">
        <f t="shared" si="104"/>
        <v>2025</v>
      </c>
      <c r="AP79" s="36">
        <f t="shared" si="104"/>
        <v>2026</v>
      </c>
      <c r="AQ79" s="36">
        <f t="shared" si="104"/>
        <v>2027</v>
      </c>
      <c r="AR79" s="36">
        <f t="shared" si="104"/>
        <v>2028</v>
      </c>
      <c r="AS79" s="36">
        <f t="shared" si="104"/>
        <v>2029</v>
      </c>
      <c r="AT79" s="36">
        <f t="shared" si="104"/>
        <v>2030</v>
      </c>
      <c r="AU79" s="36">
        <f t="shared" si="104"/>
        <v>2031</v>
      </c>
      <c r="AV79" s="36">
        <f t="shared" si="104"/>
        <v>2032</v>
      </c>
      <c r="AW79" s="36">
        <f t="shared" si="104"/>
        <v>2033</v>
      </c>
      <c r="AX79" s="36">
        <f t="shared" si="104"/>
        <v>2034</v>
      </c>
      <c r="AY79" s="36">
        <f t="shared" si="104"/>
        <v>2035</v>
      </c>
      <c r="AZ79" s="36">
        <f t="shared" si="104"/>
        <v>2036</v>
      </c>
      <c r="BA79" s="36">
        <f t="shared" si="104"/>
        <v>2037</v>
      </c>
      <c r="BB79" s="36">
        <f t="shared" si="104"/>
        <v>2038</v>
      </c>
    </row>
    <row r="80" spans="1:54" x14ac:dyDescent="0.25">
      <c r="AG80" s="1" t="s">
        <v>52</v>
      </c>
      <c r="AH80" s="37">
        <f ca="1">SUM(AH55,AH45)</f>
        <v>287695.84110767028</v>
      </c>
      <c r="AI80" s="37">
        <f ca="1">SUM(AI55,AI45)</f>
        <v>328233.45576963801</v>
      </c>
      <c r="AJ80" s="37">
        <f t="shared" ref="AJ80:BB80" ca="1" si="105">SUM(AJ55,AJ45)</f>
        <v>371381.94441517204</v>
      </c>
      <c r="AK80" s="37">
        <f t="shared" ca="1" si="105"/>
        <v>416730.54216523247</v>
      </c>
      <c r="AL80" s="37">
        <f t="shared" ca="1" si="105"/>
        <v>464905.13574541465</v>
      </c>
      <c r="AM80" s="37">
        <f t="shared" ca="1" si="105"/>
        <v>515968.11672483012</v>
      </c>
      <c r="AN80" s="37">
        <f t="shared" ca="1" si="105"/>
        <v>569956.90883406519</v>
      </c>
      <c r="AO80" s="37">
        <f t="shared" ca="1" si="105"/>
        <v>626929.66937959439</v>
      </c>
      <c r="AP80" s="37">
        <f t="shared" ca="1" si="105"/>
        <v>686506.13736545411</v>
      </c>
      <c r="AQ80" s="37">
        <f t="shared" ca="1" si="105"/>
        <v>749254.20265053352</v>
      </c>
      <c r="AR80" s="37">
        <f t="shared" ca="1" si="105"/>
        <v>815284.35549065936</v>
      </c>
      <c r="AS80" s="37">
        <f t="shared" ca="1" si="105"/>
        <v>884746.99871175759</v>
      </c>
      <c r="AT80" s="37">
        <f t="shared" ca="1" si="105"/>
        <v>957771.8546611804</v>
      </c>
      <c r="AU80" s="37">
        <f t="shared" ca="1" si="105"/>
        <v>1033863.4630510025</v>
      </c>
      <c r="AV80" s="37">
        <f t="shared" ca="1" si="105"/>
        <v>1113749.6255069899</v>
      </c>
      <c r="AW80" s="37">
        <f t="shared" ca="1" si="105"/>
        <v>1197479.2047601857</v>
      </c>
      <c r="AX80" s="37">
        <f t="shared" ca="1" si="105"/>
        <v>1285080.0406456576</v>
      </c>
      <c r="AY80" s="37">
        <f t="shared" ca="1" si="105"/>
        <v>1376595.6945245785</v>
      </c>
      <c r="AZ80" s="37" t="e">
        <f t="shared" ca="1" si="105"/>
        <v>#N/A</v>
      </c>
      <c r="BA80" s="37" t="e">
        <f t="shared" ca="1" si="105"/>
        <v>#N/A</v>
      </c>
      <c r="BB80" s="37" t="e">
        <f t="shared" ca="1" si="105"/>
        <v>#N/A</v>
      </c>
    </row>
    <row r="81" spans="12:54" x14ac:dyDescent="0.25">
      <c r="AG81" s="1" t="s">
        <v>54</v>
      </c>
      <c r="AH81" s="37">
        <f ca="1">SUM(AH56,AH46,AH50,AH60)</f>
        <v>17833.530397622995</v>
      </c>
      <c r="AI81" s="37">
        <f ca="1">SUM(AI56,AI46,AI50,AI60)</f>
        <v>20671.589497203582</v>
      </c>
      <c r="AJ81" s="37">
        <f t="shared" ref="AJ81:BB81" ca="1" si="106">SUM(AJ56,AJ46,AJ50,AJ60)</f>
        <v>23696.356043000778</v>
      </c>
      <c r="AK81" s="37">
        <f t="shared" ca="1" si="106"/>
        <v>26882.233329579918</v>
      </c>
      <c r="AL81" s="37">
        <f t="shared" ca="1" si="106"/>
        <v>30269.876312198052</v>
      </c>
      <c r="AM81" s="37">
        <f t="shared" ca="1" si="106"/>
        <v>33864.290500278898</v>
      </c>
      <c r="AN81" s="37">
        <f t="shared" ca="1" si="106"/>
        <v>37668.719829362213</v>
      </c>
      <c r="AO81" s="37">
        <f t="shared" ca="1" si="106"/>
        <v>41687.667593117207</v>
      </c>
      <c r="AP81" s="37">
        <f t="shared" ca="1" si="106"/>
        <v>45896.270114390216</v>
      </c>
      <c r="AQ81" s="37">
        <f t="shared" ca="1" si="106"/>
        <v>50332.750809995916</v>
      </c>
      <c r="AR81" s="37">
        <f t="shared" ca="1" si="106"/>
        <v>55005.118153961092</v>
      </c>
      <c r="AS81" s="37">
        <f t="shared" ca="1" si="106"/>
        <v>59924.095214799738</v>
      </c>
      <c r="AT81" s="37">
        <f t="shared" ca="1" si="106"/>
        <v>65099.04634356391</v>
      </c>
      <c r="AU81" s="37">
        <f t="shared" ca="1" si="106"/>
        <v>70496.724867408411</v>
      </c>
      <c r="AV81" s="37">
        <f t="shared" ca="1" si="106"/>
        <v>76167.054439859436</v>
      </c>
      <c r="AW81" s="37">
        <f t="shared" ca="1" si="106"/>
        <v>82113.915017900945</v>
      </c>
      <c r="AX81" s="37">
        <f t="shared" ca="1" si="106"/>
        <v>88339.693656496864</v>
      </c>
      <c r="AY81" s="37">
        <f t="shared" ca="1" si="106"/>
        <v>94847.808427349708</v>
      </c>
      <c r="AZ81" s="37" t="e">
        <f t="shared" ca="1" si="106"/>
        <v>#N/A</v>
      </c>
      <c r="BA81" s="37" t="e">
        <f t="shared" ca="1" si="106"/>
        <v>#N/A</v>
      </c>
      <c r="BB81" s="37" t="e">
        <f t="shared" ca="1" si="106"/>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7260.3328656125832</v>
      </c>
      <c r="AI82" s="39">
        <f ca="1">SUM(AI57,AI47)+SUM(AI48,AI58)*AI67</f>
        <v>8268.4872726088906</v>
      </c>
      <c r="AJ82" s="39">
        <f t="shared" ref="AJ82:BB82" ca="1" si="107">SUM(AJ57,AJ47)+SUM(AJ48,AJ58)*AJ67</f>
        <v>9341.3940471414262</v>
      </c>
      <c r="AK82" s="39">
        <f t="shared" ca="1" si="107"/>
        <v>10468.693210670375</v>
      </c>
      <c r="AL82" s="39">
        <f t="shared" ca="1" si="107"/>
        <v>11666.094852845697</v>
      </c>
      <c r="AM82" s="39">
        <f t="shared" ca="1" si="107"/>
        <v>12935.121505328229</v>
      </c>
      <c r="AN82" s="39">
        <f t="shared" ca="1" si="107"/>
        <v>14276.675379153581</v>
      </c>
      <c r="AO82" s="39">
        <f t="shared" ca="1" si="107"/>
        <v>15692.183102382573</v>
      </c>
      <c r="AP82" s="39">
        <f t="shared" ca="1" si="107"/>
        <v>17172.107392779253</v>
      </c>
      <c r="AQ82" s="39">
        <f t="shared" ca="1" si="107"/>
        <v>18730.641566023849</v>
      </c>
      <c r="AR82" s="39">
        <f t="shared" ca="1" si="107"/>
        <v>20370.520999078846</v>
      </c>
      <c r="AS82" s="39">
        <f t="shared" ca="1" si="107"/>
        <v>22095.477320061334</v>
      </c>
      <c r="AT82" s="39">
        <f t="shared" ca="1" si="107"/>
        <v>23908.723769681565</v>
      </c>
      <c r="AU82" s="39">
        <f t="shared" ca="1" si="107"/>
        <v>25797.872625399912</v>
      </c>
      <c r="AV82" s="39">
        <f t="shared" ca="1" si="107"/>
        <v>27781.071086209064</v>
      </c>
      <c r="AW82" s="39">
        <f t="shared" ca="1" si="107"/>
        <v>29859.513376836003</v>
      </c>
      <c r="AX82" s="39">
        <f t="shared" ca="1" si="107"/>
        <v>32033.871853892681</v>
      </c>
      <c r="AY82" s="39">
        <f t="shared" ca="1" si="107"/>
        <v>34305.213044350727</v>
      </c>
      <c r="AZ82" s="39" t="e">
        <f t="shared" ca="1" si="107"/>
        <v>#N/A</v>
      </c>
      <c r="BA82" s="39" t="e">
        <f t="shared" ca="1" si="107"/>
        <v>#N/A</v>
      </c>
      <c r="BB82" s="39" t="e">
        <f t="shared" ca="1" si="107"/>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0</v>
      </c>
      <c r="AI83" s="37">
        <f ca="1">SUM(AI59,AI49)</f>
        <v>0</v>
      </c>
      <c r="AJ83" s="37">
        <f t="shared" ref="AJ83:BB83" ca="1" si="108">SUM(AJ59,AJ49)</f>
        <v>0</v>
      </c>
      <c r="AK83" s="37">
        <f t="shared" ca="1" si="108"/>
        <v>0</v>
      </c>
      <c r="AL83" s="37">
        <f t="shared" ca="1" si="108"/>
        <v>0</v>
      </c>
      <c r="AM83" s="37">
        <f t="shared" ca="1" si="108"/>
        <v>0</v>
      </c>
      <c r="AN83" s="37">
        <f t="shared" ca="1" si="108"/>
        <v>0</v>
      </c>
      <c r="AO83" s="37">
        <f t="shared" ca="1" si="108"/>
        <v>0</v>
      </c>
      <c r="AP83" s="37">
        <f t="shared" ca="1" si="108"/>
        <v>0</v>
      </c>
      <c r="AQ83" s="37">
        <f t="shared" ca="1" si="108"/>
        <v>0</v>
      </c>
      <c r="AR83" s="37">
        <f t="shared" ca="1" si="108"/>
        <v>0</v>
      </c>
      <c r="AS83" s="37">
        <f t="shared" ca="1" si="108"/>
        <v>0</v>
      </c>
      <c r="AT83" s="37">
        <f t="shared" ca="1" si="108"/>
        <v>0</v>
      </c>
      <c r="AU83" s="37">
        <f t="shared" ca="1" si="108"/>
        <v>0</v>
      </c>
      <c r="AV83" s="37">
        <f t="shared" ca="1" si="108"/>
        <v>0</v>
      </c>
      <c r="AW83" s="37">
        <f t="shared" ca="1" si="108"/>
        <v>0</v>
      </c>
      <c r="AX83" s="37">
        <f t="shared" ca="1" si="108"/>
        <v>0</v>
      </c>
      <c r="AY83" s="37">
        <f t="shared" ca="1" si="108"/>
        <v>0</v>
      </c>
      <c r="AZ83" s="37" t="e">
        <f t="shared" ca="1" si="108"/>
        <v>#N/A</v>
      </c>
      <c r="BA83" s="37" t="e">
        <f t="shared" ca="1" si="108"/>
        <v>#N/A</v>
      </c>
      <c r="BB83" s="37" t="e">
        <f t="shared" ca="1" si="108"/>
        <v>#N/A</v>
      </c>
    </row>
    <row r="84" spans="12:54" x14ac:dyDescent="0.25">
      <c r="AG84" s="1" t="s">
        <v>59</v>
      </c>
      <c r="AH84" s="37">
        <f ca="1">SUM(AH48,AH58)*(1-AH67)</f>
        <v>42702.928803798823</v>
      </c>
      <c r="AI84" s="37">
        <f ca="1">SUM(AI48,AI58)*(1-AI67)</f>
        <v>48973.862953490105</v>
      </c>
      <c r="AJ84" s="37">
        <f t="shared" ref="AJ84:BB84" ca="1" si="109">SUM(AJ48,AJ58)*(1-AJ67)</f>
        <v>55651.743504604463</v>
      </c>
      <c r="AK84" s="37">
        <f t="shared" ca="1" si="109"/>
        <v>62675.495337023553</v>
      </c>
      <c r="AL84" s="37">
        <f t="shared" ca="1" si="109"/>
        <v>70139.469691014325</v>
      </c>
      <c r="AM84" s="37">
        <f t="shared" ca="1" si="109"/>
        <v>78053.815816033937</v>
      </c>
      <c r="AN84" s="37">
        <f t="shared" ca="1" si="109"/>
        <v>86424.809993479867</v>
      </c>
      <c r="AO84" s="37">
        <f t="shared" ca="1" si="109"/>
        <v>95261.785815594922</v>
      </c>
      <c r="AP84" s="37">
        <f t="shared" ca="1" si="109"/>
        <v>104507.29199234236</v>
      </c>
      <c r="AQ84" s="37">
        <f t="shared" ca="1" si="109"/>
        <v>114247.97958526875</v>
      </c>
      <c r="AR84" s="37">
        <f t="shared" ca="1" si="109"/>
        <v>124501.15391653351</v>
      </c>
      <c r="AS84" s="37">
        <f t="shared" ca="1" si="109"/>
        <v>135290.2323281935</v>
      </c>
      <c r="AT84" s="37">
        <f t="shared" ca="1" si="109"/>
        <v>146635.50259611185</v>
      </c>
      <c r="AU84" s="37">
        <f t="shared" ca="1" si="109"/>
        <v>158461.44464238686</v>
      </c>
      <c r="AV84" s="37">
        <f t="shared" ca="1" si="109"/>
        <v>170879.84098335367</v>
      </c>
      <c r="AW84" s="37">
        <f t="shared" ca="1" si="109"/>
        <v>183898.60877011027</v>
      </c>
      <c r="AX84" s="37">
        <f t="shared" ca="1" si="109"/>
        <v>197522.39657824527</v>
      </c>
      <c r="AY84" s="37">
        <f t="shared" ca="1" si="109"/>
        <v>211758.23063432539</v>
      </c>
      <c r="AZ84" s="37" t="e">
        <f t="shared" ca="1" si="109"/>
        <v>#N/A</v>
      </c>
      <c r="BA84" s="37" t="e">
        <f t="shared" ca="1" si="109"/>
        <v>#N/A</v>
      </c>
      <c r="BB84" s="37" t="e">
        <f t="shared" ca="1" si="109"/>
        <v>#N/A</v>
      </c>
    </row>
    <row r="85" spans="12:54" x14ac:dyDescent="0.25">
      <c r="AG85" s="12" t="s">
        <v>60</v>
      </c>
      <c r="AH85" s="45">
        <f ca="1">SUM(AH80:AH84)</f>
        <v>355492.63317470468</v>
      </c>
      <c r="AI85" s="45">
        <f ca="1">SUM(AI80:AI84)</f>
        <v>406147.39549294062</v>
      </c>
      <c r="AJ85" s="45">
        <f t="shared" ref="AJ85:BB85" ca="1" si="110">SUM(AJ80:AJ84)</f>
        <v>460071.43800991867</v>
      </c>
      <c r="AK85" s="45">
        <f t="shared" ca="1" si="110"/>
        <v>516756.96404250636</v>
      </c>
      <c r="AL85" s="45">
        <f t="shared" ca="1" si="110"/>
        <v>576980.57660147268</v>
      </c>
      <c r="AM85" s="45">
        <f t="shared" ca="1" si="110"/>
        <v>640821.34454647126</v>
      </c>
      <c r="AN85" s="45">
        <f t="shared" ca="1" si="110"/>
        <v>708327.11403606087</v>
      </c>
      <c r="AO85" s="45">
        <f t="shared" ca="1" si="110"/>
        <v>779571.30589068914</v>
      </c>
      <c r="AP85" s="45">
        <f t="shared" ca="1" si="110"/>
        <v>854081.80686496582</v>
      </c>
      <c r="AQ85" s="45">
        <f t="shared" ca="1" si="110"/>
        <v>932565.57461182203</v>
      </c>
      <c r="AR85" s="45">
        <f t="shared" ca="1" si="110"/>
        <v>1015161.1485602329</v>
      </c>
      <c r="AS85" s="45">
        <f t="shared" ca="1" si="110"/>
        <v>1102056.8035748121</v>
      </c>
      <c r="AT85" s="45">
        <f t="shared" ca="1" si="110"/>
        <v>1193415.1273705377</v>
      </c>
      <c r="AU85" s="45">
        <f t="shared" ca="1" si="110"/>
        <v>1288619.5051861976</v>
      </c>
      <c r="AV85" s="45">
        <f t="shared" ca="1" si="110"/>
        <v>1388577.5920164119</v>
      </c>
      <c r="AW85" s="45">
        <f t="shared" ca="1" si="110"/>
        <v>1493351.2419250328</v>
      </c>
      <c r="AX85" s="45">
        <f t="shared" ca="1" si="110"/>
        <v>1602976.0027342925</v>
      </c>
      <c r="AY85" s="45">
        <f t="shared" ca="1" si="110"/>
        <v>1717506.9466306043</v>
      </c>
      <c r="AZ85" s="45" t="e">
        <f t="shared" ca="1" si="110"/>
        <v>#N/A</v>
      </c>
      <c r="BA85" s="45" t="e">
        <f t="shared" ca="1" si="110"/>
        <v>#N/A</v>
      </c>
      <c r="BB85" s="45" t="e">
        <f t="shared" ca="1" si="110"/>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182</v>
      </c>
      <c r="AH87" s="6"/>
    </row>
    <row r="88" spans="12:54" x14ac:dyDescent="0.25">
      <c r="AF88" s="6" t="s">
        <v>178</v>
      </c>
      <c r="AG88" s="38"/>
      <c r="AH88" s="36">
        <f>AI88-1</f>
        <v>2018</v>
      </c>
      <c r="AI88" s="36">
        <f>Yr_Start</f>
        <v>2019</v>
      </c>
      <c r="AJ88" s="36">
        <f>AI88+1</f>
        <v>2020</v>
      </c>
      <c r="AK88" s="36">
        <f t="shared" ref="AK88:BB88" si="111">AJ88+1</f>
        <v>2021</v>
      </c>
      <c r="AL88" s="36">
        <f t="shared" si="111"/>
        <v>2022</v>
      </c>
      <c r="AM88" s="36">
        <f t="shared" si="111"/>
        <v>2023</v>
      </c>
      <c r="AN88" s="36">
        <f t="shared" si="111"/>
        <v>2024</v>
      </c>
      <c r="AO88" s="36">
        <f t="shared" si="111"/>
        <v>2025</v>
      </c>
      <c r="AP88" s="36">
        <f t="shared" si="111"/>
        <v>2026</v>
      </c>
      <c r="AQ88" s="36">
        <f t="shared" si="111"/>
        <v>2027</v>
      </c>
      <c r="AR88" s="36">
        <f t="shared" si="111"/>
        <v>2028</v>
      </c>
      <c r="AS88" s="36">
        <f t="shared" si="111"/>
        <v>2029</v>
      </c>
      <c r="AT88" s="36">
        <f t="shared" si="111"/>
        <v>2030</v>
      </c>
      <c r="AU88" s="36">
        <f t="shared" si="111"/>
        <v>2031</v>
      </c>
      <c r="AV88" s="36">
        <f t="shared" si="111"/>
        <v>2032</v>
      </c>
      <c r="AW88" s="36">
        <f t="shared" si="111"/>
        <v>2033</v>
      </c>
      <c r="AX88" s="36">
        <f t="shared" si="111"/>
        <v>2034</v>
      </c>
      <c r="AY88" s="36">
        <f t="shared" si="111"/>
        <v>2035</v>
      </c>
      <c r="AZ88" s="36">
        <f t="shared" si="111"/>
        <v>2036</v>
      </c>
      <c r="BA88" s="36">
        <f t="shared" si="111"/>
        <v>2037</v>
      </c>
      <c r="BB88" s="36">
        <f t="shared" si="111"/>
        <v>2038</v>
      </c>
    </row>
    <row r="89" spans="12:54" x14ac:dyDescent="0.25">
      <c r="AG89" s="1" t="s">
        <v>52</v>
      </c>
      <c r="AH89" s="1"/>
      <c r="AI89" s="37">
        <f ca="1">IF((AI71-AH71)&lt;0,AH71/3.2,(AI71-AH71)+AH71/3.2)</f>
        <v>76608.355550086533</v>
      </c>
      <c r="AJ89" s="37">
        <f ca="1">IF((AJ71-AI71)&lt;0,AI71/3.2,(AJ71-AI71)+AI71/3.2)</f>
        <v>85120.348607848136</v>
      </c>
      <c r="AK89" s="37">
        <f t="shared" ref="AK89:BB93" ca="1" si="112">IF((AK71-AJ71)&lt;0,AJ71/3.2,(AK71-AJ71)+AJ71/3.2)</f>
        <v>93835.705955981583</v>
      </c>
      <c r="AL89" s="37">
        <f t="shared" ca="1" si="112"/>
        <v>103289.5011915939</v>
      </c>
      <c r="AM89" s="37">
        <f t="shared" ca="1" si="112"/>
        <v>113261.60575913337</v>
      </c>
      <c r="AN89" s="37">
        <f t="shared" ca="1" si="112"/>
        <v>123747.99620112403</v>
      </c>
      <c r="AO89" s="37">
        <f t="shared" ca="1" si="112"/>
        <v>134766.76773751009</v>
      </c>
      <c r="AP89" s="37">
        <f t="shared" ca="1" si="112"/>
        <v>146075.61004560356</v>
      </c>
      <c r="AQ89" s="37">
        <f t="shared" ca="1" si="112"/>
        <v>158151.96866790592</v>
      </c>
      <c r="AR89" s="37">
        <f t="shared" ca="1" si="112"/>
        <v>170832.58608231007</v>
      </c>
      <c r="AS89" s="37">
        <f t="shared" ca="1" si="112"/>
        <v>184159.00424029486</v>
      </c>
      <c r="AT89" s="37">
        <f t="shared" ca="1" si="112"/>
        <v>198145.14153881307</v>
      </c>
      <c r="AU89" s="37">
        <f t="shared" ca="1" si="112"/>
        <v>212458.00174378601</v>
      </c>
      <c r="AV89" s="37">
        <f t="shared" ca="1" si="112"/>
        <v>227704.78806260615</v>
      </c>
      <c r="AW89" s="37">
        <f t="shared" ca="1" si="112"/>
        <v>243627.27170791692</v>
      </c>
      <c r="AX89" s="37">
        <f t="shared" ca="1" si="112"/>
        <v>260221.60133050577</v>
      </c>
      <c r="AY89" s="37">
        <f t="shared" ca="1" si="112"/>
        <v>277501.06437221577</v>
      </c>
      <c r="AZ89" s="37" t="e">
        <f t="shared" ca="1" si="112"/>
        <v>#N/A</v>
      </c>
      <c r="BA89" s="37" t="e">
        <f t="shared" ca="1" si="112"/>
        <v>#N/A</v>
      </c>
      <c r="BB89" s="37" t="e">
        <f t="shared" ca="1" si="112"/>
        <v>#N/A</v>
      </c>
    </row>
    <row r="90" spans="12:54" x14ac:dyDescent="0.25">
      <c r="AG90" s="1" t="s">
        <v>54</v>
      </c>
      <c r="AH90" s="1"/>
      <c r="AI90" s="37">
        <f t="shared" ref="AI90:AY93" ca="1" si="113">IF((AI72-AH72)&lt;0,AH72/3.2,(AI72-AH72)+AH72/3.2)</f>
        <v>6481.5675394890568</v>
      </c>
      <c r="AJ90" s="37">
        <f t="shared" ca="1" si="113"/>
        <v>7393.5765521183566</v>
      </c>
      <c r="AK90" s="37">
        <f t="shared" ca="1" si="113"/>
        <v>8305.6634883905008</v>
      </c>
      <c r="AL90" s="37">
        <f t="shared" ca="1" si="113"/>
        <v>9291.8913438143081</v>
      </c>
      <c r="AM90" s="37">
        <f t="shared" ca="1" si="113"/>
        <v>10334.955275909499</v>
      </c>
      <c r="AN90" s="37">
        <f t="shared" ca="1" si="113"/>
        <v>11434.793587888147</v>
      </c>
      <c r="AO90" s="37">
        <f t="shared" ca="1" si="113"/>
        <v>12593.27251359436</v>
      </c>
      <c r="AP90" s="37">
        <f t="shared" ca="1" si="113"/>
        <v>13788.244121145959</v>
      </c>
      <c r="AQ90" s="37">
        <f t="shared" ca="1" si="113"/>
        <v>15063.607292966721</v>
      </c>
      <c r="AR90" s="37">
        <f t="shared" ca="1" si="113"/>
        <v>16405.090896568618</v>
      </c>
      <c r="AS90" s="37">
        <f t="shared" ca="1" si="113"/>
        <v>17816.977969397096</v>
      </c>
      <c r="AT90" s="37">
        <f t="shared" ca="1" si="113"/>
        <v>19300.983580428085</v>
      </c>
      <c r="AU90" s="37">
        <f t="shared" ca="1" si="113"/>
        <v>20825.224938131658</v>
      </c>
      <c r="AV90" s="37">
        <f t="shared" ca="1" si="113"/>
        <v>22448.317688958046</v>
      </c>
      <c r="AW90" s="37">
        <f t="shared" ca="1" si="113"/>
        <v>24145.918064625039</v>
      </c>
      <c r="AX90" s="37">
        <f t="shared" ca="1" si="113"/>
        <v>25917.86207894003</v>
      </c>
      <c r="AY90" s="37">
        <f t="shared" ca="1" si="113"/>
        <v>27765.643765286637</v>
      </c>
      <c r="AZ90" s="37" t="e">
        <f t="shared" ca="1" si="112"/>
        <v>#N/A</v>
      </c>
      <c r="BA90" s="37" t="e">
        <f t="shared" ca="1" si="112"/>
        <v>#N/A</v>
      </c>
      <c r="BB90" s="37" t="e">
        <f t="shared" ca="1" si="112"/>
        <v>#N/A</v>
      </c>
    </row>
    <row r="91" spans="12:54" x14ac:dyDescent="0.25">
      <c r="AG91" s="1" t="s">
        <v>56</v>
      </c>
      <c r="AH91" s="1"/>
      <c r="AI91" s="37">
        <f t="shared" ca="1" si="113"/>
        <v>3165.8200437398273</v>
      </c>
      <c r="AJ91" s="37">
        <f t="shared" ca="1" si="113"/>
        <v>3505.4302015250855</v>
      </c>
      <c r="AK91" s="37">
        <f t="shared" ca="1" si="112"/>
        <v>3852.534019618372</v>
      </c>
      <c r="AL91" s="37">
        <f t="shared" ca="1" si="112"/>
        <v>4229.28646574306</v>
      </c>
      <c r="AM91" s="37">
        <f t="shared" ca="1" si="112"/>
        <v>4626.4838922962099</v>
      </c>
      <c r="AN91" s="37">
        <f t="shared" ca="1" si="112"/>
        <v>5043.9386831248239</v>
      </c>
      <c r="AO91" s="37">
        <f t="shared" ca="1" si="112"/>
        <v>5482.3736043946265</v>
      </c>
      <c r="AP91" s="37">
        <f t="shared" ca="1" si="112"/>
        <v>5931.8936743972481</v>
      </c>
      <c r="AQ91" s="37">
        <f t="shared" ca="1" si="112"/>
        <v>6411.9761364043516</v>
      </c>
      <c r="AR91" s="37">
        <f t="shared" ca="1" si="112"/>
        <v>6915.9046083827707</v>
      </c>
      <c r="AS91" s="37">
        <f t="shared" ca="1" si="112"/>
        <v>7445.3384778785048</v>
      </c>
      <c r="AT91" s="37">
        <f t="shared" ca="1" si="112"/>
        <v>8000.8123795157917</v>
      </c>
      <c r="AU91" s="37">
        <f t="shared" ca="1" si="112"/>
        <v>8568.8382233773791</v>
      </c>
      <c r="AV91" s="37">
        <f t="shared" ca="1" si="112"/>
        <v>9193.2331748747711</v>
      </c>
      <c r="AW91" s="37">
        <f t="shared" ca="1" si="112"/>
        <v>9835.591559657274</v>
      </c>
      <c r="AX91" s="37">
        <f t="shared" ca="1" si="112"/>
        <v>10502.754295699453</v>
      </c>
      <c r="AY91" s="37">
        <f t="shared" ca="1" si="112"/>
        <v>11197.403907875047</v>
      </c>
      <c r="AZ91" s="37" t="e">
        <f t="shared" ca="1" si="112"/>
        <v>#N/A</v>
      </c>
      <c r="BA91" s="37" t="e">
        <f t="shared" ca="1" si="112"/>
        <v>#N/A</v>
      </c>
      <c r="BB91" s="37" t="e">
        <f t="shared" ca="1" si="112"/>
        <v>#N/A</v>
      </c>
    </row>
    <row r="92" spans="12:54" x14ac:dyDescent="0.25">
      <c r="AG92" s="1" t="s">
        <v>57</v>
      </c>
      <c r="AH92" s="1"/>
      <c r="AI92" s="37">
        <f t="shared" ca="1" si="113"/>
        <v>0</v>
      </c>
      <c r="AJ92" s="37">
        <f t="shared" ca="1" si="113"/>
        <v>0</v>
      </c>
      <c r="AK92" s="37">
        <f t="shared" ca="1" si="112"/>
        <v>0</v>
      </c>
      <c r="AL92" s="37">
        <f t="shared" ca="1" si="112"/>
        <v>0</v>
      </c>
      <c r="AM92" s="37">
        <f t="shared" ca="1" si="112"/>
        <v>0</v>
      </c>
      <c r="AN92" s="37">
        <f t="shared" ca="1" si="112"/>
        <v>0</v>
      </c>
      <c r="AO92" s="37">
        <f t="shared" ca="1" si="112"/>
        <v>0</v>
      </c>
      <c r="AP92" s="37">
        <f t="shared" ca="1" si="112"/>
        <v>0</v>
      </c>
      <c r="AQ92" s="37">
        <f t="shared" ca="1" si="112"/>
        <v>0</v>
      </c>
      <c r="AR92" s="37">
        <f t="shared" ca="1" si="112"/>
        <v>0</v>
      </c>
      <c r="AS92" s="37">
        <f t="shared" ca="1" si="112"/>
        <v>0</v>
      </c>
      <c r="AT92" s="37">
        <f t="shared" ca="1" si="112"/>
        <v>0</v>
      </c>
      <c r="AU92" s="37">
        <f t="shared" ca="1" si="112"/>
        <v>0</v>
      </c>
      <c r="AV92" s="37">
        <f t="shared" ca="1" si="112"/>
        <v>0</v>
      </c>
      <c r="AW92" s="37">
        <f t="shared" ca="1" si="112"/>
        <v>0</v>
      </c>
      <c r="AX92" s="37">
        <f t="shared" ca="1" si="112"/>
        <v>0</v>
      </c>
      <c r="AY92" s="37">
        <f t="shared" ca="1" si="112"/>
        <v>0</v>
      </c>
      <c r="AZ92" s="37" t="e">
        <f t="shared" ca="1" si="112"/>
        <v>#N/A</v>
      </c>
      <c r="BA92" s="37" t="e">
        <f t="shared" ca="1" si="112"/>
        <v>#N/A</v>
      </c>
      <c r="BB92" s="37" t="e">
        <f t="shared" ca="1" si="112"/>
        <v>#N/A</v>
      </c>
    </row>
    <row r="93" spans="12:54" x14ac:dyDescent="0.25">
      <c r="AG93" s="1" t="s">
        <v>59</v>
      </c>
      <c r="AH93" s="1"/>
      <c r="AI93" s="37">
        <f t="shared" ca="1" si="113"/>
        <v>21902.532663651629</v>
      </c>
      <c r="AJ93" s="37">
        <f t="shared" ca="1" si="113"/>
        <v>24590.478431835028</v>
      </c>
      <c r="AK93" s="37">
        <f t="shared" ca="1" si="112"/>
        <v>27355.629584787865</v>
      </c>
      <c r="AL93" s="37">
        <f t="shared" ca="1" si="112"/>
        <v>30350.060584087369</v>
      </c>
      <c r="AM93" s="37">
        <f t="shared" ca="1" si="112"/>
        <v>33513.074550785343</v>
      </c>
      <c r="AN93" s="37">
        <f t="shared" ca="1" si="112"/>
        <v>36843.968214641529</v>
      </c>
      <c r="AO93" s="37">
        <f t="shared" ca="1" si="112"/>
        <v>40348.438867923047</v>
      </c>
      <c r="AP93" s="37">
        <f t="shared" ca="1" si="112"/>
        <v>43954.729326463159</v>
      </c>
      <c r="AQ93" s="37">
        <f t="shared" ca="1" si="112"/>
        <v>47804.642051827708</v>
      </c>
      <c r="AR93" s="37">
        <f t="shared" ca="1" si="112"/>
        <v>51850.869032503644</v>
      </c>
      <c r="AS93" s="37">
        <f t="shared" ca="1" si="112"/>
        <v>56106.487621035929</v>
      </c>
      <c r="AT93" s="37">
        <f t="shared" ca="1" si="112"/>
        <v>60576.32606442221</v>
      </c>
      <c r="AU93" s="37">
        <f t="shared" ca="1" si="112"/>
        <v>65159.465209334478</v>
      </c>
      <c r="AV93" s="37">
        <f t="shared" ca="1" si="112"/>
        <v>70406.606290645985</v>
      </c>
      <c r="AW93" s="37">
        <f t="shared" ca="1" si="112"/>
        <v>75709.671761816513</v>
      </c>
      <c r="AX93" s="37">
        <f t="shared" ca="1" si="112"/>
        <v>81201.058850858724</v>
      </c>
      <c r="AY93" s="37">
        <f t="shared" ca="1" si="112"/>
        <v>86926.211376368636</v>
      </c>
      <c r="AZ93" s="37" t="e">
        <f t="shared" ca="1" si="112"/>
        <v>#N/A</v>
      </c>
      <c r="BA93" s="37" t="e">
        <f t="shared" ca="1" si="112"/>
        <v>#N/A</v>
      </c>
      <c r="BB93" s="37" t="e">
        <f t="shared" ca="1" si="112"/>
        <v>#N/A</v>
      </c>
    </row>
    <row r="94" spans="12:54" x14ac:dyDescent="0.25">
      <c r="AG94" s="12" t="s">
        <v>60</v>
      </c>
      <c r="AH94" s="12"/>
      <c r="AI94" s="45">
        <f ca="1">SUM(AI89:AI93)</f>
        <v>108158.27579696705</v>
      </c>
      <c r="AJ94" s="45">
        <f ca="1">SUM(AJ89:AJ93)</f>
        <v>120609.8337933266</v>
      </c>
      <c r="AK94" s="45">
        <f t="shared" ref="AK94:BB94" ca="1" si="114">SUM(AK89:AK93)</f>
        <v>133349.53304877831</v>
      </c>
      <c r="AL94" s="45">
        <f t="shared" ca="1" si="114"/>
        <v>147160.73958523863</v>
      </c>
      <c r="AM94" s="45">
        <f t="shared" ca="1" si="114"/>
        <v>161736.11947812443</v>
      </c>
      <c r="AN94" s="45">
        <f t="shared" ca="1" si="114"/>
        <v>177070.69668677851</v>
      </c>
      <c r="AO94" s="45">
        <f t="shared" ca="1" si="114"/>
        <v>193190.85272342211</v>
      </c>
      <c r="AP94" s="45">
        <f t="shared" ca="1" si="114"/>
        <v>209750.47716760993</v>
      </c>
      <c r="AQ94" s="45">
        <f t="shared" ca="1" si="114"/>
        <v>227432.1941491047</v>
      </c>
      <c r="AR94" s="45">
        <f t="shared" ca="1" si="114"/>
        <v>246004.45061976509</v>
      </c>
      <c r="AS94" s="45">
        <f t="shared" ca="1" si="114"/>
        <v>265527.80830860639</v>
      </c>
      <c r="AT94" s="45">
        <f t="shared" ca="1" si="114"/>
        <v>286023.26356317918</v>
      </c>
      <c r="AU94" s="45">
        <f t="shared" ca="1" si="114"/>
        <v>307011.53011462954</v>
      </c>
      <c r="AV94" s="45">
        <f t="shared" ca="1" si="114"/>
        <v>329752.94521708495</v>
      </c>
      <c r="AW94" s="45">
        <f t="shared" ca="1" si="114"/>
        <v>353318.45309401571</v>
      </c>
      <c r="AX94" s="45">
        <f t="shared" ca="1" si="114"/>
        <v>377843.27655600401</v>
      </c>
      <c r="AY94" s="45">
        <f t="shared" ca="1" si="114"/>
        <v>403390.32342174614</v>
      </c>
      <c r="AZ94" s="45" t="e">
        <f t="shared" ca="1" si="114"/>
        <v>#N/A</v>
      </c>
      <c r="BA94" s="45" t="e">
        <f t="shared" ca="1" si="114"/>
        <v>#N/A</v>
      </c>
      <c r="BB94" s="45" t="e">
        <f t="shared" ca="1" si="114"/>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182</v>
      </c>
      <c r="AH96" s="6"/>
      <c r="AS96" s="142"/>
    </row>
    <row r="97" spans="32:54" x14ac:dyDescent="0.25">
      <c r="AF97" s="6" t="s">
        <v>178</v>
      </c>
      <c r="AG97" s="38"/>
      <c r="AH97" s="36">
        <f>AI97-1</f>
        <v>2018</v>
      </c>
      <c r="AI97" s="36">
        <f>Yr_Start</f>
        <v>2019</v>
      </c>
      <c r="AJ97" s="36">
        <f>AI97+1</f>
        <v>2020</v>
      </c>
      <c r="AK97" s="36">
        <f t="shared" ref="AK97:BB97" si="115">AJ97+1</f>
        <v>2021</v>
      </c>
      <c r="AL97" s="36">
        <f t="shared" si="115"/>
        <v>2022</v>
      </c>
      <c r="AM97" s="36">
        <f t="shared" si="115"/>
        <v>2023</v>
      </c>
      <c r="AN97" s="36">
        <f t="shared" si="115"/>
        <v>2024</v>
      </c>
      <c r="AO97" s="36">
        <f t="shared" si="115"/>
        <v>2025</v>
      </c>
      <c r="AP97" s="36">
        <f t="shared" si="115"/>
        <v>2026</v>
      </c>
      <c r="AQ97" s="36">
        <f t="shared" si="115"/>
        <v>2027</v>
      </c>
      <c r="AR97" s="36">
        <f t="shared" si="115"/>
        <v>2028</v>
      </c>
      <c r="AS97" s="36">
        <f t="shared" si="115"/>
        <v>2029</v>
      </c>
      <c r="AT97" s="36">
        <f t="shared" si="115"/>
        <v>2030</v>
      </c>
      <c r="AU97" s="36">
        <f t="shared" si="115"/>
        <v>2031</v>
      </c>
      <c r="AV97" s="36">
        <f t="shared" si="115"/>
        <v>2032</v>
      </c>
      <c r="AW97" s="36">
        <f t="shared" si="115"/>
        <v>2033</v>
      </c>
      <c r="AX97" s="36">
        <f t="shared" si="115"/>
        <v>2034</v>
      </c>
      <c r="AY97" s="36">
        <f t="shared" si="115"/>
        <v>2035</v>
      </c>
      <c r="AZ97" s="36">
        <f t="shared" si="115"/>
        <v>2036</v>
      </c>
      <c r="BA97" s="36">
        <f t="shared" si="115"/>
        <v>2037</v>
      </c>
      <c r="BB97" s="36">
        <f t="shared" si="115"/>
        <v>2038</v>
      </c>
    </row>
    <row r="98" spans="32:54" x14ac:dyDescent="0.25">
      <c r="AG98" s="1" t="s">
        <v>52</v>
      </c>
      <c r="AH98" s="1"/>
      <c r="AI98" s="37">
        <f ca="1">IF((AI80-AH80)&lt;0,AH80/3.2,(AI80-AH80)+AH80/3.2)</f>
        <v>130442.56500811469</v>
      </c>
      <c r="AJ98" s="37">
        <f ca="1">IF((AJ80-AI80)&lt;0,AI80/3.2,(AJ80-AI80)+AI80/3.2)</f>
        <v>145721.4435735459</v>
      </c>
      <c r="AK98" s="37">
        <f t="shared" ref="AK98:BB98" ca="1" si="116">IF((AK80-AJ80)&lt;0,AJ80/3.2,(AK80-AJ80)+AJ80/3.2)</f>
        <v>161405.45537980169</v>
      </c>
      <c r="AL98" s="37">
        <f t="shared" ca="1" si="116"/>
        <v>178402.88800681732</v>
      </c>
      <c r="AM98" s="37">
        <f t="shared" ca="1" si="116"/>
        <v>196345.83589985754</v>
      </c>
      <c r="AN98" s="37">
        <f t="shared" ca="1" si="116"/>
        <v>215228.82858574449</v>
      </c>
      <c r="AO98" s="37">
        <f t="shared" ca="1" si="116"/>
        <v>235084.29455617454</v>
      </c>
      <c r="AP98" s="37">
        <f t="shared" ca="1" si="116"/>
        <v>255491.98966698296</v>
      </c>
      <c r="AQ98" s="37">
        <f t="shared" ca="1" si="116"/>
        <v>277281.23321178381</v>
      </c>
      <c r="AR98" s="37">
        <f t="shared" ca="1" si="116"/>
        <v>300172.0911684176</v>
      </c>
      <c r="AS98" s="37">
        <f t="shared" ca="1" si="116"/>
        <v>324239.00431192928</v>
      </c>
      <c r="AT98" s="37">
        <f t="shared" ca="1" si="116"/>
        <v>349508.29304684704</v>
      </c>
      <c r="AU98" s="37">
        <f t="shared" ca="1" si="116"/>
        <v>375395.3129714409</v>
      </c>
      <c r="AV98" s="37">
        <f t="shared" ca="1" si="116"/>
        <v>402968.49465942569</v>
      </c>
      <c r="AW98" s="37">
        <f t="shared" ca="1" si="116"/>
        <v>431776.33722413011</v>
      </c>
      <c r="AX98" s="37">
        <f t="shared" ca="1" si="116"/>
        <v>461813.08737302991</v>
      </c>
      <c r="AY98" s="37">
        <f t="shared" ca="1" si="116"/>
        <v>493103.16658068891</v>
      </c>
      <c r="AZ98" s="37" t="e">
        <f t="shared" ca="1" si="116"/>
        <v>#N/A</v>
      </c>
      <c r="BA98" s="37" t="e">
        <f t="shared" ca="1" si="116"/>
        <v>#N/A</v>
      </c>
      <c r="BB98" s="37" t="e">
        <f t="shared" ca="1" si="116"/>
        <v>#N/A</v>
      </c>
    </row>
    <row r="99" spans="32:54" x14ac:dyDescent="0.25">
      <c r="AG99" s="1" t="s">
        <v>54</v>
      </c>
      <c r="AH99" s="1"/>
      <c r="AI99" s="37">
        <f t="shared" ref="AI99:BB99" ca="1" si="117">IF((AI81-AH81)&lt;0,AH81/3.2,(AI81-AH81)+AH81/3.2)</f>
        <v>8411.0373488377736</v>
      </c>
      <c r="AJ99" s="37">
        <f t="shared" ca="1" si="117"/>
        <v>9484.6382636733142</v>
      </c>
      <c r="AK99" s="37">
        <f t="shared" ca="1" si="117"/>
        <v>10590.988550016882</v>
      </c>
      <c r="AL99" s="37">
        <f t="shared" ca="1" si="117"/>
        <v>11788.340898111857</v>
      </c>
      <c r="AM99" s="37">
        <f t="shared" ca="1" si="117"/>
        <v>13053.750535642735</v>
      </c>
      <c r="AN99" s="37">
        <f t="shared" ca="1" si="117"/>
        <v>14387.02011042047</v>
      </c>
      <c r="AO99" s="37">
        <f t="shared" ca="1" si="117"/>
        <v>15790.422710430685</v>
      </c>
      <c r="AP99" s="37">
        <f t="shared" ca="1" si="117"/>
        <v>17235.998644122134</v>
      </c>
      <c r="AQ99" s="37">
        <f t="shared" ca="1" si="117"/>
        <v>18779.065106352642</v>
      </c>
      <c r="AR99" s="37">
        <f t="shared" ca="1" si="117"/>
        <v>20401.351972088898</v>
      </c>
      <c r="AS99" s="37">
        <f t="shared" ca="1" si="117"/>
        <v>22108.076483951485</v>
      </c>
      <c r="AT99" s="37">
        <f t="shared" ca="1" si="117"/>
        <v>23901.230883389089</v>
      </c>
      <c r="AU99" s="37">
        <f t="shared" ca="1" si="117"/>
        <v>25741.130506208221</v>
      </c>
      <c r="AV99" s="37">
        <f t="shared" ca="1" si="117"/>
        <v>27700.556093516152</v>
      </c>
      <c r="AW99" s="37">
        <f t="shared" ca="1" si="117"/>
        <v>29749.065090497581</v>
      </c>
      <c r="AX99" s="37">
        <f t="shared" ca="1" si="117"/>
        <v>31886.377081689963</v>
      </c>
      <c r="AY99" s="37">
        <f t="shared" ca="1" si="117"/>
        <v>34114.269038508108</v>
      </c>
      <c r="AZ99" s="37" t="e">
        <f t="shared" ca="1" si="117"/>
        <v>#N/A</v>
      </c>
      <c r="BA99" s="37" t="e">
        <f t="shared" ca="1" si="117"/>
        <v>#N/A</v>
      </c>
      <c r="BB99" s="37" t="e">
        <f t="shared" ca="1" si="117"/>
        <v>#N/A</v>
      </c>
    </row>
    <row r="100" spans="32:54" x14ac:dyDescent="0.25">
      <c r="AG100" s="1" t="s">
        <v>56</v>
      </c>
      <c r="AH100" s="1"/>
      <c r="AI100" s="37">
        <f t="shared" ref="AI100:BB100" ca="1" si="118">IF((AI82-AH82)&lt;0,AH82/3.2,(AI82-AH82)+AH82/3.2)</f>
        <v>3277.0084275002396</v>
      </c>
      <c r="AJ100" s="37">
        <f t="shared" ca="1" si="118"/>
        <v>3656.8090472228137</v>
      </c>
      <c r="AK100" s="37">
        <f t="shared" ca="1" si="118"/>
        <v>4046.4848032606446</v>
      </c>
      <c r="AL100" s="37">
        <f t="shared" ca="1" si="118"/>
        <v>4468.8682705098145</v>
      </c>
      <c r="AM100" s="37">
        <f t="shared" ca="1" si="118"/>
        <v>4914.6812939968113</v>
      </c>
      <c r="AN100" s="37">
        <f t="shared" ca="1" si="118"/>
        <v>5383.7793442404236</v>
      </c>
      <c r="AO100" s="37">
        <f t="shared" ca="1" si="118"/>
        <v>5876.968779214485</v>
      </c>
      <c r="AP100" s="37">
        <f t="shared" ca="1" si="118"/>
        <v>6383.7315098912341</v>
      </c>
      <c r="AQ100" s="37">
        <f t="shared" ca="1" si="118"/>
        <v>6924.817733488112</v>
      </c>
      <c r="AR100" s="37">
        <f t="shared" ca="1" si="118"/>
        <v>7493.2049224374496</v>
      </c>
      <c r="AS100" s="37">
        <f t="shared" ca="1" si="118"/>
        <v>8090.7441331946275</v>
      </c>
      <c r="AT100" s="37">
        <f t="shared" ca="1" si="118"/>
        <v>8718.0831121393967</v>
      </c>
      <c r="AU100" s="37">
        <f t="shared" ca="1" si="118"/>
        <v>9360.625033743836</v>
      </c>
      <c r="AV100" s="37">
        <f t="shared" ca="1" si="118"/>
        <v>10045.033656246624</v>
      </c>
      <c r="AW100" s="37">
        <f t="shared" ca="1" si="118"/>
        <v>10760.027005067272</v>
      </c>
      <c r="AX100" s="37">
        <f t="shared" ca="1" si="118"/>
        <v>11505.456407317928</v>
      </c>
      <c r="AY100" s="37">
        <f t="shared" ca="1" si="118"/>
        <v>12281.926144799509</v>
      </c>
      <c r="AZ100" s="37" t="e">
        <f t="shared" ca="1" si="118"/>
        <v>#N/A</v>
      </c>
      <c r="BA100" s="37" t="e">
        <f t="shared" ca="1" si="118"/>
        <v>#N/A</v>
      </c>
      <c r="BB100" s="37" t="e">
        <f t="shared" ca="1" si="118"/>
        <v>#N/A</v>
      </c>
    </row>
    <row r="101" spans="32:54" x14ac:dyDescent="0.25">
      <c r="AG101" s="1" t="s">
        <v>57</v>
      </c>
      <c r="AH101" s="1"/>
      <c r="AI101" s="37">
        <f t="shared" ref="AI101:BB101" ca="1" si="119">IF((AI83-AH83)&lt;0,AH83/3.2,(AI83-AH83)+AH83/3.2)</f>
        <v>0</v>
      </c>
      <c r="AJ101" s="37">
        <f t="shared" ca="1" si="119"/>
        <v>0</v>
      </c>
      <c r="AK101" s="37">
        <f t="shared" ca="1" si="119"/>
        <v>0</v>
      </c>
      <c r="AL101" s="37">
        <f t="shared" ca="1" si="119"/>
        <v>0</v>
      </c>
      <c r="AM101" s="37">
        <f t="shared" ca="1" si="119"/>
        <v>0</v>
      </c>
      <c r="AN101" s="37">
        <f t="shared" ca="1" si="119"/>
        <v>0</v>
      </c>
      <c r="AO101" s="37">
        <f t="shared" ca="1" si="119"/>
        <v>0</v>
      </c>
      <c r="AP101" s="37">
        <f t="shared" ca="1" si="119"/>
        <v>0</v>
      </c>
      <c r="AQ101" s="37">
        <f t="shared" ca="1" si="119"/>
        <v>0</v>
      </c>
      <c r="AR101" s="37">
        <f t="shared" ca="1" si="119"/>
        <v>0</v>
      </c>
      <c r="AS101" s="37">
        <f t="shared" ca="1" si="119"/>
        <v>0</v>
      </c>
      <c r="AT101" s="37">
        <f t="shared" ca="1" si="119"/>
        <v>0</v>
      </c>
      <c r="AU101" s="37">
        <f t="shared" ca="1" si="119"/>
        <v>0</v>
      </c>
      <c r="AV101" s="37">
        <f t="shared" ca="1" si="119"/>
        <v>0</v>
      </c>
      <c r="AW101" s="37">
        <f t="shared" ca="1" si="119"/>
        <v>0</v>
      </c>
      <c r="AX101" s="37">
        <f t="shared" ca="1" si="119"/>
        <v>0</v>
      </c>
      <c r="AY101" s="37">
        <f t="shared" ca="1" si="119"/>
        <v>0</v>
      </c>
      <c r="AZ101" s="37" t="e">
        <f t="shared" ca="1" si="119"/>
        <v>#N/A</v>
      </c>
      <c r="BA101" s="37" t="e">
        <f t="shared" ca="1" si="119"/>
        <v>#N/A</v>
      </c>
      <c r="BB101" s="37" t="e">
        <f t="shared" ca="1" si="119"/>
        <v>#N/A</v>
      </c>
    </row>
    <row r="102" spans="32:54" x14ac:dyDescent="0.25">
      <c r="AG102" s="1" t="s">
        <v>59</v>
      </c>
      <c r="AH102" s="1"/>
      <c r="AI102" s="37">
        <f t="shared" ref="AI102:BB102" ca="1" si="120">IF((AI84-AH84)&lt;0,AH84/3.2,(AI84-AH84)+AH84/3.2)</f>
        <v>19615.599400878411</v>
      </c>
      <c r="AJ102" s="37">
        <f t="shared" ca="1" si="120"/>
        <v>21982.212724080015</v>
      </c>
      <c r="AK102" s="37">
        <f t="shared" ca="1" si="120"/>
        <v>24414.921677607985</v>
      </c>
      <c r="AL102" s="37">
        <f t="shared" ca="1" si="120"/>
        <v>27050.066646810632</v>
      </c>
      <c r="AM102" s="37">
        <f t="shared" ca="1" si="120"/>
        <v>29832.930403461589</v>
      </c>
      <c r="AN102" s="37">
        <f t="shared" ca="1" si="120"/>
        <v>32762.811619956534</v>
      </c>
      <c r="AO102" s="37">
        <f t="shared" ca="1" si="120"/>
        <v>35844.728945077513</v>
      </c>
      <c r="AP102" s="37">
        <f t="shared" ca="1" si="120"/>
        <v>39014.814244120847</v>
      </c>
      <c r="AQ102" s="37">
        <f t="shared" ca="1" si="120"/>
        <v>42399.216340533378</v>
      </c>
      <c r="AR102" s="37">
        <f t="shared" ca="1" si="120"/>
        <v>45955.667951661242</v>
      </c>
      <c r="AS102" s="37">
        <f t="shared" ca="1" si="120"/>
        <v>49695.689010576702</v>
      </c>
      <c r="AT102" s="37">
        <f t="shared" ca="1" si="120"/>
        <v>53623.467870478824</v>
      </c>
      <c r="AU102" s="37">
        <f t="shared" ca="1" si="120"/>
        <v>57649.536607559967</v>
      </c>
      <c r="AV102" s="37">
        <f t="shared" ca="1" si="120"/>
        <v>61937.597791712702</v>
      </c>
      <c r="AW102" s="37">
        <f t="shared" ca="1" si="120"/>
        <v>66418.71809405461</v>
      </c>
      <c r="AX102" s="37">
        <f t="shared" ca="1" si="120"/>
        <v>71092.103048794466</v>
      </c>
      <c r="AY102" s="37">
        <f t="shared" ca="1" si="120"/>
        <v>75961.582986781752</v>
      </c>
      <c r="AZ102" s="37" t="e">
        <f t="shared" ca="1" si="120"/>
        <v>#N/A</v>
      </c>
      <c r="BA102" s="37" t="e">
        <f t="shared" ca="1" si="120"/>
        <v>#N/A</v>
      </c>
      <c r="BB102" s="37" t="e">
        <f t="shared" ca="1" si="120"/>
        <v>#N/A</v>
      </c>
    </row>
    <row r="103" spans="32:54" x14ac:dyDescent="0.25">
      <c r="AG103" s="12" t="s">
        <v>60</v>
      </c>
      <c r="AH103" s="12"/>
      <c r="AI103" s="45">
        <f ca="1">SUM(AI98:AI102)</f>
        <v>161746.21018533112</v>
      </c>
      <c r="AJ103" s="45">
        <f ca="1">SUM(AJ98:AJ102)</f>
        <v>180845.10360852204</v>
      </c>
      <c r="AK103" s="45">
        <f t="shared" ref="AK103:BB103" ca="1" si="121">SUM(AK98:AK102)</f>
        <v>200457.85041068721</v>
      </c>
      <c r="AL103" s="45">
        <f t="shared" ca="1" si="121"/>
        <v>221710.16382224963</v>
      </c>
      <c r="AM103" s="45">
        <f t="shared" ca="1" si="121"/>
        <v>244147.19813295867</v>
      </c>
      <c r="AN103" s="45">
        <f t="shared" ca="1" si="121"/>
        <v>267762.43966036191</v>
      </c>
      <c r="AO103" s="45">
        <f t="shared" ca="1" si="121"/>
        <v>292596.41499089723</v>
      </c>
      <c r="AP103" s="45">
        <f t="shared" ca="1" si="121"/>
        <v>318126.53406511719</v>
      </c>
      <c r="AQ103" s="45">
        <f t="shared" ca="1" si="121"/>
        <v>345384.33239215793</v>
      </c>
      <c r="AR103" s="45">
        <f t="shared" ca="1" si="121"/>
        <v>374022.31601460517</v>
      </c>
      <c r="AS103" s="45">
        <f t="shared" ca="1" si="121"/>
        <v>404133.51393965207</v>
      </c>
      <c r="AT103" s="45">
        <f t="shared" ca="1" si="121"/>
        <v>435751.0749128543</v>
      </c>
      <c r="AU103" s="45">
        <f t="shared" ca="1" si="121"/>
        <v>468146.60511895292</v>
      </c>
      <c r="AV103" s="45">
        <f t="shared" ca="1" si="121"/>
        <v>502651.68220090121</v>
      </c>
      <c r="AW103" s="45">
        <f t="shared" ca="1" si="121"/>
        <v>538704.1474137496</v>
      </c>
      <c r="AX103" s="45">
        <f t="shared" ca="1" si="121"/>
        <v>576297.02391083224</v>
      </c>
      <c r="AY103" s="45">
        <f t="shared" ca="1" si="121"/>
        <v>615460.94475077826</v>
      </c>
      <c r="AZ103" s="45" t="e">
        <f t="shared" ca="1" si="121"/>
        <v>#N/A</v>
      </c>
      <c r="BA103" s="45" t="e">
        <f t="shared" ca="1" si="121"/>
        <v>#N/A</v>
      </c>
      <c r="BB103" s="45" t="e">
        <f t="shared" ca="1" si="121"/>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22">AJ107+1</f>
        <v>2021</v>
      </c>
      <c r="AL107" s="36">
        <f t="shared" si="122"/>
        <v>2022</v>
      </c>
      <c r="AM107" s="36">
        <f t="shared" si="122"/>
        <v>2023</v>
      </c>
      <c r="AN107" s="36">
        <f t="shared" si="122"/>
        <v>2024</v>
      </c>
      <c r="AO107" s="36">
        <f t="shared" si="122"/>
        <v>2025</v>
      </c>
      <c r="AP107" s="36">
        <f t="shared" si="122"/>
        <v>2026</v>
      </c>
      <c r="AQ107" s="36">
        <f t="shared" si="122"/>
        <v>2027</v>
      </c>
      <c r="AR107" s="36">
        <f t="shared" si="122"/>
        <v>2028</v>
      </c>
      <c r="AS107" s="36">
        <f t="shared" si="122"/>
        <v>2029</v>
      </c>
      <c r="AT107" s="36">
        <f t="shared" si="122"/>
        <v>2030</v>
      </c>
      <c r="AU107" s="36">
        <f t="shared" si="122"/>
        <v>2031</v>
      </c>
      <c r="AV107" s="36">
        <f t="shared" si="122"/>
        <v>2032</v>
      </c>
      <c r="AW107" s="36">
        <f t="shared" si="122"/>
        <v>2033</v>
      </c>
      <c r="AX107" s="36">
        <f t="shared" si="122"/>
        <v>2034</v>
      </c>
      <c r="AY107" s="36">
        <f t="shared" si="122"/>
        <v>2035</v>
      </c>
      <c r="AZ107" s="36">
        <f t="shared" si="122"/>
        <v>2036</v>
      </c>
      <c r="BA107" s="36">
        <f t="shared" si="122"/>
        <v>2037</v>
      </c>
      <c r="BB107" s="36">
        <f t="shared" si="122"/>
        <v>2038</v>
      </c>
    </row>
    <row r="108" spans="32:54" x14ac:dyDescent="0.25">
      <c r="AF108"/>
      <c r="AG108" s="1" t="s">
        <v>52</v>
      </c>
      <c r="AH108" s="1"/>
      <c r="AI108" s="37">
        <f ca="1">AI89+AI98</f>
        <v>207050.92055820121</v>
      </c>
      <c r="AJ108" s="37">
        <f ca="1">AJ89+AJ98</f>
        <v>230841.79218139403</v>
      </c>
      <c r="AK108" s="37">
        <f t="shared" ref="AK108:BB108" ca="1" si="123">AK89+AK98</f>
        <v>255241.16133578325</v>
      </c>
      <c r="AL108" s="37">
        <f t="shared" ca="1" si="123"/>
        <v>281692.3891984112</v>
      </c>
      <c r="AM108" s="37">
        <f t="shared" ca="1" si="123"/>
        <v>309607.44165899092</v>
      </c>
      <c r="AN108" s="37">
        <f t="shared" ca="1" si="123"/>
        <v>338976.82478686853</v>
      </c>
      <c r="AO108" s="37">
        <f t="shared" ca="1" si="123"/>
        <v>369851.06229368463</v>
      </c>
      <c r="AP108" s="37">
        <f t="shared" ca="1" si="123"/>
        <v>401567.5997125865</v>
      </c>
      <c r="AQ108" s="37">
        <f t="shared" ca="1" si="123"/>
        <v>435433.2018796897</v>
      </c>
      <c r="AR108" s="37">
        <f t="shared" ca="1" si="123"/>
        <v>471004.67725072766</v>
      </c>
      <c r="AS108" s="37">
        <f t="shared" ca="1" si="123"/>
        <v>508398.00855222414</v>
      </c>
      <c r="AT108" s="37">
        <f t="shared" ca="1" si="123"/>
        <v>547653.43458566011</v>
      </c>
      <c r="AU108" s="37">
        <f t="shared" ca="1" si="123"/>
        <v>587853.31471522688</v>
      </c>
      <c r="AV108" s="37">
        <f t="shared" ca="1" si="123"/>
        <v>630673.28272203181</v>
      </c>
      <c r="AW108" s="37">
        <f t="shared" ca="1" si="123"/>
        <v>675403.60893204703</v>
      </c>
      <c r="AX108" s="37">
        <f t="shared" ca="1" si="123"/>
        <v>722034.68870353571</v>
      </c>
      <c r="AY108" s="37">
        <f t="shared" ca="1" si="123"/>
        <v>770604.23095290468</v>
      </c>
      <c r="AZ108" s="37" t="e">
        <f t="shared" ca="1" si="123"/>
        <v>#N/A</v>
      </c>
      <c r="BA108" s="37" t="e">
        <f t="shared" ca="1" si="123"/>
        <v>#N/A</v>
      </c>
      <c r="BB108" s="37" t="e">
        <f t="shared" ca="1" si="123"/>
        <v>#N/A</v>
      </c>
    </row>
    <row r="109" spans="32:54" x14ac:dyDescent="0.25">
      <c r="AF109"/>
      <c r="AG109" s="1" t="s">
        <v>54</v>
      </c>
      <c r="AH109" s="1"/>
      <c r="AI109" s="37">
        <f t="shared" ref="AI109" ca="1" si="124">AI90+AI99</f>
        <v>14892.60488832683</v>
      </c>
      <c r="AJ109" s="37">
        <f t="shared" ref="AJ109:BB112" ca="1" si="125">AJ90+AJ99</f>
        <v>16878.214815791671</v>
      </c>
      <c r="AK109" s="37">
        <f t="shared" ca="1" si="125"/>
        <v>18896.652038407381</v>
      </c>
      <c r="AL109" s="37">
        <f t="shared" ca="1" si="125"/>
        <v>21080.232241926165</v>
      </c>
      <c r="AM109" s="37">
        <f t="shared" ca="1" si="125"/>
        <v>23388.705811552234</v>
      </c>
      <c r="AN109" s="37">
        <f t="shared" ca="1" si="125"/>
        <v>25821.813698308615</v>
      </c>
      <c r="AO109" s="37">
        <f t="shared" ca="1" si="125"/>
        <v>28383.695224025047</v>
      </c>
      <c r="AP109" s="37">
        <f t="shared" ca="1" si="125"/>
        <v>31024.242765268093</v>
      </c>
      <c r="AQ109" s="37">
        <f t="shared" ca="1" si="125"/>
        <v>33842.672399319359</v>
      </c>
      <c r="AR109" s="37">
        <f t="shared" ca="1" si="125"/>
        <v>36806.442868657512</v>
      </c>
      <c r="AS109" s="37">
        <f t="shared" ca="1" si="125"/>
        <v>39925.054453348581</v>
      </c>
      <c r="AT109" s="37">
        <f t="shared" ca="1" si="125"/>
        <v>43202.214463817174</v>
      </c>
      <c r="AU109" s="37">
        <f t="shared" ca="1" si="125"/>
        <v>46566.355444339875</v>
      </c>
      <c r="AV109" s="37">
        <f t="shared" ca="1" si="125"/>
        <v>50148.873782474198</v>
      </c>
      <c r="AW109" s="37">
        <f t="shared" ca="1" si="125"/>
        <v>53894.983155122623</v>
      </c>
      <c r="AX109" s="37">
        <f t="shared" ca="1" si="125"/>
        <v>57804.239160629993</v>
      </c>
      <c r="AY109" s="37">
        <f t="shared" ca="1" si="125"/>
        <v>61879.912803794745</v>
      </c>
      <c r="AZ109" s="37" t="e">
        <f t="shared" ca="1" si="125"/>
        <v>#N/A</v>
      </c>
      <c r="BA109" s="37" t="e">
        <f t="shared" ca="1" si="125"/>
        <v>#N/A</v>
      </c>
      <c r="BB109" s="37" t="e">
        <f t="shared" ca="1" si="125"/>
        <v>#N/A</v>
      </c>
    </row>
    <row r="110" spans="32:54" x14ac:dyDescent="0.25">
      <c r="AF110"/>
      <c r="AG110" s="1" t="s">
        <v>56</v>
      </c>
      <c r="AH110" s="1"/>
      <c r="AI110" s="37">
        <f t="shared" ref="AI110" ca="1" si="126">AI91+AI100</f>
        <v>6442.8284712400673</v>
      </c>
      <c r="AJ110" s="37">
        <f t="shared" ca="1" si="125"/>
        <v>7162.2392487478992</v>
      </c>
      <c r="AK110" s="37">
        <f t="shared" ca="1" si="125"/>
        <v>7899.0188228790166</v>
      </c>
      <c r="AL110" s="37">
        <f t="shared" ca="1" si="125"/>
        <v>8698.1547362528745</v>
      </c>
      <c r="AM110" s="37">
        <f t="shared" ca="1" si="125"/>
        <v>9541.1651862930212</v>
      </c>
      <c r="AN110" s="37">
        <f t="shared" ca="1" si="125"/>
        <v>10427.718027365248</v>
      </c>
      <c r="AO110" s="37">
        <f t="shared" ca="1" si="125"/>
        <v>11359.342383609111</v>
      </c>
      <c r="AP110" s="37">
        <f t="shared" ca="1" si="125"/>
        <v>12315.625184288481</v>
      </c>
      <c r="AQ110" s="37">
        <f t="shared" ca="1" si="125"/>
        <v>13336.793869892463</v>
      </c>
      <c r="AR110" s="37">
        <f t="shared" ca="1" si="125"/>
        <v>14409.10953082022</v>
      </c>
      <c r="AS110" s="37">
        <f t="shared" ca="1" si="125"/>
        <v>15536.082611073132</v>
      </c>
      <c r="AT110" s="37">
        <f t="shared" ca="1" si="125"/>
        <v>16718.895491655188</v>
      </c>
      <c r="AU110" s="37">
        <f t="shared" ca="1" si="125"/>
        <v>17929.463257121213</v>
      </c>
      <c r="AV110" s="37">
        <f t="shared" ca="1" si="125"/>
        <v>19238.266831121393</v>
      </c>
      <c r="AW110" s="37">
        <f t="shared" ca="1" si="125"/>
        <v>20595.618564724544</v>
      </c>
      <c r="AX110" s="37">
        <f t="shared" ca="1" si="125"/>
        <v>22008.210703017379</v>
      </c>
      <c r="AY110" s="37">
        <f t="shared" ca="1" si="125"/>
        <v>23479.330052674555</v>
      </c>
      <c r="AZ110" s="37" t="e">
        <f t="shared" ca="1" si="125"/>
        <v>#N/A</v>
      </c>
      <c r="BA110" s="37" t="e">
        <f t="shared" ca="1" si="125"/>
        <v>#N/A</v>
      </c>
      <c r="BB110" s="37" t="e">
        <f t="shared" ca="1" si="125"/>
        <v>#N/A</v>
      </c>
    </row>
    <row r="111" spans="32:54" x14ac:dyDescent="0.25">
      <c r="AF111"/>
      <c r="AG111" s="1" t="s">
        <v>57</v>
      </c>
      <c r="AH111" s="1"/>
      <c r="AI111" s="37">
        <f t="shared" ref="AI111" ca="1" si="127">AI92+AI101</f>
        <v>0</v>
      </c>
      <c r="AJ111" s="37">
        <f t="shared" ca="1" si="125"/>
        <v>0</v>
      </c>
      <c r="AK111" s="37">
        <f t="shared" ca="1" si="125"/>
        <v>0</v>
      </c>
      <c r="AL111" s="37">
        <f t="shared" ca="1" si="125"/>
        <v>0</v>
      </c>
      <c r="AM111" s="37">
        <f t="shared" ca="1" si="125"/>
        <v>0</v>
      </c>
      <c r="AN111" s="37">
        <f t="shared" ca="1" si="125"/>
        <v>0</v>
      </c>
      <c r="AO111" s="37">
        <f t="shared" ca="1" si="125"/>
        <v>0</v>
      </c>
      <c r="AP111" s="37">
        <f t="shared" ca="1" si="125"/>
        <v>0</v>
      </c>
      <c r="AQ111" s="37">
        <f t="shared" ca="1" si="125"/>
        <v>0</v>
      </c>
      <c r="AR111" s="37">
        <f t="shared" ca="1" si="125"/>
        <v>0</v>
      </c>
      <c r="AS111" s="37">
        <f t="shared" ca="1" si="125"/>
        <v>0</v>
      </c>
      <c r="AT111" s="37">
        <f t="shared" ca="1" si="125"/>
        <v>0</v>
      </c>
      <c r="AU111" s="37">
        <f t="shared" ca="1" si="125"/>
        <v>0</v>
      </c>
      <c r="AV111" s="37">
        <f t="shared" ca="1" si="125"/>
        <v>0</v>
      </c>
      <c r="AW111" s="37">
        <f t="shared" ca="1" si="125"/>
        <v>0</v>
      </c>
      <c r="AX111" s="37">
        <f t="shared" ca="1" si="125"/>
        <v>0</v>
      </c>
      <c r="AY111" s="37">
        <f t="shared" ca="1" si="125"/>
        <v>0</v>
      </c>
      <c r="AZ111" s="37" t="e">
        <f t="shared" ca="1" si="125"/>
        <v>#N/A</v>
      </c>
      <c r="BA111" s="37" t="e">
        <f t="shared" ca="1" si="125"/>
        <v>#N/A</v>
      </c>
      <c r="BB111" s="37" t="e">
        <f t="shared" ca="1" si="125"/>
        <v>#N/A</v>
      </c>
    </row>
    <row r="112" spans="32:54" x14ac:dyDescent="0.25">
      <c r="AF112"/>
      <c r="AG112" s="1" t="s">
        <v>59</v>
      </c>
      <c r="AH112" s="1"/>
      <c r="AI112" s="37">
        <f ca="1">AI93+AI102</f>
        <v>41518.132064530044</v>
      </c>
      <c r="AJ112" s="37">
        <f ca="1">AJ93+AJ102</f>
        <v>46572.691155915047</v>
      </c>
      <c r="AK112" s="37">
        <f t="shared" ca="1" si="125"/>
        <v>51770.551262395849</v>
      </c>
      <c r="AL112" s="37">
        <f t="shared" ca="1" si="125"/>
        <v>57400.127230897997</v>
      </c>
      <c r="AM112" s="37">
        <f t="shared" ca="1" si="125"/>
        <v>63346.004954246935</v>
      </c>
      <c r="AN112" s="37">
        <f t="shared" ca="1" si="125"/>
        <v>69606.77983459807</v>
      </c>
      <c r="AO112" s="37">
        <f t="shared" ca="1" si="125"/>
        <v>76193.16781300056</v>
      </c>
      <c r="AP112" s="37">
        <f t="shared" ca="1" si="125"/>
        <v>82969.543570584006</v>
      </c>
      <c r="AQ112" s="37">
        <f t="shared" ca="1" si="125"/>
        <v>90203.858392361086</v>
      </c>
      <c r="AR112" s="37">
        <f t="shared" ca="1" si="125"/>
        <v>97806.536984164879</v>
      </c>
      <c r="AS112" s="37">
        <f t="shared" ca="1" si="125"/>
        <v>105802.17663161263</v>
      </c>
      <c r="AT112" s="37">
        <f t="shared" ca="1" si="125"/>
        <v>114199.79393490104</v>
      </c>
      <c r="AU112" s="37">
        <f t="shared" ca="1" si="125"/>
        <v>122809.00181689445</v>
      </c>
      <c r="AV112" s="37">
        <f t="shared" ca="1" si="125"/>
        <v>132344.20408235869</v>
      </c>
      <c r="AW112" s="37">
        <f t="shared" ca="1" si="125"/>
        <v>142128.38985587112</v>
      </c>
      <c r="AX112" s="37">
        <f t="shared" ca="1" si="125"/>
        <v>152293.16189965321</v>
      </c>
      <c r="AY112" s="37">
        <f t="shared" ca="1" si="125"/>
        <v>162887.79436315037</v>
      </c>
      <c r="AZ112" s="37" t="e">
        <f t="shared" ca="1" si="125"/>
        <v>#N/A</v>
      </c>
      <c r="BA112" s="37" t="e">
        <f t="shared" ca="1" si="125"/>
        <v>#N/A</v>
      </c>
      <c r="BB112" s="37" t="e">
        <f t="shared" ca="1" si="125"/>
        <v>#N/A</v>
      </c>
    </row>
    <row r="113" spans="32:54" x14ac:dyDescent="0.25">
      <c r="AF113"/>
      <c r="AG113" s="12" t="s">
        <v>60</v>
      </c>
      <c r="AH113" s="12"/>
      <c r="AI113" s="45">
        <f ca="1">SUM(AI108:AI112)</f>
        <v>269904.48598229815</v>
      </c>
      <c r="AJ113" s="45">
        <f ca="1">SUM(AJ108:AJ112)</f>
        <v>301454.93740184867</v>
      </c>
      <c r="AK113" s="45">
        <f t="shared" ref="AK113:BB113" ca="1" si="128">SUM(AK108:AK112)</f>
        <v>333807.38345946552</v>
      </c>
      <c r="AL113" s="45">
        <f t="shared" ca="1" si="128"/>
        <v>368870.90340748825</v>
      </c>
      <c r="AM113" s="45">
        <f t="shared" ca="1" si="128"/>
        <v>405883.3176110831</v>
      </c>
      <c r="AN113" s="45">
        <f t="shared" ca="1" si="128"/>
        <v>444833.13634714042</v>
      </c>
      <c r="AO113" s="45">
        <f t="shared" ca="1" si="128"/>
        <v>485787.26771431934</v>
      </c>
      <c r="AP113" s="45">
        <f t="shared" ca="1" si="128"/>
        <v>527877.01123272709</v>
      </c>
      <c r="AQ113" s="45">
        <f t="shared" ca="1" si="128"/>
        <v>572816.52654126263</v>
      </c>
      <c r="AR113" s="45">
        <f t="shared" ca="1" si="128"/>
        <v>620026.76663437032</v>
      </c>
      <c r="AS113" s="45">
        <f t="shared" ca="1" si="128"/>
        <v>669661.32224825851</v>
      </c>
      <c r="AT113" s="45">
        <f t="shared" ca="1" si="128"/>
        <v>721774.33847603353</v>
      </c>
      <c r="AU113" s="45">
        <f t="shared" ca="1" si="128"/>
        <v>775158.13523358246</v>
      </c>
      <c r="AV113" s="45">
        <f t="shared" ca="1" si="128"/>
        <v>832404.62741798605</v>
      </c>
      <c r="AW113" s="45">
        <f t="shared" ca="1" si="128"/>
        <v>892022.60050776531</v>
      </c>
      <c r="AX113" s="45">
        <f t="shared" ca="1" si="128"/>
        <v>954140.30046683643</v>
      </c>
      <c r="AY113" s="45">
        <f t="shared" ca="1" si="128"/>
        <v>1018851.2681725243</v>
      </c>
      <c r="AZ113" s="45" t="e">
        <f t="shared" ca="1" si="128"/>
        <v>#N/A</v>
      </c>
      <c r="BA113" s="45" t="e">
        <f t="shared" ca="1" si="128"/>
        <v>#N/A</v>
      </c>
      <c r="BB113" s="45" t="e">
        <f t="shared" ca="1" si="128"/>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29">AJ116+1</f>
        <v>2021</v>
      </c>
      <c r="AL116" s="36">
        <f t="shared" si="129"/>
        <v>2022</v>
      </c>
      <c r="AM116" s="36">
        <f t="shared" si="129"/>
        <v>2023</v>
      </c>
      <c r="AN116" s="36">
        <f t="shared" si="129"/>
        <v>2024</v>
      </c>
      <c r="AO116" s="36">
        <f t="shared" si="129"/>
        <v>2025</v>
      </c>
      <c r="AP116" s="36">
        <f t="shared" si="129"/>
        <v>2026</v>
      </c>
      <c r="AQ116" s="36">
        <f t="shared" si="129"/>
        <v>2027</v>
      </c>
      <c r="AR116" s="36">
        <f t="shared" si="129"/>
        <v>2028</v>
      </c>
      <c r="AS116" s="36">
        <f t="shared" si="129"/>
        <v>2029</v>
      </c>
      <c r="AT116" s="36">
        <f t="shared" si="129"/>
        <v>2030</v>
      </c>
      <c r="AU116" s="36">
        <f t="shared" si="129"/>
        <v>2031</v>
      </c>
      <c r="AV116" s="36">
        <f t="shared" si="129"/>
        <v>2032</v>
      </c>
      <c r="AW116" s="36">
        <f t="shared" si="129"/>
        <v>2033</v>
      </c>
      <c r="AX116" s="36">
        <f t="shared" si="129"/>
        <v>2034</v>
      </c>
      <c r="AY116" s="36">
        <f t="shared" si="129"/>
        <v>2035</v>
      </c>
      <c r="AZ116" s="36">
        <f t="shared" si="129"/>
        <v>2036</v>
      </c>
      <c r="BA116" s="36">
        <f t="shared" si="129"/>
        <v>2037</v>
      </c>
      <c r="BB116" s="36">
        <f t="shared" si="129"/>
        <v>2038</v>
      </c>
    </row>
    <row r="117" spans="32:54" x14ac:dyDescent="0.25">
      <c r="AF117"/>
      <c r="AG117" s="1" t="s">
        <v>52</v>
      </c>
      <c r="AH117" s="1"/>
      <c r="AI117" s="37">
        <f ca="1">AI71+AI80</f>
        <v>523576.38821387046</v>
      </c>
      <c r="AJ117" s="37">
        <f ca="1">AJ71+AJ80</f>
        <v>590800.55907843006</v>
      </c>
      <c r="AK117" s="37">
        <f ca="1">AK71+AK80</f>
        <v>661416.54570220388</v>
      </c>
      <c r="AL117" s="37">
        <f t="shared" ref="AL117:BB117" ca="1" si="130">AL71+AL80</f>
        <v>736416.26436867635</v>
      </c>
      <c r="AM117" s="37">
        <f t="shared" ca="1" si="130"/>
        <v>815893.6234124559</v>
      </c>
      <c r="AN117" s="37">
        <f t="shared" ca="1" si="130"/>
        <v>899903.69088293193</v>
      </c>
      <c r="AO117" s="37">
        <f t="shared" ca="1" si="130"/>
        <v>988534.84977570036</v>
      </c>
      <c r="AP117" s="37">
        <f t="shared" ca="1" si="130"/>
        <v>1081185.3089333805</v>
      </c>
      <c r="AQ117" s="37">
        <f t="shared" ca="1" si="130"/>
        <v>1178748.1017713889</v>
      </c>
      <c r="AR117" s="37">
        <f t="shared" ca="1" si="130"/>
        <v>1281393.9972185576</v>
      </c>
      <c r="AS117" s="37">
        <f t="shared" ca="1" si="130"/>
        <v>1389356.3816399826</v>
      </c>
      <c r="AT117" s="37">
        <f t="shared" ca="1" si="130"/>
        <v>1502835.9469631482</v>
      </c>
      <c r="AU117" s="37">
        <f t="shared" ca="1" si="130"/>
        <v>1621053.0282523911</v>
      </c>
      <c r="AV117" s="37">
        <f t="shared" ca="1" si="130"/>
        <v>1745147.239645551</v>
      </c>
      <c r="AW117" s="37">
        <f t="shared" ca="1" si="130"/>
        <v>1875192.3361883634</v>
      </c>
      <c r="AX117" s="37">
        <f t="shared" ca="1" si="130"/>
        <v>2011229.4198330354</v>
      </c>
      <c r="AY117" s="37">
        <f t="shared" ca="1" si="130"/>
        <v>2153324.4570881166</v>
      </c>
      <c r="AZ117" s="37" t="e">
        <f t="shared" ca="1" si="130"/>
        <v>#N/A</v>
      </c>
      <c r="BA117" s="37" t="e">
        <f t="shared" ca="1" si="130"/>
        <v>#N/A</v>
      </c>
      <c r="BB117" s="37" t="e">
        <f t="shared" ca="1" si="130"/>
        <v>#N/A</v>
      </c>
    </row>
    <row r="118" spans="32:54" x14ac:dyDescent="0.25">
      <c r="AF118"/>
      <c r="AG118" s="1" t="s">
        <v>54</v>
      </c>
      <c r="AH118" s="1"/>
      <c r="AI118" s="37">
        <f t="shared" ref="AI118:BB121" ca="1" si="131">AI72+AI81</f>
        <v>36383.804117370208</v>
      </c>
      <c r="AJ118" s="37">
        <f t="shared" ca="1" si="131"/>
        <v>41892.080146483691</v>
      </c>
      <c r="AK118" s="37">
        <f t="shared" ca="1" si="131"/>
        <v>47697.457139114922</v>
      </c>
      <c r="AL118" s="37">
        <f t="shared" ca="1" si="131"/>
        <v>53872.234025067679</v>
      </c>
      <c r="AM118" s="37">
        <f t="shared" ca="1" si="131"/>
        <v>60425.866703786261</v>
      </c>
      <c r="AN118" s="37">
        <f t="shared" ca="1" si="131"/>
        <v>67364.597057161678</v>
      </c>
      <c r="AO118" s="37">
        <f t="shared" ca="1" si="131"/>
        <v>74696.855700823697</v>
      </c>
      <c r="AP118" s="37">
        <f t="shared" ca="1" si="131"/>
        <v>82378.331059584394</v>
      </c>
      <c r="AQ118" s="37">
        <f t="shared" ca="1" si="131"/>
        <v>90477.77500278363</v>
      </c>
      <c r="AR118" s="37">
        <f t="shared" ca="1" si="131"/>
        <v>99009.913183071272</v>
      </c>
      <c r="AS118" s="37">
        <f t="shared" ca="1" si="131"/>
        <v>107994.36976671008</v>
      </c>
      <c r="AT118" s="37">
        <f t="shared" ca="1" si="131"/>
        <v>117448.34367843036</v>
      </c>
      <c r="AU118" s="37">
        <f t="shared" ca="1" si="131"/>
        <v>127312.09172326076</v>
      </c>
      <c r="AV118" s="37">
        <f t="shared" ca="1" si="131"/>
        <v>137675.93684221598</v>
      </c>
      <c r="AW118" s="37">
        <f t="shared" ca="1" si="131"/>
        <v>148547.18973414612</v>
      </c>
      <c r="AX118" s="37">
        <f t="shared" ca="1" si="131"/>
        <v>159930.43210285544</v>
      </c>
      <c r="AY118" s="37">
        <f t="shared" ca="1" si="131"/>
        <v>171832.08487450785</v>
      </c>
      <c r="AZ118" s="37" t="e">
        <f t="shared" ca="1" si="131"/>
        <v>#N/A</v>
      </c>
      <c r="BA118" s="37" t="e">
        <f t="shared" ca="1" si="131"/>
        <v>#N/A</v>
      </c>
      <c r="BB118" s="37" t="e">
        <f t="shared" ca="1" si="131"/>
        <v>#N/A</v>
      </c>
    </row>
    <row r="119" spans="32:54" x14ac:dyDescent="0.25">
      <c r="AF119"/>
      <c r="AG119" s="1" t="s">
        <v>56</v>
      </c>
      <c r="AH119" s="1"/>
      <c r="AI119" s="37">
        <f t="shared" ca="1" si="131"/>
        <v>16408.734211887673</v>
      </c>
      <c r="AJ119" s="37">
        <f t="shared" ca="1" si="131"/>
        <v>18443.244019420676</v>
      </c>
      <c r="AK119" s="37">
        <f t="shared" ca="1" si="131"/>
        <v>20578.749086230731</v>
      </c>
      <c r="AL119" s="37">
        <f t="shared" ca="1" si="131"/>
        <v>22846.044733036502</v>
      </c>
      <c r="AM119" s="37">
        <f t="shared" ca="1" si="131"/>
        <v>25247.820940255617</v>
      </c>
      <c r="AN119" s="37">
        <f t="shared" ca="1" si="131"/>
        <v>27785.594923790984</v>
      </c>
      <c r="AO119" s="37">
        <f t="shared" ca="1" si="131"/>
        <v>30461.938893715414</v>
      </c>
      <c r="AP119" s="37">
        <f t="shared" ca="1" si="131"/>
        <v>33258.208173717831</v>
      </c>
      <c r="AQ119" s="37">
        <f t="shared" ca="1" si="131"/>
        <v>36201.811989323469</v>
      </c>
      <c r="AR119" s="37">
        <f t="shared" ca="1" si="131"/>
        <v>39297.855273480105</v>
      </c>
      <c r="AS119" s="37">
        <f t="shared" ca="1" si="131"/>
        <v>42553.358111590707</v>
      </c>
      <c r="AT119" s="37">
        <f t="shared" ca="1" si="131"/>
        <v>45974.3291933738</v>
      </c>
      <c r="AU119" s="37">
        <f t="shared" ca="1" si="131"/>
        <v>49536.814577565703</v>
      </c>
      <c r="AV119" s="37">
        <f t="shared" ca="1" si="131"/>
        <v>53294.826853197817</v>
      </c>
      <c r="AW119" s="37">
        <f t="shared" ca="1" si="131"/>
        <v>57235.812026298045</v>
      </c>
      <c r="AX119" s="37">
        <f t="shared" ca="1" si="131"/>
        <v>61357.831471097292</v>
      </c>
      <c r="AY119" s="37">
        <f t="shared" ca="1" si="131"/>
        <v>65662.83918905395</v>
      </c>
      <c r="AZ119" s="37" t="e">
        <f t="shared" ca="1" si="131"/>
        <v>#N/A</v>
      </c>
      <c r="BA119" s="37" t="e">
        <f t="shared" ca="1" si="131"/>
        <v>#N/A</v>
      </c>
      <c r="BB119" s="37" t="e">
        <f t="shared" ca="1" si="131"/>
        <v>#N/A</v>
      </c>
    </row>
    <row r="120" spans="32:54" x14ac:dyDescent="0.25">
      <c r="AF120"/>
      <c r="AG120" s="1" t="s">
        <v>57</v>
      </c>
      <c r="AH120" s="1"/>
      <c r="AI120" s="37">
        <f t="shared" ca="1" si="131"/>
        <v>0</v>
      </c>
      <c r="AJ120" s="37">
        <f t="shared" ca="1" si="131"/>
        <v>0</v>
      </c>
      <c r="AK120" s="37">
        <f t="shared" ca="1" si="131"/>
        <v>0</v>
      </c>
      <c r="AL120" s="37">
        <f t="shared" ca="1" si="131"/>
        <v>0</v>
      </c>
      <c r="AM120" s="37">
        <f t="shared" ca="1" si="131"/>
        <v>0</v>
      </c>
      <c r="AN120" s="37">
        <f t="shared" ca="1" si="131"/>
        <v>0</v>
      </c>
      <c r="AO120" s="37">
        <f t="shared" ca="1" si="131"/>
        <v>0</v>
      </c>
      <c r="AP120" s="37">
        <f t="shared" ca="1" si="131"/>
        <v>0</v>
      </c>
      <c r="AQ120" s="37">
        <f t="shared" ca="1" si="131"/>
        <v>0</v>
      </c>
      <c r="AR120" s="37">
        <f t="shared" ca="1" si="131"/>
        <v>0</v>
      </c>
      <c r="AS120" s="37">
        <f t="shared" ca="1" si="131"/>
        <v>0</v>
      </c>
      <c r="AT120" s="37">
        <f t="shared" ca="1" si="131"/>
        <v>0</v>
      </c>
      <c r="AU120" s="37">
        <f t="shared" ca="1" si="131"/>
        <v>0</v>
      </c>
      <c r="AV120" s="37">
        <f t="shared" ca="1" si="131"/>
        <v>0</v>
      </c>
      <c r="AW120" s="37">
        <f t="shared" ca="1" si="131"/>
        <v>0</v>
      </c>
      <c r="AX120" s="37">
        <f t="shared" ca="1" si="131"/>
        <v>0</v>
      </c>
      <c r="AY120" s="37">
        <f t="shared" ca="1" si="131"/>
        <v>0</v>
      </c>
      <c r="AZ120" s="37" t="e">
        <f t="shared" ca="1" si="131"/>
        <v>#N/A</v>
      </c>
      <c r="BA120" s="37" t="e">
        <f t="shared" ca="1" si="131"/>
        <v>#N/A</v>
      </c>
      <c r="BB120" s="37" t="e">
        <f t="shared" ca="1" si="131"/>
        <v>#N/A</v>
      </c>
    </row>
    <row r="121" spans="32:54" x14ac:dyDescent="0.25">
      <c r="AF121"/>
      <c r="AG121" s="1" t="s">
        <v>59</v>
      </c>
      <c r="AH121" s="1"/>
      <c r="AI121" s="37">
        <f t="shared" ca="1" si="131"/>
        <v>103404.12863295653</v>
      </c>
      <c r="AJ121" s="37">
        <f t="shared" ca="1" si="131"/>
        <v>117663.02959107266</v>
      </c>
      <c r="AK121" s="37">
        <f t="shared" ca="1" si="131"/>
        <v>132663.88410625831</v>
      </c>
      <c r="AL121" s="37">
        <f t="shared" ca="1" si="131"/>
        <v>148606.54755395057</v>
      </c>
      <c r="AM121" s="37">
        <f t="shared" ca="1" si="131"/>
        <v>165513.00639758795</v>
      </c>
      <c r="AN121" s="37">
        <f t="shared" ca="1" si="131"/>
        <v>183396.97173293977</v>
      </c>
      <c r="AO121" s="37">
        <f t="shared" ca="1" si="131"/>
        <v>202278.58587939665</v>
      </c>
      <c r="AP121" s="37">
        <f t="shared" ca="1" si="131"/>
        <v>222036.07136266923</v>
      </c>
      <c r="AQ121" s="37">
        <f t="shared" ca="1" si="131"/>
        <v>242853.65745419619</v>
      </c>
      <c r="AR121" s="37">
        <f t="shared" ca="1" si="131"/>
        <v>264768.42648392473</v>
      </c>
      <c r="AS121" s="37">
        <f t="shared" ca="1" si="131"/>
        <v>287830.46983931091</v>
      </c>
      <c r="AT121" s="37">
        <f t="shared" ca="1" si="131"/>
        <v>312083.24194942729</v>
      </c>
      <c r="AU121" s="37">
        <f t="shared" ca="1" si="131"/>
        <v>337366.23065712571</v>
      </c>
      <c r="AV121" s="37">
        <f t="shared" ca="1" si="131"/>
        <v>364283.48765913257</v>
      </c>
      <c r="AW121" s="37">
        <f t="shared" ca="1" si="131"/>
        <v>392573.28762152477</v>
      </c>
      <c r="AX121" s="37">
        <f t="shared" ca="1" si="131"/>
        <v>422187.29713945149</v>
      </c>
      <c r="AY121" s="37">
        <f t="shared" ca="1" si="131"/>
        <v>453141.56114652334</v>
      </c>
      <c r="AZ121" s="37" t="e">
        <f t="shared" ca="1" si="131"/>
        <v>#N/A</v>
      </c>
      <c r="BA121" s="37" t="e">
        <f t="shared" ca="1" si="131"/>
        <v>#N/A</v>
      </c>
      <c r="BB121" s="37" t="e">
        <f t="shared" ca="1" si="131"/>
        <v>#N/A</v>
      </c>
    </row>
    <row r="122" spans="32:54" x14ac:dyDescent="0.25">
      <c r="AF122"/>
      <c r="AG122" s="12" t="s">
        <v>60</v>
      </c>
      <c r="AH122" s="12"/>
      <c r="AI122" s="45">
        <f ca="1">SUM(AI117:AI121)</f>
        <v>679773.05517608486</v>
      </c>
      <c r="AJ122" s="45">
        <f ca="1">SUM(AJ117:AJ121)</f>
        <v>768798.91283540719</v>
      </c>
      <c r="AK122" s="45">
        <f t="shared" ref="AK122:BB122" ca="1" si="132">SUM(AK117:AK121)</f>
        <v>862356.63603380788</v>
      </c>
      <c r="AL122" s="45">
        <f t="shared" ca="1" si="132"/>
        <v>961741.09068073111</v>
      </c>
      <c r="AM122" s="45">
        <f t="shared" ca="1" si="132"/>
        <v>1067080.3174540857</v>
      </c>
      <c r="AN122" s="45">
        <f t="shared" ca="1" si="132"/>
        <v>1178450.8545968244</v>
      </c>
      <c r="AO122" s="45">
        <f t="shared" ca="1" si="132"/>
        <v>1295972.2302496361</v>
      </c>
      <c r="AP122" s="45">
        <f t="shared" ca="1" si="132"/>
        <v>1418857.9195293519</v>
      </c>
      <c r="AQ122" s="45">
        <f t="shared" ca="1" si="132"/>
        <v>1548281.3462176921</v>
      </c>
      <c r="AR122" s="45">
        <f t="shared" ca="1" si="132"/>
        <v>1684470.1921590336</v>
      </c>
      <c r="AS122" s="45">
        <f t="shared" ca="1" si="132"/>
        <v>1827734.5793575943</v>
      </c>
      <c r="AT122" s="45">
        <f t="shared" ca="1" si="132"/>
        <v>1978341.8617843799</v>
      </c>
      <c r="AU122" s="45">
        <f t="shared" ca="1" si="132"/>
        <v>2135268.1652103434</v>
      </c>
      <c r="AV122" s="45">
        <f t="shared" ca="1" si="132"/>
        <v>2300401.4910000972</v>
      </c>
      <c r="AW122" s="45">
        <f t="shared" ca="1" si="132"/>
        <v>2473548.6255703322</v>
      </c>
      <c r="AX122" s="45">
        <f t="shared" ca="1" si="132"/>
        <v>2654704.9805464395</v>
      </c>
      <c r="AY122" s="45">
        <f t="shared" ca="1" si="132"/>
        <v>2843960.9422982018</v>
      </c>
      <c r="AZ122" s="45" t="e">
        <f t="shared" ca="1" si="132"/>
        <v>#N/A</v>
      </c>
      <c r="BA122" s="45" t="e">
        <f t="shared" ca="1" si="132"/>
        <v>#N/A</v>
      </c>
      <c r="BB122" s="45" t="e">
        <f t="shared" ca="1" si="132"/>
        <v>#N/A</v>
      </c>
    </row>
    <row r="123" spans="32:54" x14ac:dyDescent="0.25">
      <c r="AF123"/>
    </row>
  </sheetData>
  <conditionalFormatting sqref="AJ77">
    <cfRule type="cellIs" dxfId="86" priority="10" operator="equal">
      <formula>"Check"</formula>
    </cfRule>
  </conditionalFormatting>
  <conditionalFormatting sqref="AK77:BB77">
    <cfRule type="cellIs" dxfId="85" priority="14" operator="equal">
      <formula>"Check"</formula>
    </cfRule>
  </conditionalFormatting>
  <conditionalFormatting sqref="AK86:BB86">
    <cfRule type="cellIs" dxfId="84" priority="13" operator="equal">
      <formula>"Check"</formula>
    </cfRule>
  </conditionalFormatting>
  <conditionalFormatting sqref="AK95:BB95">
    <cfRule type="cellIs" dxfId="83" priority="12" operator="equal">
      <formula>"Check"</formula>
    </cfRule>
  </conditionalFormatting>
  <conditionalFormatting sqref="AK104:BB104">
    <cfRule type="cellIs" dxfId="82" priority="11" operator="equal">
      <formula>"Check"</formula>
    </cfRule>
  </conditionalFormatting>
  <conditionalFormatting sqref="AI77">
    <cfRule type="cellIs" dxfId="81" priority="9" operator="equal">
      <formula>"Check"</formula>
    </cfRule>
  </conditionalFormatting>
  <conditionalFormatting sqref="AI86:AJ86">
    <cfRule type="cellIs" dxfId="80" priority="8" operator="equal">
      <formula>"Check"</formula>
    </cfRule>
  </conditionalFormatting>
  <conditionalFormatting sqref="K11:AE11 K21:AE21 K31:AE31 K41:AE41 K51:AE51 K61:AE61">
    <cfRule type="expression" dxfId="79" priority="7">
      <formula>K11&gt;1</formula>
    </cfRule>
  </conditionalFormatting>
  <conditionalFormatting sqref="J11">
    <cfRule type="expression" dxfId="78" priority="6">
      <formula>J11&gt;1</formula>
    </cfRule>
  </conditionalFormatting>
  <conditionalFormatting sqref="J21">
    <cfRule type="expression" dxfId="77" priority="5">
      <formula>J21&gt;1</formula>
    </cfRule>
  </conditionalFormatting>
  <conditionalFormatting sqref="J31">
    <cfRule type="expression" dxfId="76" priority="4">
      <formula>J31&gt;1</formula>
    </cfRule>
  </conditionalFormatting>
  <conditionalFormatting sqref="J41">
    <cfRule type="expression" dxfId="75" priority="3">
      <formula>J41&gt;1</formula>
    </cfRule>
  </conditionalFormatting>
  <conditionalFormatting sqref="J51">
    <cfRule type="expression" dxfId="74" priority="2">
      <formula>J51&gt;1</formula>
    </cfRule>
  </conditionalFormatting>
  <conditionalFormatting sqref="J61">
    <cfRule type="expression" dxfId="73" priority="1">
      <formula>J61&gt;1</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J1" zoomScale="70" zoomScaleNormal="70" workbookViewId="0">
      <selection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5.28515625" bestFit="1"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 min="33" max="33" width="16.28515625" customWidth="1"/>
  </cols>
  <sheetData>
    <row r="1" spans="1:54" x14ac:dyDescent="0.25">
      <c r="A1" s="6" t="s">
        <v>23</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127"/>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Implant_Base!C5</f>
        <v>6.7730999999999998E-3</v>
      </c>
      <c r="D5" s="14">
        <f ca="1">Implant_Base!D5</f>
        <v>1.8581199999999999E-2</v>
      </c>
      <c r="E5" s="14">
        <f ca="1">IF('User Settings'!$N$7="On",($D5-$C5)/($D$4-$C$4),0)</f>
        <v>2.3616199999999996E-3</v>
      </c>
      <c r="F5" s="14">
        <f ca="1">Implant_Base!F5</f>
        <v>2.5666059999999997E-2</v>
      </c>
      <c r="G5" s="1" t="str">
        <f>"Shift_UrbQ1"&amp;IF(Dashboard!$Q$4="Yes",$A$1,"")</f>
        <v>Shift_UrbQ1</v>
      </c>
      <c r="H5" s="14">
        <f ca="1">Implant_Base!H5*(1-INDIRECT($G5))</f>
        <v>1.6375459999999998E-2</v>
      </c>
      <c r="I5" s="14">
        <f t="shared" ref="I5:I10" ca="1" si="4">($H5-$F5)/($H$4-$F$4)</f>
        <v>-3.0968666666666665E-3</v>
      </c>
      <c r="J5" s="14">
        <f ca="1">K5-E5</f>
        <v>2.3304439999999999E-2</v>
      </c>
      <c r="K5" s="14">
        <f ca="1">MAX(0,MIN(1,D5+(K$4-D$4)*E5))</f>
        <v>2.5666059999999997E-2</v>
      </c>
      <c r="L5" s="15">
        <f ca="1">MAX(0,MIN(1,K5+$I5))</f>
        <v>2.2569193333333331E-2</v>
      </c>
      <c r="M5" s="15">
        <f t="shared" ref="M5:AD5" ca="1" si="5">MAX(0,MIN(1,L5+$I5))</f>
        <v>1.9472326666666664E-2</v>
      </c>
      <c r="N5" s="15">
        <f ca="1">MAX(0,MIN(1,M5+$I5))</f>
        <v>1.6375459999999998E-2</v>
      </c>
      <c r="O5" s="15">
        <f t="shared" ca="1" si="5"/>
        <v>1.3278593333333331E-2</v>
      </c>
      <c r="P5" s="15">
        <f t="shared" ca="1" si="5"/>
        <v>1.0181726666666665E-2</v>
      </c>
      <c r="Q5" s="15">
        <f t="shared" ca="1" si="5"/>
        <v>7.0848599999999984E-3</v>
      </c>
      <c r="R5" s="15">
        <f t="shared" ca="1" si="5"/>
        <v>3.9879933333333319E-3</v>
      </c>
      <c r="S5" s="15">
        <f t="shared" ca="1" si="5"/>
        <v>8.9112666666666535E-4</v>
      </c>
      <c r="T5" s="15">
        <f t="shared" ca="1" si="5"/>
        <v>0</v>
      </c>
      <c r="U5" s="15">
        <f t="shared" ca="1" si="5"/>
        <v>0</v>
      </c>
      <c r="V5" s="15">
        <f t="shared" ca="1" si="5"/>
        <v>0</v>
      </c>
      <c r="W5" s="15">
        <f t="shared" ca="1" si="5"/>
        <v>0</v>
      </c>
      <c r="X5" s="15">
        <f t="shared" ca="1" si="5"/>
        <v>0</v>
      </c>
      <c r="Y5" s="15">
        <f t="shared" ca="1" si="5"/>
        <v>0</v>
      </c>
      <c r="Z5" s="15">
        <f t="shared" ca="1" si="5"/>
        <v>0</v>
      </c>
      <c r="AA5" s="15">
        <f t="shared" ca="1" si="5"/>
        <v>0</v>
      </c>
      <c r="AB5" s="15">
        <f t="shared" ca="1" si="5"/>
        <v>0</v>
      </c>
      <c r="AC5" s="15">
        <f t="shared" ca="1" si="5"/>
        <v>0</v>
      </c>
      <c r="AD5" s="15">
        <f t="shared" ca="1" si="5"/>
        <v>0</v>
      </c>
      <c r="AE5" s="5"/>
      <c r="AG5" s="1" t="s">
        <v>52</v>
      </c>
      <c r="AH5" s="37">
        <f ca="1">J5*AH$11</f>
        <v>14956.110271419231</v>
      </c>
      <c r="AI5" s="37">
        <f t="shared" ref="AI5:AI10" ca="1" si="6">K5*AI$11</f>
        <v>17105.156303444892</v>
      </c>
      <c r="AJ5" s="37">
        <f t="shared" ref="AJ5:AS10" ca="1" si="7">L5*AJ$11</f>
        <v>15616.240449021523</v>
      </c>
      <c r="AK5" s="37">
        <f t="shared" ca="1" si="7"/>
        <v>13967.739600288854</v>
      </c>
      <c r="AL5" s="37">
        <f t="shared" ca="1" si="7"/>
        <v>12177.219812204457</v>
      </c>
      <c r="AM5" s="37">
        <f t="shared" ca="1" si="7"/>
        <v>10234.845415735088</v>
      </c>
      <c r="AN5" s="37">
        <f t="shared" ca="1" si="7"/>
        <v>8131.7796564675973</v>
      </c>
      <c r="AO5" s="37">
        <f t="shared" ca="1" si="7"/>
        <v>5860.8306033606123</v>
      </c>
      <c r="AP5" s="37">
        <f t="shared" ca="1" si="7"/>
        <v>3413.3145184726532</v>
      </c>
      <c r="AQ5" s="37">
        <f t="shared" ca="1" si="7"/>
        <v>788.92701433029288</v>
      </c>
      <c r="AR5" s="37">
        <f t="shared" ca="1" si="7"/>
        <v>0</v>
      </c>
      <c r="AS5" s="37">
        <f t="shared" ca="1" si="7"/>
        <v>0</v>
      </c>
      <c r="AT5" s="37">
        <f t="shared" ref="AT5:BB10" ca="1" si="8">V5*AT$11</f>
        <v>0</v>
      </c>
      <c r="AU5" s="37">
        <f t="shared" ca="1" si="8"/>
        <v>0</v>
      </c>
      <c r="AV5" s="37">
        <f t="shared" ca="1" si="8"/>
        <v>0</v>
      </c>
      <c r="AW5" s="37">
        <f t="shared" ca="1" si="8"/>
        <v>0</v>
      </c>
      <c r="AX5" s="37">
        <f t="shared" ca="1" si="8"/>
        <v>0</v>
      </c>
      <c r="AY5" s="37">
        <f t="shared" ca="1" si="8"/>
        <v>0</v>
      </c>
      <c r="AZ5" s="37" t="e">
        <f t="shared" ca="1" si="8"/>
        <v>#N/A</v>
      </c>
      <c r="BA5" s="37" t="e">
        <f t="shared" ca="1" si="8"/>
        <v>#N/A</v>
      </c>
      <c r="BB5" s="37" t="e">
        <f t="shared" ca="1" si="8"/>
        <v>#N/A</v>
      </c>
    </row>
    <row r="6" spans="1:54" x14ac:dyDescent="0.25">
      <c r="B6" s="1" t="s">
        <v>54</v>
      </c>
      <c r="C6" s="14">
        <f ca="1">Implant_Base!C6</f>
        <v>0</v>
      </c>
      <c r="D6" s="14">
        <f ca="1">Implant_Base!D6</f>
        <v>1.8314E-3</v>
      </c>
      <c r="E6" s="14">
        <f ca="1">IF('User Settings'!$N$7="On",($D6-$C6)/($D$4-$C$4),0)</f>
        <v>3.6627999999999997E-4</v>
      </c>
      <c r="F6" s="14">
        <f ca="1">Implant_Base!F6</f>
        <v>2.9302399999999998E-3</v>
      </c>
      <c r="G6" s="1" t="str">
        <f>"Shift_UrbQ1"&amp;IF(Dashboard!$Q$4="Yes",$A$1,"")</f>
        <v>Shift_UrbQ1</v>
      </c>
      <c r="H6" s="14">
        <f ca="1">Implant_Base!H6*(1-INDIRECT($G6))</f>
        <v>2.0145399999999996E-3</v>
      </c>
      <c r="I6" s="14">
        <f t="shared" ca="1" si="4"/>
        <v>-3.052333333333334E-4</v>
      </c>
      <c r="J6" s="14">
        <f t="shared" ref="J6:J10" ca="1" si="9">K6-E6</f>
        <v>2.5639599999999997E-3</v>
      </c>
      <c r="K6" s="14">
        <f t="shared" ref="K6:K10" ca="1" si="10">MAX(0,MIN(1,D6+(K$4-D$4)*E6))</f>
        <v>2.9302399999999998E-3</v>
      </c>
      <c r="L6" s="15">
        <f t="shared" ref="L6:AD10" ca="1" si="11">MAX(0,MIN(1,K6+$I6))</f>
        <v>2.6250066666666664E-3</v>
      </c>
      <c r="M6" s="15">
        <f t="shared" ca="1" si="11"/>
        <v>2.319773333333333E-3</v>
      </c>
      <c r="N6" s="15">
        <f t="shared" ca="1" si="11"/>
        <v>2.0145399999999996E-3</v>
      </c>
      <c r="O6" s="15">
        <f t="shared" ca="1" si="11"/>
        <v>1.7093066666666662E-3</v>
      </c>
      <c r="P6" s="15">
        <f t="shared" ca="1" si="11"/>
        <v>1.4040733333333328E-3</v>
      </c>
      <c r="Q6" s="15">
        <f t="shared" ca="1" si="11"/>
        <v>1.0988399999999994E-3</v>
      </c>
      <c r="R6" s="15">
        <f t="shared" ca="1" si="11"/>
        <v>7.9360666666666597E-4</v>
      </c>
      <c r="S6" s="15">
        <f t="shared" ca="1" si="11"/>
        <v>4.8837333333333257E-4</v>
      </c>
      <c r="T6" s="15">
        <f t="shared" ca="1" si="11"/>
        <v>1.8313999999999917E-4</v>
      </c>
      <c r="U6" s="15">
        <f t="shared" ca="1" si="11"/>
        <v>0</v>
      </c>
      <c r="V6" s="15">
        <f t="shared" ca="1" si="11"/>
        <v>0</v>
      </c>
      <c r="W6" s="15">
        <f t="shared" ca="1" si="11"/>
        <v>0</v>
      </c>
      <c r="X6" s="15">
        <f t="shared" ca="1" si="11"/>
        <v>0</v>
      </c>
      <c r="Y6" s="15">
        <f t="shared" ca="1" si="11"/>
        <v>0</v>
      </c>
      <c r="Z6" s="15">
        <f t="shared" ca="1" si="11"/>
        <v>0</v>
      </c>
      <c r="AA6" s="15">
        <f t="shared" ca="1" si="11"/>
        <v>0</v>
      </c>
      <c r="AB6" s="15">
        <f t="shared" ca="1" si="11"/>
        <v>0</v>
      </c>
      <c r="AC6" s="15">
        <f t="shared" ca="1" si="11"/>
        <v>0</v>
      </c>
      <c r="AD6" s="15">
        <f t="shared" ca="1" si="11"/>
        <v>0</v>
      </c>
      <c r="AE6" s="5"/>
      <c r="AG6" s="1" t="s">
        <v>54</v>
      </c>
      <c r="AH6" s="37">
        <f t="shared" ref="AH6:AH10" ca="1" si="12">J6*AH$11</f>
        <v>1645.474788989053</v>
      </c>
      <c r="AI6" s="37">
        <f t="shared" ca="1" si="6"/>
        <v>1952.8596600571479</v>
      </c>
      <c r="AJ6" s="37">
        <f t="shared" ca="1" si="7"/>
        <v>1816.3137105306891</v>
      </c>
      <c r="AK6" s="37">
        <f t="shared" ca="1" si="7"/>
        <v>1664.0019657825897</v>
      </c>
      <c r="AL6" s="37">
        <f t="shared" ca="1" si="7"/>
        <v>1498.0645673757174</v>
      </c>
      <c r="AM6" s="37">
        <f t="shared" ca="1" si="7"/>
        <v>1317.4956911664906</v>
      </c>
      <c r="AN6" s="37">
        <f t="shared" ca="1" si="7"/>
        <v>1121.3829777583871</v>
      </c>
      <c r="AO6" s="37">
        <f t="shared" ca="1" si="7"/>
        <v>908.99680448121387</v>
      </c>
      <c r="AP6" s="37">
        <f t="shared" ca="1" si="7"/>
        <v>679.24615987907521</v>
      </c>
      <c r="AQ6" s="37">
        <f t="shared" ca="1" si="7"/>
        <v>432.36380433593376</v>
      </c>
      <c r="AR6" s="37">
        <f t="shared" ca="1" si="7"/>
        <v>167.6636180429235</v>
      </c>
      <c r="AS6" s="37">
        <f t="shared" ca="1" si="7"/>
        <v>0</v>
      </c>
      <c r="AT6" s="37">
        <f t="shared" ca="1" si="8"/>
        <v>0</v>
      </c>
      <c r="AU6" s="37">
        <f t="shared" ca="1" si="8"/>
        <v>0</v>
      </c>
      <c r="AV6" s="37">
        <f t="shared" ca="1" si="8"/>
        <v>0</v>
      </c>
      <c r="AW6" s="37">
        <f t="shared" ca="1" si="8"/>
        <v>0</v>
      </c>
      <c r="AX6" s="37">
        <f t="shared" ca="1" si="8"/>
        <v>0</v>
      </c>
      <c r="AY6" s="37">
        <f t="shared" ca="1" si="8"/>
        <v>0</v>
      </c>
      <c r="AZ6" s="37" t="e">
        <f t="shared" ca="1" si="8"/>
        <v>#N/A</v>
      </c>
      <c r="BA6" s="37" t="e">
        <f t="shared" ca="1" si="8"/>
        <v>#N/A</v>
      </c>
      <c r="BB6" s="37" t="e">
        <f t="shared" ca="1" si="8"/>
        <v>#N/A</v>
      </c>
    </row>
    <row r="7" spans="1:54" x14ac:dyDescent="0.25">
      <c r="B7" s="1" t="s">
        <v>170</v>
      </c>
      <c r="C7" s="14">
        <f ca="1">Implant_Base!C7</f>
        <v>0</v>
      </c>
      <c r="D7" s="14">
        <f ca="1">Implant_Base!D7</f>
        <v>0</v>
      </c>
      <c r="E7" s="14">
        <f ca="1">IF('User Settings'!$N$7="On",($D7-$C7)/($D$4-$C$4),0)</f>
        <v>0</v>
      </c>
      <c r="F7" s="14">
        <f ca="1">Implant_Base!F7</f>
        <v>0</v>
      </c>
      <c r="G7" s="1" t="str">
        <f>"Shift_UrbQ1"&amp;IF(Dashboard!$Q$4="Yes",$A$1,"")</f>
        <v>Shift_UrbQ1</v>
      </c>
      <c r="H7" s="14">
        <f ca="1">Implant_Base!H7*(1-INDIRECT($G7))</f>
        <v>0</v>
      </c>
      <c r="I7" s="14">
        <f t="shared" ca="1" si="4"/>
        <v>0</v>
      </c>
      <c r="J7" s="14">
        <f t="shared" ca="1" si="9"/>
        <v>0</v>
      </c>
      <c r="K7" s="14">
        <f t="shared" ca="1" si="10"/>
        <v>0</v>
      </c>
      <c r="L7" s="15">
        <f t="shared" ca="1" si="11"/>
        <v>0</v>
      </c>
      <c r="M7" s="15">
        <f t="shared" ca="1" si="11"/>
        <v>0</v>
      </c>
      <c r="N7" s="15">
        <f t="shared" ca="1" si="11"/>
        <v>0</v>
      </c>
      <c r="O7" s="15">
        <f t="shared" ca="1" si="11"/>
        <v>0</v>
      </c>
      <c r="P7" s="15">
        <f t="shared" ca="1" si="11"/>
        <v>0</v>
      </c>
      <c r="Q7" s="15">
        <f t="shared" ca="1" si="11"/>
        <v>0</v>
      </c>
      <c r="R7" s="15">
        <f t="shared" ca="1" si="11"/>
        <v>0</v>
      </c>
      <c r="S7" s="15">
        <f t="shared" ca="1" si="11"/>
        <v>0</v>
      </c>
      <c r="T7" s="15">
        <f t="shared" ca="1" si="11"/>
        <v>0</v>
      </c>
      <c r="U7" s="15">
        <f t="shared" ca="1" si="11"/>
        <v>0</v>
      </c>
      <c r="V7" s="15">
        <f t="shared" ca="1" si="11"/>
        <v>0</v>
      </c>
      <c r="W7" s="15">
        <f t="shared" ca="1" si="11"/>
        <v>0</v>
      </c>
      <c r="X7" s="15">
        <f t="shared" ca="1" si="11"/>
        <v>0</v>
      </c>
      <c r="Y7" s="15">
        <f t="shared" ca="1" si="11"/>
        <v>0</v>
      </c>
      <c r="Z7" s="15">
        <f t="shared" ca="1" si="11"/>
        <v>0</v>
      </c>
      <c r="AA7" s="15">
        <f t="shared" ca="1" si="11"/>
        <v>0</v>
      </c>
      <c r="AB7" s="15">
        <f t="shared" ca="1" si="11"/>
        <v>0</v>
      </c>
      <c r="AC7" s="15">
        <f t="shared" ca="1" si="11"/>
        <v>0</v>
      </c>
      <c r="AD7" s="15">
        <f t="shared" ca="1" si="11"/>
        <v>0</v>
      </c>
      <c r="AE7" s="5"/>
      <c r="AG7" s="1" t="s">
        <v>170</v>
      </c>
      <c r="AH7" s="37">
        <f t="shared" ca="1" si="12"/>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Implant_Base!C8</f>
        <v>8.6830999999999992E-3</v>
      </c>
      <c r="D8" s="14">
        <f ca="1">Implant_Base!D8</f>
        <v>6.5278000000000003E-3</v>
      </c>
      <c r="E8" s="14">
        <f ca="1">IF('User Settings'!$N$7="On",($D8-$C8)/($D$4-$C$4),0)</f>
        <v>-4.3105999999999977E-4</v>
      </c>
      <c r="F8" s="14">
        <f ca="1">Implant_Base!F8</f>
        <v>5.2346200000000006E-3</v>
      </c>
      <c r="H8" s="14">
        <f ca="1">H11-SUM($H5:$H7,$H9:$H10)</f>
        <v>2.2331440000000001E-2</v>
      </c>
      <c r="I8" s="14">
        <f t="shared" ca="1" si="4"/>
        <v>5.6989399999999996E-3</v>
      </c>
      <c r="J8" s="14">
        <f t="shared" ca="1" si="9"/>
        <v>5.6656800000000002E-3</v>
      </c>
      <c r="K8" s="14">
        <f t="shared" ca="1" si="10"/>
        <v>5.2346200000000006E-3</v>
      </c>
      <c r="L8" s="15">
        <f t="shared" ca="1" si="11"/>
        <v>1.093356E-2</v>
      </c>
      <c r="M8" s="15">
        <f t="shared" ca="1" si="11"/>
        <v>1.6632500000000001E-2</v>
      </c>
      <c r="N8" s="15">
        <f t="shared" ca="1" si="11"/>
        <v>2.2331440000000001E-2</v>
      </c>
      <c r="O8" s="15">
        <f t="shared" ca="1" si="11"/>
        <v>2.8030380000000001E-2</v>
      </c>
      <c r="P8" s="15">
        <f t="shared" ca="1" si="11"/>
        <v>3.372932E-2</v>
      </c>
      <c r="Q8" s="15">
        <f t="shared" ca="1" si="11"/>
        <v>3.942826E-2</v>
      </c>
      <c r="R8" s="15">
        <f t="shared" ca="1" si="11"/>
        <v>4.5127199999999999E-2</v>
      </c>
      <c r="S8" s="15">
        <f t="shared" ca="1" si="11"/>
        <v>5.0826139999999999E-2</v>
      </c>
      <c r="T8" s="15">
        <f t="shared" ca="1" si="11"/>
        <v>5.6525079999999998E-2</v>
      </c>
      <c r="U8" s="15">
        <f t="shared" ca="1" si="11"/>
        <v>6.2224019999999998E-2</v>
      </c>
      <c r="V8" s="15">
        <f t="shared" ca="1" si="11"/>
        <v>6.7922960000000004E-2</v>
      </c>
      <c r="W8" s="15">
        <f t="shared" ca="1" si="11"/>
        <v>7.3621900000000004E-2</v>
      </c>
      <c r="X8" s="15">
        <f t="shared" ca="1" si="11"/>
        <v>7.9320840000000004E-2</v>
      </c>
      <c r="Y8" s="15">
        <f t="shared" ca="1" si="11"/>
        <v>8.5019780000000003E-2</v>
      </c>
      <c r="Z8" s="15">
        <f t="shared" ca="1" si="11"/>
        <v>9.0718720000000003E-2</v>
      </c>
      <c r="AA8" s="15">
        <f t="shared" ca="1" si="11"/>
        <v>9.6417660000000002E-2</v>
      </c>
      <c r="AB8" s="15">
        <f t="shared" ca="1" si="11"/>
        <v>0.1021166</v>
      </c>
      <c r="AC8" s="15">
        <f t="shared" ca="1" si="11"/>
        <v>0.10781554</v>
      </c>
      <c r="AD8" s="15">
        <f t="shared" ca="1" si="11"/>
        <v>0.11351448</v>
      </c>
      <c r="AE8" s="5"/>
      <c r="AG8" s="1" t="s">
        <v>59</v>
      </c>
      <c r="AH8" s="37">
        <f t="shared" ca="1" si="12"/>
        <v>3636.0682703628372</v>
      </c>
      <c r="AI8" s="37">
        <f t="shared" ca="1" si="6"/>
        <v>3488.6146642351309</v>
      </c>
      <c r="AJ8" s="37">
        <f t="shared" ca="1" si="7"/>
        <v>7565.2283802110687</v>
      </c>
      <c r="AK8" s="37">
        <f t="shared" ca="1" si="7"/>
        <v>11930.696977238693</v>
      </c>
      <c r="AL8" s="37">
        <f t="shared" ca="1" si="7"/>
        <v>16606.242121018593</v>
      </c>
      <c r="AM8" s="37">
        <f t="shared" ca="1" si="7"/>
        <v>21605.195598854538</v>
      </c>
      <c r="AN8" s="37">
        <f t="shared" ca="1" si="7"/>
        <v>26938.397305481816</v>
      </c>
      <c r="AO8" s="37">
        <f t="shared" ca="1" si="7"/>
        <v>32616.36120477457</v>
      </c>
      <c r="AP8" s="37">
        <f t="shared" ca="1" si="7"/>
        <v>38624.268915031411</v>
      </c>
      <c r="AQ8" s="37">
        <f t="shared" ca="1" si="7"/>
        <v>44997.099043308692</v>
      </c>
      <c r="AR8" s="37">
        <f t="shared" ca="1" si="7"/>
        <v>51748.386059657838</v>
      </c>
      <c r="AS8" s="37">
        <f t="shared" ca="1" si="7"/>
        <v>58894.454385804675</v>
      </c>
      <c r="AT8" s="37">
        <f t="shared" ca="1" si="8"/>
        <v>66450.745942967857</v>
      </c>
      <c r="AU8" s="37">
        <f t="shared" ca="1" si="8"/>
        <v>74387.940170123285</v>
      </c>
      <c r="AV8" s="37">
        <f t="shared" ca="1" si="8"/>
        <v>82761.894538114313</v>
      </c>
      <c r="AW8" s="37">
        <f t="shared" ca="1" si="8"/>
        <v>91582.577133516592</v>
      </c>
      <c r="AX8" s="37">
        <f t="shared" ca="1" si="8"/>
        <v>100857.74417441874</v>
      </c>
      <c r="AY8" s="37">
        <f t="shared" ca="1" si="8"/>
        <v>110595.80045632987</v>
      </c>
      <c r="AZ8" s="37" t="e">
        <f t="shared" ca="1" si="8"/>
        <v>#N/A</v>
      </c>
      <c r="BA8" s="37" t="e">
        <f t="shared" ca="1" si="8"/>
        <v>#N/A</v>
      </c>
      <c r="BB8" s="37" t="e">
        <f t="shared" ca="1" si="8"/>
        <v>#N/A</v>
      </c>
    </row>
    <row r="9" spans="1:54" x14ac:dyDescent="0.25">
      <c r="B9" s="1" t="s">
        <v>171</v>
      </c>
      <c r="C9" s="14">
        <f ca="1">Implant_Base!C9</f>
        <v>0</v>
      </c>
      <c r="D9" s="14">
        <f ca="1">Implant_Base!D9</f>
        <v>0</v>
      </c>
      <c r="E9" s="14">
        <f ca="1">IF('User Settings'!$N$7="On",($D9-$C9)/($D$4-$C$4),0)</f>
        <v>0</v>
      </c>
      <c r="F9" s="14">
        <f ca="1">Implant_Base!F9</f>
        <v>0</v>
      </c>
      <c r="G9" s="1"/>
      <c r="H9" s="14">
        <f ca="1">Implant_Base!H9</f>
        <v>0</v>
      </c>
      <c r="I9" s="14">
        <f t="shared" ca="1" si="4"/>
        <v>0</v>
      </c>
      <c r="J9" s="14">
        <f t="shared" ca="1" si="9"/>
        <v>0</v>
      </c>
      <c r="K9" s="14">
        <f t="shared" ca="1" si="10"/>
        <v>0</v>
      </c>
      <c r="L9" s="15">
        <f t="shared" ca="1" si="11"/>
        <v>0</v>
      </c>
      <c r="M9" s="15">
        <f t="shared" ca="1" si="11"/>
        <v>0</v>
      </c>
      <c r="N9" s="15">
        <f t="shared" ca="1" si="11"/>
        <v>0</v>
      </c>
      <c r="O9" s="15">
        <f t="shared" ca="1" si="11"/>
        <v>0</v>
      </c>
      <c r="P9" s="15">
        <f t="shared" ca="1" si="11"/>
        <v>0</v>
      </c>
      <c r="Q9" s="15">
        <f t="shared" ca="1" si="11"/>
        <v>0</v>
      </c>
      <c r="R9" s="15">
        <f t="shared" ca="1" si="11"/>
        <v>0</v>
      </c>
      <c r="S9" s="15">
        <f t="shared" ca="1" si="11"/>
        <v>0</v>
      </c>
      <c r="T9" s="15">
        <f t="shared" ca="1" si="11"/>
        <v>0</v>
      </c>
      <c r="U9" s="15">
        <f t="shared" ca="1" si="11"/>
        <v>0</v>
      </c>
      <c r="V9" s="15">
        <f t="shared" ca="1" si="11"/>
        <v>0</v>
      </c>
      <c r="W9" s="15">
        <f t="shared" ca="1" si="11"/>
        <v>0</v>
      </c>
      <c r="X9" s="15">
        <f t="shared" ca="1" si="11"/>
        <v>0</v>
      </c>
      <c r="Y9" s="15">
        <f t="shared" ca="1" si="11"/>
        <v>0</v>
      </c>
      <c r="Z9" s="15">
        <f t="shared" ca="1" si="11"/>
        <v>0</v>
      </c>
      <c r="AA9" s="15">
        <f t="shared" ca="1" si="11"/>
        <v>0</v>
      </c>
      <c r="AB9" s="15">
        <f t="shared" ca="1" si="11"/>
        <v>0</v>
      </c>
      <c r="AC9" s="15">
        <f t="shared" ca="1" si="11"/>
        <v>0</v>
      </c>
      <c r="AD9" s="15">
        <f t="shared" ca="1" si="11"/>
        <v>0</v>
      </c>
      <c r="AE9" s="5"/>
      <c r="AG9" s="1" t="s">
        <v>171</v>
      </c>
      <c r="AH9" s="37">
        <f t="shared" ca="1" si="12"/>
        <v>0</v>
      </c>
      <c r="AI9" s="37">
        <f t="shared" ca="1" si="6"/>
        <v>0</v>
      </c>
      <c r="AJ9" s="37">
        <f t="shared" ca="1" si="7"/>
        <v>0</v>
      </c>
      <c r="AK9" s="37">
        <f t="shared" ca="1" si="7"/>
        <v>0</v>
      </c>
      <c r="AL9" s="37">
        <f t="shared" ca="1" si="7"/>
        <v>0</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Implant_Base!C10</f>
        <v>3.3040000000000001E-4</v>
      </c>
      <c r="D10" s="14">
        <f ca="1">Implant_Base!D10</f>
        <v>0</v>
      </c>
      <c r="E10" s="14">
        <f ca="1">IF('User Settings'!$N$7="On",($D10-$C10)/($D$4-$C$4),0)</f>
        <v>-6.6080000000000004E-5</v>
      </c>
      <c r="F10" s="14">
        <f ca="1">Implant_Base!F10</f>
        <v>0</v>
      </c>
      <c r="G10" s="1" t="str">
        <f>"Shift_UrbQ1"&amp;IF(Dashboard!$Q$4="Yes",$A$1,"")</f>
        <v>Shift_UrbQ1</v>
      </c>
      <c r="H10" s="14">
        <f ca="1">Implant_Base!H10*(1-INDIRECT($G10))</f>
        <v>0</v>
      </c>
      <c r="I10" s="14">
        <f t="shared" ca="1" si="4"/>
        <v>0</v>
      </c>
      <c r="J10" s="14">
        <f t="shared" ca="1" si="9"/>
        <v>6.6080000000000004E-5</v>
      </c>
      <c r="K10" s="14">
        <f t="shared" ca="1" si="10"/>
        <v>0</v>
      </c>
      <c r="L10" s="15">
        <f t="shared" ca="1" si="11"/>
        <v>0</v>
      </c>
      <c r="M10" s="15">
        <f t="shared" ca="1" si="11"/>
        <v>0</v>
      </c>
      <c r="N10" s="15">
        <f t="shared" ca="1" si="11"/>
        <v>0</v>
      </c>
      <c r="O10" s="15">
        <f t="shared" ca="1" si="11"/>
        <v>0</v>
      </c>
      <c r="P10" s="15">
        <f t="shared" ca="1" si="11"/>
        <v>0</v>
      </c>
      <c r="Q10" s="15">
        <f t="shared" ca="1" si="11"/>
        <v>0</v>
      </c>
      <c r="R10" s="15">
        <f t="shared" ca="1" si="11"/>
        <v>0</v>
      </c>
      <c r="S10" s="15">
        <f t="shared" ca="1" si="11"/>
        <v>0</v>
      </c>
      <c r="T10" s="15">
        <f t="shared" ca="1" si="11"/>
        <v>0</v>
      </c>
      <c r="U10" s="15">
        <f t="shared" ca="1" si="11"/>
        <v>0</v>
      </c>
      <c r="V10" s="15">
        <f t="shared" ca="1" si="11"/>
        <v>0</v>
      </c>
      <c r="W10" s="15">
        <f t="shared" ca="1" si="11"/>
        <v>0</v>
      </c>
      <c r="X10" s="15">
        <f t="shared" ca="1" si="11"/>
        <v>0</v>
      </c>
      <c r="Y10" s="15">
        <f t="shared" ca="1" si="11"/>
        <v>0</v>
      </c>
      <c r="Z10" s="15">
        <f t="shared" ca="1" si="11"/>
        <v>0</v>
      </c>
      <c r="AA10" s="15">
        <f t="shared" ca="1" si="11"/>
        <v>0</v>
      </c>
      <c r="AB10" s="15">
        <f t="shared" ca="1" si="11"/>
        <v>0</v>
      </c>
      <c r="AC10" s="15">
        <f t="shared" ca="1" si="11"/>
        <v>0</v>
      </c>
      <c r="AD10" s="15">
        <f t="shared" ca="1" si="11"/>
        <v>0</v>
      </c>
      <c r="AE10" s="5"/>
      <c r="AG10" s="1" t="s">
        <v>116</v>
      </c>
      <c r="AH10" s="37">
        <f t="shared" ca="1" si="12"/>
        <v>42.4082177789032</v>
      </c>
      <c r="AI10" s="37">
        <f t="shared" ca="1" si="6"/>
        <v>0</v>
      </c>
      <c r="AJ10" s="37">
        <f t="shared" ca="1" si="7"/>
        <v>0</v>
      </c>
      <c r="AK10" s="37">
        <f t="shared" ca="1" si="7"/>
        <v>0</v>
      </c>
      <c r="AL10" s="37">
        <f t="shared" ca="1" si="7"/>
        <v>0</v>
      </c>
      <c r="AM10" s="37">
        <f t="shared" ca="1" si="7"/>
        <v>0</v>
      </c>
      <c r="AN10" s="37">
        <f t="shared" ca="1" si="7"/>
        <v>0</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1.5786600000000001E-2</v>
      </c>
      <c r="D11" s="5">
        <f ca="1">SUM(D5:D10)</f>
        <v>2.69404E-2</v>
      </c>
      <c r="E11" s="143"/>
      <c r="F11" s="132">
        <f ca="1">SUM(F5:F10)</f>
        <v>3.383092E-2</v>
      </c>
      <c r="H11" s="132">
        <f ca="1">Implant_Base!H11</f>
        <v>4.0721439999999998E-2</v>
      </c>
      <c r="I11" s="132"/>
      <c r="J11" s="132">
        <f ca="1">SUM(J5:J10)</f>
        <v>3.1600160000000002E-2</v>
      </c>
      <c r="K11" s="132">
        <f ca="1">SUM(K5:K10)</f>
        <v>3.383092E-2</v>
      </c>
      <c r="L11" s="5">
        <f t="shared" ref="L11:AD11" ca="1" si="13">SUM(L5:L10)</f>
        <v>3.6127759999999995E-2</v>
      </c>
      <c r="M11" s="5">
        <f t="shared" ca="1" si="13"/>
        <v>3.8424600000000003E-2</v>
      </c>
      <c r="N11" s="5">
        <f t="shared" ca="1" si="13"/>
        <v>4.0721439999999998E-2</v>
      </c>
      <c r="O11" s="5">
        <f t="shared" ca="1" si="13"/>
        <v>4.3018279999999999E-2</v>
      </c>
      <c r="P11" s="5">
        <f t="shared" ca="1" si="13"/>
        <v>4.531512E-2</v>
      </c>
      <c r="Q11" s="5">
        <f t="shared" ca="1" si="13"/>
        <v>4.7611959999999995E-2</v>
      </c>
      <c r="R11" s="5">
        <f t="shared" ca="1" si="13"/>
        <v>4.9908799999999996E-2</v>
      </c>
      <c r="S11" s="5">
        <f t="shared" ca="1" si="13"/>
        <v>5.2205639999999998E-2</v>
      </c>
      <c r="T11" s="5">
        <f t="shared" ca="1" si="13"/>
        <v>5.6708219999999997E-2</v>
      </c>
      <c r="U11" s="5">
        <f t="shared" ca="1" si="13"/>
        <v>6.2224019999999998E-2</v>
      </c>
      <c r="V11" s="5">
        <f t="shared" ca="1" si="13"/>
        <v>6.7922960000000004E-2</v>
      </c>
      <c r="W11" s="5">
        <f t="shared" ca="1" si="13"/>
        <v>7.3621900000000004E-2</v>
      </c>
      <c r="X11" s="5">
        <f t="shared" ca="1" si="13"/>
        <v>7.9320840000000004E-2</v>
      </c>
      <c r="Y11" s="5">
        <f t="shared" ca="1" si="13"/>
        <v>8.5019780000000003E-2</v>
      </c>
      <c r="Z11" s="5">
        <f t="shared" ca="1" si="13"/>
        <v>9.0718720000000003E-2</v>
      </c>
      <c r="AA11" s="5">
        <f t="shared" ca="1" si="13"/>
        <v>9.6417660000000002E-2</v>
      </c>
      <c r="AB11" s="5">
        <f t="shared" ca="1" si="13"/>
        <v>0.1021166</v>
      </c>
      <c r="AC11" s="5">
        <f t="shared" ca="1" si="13"/>
        <v>0.10781554</v>
      </c>
      <c r="AD11" s="5">
        <f t="shared" ca="1" si="13"/>
        <v>0.11351448</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G12" s="146"/>
      <c r="AI12" s="7"/>
      <c r="AJ12" s="7"/>
      <c r="AK12" s="7"/>
      <c r="AL12" s="7"/>
      <c r="AM12" s="7"/>
      <c r="AN12" s="7"/>
      <c r="AO12" s="7"/>
      <c r="AP12" s="7"/>
      <c r="AQ12" s="7"/>
      <c r="AR12" s="7"/>
      <c r="AS12" s="7"/>
      <c r="AT12" s="7"/>
    </row>
    <row r="13" spans="1:54" x14ac:dyDescent="0.25">
      <c r="A13" s="6" t="s">
        <v>162</v>
      </c>
      <c r="C13" s="4" t="s">
        <v>163</v>
      </c>
      <c r="D13" s="4" t="s">
        <v>164</v>
      </c>
      <c r="F13" s="4" t="s">
        <v>165</v>
      </c>
      <c r="H13" s="4" t="s">
        <v>167</v>
      </c>
      <c r="K13" s="205" t="str">
        <f t="shared" ref="K13:AD13" si="14">IF(K14=Yr_Start,"Start Year",IF(K14=Yr_End,"End Year",""))</f>
        <v>Start Year</v>
      </c>
      <c r="L13" s="205" t="str">
        <f t="shared" si="14"/>
        <v/>
      </c>
      <c r="M13" s="205" t="str">
        <f t="shared" si="14"/>
        <v/>
      </c>
      <c r="N13" s="205" t="str">
        <f t="shared" si="14"/>
        <v>End Year</v>
      </c>
      <c r="O13" s="205" t="str">
        <f t="shared" si="14"/>
        <v/>
      </c>
      <c r="P13" s="205" t="str">
        <f t="shared" si="14"/>
        <v/>
      </c>
      <c r="Q13" s="205" t="str">
        <f t="shared" si="14"/>
        <v/>
      </c>
      <c r="R13" s="205" t="str">
        <f t="shared" si="14"/>
        <v/>
      </c>
      <c r="S13" s="205" t="str">
        <f t="shared" si="14"/>
        <v/>
      </c>
      <c r="T13" s="205" t="str">
        <f t="shared" si="14"/>
        <v/>
      </c>
      <c r="U13" s="205" t="str">
        <f t="shared" si="14"/>
        <v/>
      </c>
      <c r="V13" s="205" t="str">
        <f t="shared" si="14"/>
        <v/>
      </c>
      <c r="W13" s="205" t="str">
        <f t="shared" si="14"/>
        <v/>
      </c>
      <c r="X13" s="205" t="str">
        <f t="shared" si="14"/>
        <v/>
      </c>
      <c r="Y13" s="205" t="str">
        <f t="shared" si="14"/>
        <v/>
      </c>
      <c r="Z13" s="205" t="str">
        <f t="shared" si="14"/>
        <v/>
      </c>
      <c r="AA13" s="205" t="str">
        <f t="shared" si="14"/>
        <v/>
      </c>
      <c r="AB13" s="205" t="str">
        <f t="shared" si="14"/>
        <v/>
      </c>
      <c r="AC13" s="205" t="str">
        <f t="shared" si="14"/>
        <v/>
      </c>
      <c r="AD13" s="205" t="str">
        <f t="shared" si="14"/>
        <v/>
      </c>
      <c r="AE13" s="35"/>
      <c r="AF13" s="6" t="str">
        <f>A13</f>
        <v>Richest</v>
      </c>
      <c r="AI13" s="205" t="str">
        <f t="shared" ref="AI13:BB13" si="15">IF(AI14=Yr_Start,"Start Year",IF(AI14=Yr_End,"End Year",""))</f>
        <v>Start Year</v>
      </c>
      <c r="AJ13" s="205" t="str">
        <f t="shared" si="15"/>
        <v/>
      </c>
      <c r="AK13" s="205" t="str">
        <f t="shared" si="15"/>
        <v/>
      </c>
      <c r="AL13" s="205" t="str">
        <f t="shared" si="15"/>
        <v>End Year</v>
      </c>
      <c r="AM13" s="205" t="str">
        <f t="shared" si="15"/>
        <v/>
      </c>
      <c r="AN13" s="205" t="str">
        <f t="shared" si="15"/>
        <v/>
      </c>
      <c r="AO13" s="205" t="str">
        <f t="shared" si="15"/>
        <v/>
      </c>
      <c r="AP13" s="205" t="str">
        <f t="shared" si="15"/>
        <v/>
      </c>
      <c r="AQ13" s="205" t="str">
        <f t="shared" si="15"/>
        <v/>
      </c>
      <c r="AR13" s="205" t="str">
        <f t="shared" si="15"/>
        <v/>
      </c>
      <c r="AS13" s="205" t="str">
        <f t="shared" si="15"/>
        <v/>
      </c>
      <c r="AT13" s="205" t="str">
        <f t="shared" si="15"/>
        <v/>
      </c>
      <c r="AU13" s="205" t="str">
        <f t="shared" si="15"/>
        <v/>
      </c>
      <c r="AV13" s="205" t="str">
        <f t="shared" si="15"/>
        <v/>
      </c>
      <c r="AW13" s="205" t="str">
        <f t="shared" si="15"/>
        <v/>
      </c>
      <c r="AX13" s="205" t="str">
        <f t="shared" si="15"/>
        <v/>
      </c>
      <c r="AY13" s="205" t="str">
        <f t="shared" si="15"/>
        <v/>
      </c>
      <c r="AZ13" s="205" t="str">
        <f t="shared" si="15"/>
        <v/>
      </c>
      <c r="BA13" s="205" t="str">
        <f t="shared" si="15"/>
        <v/>
      </c>
      <c r="BB13" s="205" t="str">
        <f t="shared" si="15"/>
        <v/>
      </c>
    </row>
    <row r="14" spans="1:54" x14ac:dyDescent="0.25">
      <c r="A14" s="6" t="s">
        <v>21</v>
      </c>
      <c r="B14" s="36"/>
      <c r="C14" s="36">
        <f>Yr_DHS1</f>
        <v>2011</v>
      </c>
      <c r="D14" s="36">
        <f>Yr_DHS2</f>
        <v>2016</v>
      </c>
      <c r="E14" s="36" t="s">
        <v>168</v>
      </c>
      <c r="F14" s="36">
        <f>Yr_Start</f>
        <v>2019</v>
      </c>
      <c r="G14" s="127"/>
      <c r="H14" s="36">
        <f>Yr_End</f>
        <v>2022</v>
      </c>
      <c r="I14" s="36" t="s">
        <v>169</v>
      </c>
      <c r="J14" s="130">
        <f>K14-1</f>
        <v>2018</v>
      </c>
      <c r="K14" s="130">
        <f>Yr_Start</f>
        <v>2019</v>
      </c>
      <c r="L14" s="130">
        <f>K14+1</f>
        <v>2020</v>
      </c>
      <c r="M14" s="130">
        <f t="shared" ref="M14:AD14" si="16">L14+1</f>
        <v>2021</v>
      </c>
      <c r="N14" s="130">
        <f t="shared" si="16"/>
        <v>2022</v>
      </c>
      <c r="O14" s="130">
        <f t="shared" si="16"/>
        <v>2023</v>
      </c>
      <c r="P14" s="130">
        <f t="shared" si="16"/>
        <v>2024</v>
      </c>
      <c r="Q14" s="130">
        <f t="shared" si="16"/>
        <v>2025</v>
      </c>
      <c r="R14" s="130">
        <f t="shared" si="16"/>
        <v>2026</v>
      </c>
      <c r="S14" s="130">
        <f t="shared" si="16"/>
        <v>2027</v>
      </c>
      <c r="T14" s="130">
        <f t="shared" si="16"/>
        <v>2028</v>
      </c>
      <c r="U14" s="130">
        <f t="shared" si="16"/>
        <v>2029</v>
      </c>
      <c r="V14" s="130">
        <f t="shared" si="16"/>
        <v>2030</v>
      </c>
      <c r="W14" s="130">
        <f t="shared" si="16"/>
        <v>2031</v>
      </c>
      <c r="X14" s="130">
        <f t="shared" si="16"/>
        <v>2032</v>
      </c>
      <c r="Y14" s="130">
        <f t="shared" si="16"/>
        <v>2033</v>
      </c>
      <c r="Z14" s="130">
        <f t="shared" si="16"/>
        <v>2034</v>
      </c>
      <c r="AA14" s="130">
        <f t="shared" si="16"/>
        <v>2035</v>
      </c>
      <c r="AB14" s="130">
        <f t="shared" si="16"/>
        <v>2036</v>
      </c>
      <c r="AC14" s="130">
        <f t="shared" si="16"/>
        <v>2037</v>
      </c>
      <c r="AD14" s="130">
        <f t="shared" si="16"/>
        <v>2038</v>
      </c>
      <c r="AE14" s="6"/>
      <c r="AF14" s="6" t="str">
        <f>A14</f>
        <v>Rural</v>
      </c>
      <c r="AG14" s="38"/>
      <c r="AH14" s="161">
        <f>AI14-1</f>
        <v>2018</v>
      </c>
      <c r="AI14" s="36">
        <f>Yr_Start</f>
        <v>2019</v>
      </c>
      <c r="AJ14" s="36">
        <f>AI14+1</f>
        <v>2020</v>
      </c>
      <c r="AK14" s="36">
        <f t="shared" ref="AK14:BB14" si="17">AJ14+1</f>
        <v>2021</v>
      </c>
      <c r="AL14" s="36">
        <f t="shared" si="17"/>
        <v>2022</v>
      </c>
      <c r="AM14" s="36">
        <f t="shared" si="17"/>
        <v>2023</v>
      </c>
      <c r="AN14" s="36">
        <f t="shared" si="17"/>
        <v>2024</v>
      </c>
      <c r="AO14" s="36">
        <f t="shared" si="17"/>
        <v>2025</v>
      </c>
      <c r="AP14" s="36">
        <f t="shared" si="17"/>
        <v>2026</v>
      </c>
      <c r="AQ14" s="36">
        <f t="shared" si="17"/>
        <v>2027</v>
      </c>
      <c r="AR14" s="36">
        <f t="shared" si="17"/>
        <v>2028</v>
      </c>
      <c r="AS14" s="36">
        <f t="shared" si="17"/>
        <v>2029</v>
      </c>
      <c r="AT14" s="36">
        <f t="shared" si="17"/>
        <v>2030</v>
      </c>
      <c r="AU14" s="36">
        <f t="shared" si="17"/>
        <v>2031</v>
      </c>
      <c r="AV14" s="36">
        <f t="shared" si="17"/>
        <v>2032</v>
      </c>
      <c r="AW14" s="36">
        <f t="shared" si="17"/>
        <v>2033</v>
      </c>
      <c r="AX14" s="36">
        <f t="shared" si="17"/>
        <v>2034</v>
      </c>
      <c r="AY14" s="36">
        <f t="shared" si="17"/>
        <v>2035</v>
      </c>
      <c r="AZ14" s="36">
        <f t="shared" si="17"/>
        <v>2036</v>
      </c>
      <c r="BA14" s="36">
        <f t="shared" si="17"/>
        <v>2037</v>
      </c>
      <c r="BB14" s="36">
        <f t="shared" si="17"/>
        <v>2038</v>
      </c>
    </row>
    <row r="15" spans="1:54" x14ac:dyDescent="0.25">
      <c r="B15" s="1" t="s">
        <v>52</v>
      </c>
      <c r="C15" s="14">
        <f ca="1">Implant_Base!C15</f>
        <v>2.0166699999999999E-2</v>
      </c>
      <c r="D15" s="14">
        <f ca="1">Implant_Base!D15</f>
        <v>3.1653300000000002E-2</v>
      </c>
      <c r="E15" s="14">
        <f ca="1">IF('User Settings'!$N$7="On",($D15-$C15)/($D$4-$C$4),0)</f>
        <v>2.2973200000000007E-3</v>
      </c>
      <c r="F15" s="14">
        <f ca="1">Implant_Base!F15</f>
        <v>3.8545260000000005E-2</v>
      </c>
      <c r="G15" s="1" t="str">
        <f>"Shift_RurQ1"&amp;IF(Dashboard!$Q$4="Yes",$A$1,"")</f>
        <v>Shift_RurQ1</v>
      </c>
      <c r="H15" s="14">
        <f ca="1">Implant_Base!H15*(1-INDIRECT($G15))</f>
        <v>3.6349776000000007E-2</v>
      </c>
      <c r="I15" s="14">
        <f t="shared" ref="I15:I20" ca="1" si="18">($H15-$F15)/($H$4-$F$4)</f>
        <v>-7.3182799999999915E-4</v>
      </c>
      <c r="J15" s="14">
        <f ca="1">K15-E15</f>
        <v>3.6247940000000006E-2</v>
      </c>
      <c r="K15" s="14">
        <f ca="1">MAX(0,MIN(1,D15+(K$4-D$4)*E15))</f>
        <v>3.8545260000000005E-2</v>
      </c>
      <c r="L15" s="15">
        <f ca="1">MAX(0,MIN(1,K15+$I15))</f>
        <v>3.7813432000000008E-2</v>
      </c>
      <c r="M15" s="15">
        <f t="shared" ref="M15:AD15" ca="1" si="19">MAX(0,MIN(1,L15+$I15))</f>
        <v>3.7081604000000011E-2</v>
      </c>
      <c r="N15" s="15">
        <f ca="1">MAX(0,MIN(1,M15+$I15))</f>
        <v>3.6349776000000014E-2</v>
      </c>
      <c r="O15" s="15">
        <f t="shared" ca="1" si="19"/>
        <v>3.5617948000000017E-2</v>
      </c>
      <c r="P15" s="15">
        <f t="shared" ca="1" si="19"/>
        <v>3.488612000000002E-2</v>
      </c>
      <c r="Q15" s="15">
        <f t="shared" ca="1" si="19"/>
        <v>3.4154292000000024E-2</v>
      </c>
      <c r="R15" s="15">
        <f t="shared" ca="1" si="19"/>
        <v>3.3422464000000027E-2</v>
      </c>
      <c r="S15" s="15">
        <f t="shared" ca="1" si="19"/>
        <v>3.269063600000003E-2</v>
      </c>
      <c r="T15" s="15">
        <f t="shared" ca="1" si="19"/>
        <v>3.1958808000000033E-2</v>
      </c>
      <c r="U15" s="15">
        <f t="shared" ca="1" si="19"/>
        <v>3.1226980000000033E-2</v>
      </c>
      <c r="V15" s="15">
        <f t="shared" ca="1" si="19"/>
        <v>3.0495152000000032E-2</v>
      </c>
      <c r="W15" s="15">
        <f t="shared" ca="1" si="19"/>
        <v>2.9763324000000032E-2</v>
      </c>
      <c r="X15" s="15">
        <f t="shared" ca="1" si="19"/>
        <v>2.9031496000000032E-2</v>
      </c>
      <c r="Y15" s="15">
        <f t="shared" ca="1" si="19"/>
        <v>2.8299668000000031E-2</v>
      </c>
      <c r="Z15" s="15">
        <f t="shared" ca="1" si="19"/>
        <v>2.7567840000000031E-2</v>
      </c>
      <c r="AA15" s="15">
        <f t="shared" ca="1" si="19"/>
        <v>2.6836012000000031E-2</v>
      </c>
      <c r="AB15" s="15">
        <f t="shared" ca="1" si="19"/>
        <v>2.610418400000003E-2</v>
      </c>
      <c r="AC15" s="15">
        <f t="shared" ca="1" si="19"/>
        <v>2.537235600000003E-2</v>
      </c>
      <c r="AD15" s="15">
        <f t="shared" ca="1" si="19"/>
        <v>2.464052800000003E-2</v>
      </c>
      <c r="AE15" s="5"/>
      <c r="AG15" s="1" t="s">
        <v>52</v>
      </c>
      <c r="AH15" s="37">
        <f ca="1">J15*AH$21</f>
        <v>60043.643740691732</v>
      </c>
      <c r="AI15" s="37">
        <f t="shared" ref="AI15:AI20" ca="1" si="20">K15*AI$21</f>
        <v>66304.429609588959</v>
      </c>
      <c r="AJ15" s="37">
        <f t="shared" ref="AJ15:AS20" ca="1" si="21">L15*AJ$21</f>
        <v>67532.102177600042</v>
      </c>
      <c r="AK15" s="37">
        <f t="shared" ca="1" si="21"/>
        <v>68654.738452588368</v>
      </c>
      <c r="AL15" s="37">
        <f t="shared" ca="1" si="21"/>
        <v>69768.614405758344</v>
      </c>
      <c r="AM15" s="37">
        <f t="shared" ca="1" si="21"/>
        <v>70860.11203201997</v>
      </c>
      <c r="AN15" s="37">
        <f t="shared" ca="1" si="21"/>
        <v>71915.17813931992</v>
      </c>
      <c r="AO15" s="37">
        <f t="shared" ca="1" si="21"/>
        <v>72925.078512424734</v>
      </c>
      <c r="AP15" s="37">
        <f t="shared" ca="1" si="21"/>
        <v>73835.304552760863</v>
      </c>
      <c r="AQ15" s="37">
        <f t="shared" ca="1" si="21"/>
        <v>74700.666947639169</v>
      </c>
      <c r="AR15" s="37">
        <f t="shared" ca="1" si="21"/>
        <v>75517.902406430323</v>
      </c>
      <c r="AS15" s="37">
        <f t="shared" ca="1" si="21"/>
        <v>76286.913564984439</v>
      </c>
      <c r="AT15" s="37">
        <f t="shared" ref="AT15:BB20" ca="1" si="22">V15*AT$21</f>
        <v>77004.797163526615</v>
      </c>
      <c r="AU15" s="37">
        <f t="shared" ca="1" si="22"/>
        <v>77621.256003974937</v>
      </c>
      <c r="AV15" s="37">
        <f t="shared" ca="1" si="22"/>
        <v>78183.706741663758</v>
      </c>
      <c r="AW15" s="37">
        <f t="shared" ca="1" si="22"/>
        <v>78682.462999783675</v>
      </c>
      <c r="AX15" s="37">
        <f t="shared" ca="1" si="22"/>
        <v>79107.707303031886</v>
      </c>
      <c r="AY15" s="37">
        <f t="shared" ca="1" si="22"/>
        <v>79451.801423640805</v>
      </c>
      <c r="AZ15" s="37" t="e">
        <f t="shared" ca="1" si="22"/>
        <v>#N/A</v>
      </c>
      <c r="BA15" s="37" t="e">
        <f t="shared" ca="1" si="22"/>
        <v>#N/A</v>
      </c>
      <c r="BB15" s="37" t="e">
        <f t="shared" ca="1" si="22"/>
        <v>#N/A</v>
      </c>
    </row>
    <row r="16" spans="1:54" x14ac:dyDescent="0.25">
      <c r="B16" s="1" t="s">
        <v>54</v>
      </c>
      <c r="C16" s="14">
        <f ca="1">Implant_Base!C16</f>
        <v>0</v>
      </c>
      <c r="D16" s="14">
        <f ca="1">Implant_Base!D16</f>
        <v>3.5446000000000002E-3</v>
      </c>
      <c r="E16" s="14">
        <f ca="1">IF('User Settings'!$N$7="On",($D16-$C16)/($D$4-$C$4),0)</f>
        <v>7.0892000000000004E-4</v>
      </c>
      <c r="F16" s="14">
        <f ca="1">Implant_Base!F16</f>
        <v>5.6713600000000003E-3</v>
      </c>
      <c r="G16" s="1" t="str">
        <f>"Shift_RurQ1"&amp;IF(Dashboard!$Q$4="Yes",$A$1,"")</f>
        <v>Shift_RurQ1</v>
      </c>
      <c r="H16" s="14">
        <f ca="1">Implant_Base!H16*(1-INDIRECT($G16))</f>
        <v>6.2384960000000005E-3</v>
      </c>
      <c r="I16" s="14">
        <f t="shared" ca="1" si="18"/>
        <v>1.8904533333333339E-4</v>
      </c>
      <c r="J16" s="14">
        <f t="shared" ref="J16:J20" ca="1" si="23">K16-E16</f>
        <v>4.9624400000000003E-3</v>
      </c>
      <c r="K16" s="14">
        <f t="shared" ref="K16:K20" ca="1" si="24">MAX(0,MIN(1,D16+(K$4-D$4)*E16))</f>
        <v>5.6713600000000003E-3</v>
      </c>
      <c r="L16" s="15">
        <f t="shared" ref="L16:AD20" ca="1" si="25">MAX(0,MIN(1,K16+$I16))</f>
        <v>5.860405333333334E-3</v>
      </c>
      <c r="M16" s="15">
        <f t="shared" ca="1" si="25"/>
        <v>6.0494506666666677E-3</v>
      </c>
      <c r="N16" s="15">
        <f t="shared" ca="1" si="25"/>
        <v>6.2384960000000014E-3</v>
      </c>
      <c r="O16" s="15">
        <f t="shared" ca="1" si="25"/>
        <v>6.427541333333335E-3</v>
      </c>
      <c r="P16" s="15">
        <f t="shared" ca="1" si="25"/>
        <v>6.6165866666666687E-3</v>
      </c>
      <c r="Q16" s="15">
        <f t="shared" ca="1" si="25"/>
        <v>6.8056320000000024E-3</v>
      </c>
      <c r="R16" s="15">
        <f t="shared" ca="1" si="25"/>
        <v>6.9946773333333361E-3</v>
      </c>
      <c r="S16" s="15">
        <f t="shared" ca="1" si="25"/>
        <v>7.1837226666666698E-3</v>
      </c>
      <c r="T16" s="15">
        <f t="shared" ca="1" si="25"/>
        <v>7.3727680000000035E-3</v>
      </c>
      <c r="U16" s="15">
        <f t="shared" ca="1" si="25"/>
        <v>7.5618133333333372E-3</v>
      </c>
      <c r="V16" s="15">
        <f t="shared" ca="1" si="25"/>
        <v>7.7508586666666709E-3</v>
      </c>
      <c r="W16" s="15">
        <f t="shared" ca="1" si="25"/>
        <v>7.9399040000000046E-3</v>
      </c>
      <c r="X16" s="15">
        <f t="shared" ca="1" si="25"/>
        <v>8.1289493333333383E-3</v>
      </c>
      <c r="Y16" s="15">
        <f t="shared" ca="1" si="25"/>
        <v>8.3179946666666719E-3</v>
      </c>
      <c r="Z16" s="15">
        <f t="shared" ca="1" si="25"/>
        <v>8.5070400000000056E-3</v>
      </c>
      <c r="AA16" s="15">
        <f t="shared" ca="1" si="25"/>
        <v>8.6960853333333393E-3</v>
      </c>
      <c r="AB16" s="15">
        <f t="shared" ca="1" si="25"/>
        <v>8.885130666666673E-3</v>
      </c>
      <c r="AC16" s="15">
        <f t="shared" ca="1" si="25"/>
        <v>9.0741760000000067E-3</v>
      </c>
      <c r="AD16" s="15">
        <f t="shared" ca="1" si="25"/>
        <v>9.2632213333333404E-3</v>
      </c>
      <c r="AE16" s="5"/>
      <c r="AG16" s="1" t="s">
        <v>54</v>
      </c>
      <c r="AH16" s="37">
        <f t="shared" ref="AH16:AH20" ca="1" si="26">J16*AH$21</f>
        <v>8220.135528930974</v>
      </c>
      <c r="AI16" s="37">
        <f t="shared" ca="1" si="20"/>
        <v>9755.707703376198</v>
      </c>
      <c r="AJ16" s="37">
        <f t="shared" ca="1" si="21"/>
        <v>10466.267430388729</v>
      </c>
      <c r="AK16" s="37">
        <f t="shared" ca="1" si="21"/>
        <v>11200.255881645147</v>
      </c>
      <c r="AL16" s="37">
        <f t="shared" ca="1" si="21"/>
        <v>11973.972601533109</v>
      </c>
      <c r="AM16" s="37">
        <f t="shared" ca="1" si="21"/>
        <v>12787.269467922153</v>
      </c>
      <c r="AN16" s="37">
        <f t="shared" ca="1" si="21"/>
        <v>13639.60821116198</v>
      </c>
      <c r="AO16" s="37">
        <f t="shared" ca="1" si="21"/>
        <v>14531.153154241056</v>
      </c>
      <c r="AP16" s="37">
        <f t="shared" ca="1" si="21"/>
        <v>15452.30570537707</v>
      </c>
      <c r="AQ16" s="37">
        <f t="shared" ca="1" si="21"/>
        <v>16415.369660194825</v>
      </c>
      <c r="AR16" s="37">
        <f t="shared" ca="1" si="21"/>
        <v>17421.67524800212</v>
      </c>
      <c r="AS16" s="37">
        <f t="shared" ca="1" si="21"/>
        <v>18473.365024557177</v>
      </c>
      <c r="AT16" s="37">
        <f t="shared" ca="1" si="22"/>
        <v>19572.071635184133</v>
      </c>
      <c r="AU16" s="37">
        <f t="shared" ca="1" si="22"/>
        <v>20706.871350491103</v>
      </c>
      <c r="AV16" s="37">
        <f t="shared" ca="1" si="22"/>
        <v>21891.789206976315</v>
      </c>
      <c r="AW16" s="37">
        <f t="shared" ca="1" si="22"/>
        <v>23126.783946454692</v>
      </c>
      <c r="AX16" s="37">
        <f t="shared" ca="1" si="22"/>
        <v>24411.50377886639</v>
      </c>
      <c r="AY16" s="37">
        <f t="shared" ca="1" si="22"/>
        <v>25745.988080011106</v>
      </c>
      <c r="AZ16" s="37" t="e">
        <f t="shared" ca="1" si="22"/>
        <v>#N/A</v>
      </c>
      <c r="BA16" s="37" t="e">
        <f t="shared" ca="1" si="22"/>
        <v>#N/A</v>
      </c>
      <c r="BB16" s="37" t="e">
        <f t="shared" ca="1" si="22"/>
        <v>#N/A</v>
      </c>
    </row>
    <row r="17" spans="1:54" x14ac:dyDescent="0.25">
      <c r="B17" s="1" t="s">
        <v>170</v>
      </c>
      <c r="C17" s="14">
        <f ca="1">Implant_Base!C17</f>
        <v>6.7440000000000002E-4</v>
      </c>
      <c r="D17" s="14">
        <f ca="1">Implant_Base!D17</f>
        <v>1.2436999999999999E-3</v>
      </c>
      <c r="E17" s="14">
        <f ca="1">IF('User Settings'!$N$7="On",($D17-$C17)/($D$4-$C$4),0)</f>
        <v>1.1385999999999998E-4</v>
      </c>
      <c r="F17" s="14">
        <f ca="1">Implant_Base!F17</f>
        <v>1.5852799999999999E-3</v>
      </c>
      <c r="G17" s="1" t="str">
        <f>"Shift_RurQ1"&amp;IF(Dashboard!$Q$4="Yes",$A$1,"")</f>
        <v>Shift_RurQ1</v>
      </c>
      <c r="H17" s="14">
        <f ca="1">Implant_Base!H17*(1-INDIRECT($G17))</f>
        <v>1.5414879999999999E-3</v>
      </c>
      <c r="I17" s="14">
        <f t="shared" ca="1" si="18"/>
        <v>-1.4597333333333322E-5</v>
      </c>
      <c r="J17" s="14">
        <f t="shared" ca="1" si="23"/>
        <v>1.47142E-3</v>
      </c>
      <c r="K17" s="14">
        <f t="shared" ca="1" si="24"/>
        <v>1.5852799999999999E-3</v>
      </c>
      <c r="L17" s="15">
        <f t="shared" ca="1" si="25"/>
        <v>1.5706826666666666E-3</v>
      </c>
      <c r="M17" s="15">
        <f t="shared" ca="1" si="25"/>
        <v>1.5560853333333334E-3</v>
      </c>
      <c r="N17" s="15">
        <f t="shared" ca="1" si="25"/>
        <v>1.5414880000000001E-3</v>
      </c>
      <c r="O17" s="15">
        <f t="shared" ca="1" si="25"/>
        <v>1.5268906666666669E-3</v>
      </c>
      <c r="P17" s="15">
        <f t="shared" ca="1" si="25"/>
        <v>1.5122933333333336E-3</v>
      </c>
      <c r="Q17" s="15">
        <f t="shared" ca="1" si="25"/>
        <v>1.4976960000000004E-3</v>
      </c>
      <c r="R17" s="15">
        <f t="shared" ca="1" si="25"/>
        <v>1.4830986666666672E-3</v>
      </c>
      <c r="S17" s="15">
        <f t="shared" ca="1" si="25"/>
        <v>1.4685013333333339E-3</v>
      </c>
      <c r="T17" s="15">
        <f t="shared" ca="1" si="25"/>
        <v>1.4539040000000007E-3</v>
      </c>
      <c r="U17" s="15">
        <f t="shared" ca="1" si="25"/>
        <v>1.4393066666666674E-3</v>
      </c>
      <c r="V17" s="15">
        <f t="shared" ca="1" si="25"/>
        <v>1.4247093333333342E-3</v>
      </c>
      <c r="W17" s="15">
        <f t="shared" ca="1" si="25"/>
        <v>1.4101120000000009E-3</v>
      </c>
      <c r="X17" s="15">
        <f t="shared" ca="1" si="25"/>
        <v>1.3955146666666677E-3</v>
      </c>
      <c r="Y17" s="15">
        <f t="shared" ca="1" si="25"/>
        <v>1.3809173333333344E-3</v>
      </c>
      <c r="Z17" s="15">
        <f t="shared" ca="1" si="25"/>
        <v>1.3663200000000012E-3</v>
      </c>
      <c r="AA17" s="15">
        <f t="shared" ca="1" si="25"/>
        <v>1.3517226666666679E-3</v>
      </c>
      <c r="AB17" s="15">
        <f t="shared" ca="1" si="25"/>
        <v>1.3371253333333347E-3</v>
      </c>
      <c r="AC17" s="15">
        <f t="shared" ca="1" si="25"/>
        <v>1.3225280000000014E-3</v>
      </c>
      <c r="AD17" s="15">
        <f t="shared" ca="1" si="25"/>
        <v>1.3079306666666682E-3</v>
      </c>
      <c r="AE17" s="5"/>
      <c r="AG17" s="1" t="s">
        <v>170</v>
      </c>
      <c r="AH17" s="37">
        <f t="shared" ca="1" si="26"/>
        <v>2437.363841170798</v>
      </c>
      <c r="AI17" s="37">
        <f t="shared" ca="1" si="20"/>
        <v>2726.9523197272288</v>
      </c>
      <c r="AJ17" s="37">
        <f t="shared" ca="1" si="21"/>
        <v>2805.1276153383442</v>
      </c>
      <c r="AK17" s="37">
        <f t="shared" ca="1" si="21"/>
        <v>2881.014304826424</v>
      </c>
      <c r="AL17" s="37">
        <f t="shared" ca="1" si="21"/>
        <v>2958.6834835819509</v>
      </c>
      <c r="AM17" s="37">
        <f t="shared" ca="1" si="21"/>
        <v>3037.6720102080453</v>
      </c>
      <c r="AN17" s="37">
        <f t="shared" ca="1" si="21"/>
        <v>3117.4818083975101</v>
      </c>
      <c r="AO17" s="37">
        <f t="shared" ca="1" si="21"/>
        <v>3197.8293793279167</v>
      </c>
      <c r="AP17" s="37">
        <f t="shared" ca="1" si="21"/>
        <v>3276.3904461121374</v>
      </c>
      <c r="AQ17" s="37">
        <f t="shared" ca="1" si="21"/>
        <v>3355.640710492672</v>
      </c>
      <c r="AR17" s="37">
        <f t="shared" ca="1" si="21"/>
        <v>3435.5405364404892</v>
      </c>
      <c r="AS17" s="37">
        <f t="shared" ca="1" si="21"/>
        <v>3516.1985972868911</v>
      </c>
      <c r="AT17" s="37">
        <f t="shared" ca="1" si="22"/>
        <v>3597.603095413871</v>
      </c>
      <c r="AU17" s="37">
        <f t="shared" ca="1" si="22"/>
        <v>3677.5013619539623</v>
      </c>
      <c r="AV17" s="37">
        <f t="shared" ca="1" si="22"/>
        <v>3758.2117522416784</v>
      </c>
      <c r="AW17" s="37">
        <f t="shared" ca="1" si="22"/>
        <v>3839.4081861935588</v>
      </c>
      <c r="AX17" s="37">
        <f t="shared" ca="1" si="22"/>
        <v>3920.7439771225636</v>
      </c>
      <c r="AY17" s="37">
        <f t="shared" ca="1" si="22"/>
        <v>4001.9657500464</v>
      </c>
      <c r="AZ17" s="37" t="e">
        <f t="shared" ca="1" si="22"/>
        <v>#N/A</v>
      </c>
      <c r="BA17" s="37" t="e">
        <f t="shared" ca="1" si="22"/>
        <v>#N/A</v>
      </c>
      <c r="BB17" s="37" t="e">
        <f t="shared" ca="1" si="22"/>
        <v>#N/A</v>
      </c>
    </row>
    <row r="18" spans="1:54" x14ac:dyDescent="0.25">
      <c r="B18" s="1" t="s">
        <v>59</v>
      </c>
      <c r="C18" s="14">
        <f ca="1">Implant_Base!C18</f>
        <v>2.1161000000000001E-3</v>
      </c>
      <c r="D18" s="14">
        <f ca="1">Implant_Base!D18</f>
        <v>1.04207E-2</v>
      </c>
      <c r="E18" s="14">
        <f ca="1">IF('User Settings'!$N$7="On",($D18-$C18)/($D$4-$C$4),0)</f>
        <v>1.6609199999999998E-3</v>
      </c>
      <c r="F18" s="14">
        <f ca="1">Implant_Base!F18</f>
        <v>1.5403459999999999E-2</v>
      </c>
      <c r="H18" s="14">
        <f ca="1">H21-SUM($H15:$H17,$H19:$H20)</f>
        <v>3.1418659999999994E-2</v>
      </c>
      <c r="I18" s="14">
        <f t="shared" ca="1" si="18"/>
        <v>5.3383999999999975E-3</v>
      </c>
      <c r="J18" s="14">
        <f t="shared" ca="1" si="23"/>
        <v>1.3742539999999999E-2</v>
      </c>
      <c r="K18" s="14">
        <f t="shared" ca="1" si="24"/>
        <v>1.5403459999999999E-2</v>
      </c>
      <c r="L18" s="15">
        <f t="shared" ca="1" si="25"/>
        <v>2.0741859999999997E-2</v>
      </c>
      <c r="M18" s="15">
        <f t="shared" ca="1" si="25"/>
        <v>2.6080259999999994E-2</v>
      </c>
      <c r="N18" s="15">
        <f t="shared" ca="1" si="25"/>
        <v>3.1418659999999994E-2</v>
      </c>
      <c r="O18" s="15">
        <f t="shared" ca="1" si="25"/>
        <v>3.6757059999999994E-2</v>
      </c>
      <c r="P18" s="15">
        <f t="shared" ca="1" si="25"/>
        <v>4.2095459999999994E-2</v>
      </c>
      <c r="Q18" s="15">
        <f t="shared" ca="1" si="25"/>
        <v>4.7433859999999994E-2</v>
      </c>
      <c r="R18" s="15">
        <f t="shared" ca="1" si="25"/>
        <v>5.2772259999999994E-2</v>
      </c>
      <c r="S18" s="15">
        <f t="shared" ca="1" si="25"/>
        <v>5.8110659999999995E-2</v>
      </c>
      <c r="T18" s="15">
        <f t="shared" ca="1" si="25"/>
        <v>6.3449059999999988E-2</v>
      </c>
      <c r="U18" s="15">
        <f t="shared" ca="1" si="25"/>
        <v>6.8787459999999981E-2</v>
      </c>
      <c r="V18" s="15">
        <f t="shared" ca="1" si="25"/>
        <v>7.4125859999999974E-2</v>
      </c>
      <c r="W18" s="15">
        <f t="shared" ca="1" si="25"/>
        <v>7.9464259999999967E-2</v>
      </c>
      <c r="X18" s="15">
        <f t="shared" ca="1" si="25"/>
        <v>8.480265999999996E-2</v>
      </c>
      <c r="Y18" s="15">
        <f t="shared" ca="1" si="25"/>
        <v>9.0141059999999953E-2</v>
      </c>
      <c r="Z18" s="15">
        <f t="shared" ca="1" si="25"/>
        <v>9.5479459999999947E-2</v>
      </c>
      <c r="AA18" s="15">
        <f t="shared" ca="1" si="25"/>
        <v>0.10081785999999994</v>
      </c>
      <c r="AB18" s="15">
        <f t="shared" ca="1" si="25"/>
        <v>0.10615625999999993</v>
      </c>
      <c r="AC18" s="15">
        <f t="shared" ca="1" si="25"/>
        <v>0.11149465999999993</v>
      </c>
      <c r="AD18" s="15">
        <f t="shared" ca="1" si="25"/>
        <v>0.11683305999999992</v>
      </c>
      <c r="AE18" s="5"/>
      <c r="AG18" s="1" t="s">
        <v>59</v>
      </c>
      <c r="AH18" s="37">
        <f t="shared" ca="1" si="26"/>
        <v>22764.112273751434</v>
      </c>
      <c r="AI18" s="37">
        <f t="shared" ca="1" si="20"/>
        <v>26496.581663066198</v>
      </c>
      <c r="AJ18" s="37">
        <f t="shared" ca="1" si="21"/>
        <v>37043.487850388054</v>
      </c>
      <c r="AK18" s="37">
        <f t="shared" ca="1" si="21"/>
        <v>48286.299294806697</v>
      </c>
      <c r="AL18" s="37">
        <f t="shared" ca="1" si="21"/>
        <v>60303.985771071115</v>
      </c>
      <c r="AM18" s="37">
        <f t="shared" ca="1" si="21"/>
        <v>73126.317932961174</v>
      </c>
      <c r="AN18" s="37">
        <f t="shared" ca="1" si="21"/>
        <v>86776.703879841443</v>
      </c>
      <c r="AO18" s="37">
        <f t="shared" ca="1" si="21"/>
        <v>101279.15884326809</v>
      </c>
      <c r="AP18" s="37">
        <f t="shared" ca="1" si="21"/>
        <v>116581.9458744118</v>
      </c>
      <c r="AQ18" s="37">
        <f t="shared" ca="1" si="21"/>
        <v>132787.41529432137</v>
      </c>
      <c r="AR18" s="37">
        <f t="shared" ca="1" si="21"/>
        <v>149928.6181405682</v>
      </c>
      <c r="AS18" s="37">
        <f t="shared" ca="1" si="21"/>
        <v>168046.44622614217</v>
      </c>
      <c r="AT18" s="37">
        <f t="shared" ca="1" si="22"/>
        <v>187178.82809280514</v>
      </c>
      <c r="AU18" s="37">
        <f t="shared" ca="1" si="22"/>
        <v>207238.80399334483</v>
      </c>
      <c r="AV18" s="37">
        <f t="shared" ca="1" si="22"/>
        <v>228379.07837587869</v>
      </c>
      <c r="AW18" s="37">
        <f t="shared" ca="1" si="22"/>
        <v>250622.04327666559</v>
      </c>
      <c r="AX18" s="37">
        <f t="shared" ca="1" si="22"/>
        <v>273984.51148626546</v>
      </c>
      <c r="AY18" s="37">
        <f t="shared" ca="1" si="22"/>
        <v>298485.5049504526</v>
      </c>
      <c r="AZ18" s="37" t="e">
        <f t="shared" ca="1" si="22"/>
        <v>#N/A</v>
      </c>
      <c r="BA18" s="37" t="e">
        <f t="shared" ca="1" si="22"/>
        <v>#N/A</v>
      </c>
      <c r="BB18" s="37" t="e">
        <f t="shared" ca="1" si="22"/>
        <v>#N/A</v>
      </c>
    </row>
    <row r="19" spans="1:54" x14ac:dyDescent="0.25">
      <c r="B19" s="1" t="s">
        <v>171</v>
      </c>
      <c r="C19" s="14">
        <f ca="1">Implant_Base!C19</f>
        <v>0</v>
      </c>
      <c r="D19" s="14">
        <f ca="1">Implant_Base!D19</f>
        <v>0</v>
      </c>
      <c r="E19" s="14">
        <f ca="1">IF('User Settings'!$N$7="On",($D19-$C19)/($D$4-$C$4),0)</f>
        <v>0</v>
      </c>
      <c r="F19" s="14">
        <f ca="1">Implant_Base!F19</f>
        <v>0</v>
      </c>
      <c r="G19" s="1"/>
      <c r="H19" s="14">
        <f ca="1">Implant_Base!H19</f>
        <v>0</v>
      </c>
      <c r="I19" s="14">
        <f t="shared" ca="1" si="18"/>
        <v>0</v>
      </c>
      <c r="J19" s="14">
        <f t="shared" ca="1" si="23"/>
        <v>0</v>
      </c>
      <c r="K19" s="14">
        <f t="shared" ca="1" si="24"/>
        <v>0</v>
      </c>
      <c r="L19" s="15">
        <f t="shared" ca="1" si="25"/>
        <v>0</v>
      </c>
      <c r="M19" s="15">
        <f t="shared" ca="1" si="25"/>
        <v>0</v>
      </c>
      <c r="N19" s="15">
        <f t="shared" ca="1" si="25"/>
        <v>0</v>
      </c>
      <c r="O19" s="15">
        <f t="shared" ca="1" si="25"/>
        <v>0</v>
      </c>
      <c r="P19" s="15">
        <f t="shared" ca="1" si="25"/>
        <v>0</v>
      </c>
      <c r="Q19" s="15">
        <f t="shared" ca="1" si="25"/>
        <v>0</v>
      </c>
      <c r="R19" s="15">
        <f t="shared" ca="1" si="25"/>
        <v>0</v>
      </c>
      <c r="S19" s="15">
        <f t="shared" ca="1" si="25"/>
        <v>0</v>
      </c>
      <c r="T19" s="15">
        <f t="shared" ca="1" si="25"/>
        <v>0</v>
      </c>
      <c r="U19" s="15">
        <f t="shared" ca="1" si="25"/>
        <v>0</v>
      </c>
      <c r="V19" s="15">
        <f t="shared" ca="1" si="25"/>
        <v>0</v>
      </c>
      <c r="W19" s="15">
        <f t="shared" ca="1" si="25"/>
        <v>0</v>
      </c>
      <c r="X19" s="15">
        <f t="shared" ca="1" si="25"/>
        <v>0</v>
      </c>
      <c r="Y19" s="15">
        <f t="shared" ca="1" si="25"/>
        <v>0</v>
      </c>
      <c r="Z19" s="15">
        <f t="shared" ca="1" si="25"/>
        <v>0</v>
      </c>
      <c r="AA19" s="15">
        <f t="shared" ca="1" si="25"/>
        <v>0</v>
      </c>
      <c r="AB19" s="15">
        <f t="shared" ca="1" si="25"/>
        <v>0</v>
      </c>
      <c r="AC19" s="15">
        <f t="shared" ca="1" si="25"/>
        <v>0</v>
      </c>
      <c r="AD19" s="15">
        <f t="shared" ca="1" si="25"/>
        <v>0</v>
      </c>
      <c r="AE19" s="5"/>
      <c r="AG19" s="1" t="s">
        <v>171</v>
      </c>
      <c r="AH19" s="37">
        <f t="shared" ca="1" si="26"/>
        <v>0</v>
      </c>
      <c r="AI19" s="37">
        <f t="shared" ca="1" si="20"/>
        <v>0</v>
      </c>
      <c r="AJ19" s="37">
        <f t="shared" ca="1" si="21"/>
        <v>0</v>
      </c>
      <c r="AK19" s="37">
        <f t="shared" ca="1" si="21"/>
        <v>0</v>
      </c>
      <c r="AL19" s="37">
        <f t="shared" ca="1" si="21"/>
        <v>0</v>
      </c>
      <c r="AM19" s="37">
        <f t="shared" ca="1" si="21"/>
        <v>0</v>
      </c>
      <c r="AN19" s="37">
        <f t="shared" ca="1" si="21"/>
        <v>0</v>
      </c>
      <c r="AO19" s="37">
        <f t="shared" ca="1" si="21"/>
        <v>0</v>
      </c>
      <c r="AP19" s="37">
        <f t="shared" ca="1" si="21"/>
        <v>0</v>
      </c>
      <c r="AQ19" s="37">
        <f t="shared" ca="1" si="21"/>
        <v>0</v>
      </c>
      <c r="AR19" s="37">
        <f t="shared" ca="1" si="21"/>
        <v>0</v>
      </c>
      <c r="AS19" s="37">
        <f t="shared" ca="1" si="21"/>
        <v>0</v>
      </c>
      <c r="AT19" s="37">
        <f t="shared" ca="1" si="22"/>
        <v>0</v>
      </c>
      <c r="AU19" s="37">
        <f t="shared" ca="1" si="22"/>
        <v>0</v>
      </c>
      <c r="AV19" s="37">
        <f t="shared" ca="1" si="22"/>
        <v>0</v>
      </c>
      <c r="AW19" s="37">
        <f t="shared" ca="1" si="22"/>
        <v>0</v>
      </c>
      <c r="AX19" s="37">
        <f t="shared" ca="1" si="22"/>
        <v>0</v>
      </c>
      <c r="AY19" s="37">
        <f t="shared" ca="1" si="22"/>
        <v>0</v>
      </c>
      <c r="AZ19" s="37" t="e">
        <f t="shared" ca="1" si="22"/>
        <v>#N/A</v>
      </c>
      <c r="BA19" s="37" t="e">
        <f t="shared" ca="1" si="22"/>
        <v>#N/A</v>
      </c>
      <c r="BB19" s="37" t="e">
        <f t="shared" ca="1" si="22"/>
        <v>#N/A</v>
      </c>
    </row>
    <row r="20" spans="1:54" x14ac:dyDescent="0.25">
      <c r="B20" s="1" t="s">
        <v>116</v>
      </c>
      <c r="C20" s="14">
        <f ca="1">Implant_Base!C20</f>
        <v>0</v>
      </c>
      <c r="D20" s="14">
        <f ca="1">Implant_Base!D20</f>
        <v>0</v>
      </c>
      <c r="E20" s="14">
        <f ca="1">IF('User Settings'!$N$7="On",($D20-$C20)/($D$4-$C$4),0)</f>
        <v>0</v>
      </c>
      <c r="F20" s="14">
        <f ca="1">Implant_Base!F20</f>
        <v>0</v>
      </c>
      <c r="G20" s="1" t="str">
        <f>"Shift_RurQ1"&amp;IF(Dashboard!$Q$4="Yes",$A$1,"")</f>
        <v>Shift_RurQ1</v>
      </c>
      <c r="H20" s="14">
        <f ca="1">Implant_Base!H20*(1-INDIRECT($G20))</f>
        <v>0</v>
      </c>
      <c r="I20" s="14">
        <f t="shared" ca="1" si="18"/>
        <v>0</v>
      </c>
      <c r="J20" s="14">
        <f t="shared" ca="1" si="23"/>
        <v>0</v>
      </c>
      <c r="K20" s="14">
        <f t="shared" ca="1" si="24"/>
        <v>0</v>
      </c>
      <c r="L20" s="15">
        <f t="shared" ca="1" si="25"/>
        <v>0</v>
      </c>
      <c r="M20" s="15">
        <f t="shared" ca="1" si="25"/>
        <v>0</v>
      </c>
      <c r="N20" s="15">
        <f t="shared" ca="1" si="25"/>
        <v>0</v>
      </c>
      <c r="O20" s="15">
        <f t="shared" ca="1" si="25"/>
        <v>0</v>
      </c>
      <c r="P20" s="15">
        <f t="shared" ca="1" si="25"/>
        <v>0</v>
      </c>
      <c r="Q20" s="15">
        <f t="shared" ca="1" si="25"/>
        <v>0</v>
      </c>
      <c r="R20" s="15">
        <f t="shared" ca="1" si="25"/>
        <v>0</v>
      </c>
      <c r="S20" s="15">
        <f t="shared" ca="1" si="25"/>
        <v>0</v>
      </c>
      <c r="T20" s="15">
        <f t="shared" ca="1" si="25"/>
        <v>0</v>
      </c>
      <c r="U20" s="15">
        <f t="shared" ca="1" si="25"/>
        <v>0</v>
      </c>
      <c r="V20" s="15">
        <f t="shared" ca="1" si="25"/>
        <v>0</v>
      </c>
      <c r="W20" s="15">
        <f t="shared" ca="1" si="25"/>
        <v>0</v>
      </c>
      <c r="X20" s="15">
        <f t="shared" ca="1" si="25"/>
        <v>0</v>
      </c>
      <c r="Y20" s="15">
        <f t="shared" ca="1" si="25"/>
        <v>0</v>
      </c>
      <c r="Z20" s="15">
        <f t="shared" ca="1" si="25"/>
        <v>0</v>
      </c>
      <c r="AA20" s="15">
        <f t="shared" ca="1" si="25"/>
        <v>0</v>
      </c>
      <c r="AB20" s="15">
        <f t="shared" ca="1" si="25"/>
        <v>0</v>
      </c>
      <c r="AC20" s="15">
        <f t="shared" ca="1" si="25"/>
        <v>0</v>
      </c>
      <c r="AD20" s="15">
        <f t="shared" ca="1" si="25"/>
        <v>0</v>
      </c>
      <c r="AE20" s="5"/>
      <c r="AG20" s="1" t="s">
        <v>116</v>
      </c>
      <c r="AH20" s="37">
        <f t="shared" ca="1" si="26"/>
        <v>0</v>
      </c>
      <c r="AI20" s="37">
        <f t="shared" ca="1" si="20"/>
        <v>0</v>
      </c>
      <c r="AJ20" s="37">
        <f t="shared" ca="1" si="21"/>
        <v>0</v>
      </c>
      <c r="AK20" s="37">
        <f t="shared" ca="1" si="21"/>
        <v>0</v>
      </c>
      <c r="AL20" s="37">
        <f t="shared" ca="1" si="21"/>
        <v>0</v>
      </c>
      <c r="AM20" s="37">
        <f t="shared" ca="1" si="21"/>
        <v>0</v>
      </c>
      <c r="AN20" s="37">
        <f t="shared" ca="1" si="21"/>
        <v>0</v>
      </c>
      <c r="AO20" s="37">
        <f t="shared" ca="1" si="21"/>
        <v>0</v>
      </c>
      <c r="AP20" s="37">
        <f t="shared" ca="1" si="21"/>
        <v>0</v>
      </c>
      <c r="AQ20" s="37">
        <f t="shared" ca="1" si="21"/>
        <v>0</v>
      </c>
      <c r="AR20" s="37">
        <f t="shared" ca="1" si="21"/>
        <v>0</v>
      </c>
      <c r="AS20" s="37">
        <f t="shared" ca="1" si="21"/>
        <v>0</v>
      </c>
      <c r="AT20" s="37">
        <f t="shared" ca="1" si="22"/>
        <v>0</v>
      </c>
      <c r="AU20" s="37">
        <f t="shared" ca="1" si="22"/>
        <v>0</v>
      </c>
      <c r="AV20" s="37">
        <f t="shared" ca="1" si="22"/>
        <v>0</v>
      </c>
      <c r="AW20" s="37">
        <f t="shared" ca="1" si="22"/>
        <v>0</v>
      </c>
      <c r="AX20" s="37">
        <f t="shared" ca="1" si="22"/>
        <v>0</v>
      </c>
      <c r="AY20" s="37">
        <f t="shared" ca="1" si="22"/>
        <v>0</v>
      </c>
      <c r="AZ20" s="37" t="e">
        <f t="shared" ca="1" si="22"/>
        <v>#N/A</v>
      </c>
      <c r="BA20" s="37" t="e">
        <f t="shared" ca="1" si="22"/>
        <v>#N/A</v>
      </c>
      <c r="BB20" s="37" t="e">
        <f t="shared" ca="1" si="22"/>
        <v>#N/A</v>
      </c>
    </row>
    <row r="21" spans="1:54" x14ac:dyDescent="0.25">
      <c r="C21" s="5">
        <f ca="1">SUM(C15:C20)</f>
        <v>2.2957199999999997E-2</v>
      </c>
      <c r="D21" s="5">
        <f ca="1">SUM(D15:D20)</f>
        <v>4.6862300000000003E-2</v>
      </c>
      <c r="E21" s="131"/>
      <c r="F21" s="132">
        <f ca="1">SUM(F15:F20)</f>
        <v>6.1205360000000007E-2</v>
      </c>
      <c r="G21" s="146"/>
      <c r="H21" s="132">
        <f ca="1">Implant_Base!H21</f>
        <v>7.5548420000000005E-2</v>
      </c>
      <c r="I21" s="132"/>
      <c r="J21" s="132">
        <f ca="1">SUM(J15:J20)</f>
        <v>5.6424340000000003E-2</v>
      </c>
      <c r="K21" s="132">
        <f ca="1">SUM(K15:K20)</f>
        <v>6.1205360000000007E-2</v>
      </c>
      <c r="L21" s="5">
        <f t="shared" ref="L21:AD21" ca="1" si="27">SUM(L15:L20)</f>
        <v>6.5986380000000011E-2</v>
      </c>
      <c r="M21" s="5">
        <f t="shared" ca="1" si="27"/>
        <v>7.0767400000000008E-2</v>
      </c>
      <c r="N21" s="5">
        <f t="shared" ca="1" si="27"/>
        <v>7.5548420000000005E-2</v>
      </c>
      <c r="O21" s="5">
        <f t="shared" ca="1" si="27"/>
        <v>8.0329440000000016E-2</v>
      </c>
      <c r="P21" s="5">
        <f t="shared" ca="1" si="27"/>
        <v>8.5110460000000013E-2</v>
      </c>
      <c r="Q21" s="5">
        <f t="shared" ca="1" si="27"/>
        <v>8.9891480000000024E-2</v>
      </c>
      <c r="R21" s="5">
        <f t="shared" ca="1" si="27"/>
        <v>9.4672500000000021E-2</v>
      </c>
      <c r="S21" s="5">
        <f t="shared" ca="1" si="27"/>
        <v>9.9453520000000031E-2</v>
      </c>
      <c r="T21" s="5">
        <f t="shared" ca="1" si="27"/>
        <v>0.10423454000000001</v>
      </c>
      <c r="U21" s="5">
        <f t="shared" ca="1" si="27"/>
        <v>0.10901556000000001</v>
      </c>
      <c r="V21" s="5">
        <f t="shared" ca="1" si="27"/>
        <v>0.11379658000000001</v>
      </c>
      <c r="W21" s="5">
        <f t="shared" ca="1" si="27"/>
        <v>0.11857760000000001</v>
      </c>
      <c r="X21" s="5">
        <f t="shared" ca="1" si="27"/>
        <v>0.12335862</v>
      </c>
      <c r="Y21" s="5">
        <f t="shared" ca="1" si="27"/>
        <v>0.12813964</v>
      </c>
      <c r="Z21" s="5">
        <f t="shared" ca="1" si="27"/>
        <v>0.13292066</v>
      </c>
      <c r="AA21" s="5">
        <f t="shared" ca="1" si="27"/>
        <v>0.13770167999999999</v>
      </c>
      <c r="AB21" s="5">
        <f t="shared" ca="1" si="27"/>
        <v>0.14248269999999996</v>
      </c>
      <c r="AC21" s="5">
        <f t="shared" ca="1" si="27"/>
        <v>0.14726371999999996</v>
      </c>
      <c r="AD21" s="5">
        <f t="shared" ca="1" si="27"/>
        <v>0.15204473999999996</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H23" s="4" t="s">
        <v>167</v>
      </c>
      <c r="K23" s="205" t="str">
        <f t="shared" ref="K23:AD23" si="28">IF(K24=Yr_Start,"Start Year",IF(K24=Yr_End,"End Year",""))</f>
        <v>Start Year</v>
      </c>
      <c r="L23" s="205" t="str">
        <f t="shared" si="28"/>
        <v/>
      </c>
      <c r="M23" s="205" t="str">
        <f t="shared" si="28"/>
        <v/>
      </c>
      <c r="N23" s="205" t="str">
        <f t="shared" si="28"/>
        <v>End Year</v>
      </c>
      <c r="O23" s="205" t="str">
        <f t="shared" si="28"/>
        <v/>
      </c>
      <c r="P23" s="205" t="str">
        <f t="shared" si="28"/>
        <v/>
      </c>
      <c r="Q23" s="205" t="str">
        <f t="shared" si="28"/>
        <v/>
      </c>
      <c r="R23" s="205" t="str">
        <f t="shared" si="28"/>
        <v/>
      </c>
      <c r="S23" s="205" t="str">
        <f t="shared" si="28"/>
        <v/>
      </c>
      <c r="T23" s="205" t="str">
        <f t="shared" si="28"/>
        <v/>
      </c>
      <c r="U23" s="205" t="str">
        <f t="shared" si="28"/>
        <v/>
      </c>
      <c r="V23" s="205" t="str">
        <f t="shared" si="28"/>
        <v/>
      </c>
      <c r="W23" s="205" t="str">
        <f t="shared" si="28"/>
        <v/>
      </c>
      <c r="X23" s="205" t="str">
        <f t="shared" si="28"/>
        <v/>
      </c>
      <c r="Y23" s="205" t="str">
        <f t="shared" si="28"/>
        <v/>
      </c>
      <c r="Z23" s="205" t="str">
        <f t="shared" si="28"/>
        <v/>
      </c>
      <c r="AA23" s="205" t="str">
        <f t="shared" si="28"/>
        <v/>
      </c>
      <c r="AB23" s="205" t="str">
        <f t="shared" si="28"/>
        <v/>
      </c>
      <c r="AC23" s="205" t="str">
        <f t="shared" si="28"/>
        <v/>
      </c>
      <c r="AD23" s="205" t="str">
        <f t="shared" si="28"/>
        <v/>
      </c>
      <c r="AE23" s="35"/>
      <c r="AF23" s="6" t="str">
        <f>A23</f>
        <v>Richer</v>
      </c>
      <c r="AI23" s="205" t="str">
        <f t="shared" ref="AI23:BB23" si="29">IF(AI24=Yr_Start,"Start Year",IF(AI24=Yr_End,"End Year",""))</f>
        <v>Start Year</v>
      </c>
      <c r="AJ23" s="205" t="str">
        <f t="shared" si="29"/>
        <v/>
      </c>
      <c r="AK23" s="205" t="str">
        <f t="shared" si="29"/>
        <v/>
      </c>
      <c r="AL23" s="205" t="str">
        <f t="shared" si="29"/>
        <v>End Year</v>
      </c>
      <c r="AM23" s="205" t="str">
        <f t="shared" si="29"/>
        <v/>
      </c>
      <c r="AN23" s="205" t="str">
        <f t="shared" si="29"/>
        <v/>
      </c>
      <c r="AO23" s="205" t="str">
        <f t="shared" si="29"/>
        <v/>
      </c>
      <c r="AP23" s="205" t="str">
        <f t="shared" si="29"/>
        <v/>
      </c>
      <c r="AQ23" s="205" t="str">
        <f t="shared" si="29"/>
        <v/>
      </c>
      <c r="AR23" s="205" t="str">
        <f t="shared" si="29"/>
        <v/>
      </c>
      <c r="AS23" s="205" t="str">
        <f t="shared" si="29"/>
        <v/>
      </c>
      <c r="AT23" s="205" t="str">
        <f t="shared" si="29"/>
        <v/>
      </c>
      <c r="AU23" s="205" t="str">
        <f t="shared" si="29"/>
        <v/>
      </c>
      <c r="AV23" s="205" t="str">
        <f t="shared" si="29"/>
        <v/>
      </c>
      <c r="AW23" s="205" t="str">
        <f t="shared" si="29"/>
        <v/>
      </c>
      <c r="AX23" s="205" t="str">
        <f t="shared" si="29"/>
        <v/>
      </c>
      <c r="AY23" s="205" t="str">
        <f t="shared" si="29"/>
        <v/>
      </c>
      <c r="AZ23" s="205" t="str">
        <f t="shared" si="29"/>
        <v/>
      </c>
      <c r="BA23" s="205" t="str">
        <f t="shared" si="29"/>
        <v/>
      </c>
      <c r="BB23" s="205" t="str">
        <f t="shared" si="29"/>
        <v/>
      </c>
    </row>
    <row r="24" spans="1:54" x14ac:dyDescent="0.25">
      <c r="A24" s="6" t="s">
        <v>20</v>
      </c>
      <c r="B24" s="36"/>
      <c r="C24" s="36">
        <f>Yr_DHS1</f>
        <v>2011</v>
      </c>
      <c r="D24" s="36">
        <f>Yr_DHS2</f>
        <v>2016</v>
      </c>
      <c r="E24" s="36" t="s">
        <v>168</v>
      </c>
      <c r="F24" s="36">
        <f>Yr_Start</f>
        <v>2019</v>
      </c>
      <c r="G24" s="127"/>
      <c r="H24" s="36">
        <f>Yr_End</f>
        <v>2022</v>
      </c>
      <c r="I24" s="36" t="s">
        <v>169</v>
      </c>
      <c r="J24" s="130">
        <f>K24-1</f>
        <v>2018</v>
      </c>
      <c r="K24" s="130">
        <f>Yr_Start</f>
        <v>2019</v>
      </c>
      <c r="L24" s="130">
        <f>K24+1</f>
        <v>2020</v>
      </c>
      <c r="M24" s="130">
        <f t="shared" ref="M24:AD24" si="30">L24+1</f>
        <v>2021</v>
      </c>
      <c r="N24" s="130">
        <f t="shared" si="30"/>
        <v>2022</v>
      </c>
      <c r="O24" s="130">
        <f t="shared" si="30"/>
        <v>2023</v>
      </c>
      <c r="P24" s="130">
        <f t="shared" si="30"/>
        <v>2024</v>
      </c>
      <c r="Q24" s="130">
        <f t="shared" si="30"/>
        <v>2025</v>
      </c>
      <c r="R24" s="130">
        <f t="shared" si="30"/>
        <v>2026</v>
      </c>
      <c r="S24" s="130">
        <f t="shared" si="30"/>
        <v>2027</v>
      </c>
      <c r="T24" s="130">
        <f t="shared" si="30"/>
        <v>2028</v>
      </c>
      <c r="U24" s="130">
        <f t="shared" si="30"/>
        <v>2029</v>
      </c>
      <c r="V24" s="130">
        <f t="shared" si="30"/>
        <v>2030</v>
      </c>
      <c r="W24" s="130">
        <f t="shared" si="30"/>
        <v>2031</v>
      </c>
      <c r="X24" s="130">
        <f t="shared" si="30"/>
        <v>2032</v>
      </c>
      <c r="Y24" s="130">
        <f t="shared" si="30"/>
        <v>2033</v>
      </c>
      <c r="Z24" s="130">
        <f t="shared" si="30"/>
        <v>2034</v>
      </c>
      <c r="AA24" s="130">
        <f t="shared" si="30"/>
        <v>2035</v>
      </c>
      <c r="AB24" s="130">
        <f t="shared" si="30"/>
        <v>2036</v>
      </c>
      <c r="AC24" s="130">
        <f t="shared" si="30"/>
        <v>2037</v>
      </c>
      <c r="AD24" s="130">
        <f t="shared" si="30"/>
        <v>2038</v>
      </c>
      <c r="AE24" s="6"/>
      <c r="AF24" s="6" t="str">
        <f>A24</f>
        <v>Urban</v>
      </c>
      <c r="AG24" s="38"/>
      <c r="AH24" s="161">
        <f>AI24-1</f>
        <v>2018</v>
      </c>
      <c r="AI24" s="36">
        <f>Yr_Start</f>
        <v>2019</v>
      </c>
      <c r="AJ24" s="36">
        <f>AI24+1</f>
        <v>2020</v>
      </c>
      <c r="AK24" s="36">
        <f t="shared" ref="AK24:BB24" si="31">AJ24+1</f>
        <v>2021</v>
      </c>
      <c r="AL24" s="36">
        <f t="shared" si="31"/>
        <v>2022</v>
      </c>
      <c r="AM24" s="36">
        <f t="shared" si="31"/>
        <v>2023</v>
      </c>
      <c r="AN24" s="36">
        <f t="shared" si="31"/>
        <v>2024</v>
      </c>
      <c r="AO24" s="36">
        <f t="shared" si="31"/>
        <v>2025</v>
      </c>
      <c r="AP24" s="36">
        <f t="shared" si="31"/>
        <v>2026</v>
      </c>
      <c r="AQ24" s="36">
        <f t="shared" si="31"/>
        <v>2027</v>
      </c>
      <c r="AR24" s="36">
        <f t="shared" si="31"/>
        <v>2028</v>
      </c>
      <c r="AS24" s="36">
        <f t="shared" si="31"/>
        <v>2029</v>
      </c>
      <c r="AT24" s="36">
        <f t="shared" si="31"/>
        <v>2030</v>
      </c>
      <c r="AU24" s="36">
        <f t="shared" si="31"/>
        <v>2031</v>
      </c>
      <c r="AV24" s="36">
        <f t="shared" si="31"/>
        <v>2032</v>
      </c>
      <c r="AW24" s="36">
        <f t="shared" si="31"/>
        <v>2033</v>
      </c>
      <c r="AX24" s="36">
        <f t="shared" si="31"/>
        <v>2034</v>
      </c>
      <c r="AY24" s="36">
        <f t="shared" si="31"/>
        <v>2035</v>
      </c>
      <c r="AZ24" s="36">
        <f t="shared" si="31"/>
        <v>2036</v>
      </c>
      <c r="BA24" s="36">
        <f t="shared" si="31"/>
        <v>2037</v>
      </c>
      <c r="BB24" s="36">
        <f t="shared" si="31"/>
        <v>2038</v>
      </c>
    </row>
    <row r="25" spans="1:54" x14ac:dyDescent="0.25">
      <c r="B25" s="1" t="s">
        <v>52</v>
      </c>
      <c r="C25" s="14">
        <f ca="1">Implant_Base!C25</f>
        <v>6.0384000000000002E-3</v>
      </c>
      <c r="D25" s="14">
        <f ca="1">Implant_Base!D25</f>
        <v>3.4386E-2</v>
      </c>
      <c r="E25" s="14">
        <f ca="1">IF('User Settings'!$N$7="On",($D25-$C25)/($D$4-$C$4),0)</f>
        <v>5.6695199999999999E-3</v>
      </c>
      <c r="F25" s="14">
        <f ca="1">Implant_Base!F25</f>
        <v>5.1394559999999999E-2</v>
      </c>
      <c r="G25" s="1" t="str">
        <f>"Shift_UrbQ2"&amp;IF(Dashboard!$Q$4="Yes",$A$1,"")</f>
        <v>Shift_UrbQ2</v>
      </c>
      <c r="H25" s="14">
        <f ca="1">Implant_Base!H25*(1-INDIRECT($G25))</f>
        <v>5.1302340000000002E-2</v>
      </c>
      <c r="I25" s="14">
        <f t="shared" ref="I25:I30" ca="1" si="32">($H25-$F25)/($H$4-$F$4)</f>
        <v>-3.0739999999999011E-5</v>
      </c>
      <c r="J25" s="14">
        <f ca="1">K25-E25</f>
        <v>4.5725040000000002E-2</v>
      </c>
      <c r="K25" s="14">
        <f ca="1">MAX(0,MIN(1,D25+(K$4-D$4)*E25))</f>
        <v>5.1394559999999999E-2</v>
      </c>
      <c r="L25" s="15">
        <f ca="1">MAX(0,MIN(1,K25+$I25))</f>
        <v>5.1363819999999998E-2</v>
      </c>
      <c r="M25" s="15">
        <f t="shared" ref="M25:AD25" ca="1" si="33">MAX(0,MIN(1,L25+$I25))</f>
        <v>5.1333079999999996E-2</v>
      </c>
      <c r="N25" s="15">
        <f ca="1">MAX(0,MIN(1,M25+$I25))</f>
        <v>5.1302339999999995E-2</v>
      </c>
      <c r="O25" s="15">
        <f t="shared" ca="1" si="33"/>
        <v>5.1271599999999994E-2</v>
      </c>
      <c r="P25" s="15">
        <f t="shared" ca="1" si="33"/>
        <v>5.1240859999999992E-2</v>
      </c>
      <c r="Q25" s="15">
        <f t="shared" ca="1" si="33"/>
        <v>5.1210119999999991E-2</v>
      </c>
      <c r="R25" s="15">
        <f t="shared" ca="1" si="33"/>
        <v>5.117937999999999E-2</v>
      </c>
      <c r="S25" s="15">
        <f t="shared" ca="1" si="33"/>
        <v>5.1148639999999988E-2</v>
      </c>
      <c r="T25" s="15">
        <f t="shared" ca="1" si="33"/>
        <v>5.1117899999999987E-2</v>
      </c>
      <c r="U25" s="15">
        <f t="shared" ca="1" si="33"/>
        <v>5.1087159999999986E-2</v>
      </c>
      <c r="V25" s="15">
        <f t="shared" ca="1" si="33"/>
        <v>5.1056419999999984E-2</v>
      </c>
      <c r="W25" s="15">
        <f t="shared" ca="1" si="33"/>
        <v>5.1025679999999983E-2</v>
      </c>
      <c r="X25" s="15">
        <f t="shared" ca="1" si="33"/>
        <v>5.0994939999999982E-2</v>
      </c>
      <c r="Y25" s="15">
        <f t="shared" ca="1" si="33"/>
        <v>5.096419999999998E-2</v>
      </c>
      <c r="Z25" s="15">
        <f t="shared" ca="1" si="33"/>
        <v>5.0933459999999979E-2</v>
      </c>
      <c r="AA25" s="15">
        <f t="shared" ca="1" si="33"/>
        <v>5.0902719999999978E-2</v>
      </c>
      <c r="AB25" s="15">
        <f t="shared" ca="1" si="33"/>
        <v>5.0871979999999976E-2</v>
      </c>
      <c r="AC25" s="15">
        <f t="shared" ca="1" si="33"/>
        <v>5.0841239999999975E-2</v>
      </c>
      <c r="AD25" s="15">
        <f t="shared" ca="1" si="33"/>
        <v>5.0810499999999974E-2</v>
      </c>
      <c r="AE25" s="5"/>
      <c r="AG25" s="1" t="s">
        <v>52</v>
      </c>
      <c r="AH25" s="37">
        <f ca="1">J25*AH$31</f>
        <v>27561.399154113584</v>
      </c>
      <c r="AI25" s="37">
        <f t="shared" ref="AI25:AI30" ca="1" si="34">K25*AI$31</f>
        <v>32170.08243008309</v>
      </c>
      <c r="AJ25" s="37">
        <f t="shared" ref="AJ25:AS30" ca="1" si="35">L25*AJ$31</f>
        <v>33379.893401852722</v>
      </c>
      <c r="AK25" s="37">
        <f t="shared" ca="1" si="35"/>
        <v>34583.805945257802</v>
      </c>
      <c r="AL25" s="37">
        <f t="shared" ca="1" si="35"/>
        <v>35831.005134368628</v>
      </c>
      <c r="AM25" s="37">
        <f t="shared" ca="1" si="35"/>
        <v>37117.034195281522</v>
      </c>
      <c r="AN25" s="37">
        <f t="shared" ca="1" si="35"/>
        <v>38436.847253277265</v>
      </c>
      <c r="AO25" s="37">
        <f t="shared" ca="1" si="35"/>
        <v>39787.886400682888</v>
      </c>
      <c r="AP25" s="37">
        <f t="shared" ca="1" si="35"/>
        <v>41141.875378266355</v>
      </c>
      <c r="AQ25" s="37">
        <f t="shared" ca="1" si="35"/>
        <v>42530.320707075487</v>
      </c>
      <c r="AR25" s="37">
        <f t="shared" ca="1" si="35"/>
        <v>43953.737218059556</v>
      </c>
      <c r="AS25" s="37">
        <f t="shared" ca="1" si="35"/>
        <v>45414.577396365035</v>
      </c>
      <c r="AT25" s="37">
        <f t="shared" ref="AT25:BB30" ca="1" si="36">V25*AT$31</f>
        <v>46913.819848050684</v>
      </c>
      <c r="AU25" s="37">
        <f t="shared" ca="1" si="36"/>
        <v>48422.977720805036</v>
      </c>
      <c r="AV25" s="37">
        <f t="shared" ca="1" si="36"/>
        <v>49973.225731772385</v>
      </c>
      <c r="AW25" s="37">
        <f t="shared" ca="1" si="36"/>
        <v>51561.468102524741</v>
      </c>
      <c r="AX25" s="37">
        <f t="shared" ca="1" si="36"/>
        <v>53184.207910585654</v>
      </c>
      <c r="AY25" s="37">
        <f t="shared" ca="1" si="36"/>
        <v>54839.087309026399</v>
      </c>
      <c r="AZ25" s="37" t="e">
        <f t="shared" ca="1" si="36"/>
        <v>#N/A</v>
      </c>
      <c r="BA25" s="37" t="e">
        <f t="shared" ca="1" si="36"/>
        <v>#N/A</v>
      </c>
      <c r="BB25" s="37" t="e">
        <f t="shared" ca="1" si="36"/>
        <v>#N/A</v>
      </c>
    </row>
    <row r="26" spans="1:54" x14ac:dyDescent="0.25">
      <c r="B26" s="1" t="s">
        <v>54</v>
      </c>
      <c r="C26" s="14">
        <f ca="1">Implant_Base!C26</f>
        <v>0</v>
      </c>
      <c r="D26" s="14">
        <f ca="1">Implant_Base!D26</f>
        <v>0</v>
      </c>
      <c r="E26" s="14">
        <f ca="1">IF('User Settings'!$N$7="On",($D26-$C26)/($D$4-$C$4),0)</f>
        <v>0</v>
      </c>
      <c r="F26" s="14">
        <f ca="1">Implant_Base!F26</f>
        <v>0</v>
      </c>
      <c r="G26" s="1" t="str">
        <f>"Shift_UrbQ2"&amp;IF(Dashboard!$Q$4="Yes",$A$1,"")</f>
        <v>Shift_UrbQ2</v>
      </c>
      <c r="H26" s="14">
        <f ca="1">Implant_Base!H26*(1-INDIRECT($G26))</f>
        <v>0</v>
      </c>
      <c r="I26" s="14">
        <f t="shared" ca="1" si="32"/>
        <v>0</v>
      </c>
      <c r="J26" s="14">
        <f t="shared" ref="J26:J30" ca="1" si="37">K26-E26</f>
        <v>0</v>
      </c>
      <c r="K26" s="14">
        <f t="shared" ref="K26:K30" ca="1" si="38">MAX(0,MIN(1,D26+(K$4-D$4)*E26))</f>
        <v>0</v>
      </c>
      <c r="L26" s="15">
        <f t="shared" ref="L26:AD30" ca="1" si="39">MAX(0,MIN(1,K26+$I26))</f>
        <v>0</v>
      </c>
      <c r="M26" s="15">
        <f t="shared" ca="1" si="39"/>
        <v>0</v>
      </c>
      <c r="N26" s="15">
        <f t="shared" ca="1" si="39"/>
        <v>0</v>
      </c>
      <c r="O26" s="15">
        <f t="shared" ca="1" si="39"/>
        <v>0</v>
      </c>
      <c r="P26" s="15">
        <f t="shared" ca="1" si="39"/>
        <v>0</v>
      </c>
      <c r="Q26" s="15">
        <f t="shared" ca="1" si="39"/>
        <v>0</v>
      </c>
      <c r="R26" s="15">
        <f t="shared" ca="1" si="39"/>
        <v>0</v>
      </c>
      <c r="S26" s="15">
        <f t="shared" ca="1" si="39"/>
        <v>0</v>
      </c>
      <c r="T26" s="15">
        <f t="shared" ca="1" si="39"/>
        <v>0</v>
      </c>
      <c r="U26" s="15">
        <f t="shared" ca="1" si="39"/>
        <v>0</v>
      </c>
      <c r="V26" s="15">
        <f t="shared" ca="1" si="39"/>
        <v>0</v>
      </c>
      <c r="W26" s="15">
        <f t="shared" ca="1" si="39"/>
        <v>0</v>
      </c>
      <c r="X26" s="15">
        <f t="shared" ca="1" si="39"/>
        <v>0</v>
      </c>
      <c r="Y26" s="15">
        <f t="shared" ca="1" si="39"/>
        <v>0</v>
      </c>
      <c r="Z26" s="15">
        <f t="shared" ca="1" si="39"/>
        <v>0</v>
      </c>
      <c r="AA26" s="15">
        <f t="shared" ca="1" si="39"/>
        <v>0</v>
      </c>
      <c r="AB26" s="15">
        <f t="shared" ca="1" si="39"/>
        <v>0</v>
      </c>
      <c r="AC26" s="15">
        <f t="shared" ca="1" si="39"/>
        <v>0</v>
      </c>
      <c r="AD26" s="15">
        <f t="shared" ca="1" si="39"/>
        <v>0</v>
      </c>
      <c r="AE26" s="5"/>
      <c r="AG26" s="1" t="s">
        <v>54</v>
      </c>
      <c r="AH26" s="37">
        <f t="shared" ref="AH26:AH30" ca="1" si="40">J26*AH$31</f>
        <v>0</v>
      </c>
      <c r="AI26" s="37">
        <f t="shared" ca="1" si="34"/>
        <v>0</v>
      </c>
      <c r="AJ26" s="37">
        <f t="shared" ca="1" si="35"/>
        <v>0</v>
      </c>
      <c r="AK26" s="37">
        <f t="shared" ca="1" si="35"/>
        <v>0</v>
      </c>
      <c r="AL26" s="37">
        <f t="shared" ca="1" si="35"/>
        <v>0</v>
      </c>
      <c r="AM26" s="37">
        <f t="shared" ca="1" si="35"/>
        <v>0</v>
      </c>
      <c r="AN26" s="37">
        <f t="shared" ca="1" si="35"/>
        <v>0</v>
      </c>
      <c r="AO26" s="37">
        <f t="shared" ca="1" si="35"/>
        <v>0</v>
      </c>
      <c r="AP26" s="37">
        <f t="shared" ca="1" si="35"/>
        <v>0</v>
      </c>
      <c r="AQ26" s="37">
        <f t="shared" ca="1" si="35"/>
        <v>0</v>
      </c>
      <c r="AR26" s="37">
        <f t="shared" ca="1" si="35"/>
        <v>0</v>
      </c>
      <c r="AS26" s="37">
        <f t="shared" ca="1" si="35"/>
        <v>0</v>
      </c>
      <c r="AT26" s="37">
        <f t="shared" ca="1" si="36"/>
        <v>0</v>
      </c>
      <c r="AU26" s="37">
        <f t="shared" ca="1" si="36"/>
        <v>0</v>
      </c>
      <c r="AV26" s="37">
        <f t="shared" ca="1" si="36"/>
        <v>0</v>
      </c>
      <c r="AW26" s="37">
        <f t="shared" ca="1" si="36"/>
        <v>0</v>
      </c>
      <c r="AX26" s="37">
        <f t="shared" ca="1" si="36"/>
        <v>0</v>
      </c>
      <c r="AY26" s="37">
        <f t="shared" ca="1" si="36"/>
        <v>0</v>
      </c>
      <c r="AZ26" s="37" t="e">
        <f t="shared" ca="1" si="36"/>
        <v>#N/A</v>
      </c>
      <c r="BA26" s="37" t="e">
        <f t="shared" ca="1" si="36"/>
        <v>#N/A</v>
      </c>
      <c r="BB26" s="37" t="e">
        <f t="shared" ca="1" si="36"/>
        <v>#N/A</v>
      </c>
    </row>
    <row r="27" spans="1:54" x14ac:dyDescent="0.25">
      <c r="B27" s="1" t="s">
        <v>170</v>
      </c>
      <c r="C27" s="14">
        <f ca="1">Implant_Base!C27</f>
        <v>0</v>
      </c>
      <c r="D27" s="14">
        <f ca="1">Implant_Base!D27</f>
        <v>1.1647999999999999E-3</v>
      </c>
      <c r="E27" s="14">
        <f ca="1">IF('User Settings'!$N$7="On",($D27-$C27)/($D$4-$C$4),0)</f>
        <v>2.3295999999999999E-4</v>
      </c>
      <c r="F27" s="14">
        <f ca="1">Implant_Base!F27</f>
        <v>1.8636799999999999E-3</v>
      </c>
      <c r="G27" s="1" t="str">
        <f>"Shift_UrbQ2"&amp;IF(Dashboard!$Q$4="Yes",$A$1,"")</f>
        <v>Shift_UrbQ2</v>
      </c>
      <c r="H27" s="14">
        <f ca="1">Implant_Base!H27*(1-INDIRECT($G27))</f>
        <v>1.9219200000000001E-3</v>
      </c>
      <c r="I27" s="14">
        <f t="shared" ca="1" si="32"/>
        <v>1.94133333333334E-5</v>
      </c>
      <c r="J27" s="14">
        <f t="shared" ca="1" si="37"/>
        <v>1.63072E-3</v>
      </c>
      <c r="K27" s="14">
        <f t="shared" ca="1" si="38"/>
        <v>1.8636799999999999E-3</v>
      </c>
      <c r="L27" s="15">
        <f t="shared" ca="1" si="39"/>
        <v>1.8830933333333333E-3</v>
      </c>
      <c r="M27" s="15">
        <f t="shared" ca="1" si="39"/>
        <v>1.9025066666666667E-3</v>
      </c>
      <c r="N27" s="15">
        <f t="shared" ca="1" si="39"/>
        <v>1.9219200000000001E-3</v>
      </c>
      <c r="O27" s="15">
        <f t="shared" ca="1" si="39"/>
        <v>1.9413333333333335E-3</v>
      </c>
      <c r="P27" s="15">
        <f t="shared" ca="1" si="39"/>
        <v>1.9607466666666669E-3</v>
      </c>
      <c r="Q27" s="15">
        <f t="shared" ca="1" si="39"/>
        <v>1.9801600000000003E-3</v>
      </c>
      <c r="R27" s="15">
        <f t="shared" ca="1" si="39"/>
        <v>1.9995733333333337E-3</v>
      </c>
      <c r="S27" s="15">
        <f t="shared" ca="1" si="39"/>
        <v>2.0189866666666671E-3</v>
      </c>
      <c r="T27" s="15">
        <f t="shared" ca="1" si="39"/>
        <v>2.0384000000000005E-3</v>
      </c>
      <c r="U27" s="15">
        <f t="shared" ca="1" si="39"/>
        <v>2.0578133333333339E-3</v>
      </c>
      <c r="V27" s="15">
        <f t="shared" ca="1" si="39"/>
        <v>2.0772266666666673E-3</v>
      </c>
      <c r="W27" s="15">
        <f t="shared" ca="1" si="39"/>
        <v>2.0966400000000007E-3</v>
      </c>
      <c r="X27" s="15">
        <f t="shared" ca="1" si="39"/>
        <v>2.1160533333333341E-3</v>
      </c>
      <c r="Y27" s="15">
        <f t="shared" ca="1" si="39"/>
        <v>2.1354666666666675E-3</v>
      </c>
      <c r="Z27" s="15">
        <f t="shared" ca="1" si="39"/>
        <v>2.1548800000000009E-3</v>
      </c>
      <c r="AA27" s="15">
        <f t="shared" ca="1" si="39"/>
        <v>2.1742933333333343E-3</v>
      </c>
      <c r="AB27" s="15">
        <f t="shared" ca="1" si="39"/>
        <v>2.1937066666666677E-3</v>
      </c>
      <c r="AC27" s="15">
        <f t="shared" ca="1" si="39"/>
        <v>2.2131200000000011E-3</v>
      </c>
      <c r="AD27" s="15">
        <f t="shared" ca="1" si="39"/>
        <v>2.2325333333333345E-3</v>
      </c>
      <c r="AE27" s="5"/>
      <c r="AG27" s="1" t="s">
        <v>170</v>
      </c>
      <c r="AH27" s="37">
        <f t="shared" ca="1" si="40"/>
        <v>982.93899422714776</v>
      </c>
      <c r="AI27" s="37">
        <f t="shared" ca="1" si="34"/>
        <v>1166.5580797519669</v>
      </c>
      <c r="AJ27" s="37">
        <f t="shared" ca="1" si="35"/>
        <v>1223.7690797219948</v>
      </c>
      <c r="AK27" s="37">
        <f t="shared" ca="1" si="35"/>
        <v>1281.7450534734965</v>
      </c>
      <c r="AL27" s="37">
        <f t="shared" ca="1" si="35"/>
        <v>1342.3232817030521</v>
      </c>
      <c r="AM27" s="37">
        <f t="shared" ca="1" si="35"/>
        <v>1405.3888647472131</v>
      </c>
      <c r="AN27" s="37">
        <f t="shared" ca="1" si="35"/>
        <v>1470.7973310564898</v>
      </c>
      <c r="AO27" s="37">
        <f t="shared" ca="1" si="35"/>
        <v>1538.4924139052252</v>
      </c>
      <c r="AP27" s="37">
        <f t="shared" ca="1" si="35"/>
        <v>1607.4090168678222</v>
      </c>
      <c r="AQ27" s="37">
        <f t="shared" ca="1" si="35"/>
        <v>1678.7963558100994</v>
      </c>
      <c r="AR27" s="37">
        <f t="shared" ca="1" si="35"/>
        <v>1752.7186747752285</v>
      </c>
      <c r="AS27" s="37">
        <f t="shared" ca="1" si="35"/>
        <v>1829.3192045503927</v>
      </c>
      <c r="AT27" s="37">
        <f t="shared" ca="1" si="36"/>
        <v>1908.6852862689332</v>
      </c>
      <c r="AU27" s="37">
        <f t="shared" ca="1" si="36"/>
        <v>1989.695228139022</v>
      </c>
      <c r="AV27" s="37">
        <f t="shared" ca="1" si="36"/>
        <v>2073.6569331611358</v>
      </c>
      <c r="AW27" s="37">
        <f t="shared" ca="1" si="36"/>
        <v>2160.4929816878957</v>
      </c>
      <c r="AX27" s="37">
        <f t="shared" ca="1" si="36"/>
        <v>2250.1040758346853</v>
      </c>
      <c r="AY27" s="37">
        <f t="shared" ca="1" si="36"/>
        <v>2342.4339984602161</v>
      </c>
      <c r="AZ27" s="37" t="e">
        <f t="shared" ca="1" si="36"/>
        <v>#N/A</v>
      </c>
      <c r="BA27" s="37" t="e">
        <f t="shared" ca="1" si="36"/>
        <v>#N/A</v>
      </c>
      <c r="BB27" s="37" t="e">
        <f t="shared" ca="1" si="36"/>
        <v>#N/A</v>
      </c>
    </row>
    <row r="28" spans="1:54" x14ac:dyDescent="0.25">
      <c r="B28" s="1" t="s">
        <v>59</v>
      </c>
      <c r="C28" s="14">
        <f ca="1">Implant_Base!C28</f>
        <v>0</v>
      </c>
      <c r="D28" s="14">
        <f ca="1">Implant_Base!D28</f>
        <v>1.45229E-2</v>
      </c>
      <c r="E28" s="14">
        <f ca="1">IF('User Settings'!$N$7="On",($D28-$C28)/($D$4-$C$4),0)</f>
        <v>2.9045799999999999E-3</v>
      </c>
      <c r="F28" s="14">
        <f ca="1">Implant_Base!F28</f>
        <v>2.3236639999999999E-2</v>
      </c>
      <c r="H28" s="14">
        <f ca="1">H31-SUM($H25:$H27,$H29:$H30)</f>
        <v>4.9691800000000001E-2</v>
      </c>
      <c r="I28" s="14">
        <f t="shared" ca="1" si="32"/>
        <v>8.8183866666666673E-3</v>
      </c>
      <c r="J28" s="14">
        <f t="shared" ca="1" si="37"/>
        <v>2.0332059999999999E-2</v>
      </c>
      <c r="K28" s="14">
        <f t="shared" ca="1" si="38"/>
        <v>2.3236639999999999E-2</v>
      </c>
      <c r="L28" s="15">
        <f t="shared" ca="1" si="39"/>
        <v>3.2055026666666667E-2</v>
      </c>
      <c r="M28" s="15">
        <f t="shared" ca="1" si="39"/>
        <v>4.087341333333333E-2</v>
      </c>
      <c r="N28" s="15">
        <f t="shared" ca="1" si="39"/>
        <v>4.9691799999999994E-2</v>
      </c>
      <c r="O28" s="15">
        <f t="shared" ca="1" si="39"/>
        <v>5.8510186666666658E-2</v>
      </c>
      <c r="P28" s="15">
        <f t="shared" ca="1" si="39"/>
        <v>6.7328573333333322E-2</v>
      </c>
      <c r="Q28" s="15">
        <f t="shared" ca="1" si="39"/>
        <v>7.6146959999999986E-2</v>
      </c>
      <c r="R28" s="15">
        <f t="shared" ca="1" si="39"/>
        <v>8.496534666666665E-2</v>
      </c>
      <c r="S28" s="15">
        <f t="shared" ca="1" si="39"/>
        <v>9.3783733333333313E-2</v>
      </c>
      <c r="T28" s="15">
        <f t="shared" ca="1" si="39"/>
        <v>0.10260211999999998</v>
      </c>
      <c r="U28" s="15">
        <f t="shared" ca="1" si="39"/>
        <v>0.11142050666666664</v>
      </c>
      <c r="V28" s="15">
        <f t="shared" ca="1" si="39"/>
        <v>0.1202388933333333</v>
      </c>
      <c r="W28" s="15">
        <f t="shared" ca="1" si="39"/>
        <v>0.12905727999999997</v>
      </c>
      <c r="X28" s="15">
        <f t="shared" ca="1" si="39"/>
        <v>0.13787566666666665</v>
      </c>
      <c r="Y28" s="15">
        <f t="shared" ca="1" si="39"/>
        <v>0.14669405333333332</v>
      </c>
      <c r="Z28" s="15">
        <f t="shared" ca="1" si="39"/>
        <v>0.15551244</v>
      </c>
      <c r="AA28" s="15">
        <f t="shared" ca="1" si="39"/>
        <v>0.16433082666666668</v>
      </c>
      <c r="AB28" s="15">
        <f t="shared" ca="1" si="39"/>
        <v>0.17314921333333336</v>
      </c>
      <c r="AC28" s="15">
        <f t="shared" ca="1" si="39"/>
        <v>0.18196760000000003</v>
      </c>
      <c r="AD28" s="15">
        <f t="shared" ca="1" si="39"/>
        <v>0.19078598666666671</v>
      </c>
      <c r="AE28" s="5"/>
      <c r="AG28" s="1" t="s">
        <v>59</v>
      </c>
      <c r="AH28" s="37">
        <f t="shared" ca="1" si="40"/>
        <v>12255.429875739565</v>
      </c>
      <c r="AI28" s="37">
        <f t="shared" ca="1" si="34"/>
        <v>14544.820000369025</v>
      </c>
      <c r="AJ28" s="37">
        <f t="shared" ca="1" si="35"/>
        <v>20831.654910535857</v>
      </c>
      <c r="AK28" s="37">
        <f t="shared" ca="1" si="35"/>
        <v>27536.983852134195</v>
      </c>
      <c r="AL28" s="37">
        <f t="shared" ca="1" si="35"/>
        <v>34706.158450784482</v>
      </c>
      <c r="AM28" s="37">
        <f t="shared" ca="1" si="35"/>
        <v>42357.262095955099</v>
      </c>
      <c r="AN28" s="37">
        <f t="shared" ca="1" si="35"/>
        <v>50504.579528805923</v>
      </c>
      <c r="AO28" s="37">
        <f t="shared" ca="1" si="35"/>
        <v>59162.653675432586</v>
      </c>
      <c r="AP28" s="37">
        <f t="shared" ca="1" si="35"/>
        <v>68301.603185329688</v>
      </c>
      <c r="AQ28" s="37">
        <f t="shared" ca="1" si="35"/>
        <v>77981.58965269677</v>
      </c>
      <c r="AR28" s="37">
        <f t="shared" ca="1" si="35"/>
        <v>88222.454766252384</v>
      </c>
      <c r="AS28" s="37">
        <f t="shared" ca="1" si="35"/>
        <v>99048.66944170589</v>
      </c>
      <c r="AT28" s="37">
        <f t="shared" ca="1" si="36"/>
        <v>110482.98687156253</v>
      </c>
      <c r="AU28" s="37">
        <f t="shared" ca="1" si="36"/>
        <v>122474.36573403231</v>
      </c>
      <c r="AV28" s="37">
        <f t="shared" ca="1" si="36"/>
        <v>135113.24482883871</v>
      </c>
      <c r="AW28" s="37">
        <f t="shared" ca="1" si="36"/>
        <v>148413.21460509009</v>
      </c>
      <c r="AX28" s="37">
        <f t="shared" ca="1" si="36"/>
        <v>162384.52957333904</v>
      </c>
      <c r="AY28" s="37">
        <f t="shared" ca="1" si="36"/>
        <v>177038.72310041235</v>
      </c>
      <c r="AZ28" s="37" t="e">
        <f t="shared" ca="1" si="36"/>
        <v>#N/A</v>
      </c>
      <c r="BA28" s="37" t="e">
        <f t="shared" ca="1" si="36"/>
        <v>#N/A</v>
      </c>
      <c r="BB28" s="37" t="e">
        <f t="shared" ca="1" si="36"/>
        <v>#N/A</v>
      </c>
    </row>
    <row r="29" spans="1:54" x14ac:dyDescent="0.25">
      <c r="B29" s="1" t="s">
        <v>171</v>
      </c>
      <c r="C29" s="14">
        <f ca="1">Implant_Base!C29</f>
        <v>0</v>
      </c>
      <c r="D29" s="14">
        <f ca="1">Implant_Base!D29</f>
        <v>0</v>
      </c>
      <c r="E29" s="14">
        <f ca="1">IF('User Settings'!$N$7="On",($D29-$C29)/($D$4-$C$4),0)</f>
        <v>0</v>
      </c>
      <c r="F29" s="14">
        <f ca="1">Implant_Base!F29</f>
        <v>0</v>
      </c>
      <c r="G29" s="1"/>
      <c r="H29" s="14">
        <f ca="1">Implant_Base!H29</f>
        <v>0</v>
      </c>
      <c r="I29" s="14">
        <f t="shared" ca="1" si="32"/>
        <v>0</v>
      </c>
      <c r="J29" s="14">
        <f t="shared" ca="1" si="37"/>
        <v>0</v>
      </c>
      <c r="K29" s="14">
        <f t="shared" ca="1" si="38"/>
        <v>0</v>
      </c>
      <c r="L29" s="15">
        <f t="shared" ca="1" si="39"/>
        <v>0</v>
      </c>
      <c r="M29" s="15">
        <f t="shared" ca="1" si="39"/>
        <v>0</v>
      </c>
      <c r="N29" s="15">
        <f t="shared" ca="1" si="39"/>
        <v>0</v>
      </c>
      <c r="O29" s="15">
        <f t="shared" ca="1" si="39"/>
        <v>0</v>
      </c>
      <c r="P29" s="15">
        <f t="shared" ca="1" si="39"/>
        <v>0</v>
      </c>
      <c r="Q29" s="15">
        <f t="shared" ca="1" si="39"/>
        <v>0</v>
      </c>
      <c r="R29" s="15">
        <f t="shared" ca="1" si="39"/>
        <v>0</v>
      </c>
      <c r="S29" s="15">
        <f t="shared" ca="1" si="39"/>
        <v>0</v>
      </c>
      <c r="T29" s="15">
        <f t="shared" ca="1" si="39"/>
        <v>0</v>
      </c>
      <c r="U29" s="15">
        <f t="shared" ca="1" si="39"/>
        <v>0</v>
      </c>
      <c r="V29" s="15">
        <f t="shared" ca="1" si="39"/>
        <v>0</v>
      </c>
      <c r="W29" s="15">
        <f t="shared" ca="1" si="39"/>
        <v>0</v>
      </c>
      <c r="X29" s="15">
        <f t="shared" ca="1" si="39"/>
        <v>0</v>
      </c>
      <c r="Y29" s="15">
        <f t="shared" ca="1" si="39"/>
        <v>0</v>
      </c>
      <c r="Z29" s="15">
        <f t="shared" ca="1" si="39"/>
        <v>0</v>
      </c>
      <c r="AA29" s="15">
        <f t="shared" ca="1" si="39"/>
        <v>0</v>
      </c>
      <c r="AB29" s="15">
        <f t="shared" ca="1" si="39"/>
        <v>0</v>
      </c>
      <c r="AC29" s="15">
        <f t="shared" ca="1" si="39"/>
        <v>0</v>
      </c>
      <c r="AD29" s="15">
        <f t="shared" ca="1" si="39"/>
        <v>0</v>
      </c>
      <c r="AE29" s="5"/>
      <c r="AG29" s="1" t="s">
        <v>171</v>
      </c>
      <c r="AH29" s="37">
        <f t="shared" ca="1" si="40"/>
        <v>0</v>
      </c>
      <c r="AI29" s="37">
        <f t="shared" ca="1" si="34"/>
        <v>0</v>
      </c>
      <c r="AJ29" s="37">
        <f t="shared" ca="1" si="35"/>
        <v>0</v>
      </c>
      <c r="AK29" s="37">
        <f t="shared" ca="1" si="35"/>
        <v>0</v>
      </c>
      <c r="AL29" s="37">
        <f t="shared" ca="1" si="35"/>
        <v>0</v>
      </c>
      <c r="AM29" s="37">
        <f t="shared" ca="1" si="35"/>
        <v>0</v>
      </c>
      <c r="AN29" s="37">
        <f t="shared" ca="1" si="35"/>
        <v>0</v>
      </c>
      <c r="AO29" s="37">
        <f t="shared" ca="1" si="35"/>
        <v>0</v>
      </c>
      <c r="AP29" s="37">
        <f t="shared" ca="1" si="35"/>
        <v>0</v>
      </c>
      <c r="AQ29" s="37">
        <f t="shared" ca="1" si="35"/>
        <v>0</v>
      </c>
      <c r="AR29" s="37">
        <f t="shared" ca="1" si="35"/>
        <v>0</v>
      </c>
      <c r="AS29" s="37">
        <f t="shared" ca="1" si="35"/>
        <v>0</v>
      </c>
      <c r="AT29" s="37">
        <f t="shared" ca="1" si="36"/>
        <v>0</v>
      </c>
      <c r="AU29" s="37">
        <f t="shared" ca="1" si="36"/>
        <v>0</v>
      </c>
      <c r="AV29" s="37">
        <f t="shared" ca="1" si="36"/>
        <v>0</v>
      </c>
      <c r="AW29" s="37">
        <f t="shared" ca="1" si="36"/>
        <v>0</v>
      </c>
      <c r="AX29" s="37">
        <f t="shared" ca="1" si="36"/>
        <v>0</v>
      </c>
      <c r="AY29" s="37">
        <f t="shared" ca="1" si="36"/>
        <v>0</v>
      </c>
      <c r="AZ29" s="37" t="e">
        <f t="shared" ca="1" si="36"/>
        <v>#N/A</v>
      </c>
      <c r="BA29" s="37" t="e">
        <f t="shared" ca="1" si="36"/>
        <v>#N/A</v>
      </c>
      <c r="BB29" s="37" t="e">
        <f t="shared" ca="1" si="36"/>
        <v>#N/A</v>
      </c>
    </row>
    <row r="30" spans="1:54" ht="15.75" customHeight="1" x14ac:dyDescent="0.25">
      <c r="B30" s="1" t="s">
        <v>116</v>
      </c>
      <c r="C30" s="14">
        <f ca="1">Implant_Base!C30</f>
        <v>0</v>
      </c>
      <c r="D30" s="14">
        <f ca="1">Implant_Base!D30</f>
        <v>0</v>
      </c>
      <c r="E30" s="14">
        <f ca="1">IF('User Settings'!$N$7="On",($D30-$C30)/($D$4-$C$4),0)</f>
        <v>0</v>
      </c>
      <c r="F30" s="14">
        <f ca="1">Implant_Base!F30</f>
        <v>0</v>
      </c>
      <c r="G30" s="1" t="str">
        <f>"Shift_UrbQ2"&amp;IF(Dashboard!$Q$4="Yes",$A$1,"")</f>
        <v>Shift_UrbQ2</v>
      </c>
      <c r="H30" s="14">
        <f ca="1">Implant_Base!H30*(1-INDIRECT($G30))</f>
        <v>0</v>
      </c>
      <c r="I30" s="14">
        <f t="shared" ca="1" si="32"/>
        <v>0</v>
      </c>
      <c r="J30" s="14">
        <f t="shared" ca="1" si="37"/>
        <v>0</v>
      </c>
      <c r="K30" s="14">
        <f t="shared" ca="1" si="38"/>
        <v>0</v>
      </c>
      <c r="L30" s="15">
        <f t="shared" ca="1" si="39"/>
        <v>0</v>
      </c>
      <c r="M30" s="15">
        <f t="shared" ca="1" si="39"/>
        <v>0</v>
      </c>
      <c r="N30" s="15">
        <f t="shared" ca="1" si="39"/>
        <v>0</v>
      </c>
      <c r="O30" s="15">
        <f t="shared" ca="1" si="39"/>
        <v>0</v>
      </c>
      <c r="P30" s="15">
        <f t="shared" ca="1" si="39"/>
        <v>0</v>
      </c>
      <c r="Q30" s="15">
        <f t="shared" ca="1" si="39"/>
        <v>0</v>
      </c>
      <c r="R30" s="15">
        <f t="shared" ca="1" si="39"/>
        <v>0</v>
      </c>
      <c r="S30" s="15">
        <f t="shared" ca="1" si="39"/>
        <v>0</v>
      </c>
      <c r="T30" s="15">
        <f t="shared" ca="1" si="39"/>
        <v>0</v>
      </c>
      <c r="U30" s="15">
        <f t="shared" ca="1" si="39"/>
        <v>0</v>
      </c>
      <c r="V30" s="15">
        <f t="shared" ca="1" si="39"/>
        <v>0</v>
      </c>
      <c r="W30" s="15">
        <f t="shared" ca="1" si="39"/>
        <v>0</v>
      </c>
      <c r="X30" s="15">
        <f t="shared" ca="1" si="39"/>
        <v>0</v>
      </c>
      <c r="Y30" s="15">
        <f t="shared" ca="1" si="39"/>
        <v>0</v>
      </c>
      <c r="Z30" s="15">
        <f t="shared" ca="1" si="39"/>
        <v>0</v>
      </c>
      <c r="AA30" s="15">
        <f t="shared" ca="1" si="39"/>
        <v>0</v>
      </c>
      <c r="AB30" s="15">
        <f t="shared" ca="1" si="39"/>
        <v>0</v>
      </c>
      <c r="AC30" s="15">
        <f t="shared" ca="1" si="39"/>
        <v>0</v>
      </c>
      <c r="AD30" s="15">
        <f t="shared" ca="1" si="39"/>
        <v>0</v>
      </c>
      <c r="AE30" s="5"/>
      <c r="AG30" s="1" t="s">
        <v>116</v>
      </c>
      <c r="AH30" s="37">
        <f t="shared" ca="1" si="40"/>
        <v>0</v>
      </c>
      <c r="AI30" s="37">
        <f t="shared" ca="1" si="34"/>
        <v>0</v>
      </c>
      <c r="AJ30" s="37">
        <f t="shared" ca="1" si="35"/>
        <v>0</v>
      </c>
      <c r="AK30" s="37">
        <f t="shared" ca="1" si="35"/>
        <v>0</v>
      </c>
      <c r="AL30" s="37">
        <f t="shared" ca="1" si="35"/>
        <v>0</v>
      </c>
      <c r="AM30" s="37">
        <f t="shared" ca="1" si="35"/>
        <v>0</v>
      </c>
      <c r="AN30" s="37">
        <f t="shared" ca="1" si="35"/>
        <v>0</v>
      </c>
      <c r="AO30" s="37">
        <f t="shared" ca="1" si="35"/>
        <v>0</v>
      </c>
      <c r="AP30" s="37">
        <f t="shared" ca="1" si="35"/>
        <v>0</v>
      </c>
      <c r="AQ30" s="37">
        <f t="shared" ca="1" si="35"/>
        <v>0</v>
      </c>
      <c r="AR30" s="37">
        <f t="shared" ca="1" si="35"/>
        <v>0</v>
      </c>
      <c r="AS30" s="37">
        <f t="shared" ca="1" si="35"/>
        <v>0</v>
      </c>
      <c r="AT30" s="37">
        <f t="shared" ca="1" si="36"/>
        <v>0</v>
      </c>
      <c r="AU30" s="37">
        <f t="shared" ca="1" si="36"/>
        <v>0</v>
      </c>
      <c r="AV30" s="37">
        <f t="shared" ca="1" si="36"/>
        <v>0</v>
      </c>
      <c r="AW30" s="37">
        <f t="shared" ca="1" si="36"/>
        <v>0</v>
      </c>
      <c r="AX30" s="37">
        <f t="shared" ca="1" si="36"/>
        <v>0</v>
      </c>
      <c r="AY30" s="37">
        <f t="shared" ca="1" si="36"/>
        <v>0</v>
      </c>
      <c r="AZ30" s="37" t="e">
        <f t="shared" ca="1" si="36"/>
        <v>#N/A</v>
      </c>
      <c r="BA30" s="37" t="e">
        <f t="shared" ca="1" si="36"/>
        <v>#N/A</v>
      </c>
      <c r="BB30" s="37" t="e">
        <f t="shared" ca="1" si="36"/>
        <v>#N/A</v>
      </c>
    </row>
    <row r="31" spans="1:54" x14ac:dyDescent="0.25">
      <c r="C31" s="5">
        <f ca="1">SUM(C25:C30)</f>
        <v>6.0384000000000002E-3</v>
      </c>
      <c r="D31" s="5">
        <f ca="1">SUM(D25:D30)</f>
        <v>5.0073699999999999E-2</v>
      </c>
      <c r="E31" s="131"/>
      <c r="F31" s="132">
        <f ca="1">SUM(F25:F30)</f>
        <v>7.6494880000000001E-2</v>
      </c>
      <c r="H31" s="132">
        <f ca="1">Implant_Base!H31</f>
        <v>0.10291606</v>
      </c>
      <c r="I31" s="132"/>
      <c r="J31" s="132">
        <f ca="1">SUM(J25:J30)</f>
        <v>6.768782000000001E-2</v>
      </c>
      <c r="K31" s="132">
        <f ca="1">SUM(K25:K30)</f>
        <v>7.6494880000000001E-2</v>
      </c>
      <c r="L31" s="5">
        <f t="shared" ref="L31:AD31" ca="1" si="41">SUM(L25:L30)</f>
        <v>8.5301939999999993E-2</v>
      </c>
      <c r="M31" s="5">
        <f t="shared" ca="1" si="41"/>
        <v>9.4108999999999998E-2</v>
      </c>
      <c r="N31" s="5">
        <f t="shared" ca="1" si="41"/>
        <v>0.10291605999999999</v>
      </c>
      <c r="O31" s="5">
        <f t="shared" ca="1" si="41"/>
        <v>0.11172311999999998</v>
      </c>
      <c r="P31" s="5">
        <f t="shared" ca="1" si="41"/>
        <v>0.12053017999999999</v>
      </c>
      <c r="Q31" s="5">
        <f t="shared" ca="1" si="41"/>
        <v>0.12933723999999996</v>
      </c>
      <c r="R31" s="5">
        <f t="shared" ca="1" si="41"/>
        <v>0.13814429999999997</v>
      </c>
      <c r="S31" s="5">
        <f t="shared" ca="1" si="41"/>
        <v>0.14695135999999998</v>
      </c>
      <c r="T31" s="5">
        <f t="shared" ca="1" si="41"/>
        <v>0.15575841999999995</v>
      </c>
      <c r="U31" s="5">
        <f t="shared" ca="1" si="41"/>
        <v>0.16456547999999996</v>
      </c>
      <c r="V31" s="5">
        <f t="shared" ca="1" si="41"/>
        <v>0.17337253999999996</v>
      </c>
      <c r="W31" s="5">
        <f t="shared" ca="1" si="41"/>
        <v>0.18217959999999994</v>
      </c>
      <c r="X31" s="5">
        <f t="shared" ca="1" si="41"/>
        <v>0.19098665999999997</v>
      </c>
      <c r="Y31" s="5">
        <f t="shared" ca="1" si="41"/>
        <v>0.19979371999999998</v>
      </c>
      <c r="Z31" s="5">
        <f t="shared" ca="1" si="41"/>
        <v>0.20860077999999999</v>
      </c>
      <c r="AA31" s="5">
        <f t="shared" ca="1" si="41"/>
        <v>0.21740783999999999</v>
      </c>
      <c r="AB31" s="5">
        <f t="shared" ca="1" si="41"/>
        <v>0.2262149</v>
      </c>
      <c r="AC31" s="5">
        <f t="shared" ca="1" si="41"/>
        <v>0.23502196</v>
      </c>
      <c r="AD31" s="5">
        <f t="shared" ca="1" si="41"/>
        <v>0.24382902000000001</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H33" s="4" t="s">
        <v>167</v>
      </c>
      <c r="K33" s="205" t="str">
        <f t="shared" ref="K33:AD33" si="42">IF(K34=Yr_Start,"Start Year",IF(K34=Yr_End,"End Year",""))</f>
        <v>Start Year</v>
      </c>
      <c r="L33" s="205" t="str">
        <f t="shared" si="42"/>
        <v/>
      </c>
      <c r="M33" s="205" t="str">
        <f t="shared" si="42"/>
        <v/>
      </c>
      <c r="N33" s="205" t="str">
        <f t="shared" si="42"/>
        <v>End Year</v>
      </c>
      <c r="O33" s="205" t="str">
        <f t="shared" si="42"/>
        <v/>
      </c>
      <c r="P33" s="205" t="str">
        <f t="shared" si="42"/>
        <v/>
      </c>
      <c r="Q33" s="205" t="str">
        <f t="shared" si="42"/>
        <v/>
      </c>
      <c r="R33" s="205" t="str">
        <f t="shared" si="42"/>
        <v/>
      </c>
      <c r="S33" s="205" t="str">
        <f t="shared" si="42"/>
        <v/>
      </c>
      <c r="T33" s="205" t="str">
        <f t="shared" si="42"/>
        <v/>
      </c>
      <c r="U33" s="205" t="str">
        <f t="shared" si="42"/>
        <v/>
      </c>
      <c r="V33" s="205" t="str">
        <f t="shared" si="42"/>
        <v/>
      </c>
      <c r="W33" s="205" t="str">
        <f t="shared" si="42"/>
        <v/>
      </c>
      <c r="X33" s="205" t="str">
        <f t="shared" si="42"/>
        <v/>
      </c>
      <c r="Y33" s="205" t="str">
        <f t="shared" si="42"/>
        <v/>
      </c>
      <c r="Z33" s="205" t="str">
        <f t="shared" si="42"/>
        <v/>
      </c>
      <c r="AA33" s="205" t="str">
        <f t="shared" si="42"/>
        <v/>
      </c>
      <c r="AB33" s="205" t="str">
        <f t="shared" si="42"/>
        <v/>
      </c>
      <c r="AC33" s="205" t="str">
        <f t="shared" si="42"/>
        <v/>
      </c>
      <c r="AD33" s="205" t="str">
        <f t="shared" si="42"/>
        <v/>
      </c>
      <c r="AE33" s="35"/>
      <c r="AF33" s="6" t="str">
        <f>A33</f>
        <v>Richer</v>
      </c>
      <c r="AI33" s="205" t="str">
        <f t="shared" ref="AI33:BB33" si="43">IF(AI34=Yr_Start,"Start Year",IF(AI34=Yr_End,"End Year",""))</f>
        <v>Start Year</v>
      </c>
      <c r="AJ33" s="205" t="str">
        <f t="shared" si="43"/>
        <v/>
      </c>
      <c r="AK33" s="205" t="str">
        <f t="shared" si="43"/>
        <v/>
      </c>
      <c r="AL33" s="205" t="str">
        <f t="shared" si="43"/>
        <v>End Year</v>
      </c>
      <c r="AM33" s="205" t="str">
        <f t="shared" si="43"/>
        <v/>
      </c>
      <c r="AN33" s="205" t="str">
        <f t="shared" si="43"/>
        <v/>
      </c>
      <c r="AO33" s="205" t="str">
        <f t="shared" si="43"/>
        <v/>
      </c>
      <c r="AP33" s="205" t="str">
        <f t="shared" si="43"/>
        <v/>
      </c>
      <c r="AQ33" s="205" t="str">
        <f t="shared" si="43"/>
        <v/>
      </c>
      <c r="AR33" s="205" t="str">
        <f t="shared" si="43"/>
        <v/>
      </c>
      <c r="AS33" s="205" t="str">
        <f t="shared" si="43"/>
        <v/>
      </c>
      <c r="AT33" s="205" t="str">
        <f t="shared" si="43"/>
        <v/>
      </c>
      <c r="AU33" s="205" t="str">
        <f t="shared" si="43"/>
        <v/>
      </c>
      <c r="AV33" s="205" t="str">
        <f t="shared" si="43"/>
        <v/>
      </c>
      <c r="AW33" s="205" t="str">
        <f t="shared" si="43"/>
        <v/>
      </c>
      <c r="AX33" s="205" t="str">
        <f t="shared" si="43"/>
        <v/>
      </c>
      <c r="AY33" s="205" t="str">
        <f t="shared" si="43"/>
        <v/>
      </c>
      <c r="AZ33" s="205" t="str">
        <f t="shared" si="43"/>
        <v/>
      </c>
      <c r="BA33" s="205" t="str">
        <f t="shared" si="43"/>
        <v/>
      </c>
      <c r="BB33" s="205" t="str">
        <f t="shared" si="43"/>
        <v/>
      </c>
    </row>
    <row r="34" spans="1:54" x14ac:dyDescent="0.25">
      <c r="A34" s="6" t="s">
        <v>21</v>
      </c>
      <c r="B34" s="36"/>
      <c r="C34" s="36">
        <f>Yr_DHS1</f>
        <v>2011</v>
      </c>
      <c r="D34" s="36">
        <f>Yr_DHS2</f>
        <v>2016</v>
      </c>
      <c r="E34" s="36" t="s">
        <v>168</v>
      </c>
      <c r="F34" s="36">
        <f>Yr_Start</f>
        <v>2019</v>
      </c>
      <c r="G34" s="127"/>
      <c r="H34" s="36">
        <f>Yr_End</f>
        <v>2022</v>
      </c>
      <c r="I34" s="36" t="s">
        <v>169</v>
      </c>
      <c r="J34" s="130">
        <f>K34-1</f>
        <v>2018</v>
      </c>
      <c r="K34" s="130">
        <f>Yr_Start</f>
        <v>2019</v>
      </c>
      <c r="L34" s="130">
        <f>K34+1</f>
        <v>2020</v>
      </c>
      <c r="M34" s="130">
        <f t="shared" ref="M34:AD34" si="44">L34+1</f>
        <v>2021</v>
      </c>
      <c r="N34" s="130">
        <f t="shared" si="44"/>
        <v>2022</v>
      </c>
      <c r="O34" s="130">
        <f t="shared" si="44"/>
        <v>2023</v>
      </c>
      <c r="P34" s="130">
        <f t="shared" si="44"/>
        <v>2024</v>
      </c>
      <c r="Q34" s="130">
        <f t="shared" si="44"/>
        <v>2025</v>
      </c>
      <c r="R34" s="130">
        <f t="shared" si="44"/>
        <v>2026</v>
      </c>
      <c r="S34" s="130">
        <f t="shared" si="44"/>
        <v>2027</v>
      </c>
      <c r="T34" s="130">
        <f t="shared" si="44"/>
        <v>2028</v>
      </c>
      <c r="U34" s="130">
        <f t="shared" si="44"/>
        <v>2029</v>
      </c>
      <c r="V34" s="130">
        <f t="shared" si="44"/>
        <v>2030</v>
      </c>
      <c r="W34" s="130">
        <f t="shared" si="44"/>
        <v>2031</v>
      </c>
      <c r="X34" s="130">
        <f t="shared" si="44"/>
        <v>2032</v>
      </c>
      <c r="Y34" s="130">
        <f t="shared" si="44"/>
        <v>2033</v>
      </c>
      <c r="Z34" s="130">
        <f t="shared" si="44"/>
        <v>2034</v>
      </c>
      <c r="AA34" s="130">
        <f t="shared" si="44"/>
        <v>2035</v>
      </c>
      <c r="AB34" s="130">
        <f t="shared" si="44"/>
        <v>2036</v>
      </c>
      <c r="AC34" s="130">
        <f t="shared" si="44"/>
        <v>2037</v>
      </c>
      <c r="AD34" s="130">
        <f t="shared" si="44"/>
        <v>2038</v>
      </c>
      <c r="AE34" s="6"/>
      <c r="AF34" s="6" t="str">
        <f>A34</f>
        <v>Rural</v>
      </c>
      <c r="AG34" s="38"/>
      <c r="AH34" s="161">
        <f>AI34-1</f>
        <v>2018</v>
      </c>
      <c r="AI34" s="36">
        <f>Yr_Start</f>
        <v>2019</v>
      </c>
      <c r="AJ34" s="36">
        <f>AI34+1</f>
        <v>2020</v>
      </c>
      <c r="AK34" s="36">
        <f t="shared" ref="AK34:BB34" si="45">AJ34+1</f>
        <v>2021</v>
      </c>
      <c r="AL34" s="36">
        <f t="shared" si="45"/>
        <v>2022</v>
      </c>
      <c r="AM34" s="36">
        <f t="shared" si="45"/>
        <v>2023</v>
      </c>
      <c r="AN34" s="36">
        <f t="shared" si="45"/>
        <v>2024</v>
      </c>
      <c r="AO34" s="36">
        <f t="shared" si="45"/>
        <v>2025</v>
      </c>
      <c r="AP34" s="36">
        <f t="shared" si="45"/>
        <v>2026</v>
      </c>
      <c r="AQ34" s="36">
        <f t="shared" si="45"/>
        <v>2027</v>
      </c>
      <c r="AR34" s="36">
        <f t="shared" si="45"/>
        <v>2028</v>
      </c>
      <c r="AS34" s="36">
        <f t="shared" si="45"/>
        <v>2029</v>
      </c>
      <c r="AT34" s="36">
        <f t="shared" si="45"/>
        <v>2030</v>
      </c>
      <c r="AU34" s="36">
        <f t="shared" si="45"/>
        <v>2031</v>
      </c>
      <c r="AV34" s="36">
        <f t="shared" si="45"/>
        <v>2032</v>
      </c>
      <c r="AW34" s="36">
        <f t="shared" si="45"/>
        <v>2033</v>
      </c>
      <c r="AX34" s="36">
        <f t="shared" si="45"/>
        <v>2034</v>
      </c>
      <c r="AY34" s="36">
        <f t="shared" si="45"/>
        <v>2035</v>
      </c>
      <c r="AZ34" s="36">
        <f t="shared" si="45"/>
        <v>2036</v>
      </c>
      <c r="BA34" s="36">
        <f t="shared" si="45"/>
        <v>2037</v>
      </c>
      <c r="BB34" s="36">
        <f t="shared" si="45"/>
        <v>2038</v>
      </c>
    </row>
    <row r="35" spans="1:54" x14ac:dyDescent="0.25">
      <c r="B35" s="1" t="s">
        <v>52</v>
      </c>
      <c r="C35" s="14">
        <f ca="1">Implant_Base!C35</f>
        <v>1.5374199999999999E-2</v>
      </c>
      <c r="D35" s="14">
        <f ca="1">Implant_Base!D35</f>
        <v>3.71948E-2</v>
      </c>
      <c r="E35" s="14">
        <f ca="1">IF('User Settings'!$N$7="On",($D35-$C35)/($D$4-$C$4),0)</f>
        <v>4.3641200000000008E-3</v>
      </c>
      <c r="F35" s="14">
        <f ca="1">Implant_Base!F35</f>
        <v>5.0287160000000004E-2</v>
      </c>
      <c r="G35" s="1" t="str">
        <f>"Shift_RurQ2"&amp;IF(Dashboard!$Q$4="Yes",$A$1,"")</f>
        <v>Shift_RurQ2</v>
      </c>
      <c r="H35" s="14">
        <f ca="1">Implant_Base!H35*(1-INDIRECT($G35))</f>
        <v>5.7041568000000008E-2</v>
      </c>
      <c r="I35" s="14">
        <f t="shared" ref="I35:I40" ca="1" si="46">($H35-$F35)/($H$4-$F$4)</f>
        <v>2.2514693333333343E-3</v>
      </c>
      <c r="J35" s="14">
        <f ca="1">K35-E35</f>
        <v>4.5923040000000005E-2</v>
      </c>
      <c r="K35" s="14">
        <f ca="1">MAX(0,MIN(1,D35+(K$4-D$4)*E35))</f>
        <v>5.0287160000000004E-2</v>
      </c>
      <c r="L35" s="15">
        <f ca="1">MAX(0,MIN(1,K35+$I35))</f>
        <v>5.2538629333333337E-2</v>
      </c>
      <c r="M35" s="15">
        <f t="shared" ref="M35:AD35" ca="1" si="47">MAX(0,MIN(1,L35+$I35))</f>
        <v>5.4790098666666669E-2</v>
      </c>
      <c r="N35" s="15">
        <f ca="1">MAX(0,MIN(1,M35+$I35))</f>
        <v>5.7041568000000001E-2</v>
      </c>
      <c r="O35" s="15">
        <f t="shared" ca="1" si="47"/>
        <v>5.9293037333333333E-2</v>
      </c>
      <c r="P35" s="15">
        <f t="shared" ca="1" si="47"/>
        <v>6.1544506666666665E-2</v>
      </c>
      <c r="Q35" s="15">
        <f t="shared" ca="1" si="47"/>
        <v>6.3795976000000004E-2</v>
      </c>
      <c r="R35" s="15">
        <f t="shared" ca="1" si="47"/>
        <v>6.6047445333333343E-2</v>
      </c>
      <c r="S35" s="15">
        <f t="shared" ca="1" si="47"/>
        <v>6.8298914666666682E-2</v>
      </c>
      <c r="T35" s="15">
        <f t="shared" ca="1" si="47"/>
        <v>7.0550384000000022E-2</v>
      </c>
      <c r="U35" s="15">
        <f t="shared" ca="1" si="47"/>
        <v>7.2801853333333361E-2</v>
      </c>
      <c r="V35" s="15">
        <f t="shared" ca="1" si="47"/>
        <v>7.50533226666667E-2</v>
      </c>
      <c r="W35" s="15">
        <f t="shared" ca="1" si="47"/>
        <v>7.7304792000000039E-2</v>
      </c>
      <c r="X35" s="15">
        <f t="shared" ca="1" si="47"/>
        <v>7.9556261333333378E-2</v>
      </c>
      <c r="Y35" s="15">
        <f t="shared" ca="1" si="47"/>
        <v>8.1807730666666717E-2</v>
      </c>
      <c r="Z35" s="15">
        <f t="shared" ca="1" si="47"/>
        <v>8.4059200000000056E-2</v>
      </c>
      <c r="AA35" s="15">
        <f t="shared" ca="1" si="47"/>
        <v>8.6310669333333395E-2</v>
      </c>
      <c r="AB35" s="15">
        <f t="shared" ca="1" si="47"/>
        <v>8.8562138666666734E-2</v>
      </c>
      <c r="AC35" s="15">
        <f t="shared" ca="1" si="47"/>
        <v>9.0813608000000073E-2</v>
      </c>
      <c r="AD35" s="15">
        <f t="shared" ca="1" si="47"/>
        <v>9.3065077333333412E-2</v>
      </c>
      <c r="AE35" s="5"/>
      <c r="AG35" s="1" t="s">
        <v>52</v>
      </c>
      <c r="AH35" s="37">
        <f ca="1">J35*AH$41</f>
        <v>70143.685952533153</v>
      </c>
      <c r="AI35" s="37">
        <f t="shared" ref="AI35:AI40" ca="1" si="48">K35*AI$41</f>
        <v>79763.264101115506</v>
      </c>
      <c r="AJ35" s="37">
        <f t="shared" ref="AJ35:AS40" ca="1" si="49">L35*AJ$41</f>
        <v>86520.128516557044</v>
      </c>
      <c r="AK35" s="37">
        <f t="shared" ca="1" si="49"/>
        <v>93538.054487910209</v>
      </c>
      <c r="AL35" s="37">
        <f t="shared" ca="1" si="49"/>
        <v>100954.1227312471</v>
      </c>
      <c r="AM35" s="37">
        <f t="shared" ca="1" si="49"/>
        <v>108770.43915816925</v>
      </c>
      <c r="AN35" s="37">
        <f t="shared" ca="1" si="49"/>
        <v>116985.33685174034</v>
      </c>
      <c r="AO35" s="37">
        <f t="shared" ca="1" si="49"/>
        <v>125602.7503015703</v>
      </c>
      <c r="AP35" s="37">
        <f t="shared" ca="1" si="49"/>
        <v>134541.3792029742</v>
      </c>
      <c r="AQ35" s="37">
        <f t="shared" ca="1" si="49"/>
        <v>143909.39808412487</v>
      </c>
      <c r="AR35" s="37">
        <f t="shared" ca="1" si="49"/>
        <v>153720.91916732077</v>
      </c>
      <c r="AS35" s="37">
        <f t="shared" ca="1" si="49"/>
        <v>163997.31571535047</v>
      </c>
      <c r="AT35" s="37">
        <f t="shared" ref="AT35:BB40" ca="1" si="50">V35*AT$41</f>
        <v>174755.61842114833</v>
      </c>
      <c r="AU35" s="37">
        <f t="shared" ca="1" si="50"/>
        <v>185900.21612193572</v>
      </c>
      <c r="AV35" s="37">
        <f t="shared" ca="1" si="50"/>
        <v>197558.37791594354</v>
      </c>
      <c r="AW35" s="37">
        <f t="shared" ca="1" si="50"/>
        <v>209732.24038926183</v>
      </c>
      <c r="AX35" s="37">
        <f t="shared" ca="1" si="50"/>
        <v>222420.88058107949</v>
      </c>
      <c r="AY35" s="37">
        <f t="shared" ca="1" si="50"/>
        <v>235626.69979042932</v>
      </c>
      <c r="AZ35" s="37" t="e">
        <f t="shared" ca="1" si="50"/>
        <v>#N/A</v>
      </c>
      <c r="BA35" s="37" t="e">
        <f t="shared" ca="1" si="50"/>
        <v>#N/A</v>
      </c>
      <c r="BB35" s="37" t="e">
        <f t="shared" ca="1" si="50"/>
        <v>#N/A</v>
      </c>
    </row>
    <row r="36" spans="1:54" x14ac:dyDescent="0.25">
      <c r="B36" s="1" t="s">
        <v>54</v>
      </c>
      <c r="C36" s="14">
        <f ca="1">Implant_Base!C36</f>
        <v>7.5900000000000002E-4</v>
      </c>
      <c r="D36" s="14">
        <f ca="1">Implant_Base!D36</f>
        <v>1.8622000000000001E-3</v>
      </c>
      <c r="E36" s="14">
        <f ca="1">IF('User Settings'!$N$7="On",($D36-$C36)/($D$4-$C$4),0)</f>
        <v>2.2063999999999997E-4</v>
      </c>
      <c r="F36" s="14">
        <f ca="1">Implant_Base!F36</f>
        <v>2.5241199999999999E-3</v>
      </c>
      <c r="G36" s="1" t="str">
        <f>"Shift_RurQ2"&amp;IF(Dashboard!$Q$4="Yes",$A$1,"")</f>
        <v>Shift_RurQ2</v>
      </c>
      <c r="H36" s="14">
        <f ca="1">Implant_Base!H36*(1-INDIRECT($G36))</f>
        <v>2.8674359999999997E-3</v>
      </c>
      <c r="I36" s="14">
        <f t="shared" ca="1" si="46"/>
        <v>1.1443866666666659E-4</v>
      </c>
      <c r="J36" s="14">
        <f t="shared" ref="J36:J40" ca="1" si="51">K36-E36</f>
        <v>2.3034800000000001E-3</v>
      </c>
      <c r="K36" s="14">
        <f t="shared" ref="K36:K40" ca="1" si="52">MAX(0,MIN(1,D36+(K$4-D$4)*E36))</f>
        <v>2.5241199999999999E-3</v>
      </c>
      <c r="L36" s="15">
        <f t="shared" ref="L36:AD40" ca="1" si="53">MAX(0,MIN(1,K36+$I36))</f>
        <v>2.6385586666666664E-3</v>
      </c>
      <c r="M36" s="15">
        <f t="shared" ca="1" si="53"/>
        <v>2.7529973333333328E-3</v>
      </c>
      <c r="N36" s="15">
        <f t="shared" ca="1" si="53"/>
        <v>2.8674359999999992E-3</v>
      </c>
      <c r="O36" s="15">
        <f t="shared" ca="1" si="53"/>
        <v>2.9818746666666657E-3</v>
      </c>
      <c r="P36" s="15">
        <f t="shared" ca="1" si="53"/>
        <v>3.0963133333333321E-3</v>
      </c>
      <c r="Q36" s="15">
        <f t="shared" ca="1" si="53"/>
        <v>3.2107519999999986E-3</v>
      </c>
      <c r="R36" s="15">
        <f t="shared" ca="1" si="53"/>
        <v>3.325190666666665E-3</v>
      </c>
      <c r="S36" s="15">
        <f t="shared" ca="1" si="53"/>
        <v>3.4396293333333315E-3</v>
      </c>
      <c r="T36" s="15">
        <f t="shared" ca="1" si="53"/>
        <v>3.5540679999999979E-3</v>
      </c>
      <c r="U36" s="15">
        <f t="shared" ca="1" si="53"/>
        <v>3.6685066666666643E-3</v>
      </c>
      <c r="V36" s="15">
        <f t="shared" ca="1" si="53"/>
        <v>3.7829453333333308E-3</v>
      </c>
      <c r="W36" s="15">
        <f t="shared" ca="1" si="53"/>
        <v>3.8973839999999972E-3</v>
      </c>
      <c r="X36" s="15">
        <f t="shared" ca="1" si="53"/>
        <v>4.0118226666666637E-3</v>
      </c>
      <c r="Y36" s="15">
        <f t="shared" ca="1" si="53"/>
        <v>4.1262613333333305E-3</v>
      </c>
      <c r="Z36" s="15">
        <f t="shared" ca="1" si="53"/>
        <v>4.2406999999999974E-3</v>
      </c>
      <c r="AA36" s="15">
        <f t="shared" ca="1" si="53"/>
        <v>4.3551386666666643E-3</v>
      </c>
      <c r="AB36" s="15">
        <f t="shared" ca="1" si="53"/>
        <v>4.4695773333333312E-3</v>
      </c>
      <c r="AC36" s="15">
        <f t="shared" ca="1" si="53"/>
        <v>4.5840159999999981E-3</v>
      </c>
      <c r="AD36" s="15">
        <f t="shared" ca="1" si="53"/>
        <v>4.6984546666666649E-3</v>
      </c>
      <c r="AE36" s="5"/>
      <c r="AG36" s="1" t="s">
        <v>54</v>
      </c>
      <c r="AH36" s="37">
        <f t="shared" ref="AH36:AH40" ca="1" si="54">J36*AH$41</f>
        <v>3518.3772180139003</v>
      </c>
      <c r="AI36" s="37">
        <f t="shared" ca="1" si="48"/>
        <v>4003.6472567332821</v>
      </c>
      <c r="AJ36" s="37">
        <f t="shared" ca="1" si="49"/>
        <v>4345.1539911726795</v>
      </c>
      <c r="AK36" s="37">
        <f t="shared" ca="1" si="49"/>
        <v>4699.937047696345</v>
      </c>
      <c r="AL36" s="37">
        <f t="shared" ca="1" si="49"/>
        <v>5074.8865435816242</v>
      </c>
      <c r="AM36" s="37">
        <f t="shared" ca="1" si="49"/>
        <v>5470.1164183001902</v>
      </c>
      <c r="AN36" s="37">
        <f t="shared" ca="1" si="49"/>
        <v>5885.5497901768031</v>
      </c>
      <c r="AO36" s="37">
        <f t="shared" ca="1" si="49"/>
        <v>6321.3905801247902</v>
      </c>
      <c r="AP36" s="37">
        <f t="shared" ca="1" si="49"/>
        <v>6773.5509851795168</v>
      </c>
      <c r="AQ36" s="37">
        <f t="shared" ca="1" si="49"/>
        <v>7247.4795450019346</v>
      </c>
      <c r="AR36" s="37">
        <f t="shared" ca="1" si="49"/>
        <v>7743.8926447680415</v>
      </c>
      <c r="AS36" s="37">
        <f t="shared" ca="1" si="49"/>
        <v>8263.8726690456133</v>
      </c>
      <c r="AT36" s="37">
        <f t="shared" ca="1" si="50"/>
        <v>8808.2836001299729</v>
      </c>
      <c r="AU36" s="37">
        <f t="shared" ca="1" si="50"/>
        <v>9372.3106830191518</v>
      </c>
      <c r="AV36" s="37">
        <f t="shared" ca="1" si="50"/>
        <v>9962.373359807465</v>
      </c>
      <c r="AW36" s="37">
        <f t="shared" ca="1" si="50"/>
        <v>10578.585016589406</v>
      </c>
      <c r="AX36" s="37">
        <f t="shared" ca="1" si="50"/>
        <v>11220.904175630776</v>
      </c>
      <c r="AY36" s="37">
        <f t="shared" ca="1" si="50"/>
        <v>11889.456530492238</v>
      </c>
      <c r="AZ36" s="37" t="e">
        <f t="shared" ca="1" si="50"/>
        <v>#N/A</v>
      </c>
      <c r="BA36" s="37" t="e">
        <f t="shared" ca="1" si="50"/>
        <v>#N/A</v>
      </c>
      <c r="BB36" s="37" t="e">
        <f t="shared" ca="1" si="50"/>
        <v>#N/A</v>
      </c>
    </row>
    <row r="37" spans="1:54" x14ac:dyDescent="0.25">
      <c r="B37" s="1" t="s">
        <v>170</v>
      </c>
      <c r="C37" s="14">
        <f ca="1">Implant_Base!C37</f>
        <v>8.4119999999999996E-4</v>
      </c>
      <c r="D37" s="14">
        <f ca="1">Implant_Base!D37</f>
        <v>8.5999999999999998E-4</v>
      </c>
      <c r="E37" s="14">
        <f ca="1">IF('User Settings'!$N$7="On",($D37-$C37)/($D$4-$C$4),0)</f>
        <v>3.7600000000000047E-6</v>
      </c>
      <c r="F37" s="14">
        <f ca="1">Implant_Base!F37</f>
        <v>8.7127999999999999E-4</v>
      </c>
      <c r="G37" s="1" t="str">
        <f>"Shift_RurQ2"&amp;IF(Dashboard!$Q$4="Yes",$A$1,"")</f>
        <v>Shift_RurQ2</v>
      </c>
      <c r="H37" s="14">
        <f ca="1">Implant_Base!H37*(1-INDIRECT($G37))</f>
        <v>7.9430400000000002E-4</v>
      </c>
      <c r="I37" s="14">
        <f t="shared" ca="1" si="46"/>
        <v>-2.5658666666666659E-5</v>
      </c>
      <c r="J37" s="14">
        <f t="shared" ca="1" si="51"/>
        <v>8.6751999999999999E-4</v>
      </c>
      <c r="K37" s="14">
        <f t="shared" ca="1" si="52"/>
        <v>8.7127999999999999E-4</v>
      </c>
      <c r="L37" s="15">
        <f t="shared" ca="1" si="53"/>
        <v>8.4562133333333333E-4</v>
      </c>
      <c r="M37" s="15">
        <f t="shared" ca="1" si="53"/>
        <v>8.1996266666666668E-4</v>
      </c>
      <c r="N37" s="15">
        <f t="shared" ca="1" si="53"/>
        <v>7.9430400000000002E-4</v>
      </c>
      <c r="O37" s="15">
        <f t="shared" ca="1" si="53"/>
        <v>7.6864533333333336E-4</v>
      </c>
      <c r="P37" s="15">
        <f t="shared" ca="1" si="53"/>
        <v>7.429866666666667E-4</v>
      </c>
      <c r="Q37" s="15">
        <f t="shared" ca="1" si="53"/>
        <v>7.1732800000000004E-4</v>
      </c>
      <c r="R37" s="15">
        <f t="shared" ca="1" si="53"/>
        <v>6.9166933333333338E-4</v>
      </c>
      <c r="S37" s="15">
        <f t="shared" ca="1" si="53"/>
        <v>6.6601066666666672E-4</v>
      </c>
      <c r="T37" s="15">
        <f t="shared" ca="1" si="53"/>
        <v>6.4035200000000007E-4</v>
      </c>
      <c r="U37" s="15">
        <f t="shared" ca="1" si="53"/>
        <v>6.1469333333333341E-4</v>
      </c>
      <c r="V37" s="15">
        <f t="shared" ca="1" si="53"/>
        <v>5.8903466666666675E-4</v>
      </c>
      <c r="W37" s="15">
        <f t="shared" ca="1" si="53"/>
        <v>5.6337600000000009E-4</v>
      </c>
      <c r="X37" s="15">
        <f t="shared" ca="1" si="53"/>
        <v>5.3771733333333343E-4</v>
      </c>
      <c r="Y37" s="15">
        <f t="shared" ca="1" si="53"/>
        <v>5.1205866666666677E-4</v>
      </c>
      <c r="Z37" s="15">
        <f t="shared" ca="1" si="53"/>
        <v>4.8640000000000011E-4</v>
      </c>
      <c r="AA37" s="15">
        <f t="shared" ca="1" si="53"/>
        <v>4.6074133333333345E-4</v>
      </c>
      <c r="AB37" s="15">
        <f t="shared" ca="1" si="53"/>
        <v>4.350826666666668E-4</v>
      </c>
      <c r="AC37" s="15">
        <f t="shared" ca="1" si="53"/>
        <v>4.0942400000000014E-4</v>
      </c>
      <c r="AD37" s="15">
        <f t="shared" ca="1" si="53"/>
        <v>3.8376533333333348E-4</v>
      </c>
      <c r="AE37" s="5"/>
      <c r="AG37" s="1" t="s">
        <v>170</v>
      </c>
      <c r="AH37" s="37">
        <f t="shared" ca="1" si="54"/>
        <v>1325.0658152757649</v>
      </c>
      <c r="AI37" s="37">
        <f t="shared" ca="1" si="48"/>
        <v>1381.9857145645112</v>
      </c>
      <c r="AJ37" s="37">
        <f t="shared" ca="1" si="49"/>
        <v>1392.5613851125654</v>
      </c>
      <c r="AK37" s="37">
        <f t="shared" ca="1" si="49"/>
        <v>1399.8462214739607</v>
      </c>
      <c r="AL37" s="37">
        <f t="shared" ca="1" si="49"/>
        <v>1405.7864521171737</v>
      </c>
      <c r="AM37" s="37">
        <f t="shared" ca="1" si="49"/>
        <v>1410.0456684910378</v>
      </c>
      <c r="AN37" s="37">
        <f t="shared" ca="1" si="49"/>
        <v>1412.2876302691689</v>
      </c>
      <c r="AO37" s="37">
        <f t="shared" ca="1" si="49"/>
        <v>1412.2892275889753</v>
      </c>
      <c r="AP37" s="37">
        <f t="shared" ca="1" si="49"/>
        <v>1408.9590534412851</v>
      </c>
      <c r="AQ37" s="37">
        <f t="shared" ca="1" si="49"/>
        <v>1403.3194323127952</v>
      </c>
      <c r="AR37" s="37">
        <f t="shared" ca="1" si="49"/>
        <v>1395.2510595921374</v>
      </c>
      <c r="AS37" s="37">
        <f t="shared" ca="1" si="49"/>
        <v>1384.6908016644054</v>
      </c>
      <c r="AT37" s="37">
        <f t="shared" ca="1" si="50"/>
        <v>1371.519791362223</v>
      </c>
      <c r="AU37" s="37">
        <f t="shared" ca="1" si="50"/>
        <v>1354.7894955582005</v>
      </c>
      <c r="AV37" s="37">
        <f t="shared" ca="1" si="50"/>
        <v>1335.2885413446445</v>
      </c>
      <c r="AW37" s="37">
        <f t="shared" ca="1" si="50"/>
        <v>1312.7758280978376</v>
      </c>
      <c r="AX37" s="37">
        <f t="shared" ca="1" si="50"/>
        <v>1287.0157735814403</v>
      </c>
      <c r="AY37" s="37">
        <f t="shared" ca="1" si="50"/>
        <v>1257.8162198129103</v>
      </c>
      <c r="AZ37" s="37" t="e">
        <f t="shared" ca="1" si="50"/>
        <v>#N/A</v>
      </c>
      <c r="BA37" s="37" t="e">
        <f t="shared" ca="1" si="50"/>
        <v>#N/A</v>
      </c>
      <c r="BB37" s="37" t="e">
        <f t="shared" ca="1" si="50"/>
        <v>#N/A</v>
      </c>
    </row>
    <row r="38" spans="1:54" x14ac:dyDescent="0.25">
      <c r="B38" s="1" t="s">
        <v>59</v>
      </c>
      <c r="C38" s="14">
        <f ca="1">Implant_Base!C38</f>
        <v>2.0523999999999998E-3</v>
      </c>
      <c r="D38" s="14">
        <f ca="1">Implant_Base!D38</f>
        <v>5.7995E-3</v>
      </c>
      <c r="E38" s="14">
        <f ca="1">IF('User Settings'!$N$7="On",($D38-$C38)/($D$4-$C$4),0)</f>
        <v>7.4941999999999999E-4</v>
      </c>
      <c r="F38" s="14">
        <f ca="1">Implant_Base!F38</f>
        <v>8.047760000000001E-3</v>
      </c>
      <c r="H38" s="14">
        <f ca="1">H41-SUM($H35:$H37,$H39:$H40)</f>
        <v>1.7040832000000006E-2</v>
      </c>
      <c r="I38" s="14">
        <f t="shared" ca="1" si="46"/>
        <v>2.9976906666666684E-3</v>
      </c>
      <c r="J38" s="14">
        <f t="shared" ca="1" si="51"/>
        <v>7.2983400000000013E-3</v>
      </c>
      <c r="K38" s="14">
        <f t="shared" ca="1" si="52"/>
        <v>8.047760000000001E-3</v>
      </c>
      <c r="L38" s="15">
        <f t="shared" ca="1" si="53"/>
        <v>1.104545066666667E-2</v>
      </c>
      <c r="M38" s="15">
        <f t="shared" ca="1" si="53"/>
        <v>1.4043141333333339E-2</v>
      </c>
      <c r="N38" s="15">
        <f t="shared" ca="1" si="53"/>
        <v>1.7040832000000006E-2</v>
      </c>
      <c r="O38" s="15">
        <f t="shared" ca="1" si="53"/>
        <v>2.0038522666666673E-2</v>
      </c>
      <c r="P38" s="15">
        <f t="shared" ca="1" si="53"/>
        <v>2.303621333333334E-2</v>
      </c>
      <c r="Q38" s="15">
        <f t="shared" ca="1" si="53"/>
        <v>2.6033904000000007E-2</v>
      </c>
      <c r="R38" s="15">
        <f t="shared" ca="1" si="53"/>
        <v>2.9031594666666674E-2</v>
      </c>
      <c r="S38" s="15">
        <f t="shared" ca="1" si="53"/>
        <v>3.2029285333333345E-2</v>
      </c>
      <c r="T38" s="15">
        <f t="shared" ca="1" si="53"/>
        <v>3.5026976000000015E-2</v>
      </c>
      <c r="U38" s="15">
        <f t="shared" ca="1" si="53"/>
        <v>3.8024666666666686E-2</v>
      </c>
      <c r="V38" s="15">
        <f t="shared" ca="1" si="53"/>
        <v>4.1022357333333356E-2</v>
      </c>
      <c r="W38" s="15">
        <f t="shared" ca="1" si="53"/>
        <v>4.4020048000000027E-2</v>
      </c>
      <c r="X38" s="15">
        <f t="shared" ca="1" si="53"/>
        <v>4.7017738666666697E-2</v>
      </c>
      <c r="Y38" s="15">
        <f t="shared" ca="1" si="53"/>
        <v>5.0015429333333368E-2</v>
      </c>
      <c r="Z38" s="15">
        <f t="shared" ca="1" si="53"/>
        <v>5.3013120000000039E-2</v>
      </c>
      <c r="AA38" s="15">
        <f t="shared" ca="1" si="53"/>
        <v>5.6010810666666709E-2</v>
      </c>
      <c r="AB38" s="15">
        <f t="shared" ca="1" si="53"/>
        <v>5.900850133333338E-2</v>
      </c>
      <c r="AC38" s="15">
        <f t="shared" ca="1" si="53"/>
        <v>6.200619200000005E-2</v>
      </c>
      <c r="AD38" s="15">
        <f t="shared" ca="1" si="53"/>
        <v>6.5003882666666721E-2</v>
      </c>
      <c r="AE38" s="5"/>
      <c r="AG38" s="1" t="s">
        <v>59</v>
      </c>
      <c r="AH38" s="37">
        <f t="shared" ca="1" si="54"/>
        <v>11147.617164168811</v>
      </c>
      <c r="AI38" s="37">
        <f t="shared" ca="1" si="48"/>
        <v>12765.000177031141</v>
      </c>
      <c r="AJ38" s="37">
        <f t="shared" ca="1" si="49"/>
        <v>18189.545927057003</v>
      </c>
      <c r="AK38" s="37">
        <f t="shared" ca="1" si="49"/>
        <v>23974.552906178822</v>
      </c>
      <c r="AL38" s="37">
        <f t="shared" ca="1" si="49"/>
        <v>30159.448722913152</v>
      </c>
      <c r="AM38" s="37">
        <f t="shared" ca="1" si="49"/>
        <v>36759.778357802847</v>
      </c>
      <c r="AN38" s="37">
        <f t="shared" ca="1" si="49"/>
        <v>43787.81019700897</v>
      </c>
      <c r="AO38" s="37">
        <f t="shared" ca="1" si="49"/>
        <v>51256.053257764295</v>
      </c>
      <c r="AP38" s="37">
        <f t="shared" ca="1" si="49"/>
        <v>59138.559670282331</v>
      </c>
      <c r="AQ38" s="37">
        <f t="shared" ca="1" si="49"/>
        <v>67487.385354225378</v>
      </c>
      <c r="AR38" s="37">
        <f t="shared" ca="1" si="49"/>
        <v>76319.62635910933</v>
      </c>
      <c r="AS38" s="37">
        <f t="shared" ca="1" si="49"/>
        <v>85656.38069338935</v>
      </c>
      <c r="AT38" s="37">
        <f t="shared" ca="1" si="50"/>
        <v>95517.255867792599</v>
      </c>
      <c r="AU38" s="37">
        <f t="shared" ca="1" si="50"/>
        <v>105858.07457961966</v>
      </c>
      <c r="AV38" s="37">
        <f t="shared" ca="1" si="50"/>
        <v>116756.97209228341</v>
      </c>
      <c r="AW38" s="37">
        <f t="shared" ca="1" si="50"/>
        <v>128225.63298880254</v>
      </c>
      <c r="AX38" s="37">
        <f t="shared" ca="1" si="50"/>
        <v>140272.86522772565</v>
      </c>
      <c r="AY38" s="37">
        <f t="shared" ca="1" si="50"/>
        <v>152908.5867588828</v>
      </c>
      <c r="AZ38" s="37" t="e">
        <f t="shared" ca="1" si="50"/>
        <v>#N/A</v>
      </c>
      <c r="BA38" s="37" t="e">
        <f t="shared" ca="1" si="50"/>
        <v>#N/A</v>
      </c>
      <c r="BB38" s="37" t="e">
        <f t="shared" ca="1" si="50"/>
        <v>#N/A</v>
      </c>
    </row>
    <row r="39" spans="1:54" x14ac:dyDescent="0.25">
      <c r="B39" s="1" t="s">
        <v>171</v>
      </c>
      <c r="C39" s="14">
        <f ca="1">Implant_Base!C39</f>
        <v>0</v>
      </c>
      <c r="D39" s="14">
        <f ca="1">Implant_Base!D39</f>
        <v>0</v>
      </c>
      <c r="E39" s="14">
        <f ca="1">IF('User Settings'!$N$7="On",($D39-$C39)/($D$4-$C$4),0)</f>
        <v>0</v>
      </c>
      <c r="F39" s="14">
        <f ca="1">Implant_Base!F39</f>
        <v>0</v>
      </c>
      <c r="G39" s="1"/>
      <c r="H39" s="14">
        <f ca="1">Implant_Base!H39</f>
        <v>0</v>
      </c>
      <c r="I39" s="14">
        <f t="shared" ca="1" si="46"/>
        <v>0</v>
      </c>
      <c r="J39" s="14">
        <f t="shared" ca="1" si="51"/>
        <v>0</v>
      </c>
      <c r="K39" s="14">
        <f t="shared" ca="1" si="52"/>
        <v>0</v>
      </c>
      <c r="L39" s="15">
        <f t="shared" ca="1" si="53"/>
        <v>0</v>
      </c>
      <c r="M39" s="15">
        <f t="shared" ca="1" si="53"/>
        <v>0</v>
      </c>
      <c r="N39" s="15">
        <f t="shared" ca="1" si="53"/>
        <v>0</v>
      </c>
      <c r="O39" s="15">
        <f t="shared" ca="1" si="53"/>
        <v>0</v>
      </c>
      <c r="P39" s="15">
        <f t="shared" ca="1" si="53"/>
        <v>0</v>
      </c>
      <c r="Q39" s="15">
        <f t="shared" ca="1" si="53"/>
        <v>0</v>
      </c>
      <c r="R39" s="15">
        <f t="shared" ca="1" si="53"/>
        <v>0</v>
      </c>
      <c r="S39" s="15">
        <f t="shared" ca="1" si="53"/>
        <v>0</v>
      </c>
      <c r="T39" s="15">
        <f t="shared" ca="1" si="53"/>
        <v>0</v>
      </c>
      <c r="U39" s="15">
        <f t="shared" ca="1" si="53"/>
        <v>0</v>
      </c>
      <c r="V39" s="15">
        <f t="shared" ca="1" si="53"/>
        <v>0</v>
      </c>
      <c r="W39" s="15">
        <f t="shared" ca="1" si="53"/>
        <v>0</v>
      </c>
      <c r="X39" s="15">
        <f t="shared" ca="1" si="53"/>
        <v>0</v>
      </c>
      <c r="Y39" s="15">
        <f t="shared" ca="1" si="53"/>
        <v>0</v>
      </c>
      <c r="Z39" s="15">
        <f t="shared" ca="1" si="53"/>
        <v>0</v>
      </c>
      <c r="AA39" s="15">
        <f t="shared" ca="1" si="53"/>
        <v>0</v>
      </c>
      <c r="AB39" s="15">
        <f t="shared" ca="1" si="53"/>
        <v>0</v>
      </c>
      <c r="AC39" s="15">
        <f t="shared" ca="1" si="53"/>
        <v>0</v>
      </c>
      <c r="AD39" s="15">
        <f t="shared" ca="1" si="53"/>
        <v>0</v>
      </c>
      <c r="AE39" s="5"/>
      <c r="AG39" s="1" t="s">
        <v>171</v>
      </c>
      <c r="AH39" s="37">
        <f t="shared" ca="1" si="54"/>
        <v>0</v>
      </c>
      <c r="AI39" s="37">
        <f t="shared" ca="1" si="48"/>
        <v>0</v>
      </c>
      <c r="AJ39" s="37">
        <f t="shared" ca="1" si="49"/>
        <v>0</v>
      </c>
      <c r="AK39" s="37">
        <f t="shared" ca="1" si="49"/>
        <v>0</v>
      </c>
      <c r="AL39" s="37">
        <f t="shared" ca="1" si="49"/>
        <v>0</v>
      </c>
      <c r="AM39" s="37">
        <f t="shared" ca="1" si="49"/>
        <v>0</v>
      </c>
      <c r="AN39" s="37">
        <f t="shared" ca="1" si="49"/>
        <v>0</v>
      </c>
      <c r="AO39" s="37">
        <f t="shared" ca="1" si="49"/>
        <v>0</v>
      </c>
      <c r="AP39" s="37">
        <f t="shared" ca="1" si="49"/>
        <v>0</v>
      </c>
      <c r="AQ39" s="37">
        <f t="shared" ca="1" si="49"/>
        <v>0</v>
      </c>
      <c r="AR39" s="37">
        <f t="shared" ca="1" si="49"/>
        <v>0</v>
      </c>
      <c r="AS39" s="37">
        <f t="shared" ca="1" si="49"/>
        <v>0</v>
      </c>
      <c r="AT39" s="37">
        <f t="shared" ca="1" si="50"/>
        <v>0</v>
      </c>
      <c r="AU39" s="37">
        <f t="shared" ca="1" si="50"/>
        <v>0</v>
      </c>
      <c r="AV39" s="37">
        <f t="shared" ca="1" si="50"/>
        <v>0</v>
      </c>
      <c r="AW39" s="37">
        <f t="shared" ca="1" si="50"/>
        <v>0</v>
      </c>
      <c r="AX39" s="37">
        <f t="shared" ca="1" si="50"/>
        <v>0</v>
      </c>
      <c r="AY39" s="37">
        <f t="shared" ca="1" si="50"/>
        <v>0</v>
      </c>
      <c r="AZ39" s="37" t="e">
        <f t="shared" ca="1" si="50"/>
        <v>#N/A</v>
      </c>
      <c r="BA39" s="37" t="e">
        <f t="shared" ca="1" si="50"/>
        <v>#N/A</v>
      </c>
      <c r="BB39" s="37" t="e">
        <f t="shared" ca="1" si="50"/>
        <v>#N/A</v>
      </c>
    </row>
    <row r="40" spans="1:54" x14ac:dyDescent="0.25">
      <c r="B40" s="1" t="s">
        <v>116</v>
      </c>
      <c r="C40" s="14">
        <f ca="1">Implant_Base!C40</f>
        <v>0</v>
      </c>
      <c r="D40" s="14">
        <f ca="1">Implant_Base!D40</f>
        <v>0</v>
      </c>
      <c r="E40" s="14">
        <f ca="1">IF('User Settings'!$N$7="On",($D40-$C40)/($D$4-$C$4),0)</f>
        <v>0</v>
      </c>
      <c r="F40" s="14">
        <f ca="1">Implant_Base!F40</f>
        <v>0</v>
      </c>
      <c r="G40" s="1" t="str">
        <f>"Shift_RurQ2"&amp;IF(Dashboard!$Q$4="Yes",$A$1,"")</f>
        <v>Shift_RurQ2</v>
      </c>
      <c r="H40" s="14">
        <f ca="1">Implant_Base!H40*(1-INDIRECT($G40))</f>
        <v>0</v>
      </c>
      <c r="I40" s="14">
        <f t="shared" ca="1" si="46"/>
        <v>0</v>
      </c>
      <c r="J40" s="14">
        <f t="shared" ca="1" si="51"/>
        <v>0</v>
      </c>
      <c r="K40" s="14">
        <f t="shared" ca="1" si="52"/>
        <v>0</v>
      </c>
      <c r="L40" s="15">
        <f t="shared" ca="1" si="53"/>
        <v>0</v>
      </c>
      <c r="M40" s="15">
        <f t="shared" ca="1" si="53"/>
        <v>0</v>
      </c>
      <c r="N40" s="15">
        <f t="shared" ca="1" si="53"/>
        <v>0</v>
      </c>
      <c r="O40" s="15">
        <f t="shared" ca="1" si="53"/>
        <v>0</v>
      </c>
      <c r="P40" s="15">
        <f t="shared" ca="1" si="53"/>
        <v>0</v>
      </c>
      <c r="Q40" s="15">
        <f t="shared" ca="1" si="53"/>
        <v>0</v>
      </c>
      <c r="R40" s="15">
        <f t="shared" ca="1" si="53"/>
        <v>0</v>
      </c>
      <c r="S40" s="15">
        <f t="shared" ca="1" si="53"/>
        <v>0</v>
      </c>
      <c r="T40" s="15">
        <f t="shared" ca="1" si="53"/>
        <v>0</v>
      </c>
      <c r="U40" s="15">
        <f t="shared" ca="1" si="53"/>
        <v>0</v>
      </c>
      <c r="V40" s="15">
        <f t="shared" ca="1" si="53"/>
        <v>0</v>
      </c>
      <c r="W40" s="15">
        <f t="shared" ca="1" si="53"/>
        <v>0</v>
      </c>
      <c r="X40" s="15">
        <f t="shared" ca="1" si="53"/>
        <v>0</v>
      </c>
      <c r="Y40" s="15">
        <f t="shared" ca="1" si="53"/>
        <v>0</v>
      </c>
      <c r="Z40" s="15">
        <f t="shared" ca="1" si="53"/>
        <v>0</v>
      </c>
      <c r="AA40" s="15">
        <f t="shared" ca="1" si="53"/>
        <v>0</v>
      </c>
      <c r="AB40" s="15">
        <f t="shared" ca="1" si="53"/>
        <v>0</v>
      </c>
      <c r="AC40" s="15">
        <f t="shared" ca="1" si="53"/>
        <v>0</v>
      </c>
      <c r="AD40" s="15">
        <f t="shared" ca="1" si="53"/>
        <v>0</v>
      </c>
      <c r="AE40" s="5"/>
      <c r="AG40" s="1" t="s">
        <v>116</v>
      </c>
      <c r="AH40" s="37">
        <f t="shared" ca="1" si="54"/>
        <v>0</v>
      </c>
      <c r="AI40" s="37">
        <f t="shared" ca="1" si="48"/>
        <v>0</v>
      </c>
      <c r="AJ40" s="37">
        <f t="shared" ca="1" si="49"/>
        <v>0</v>
      </c>
      <c r="AK40" s="37">
        <f t="shared" ca="1" si="49"/>
        <v>0</v>
      </c>
      <c r="AL40" s="37">
        <f t="shared" ca="1" si="49"/>
        <v>0</v>
      </c>
      <c r="AM40" s="37">
        <f t="shared" ca="1" si="49"/>
        <v>0</v>
      </c>
      <c r="AN40" s="37">
        <f t="shared" ca="1" si="49"/>
        <v>0</v>
      </c>
      <c r="AO40" s="37">
        <f t="shared" ca="1" si="49"/>
        <v>0</v>
      </c>
      <c r="AP40" s="37">
        <f t="shared" ca="1" si="49"/>
        <v>0</v>
      </c>
      <c r="AQ40" s="37">
        <f t="shared" ca="1" si="49"/>
        <v>0</v>
      </c>
      <c r="AR40" s="37">
        <f t="shared" ca="1" si="49"/>
        <v>0</v>
      </c>
      <c r="AS40" s="37">
        <f t="shared" ca="1" si="49"/>
        <v>0</v>
      </c>
      <c r="AT40" s="37">
        <f t="shared" ca="1" si="50"/>
        <v>0</v>
      </c>
      <c r="AU40" s="37">
        <f t="shared" ca="1" si="50"/>
        <v>0</v>
      </c>
      <c r="AV40" s="37">
        <f t="shared" ca="1" si="50"/>
        <v>0</v>
      </c>
      <c r="AW40" s="37">
        <f t="shared" ca="1" si="50"/>
        <v>0</v>
      </c>
      <c r="AX40" s="37">
        <f t="shared" ca="1" si="50"/>
        <v>0</v>
      </c>
      <c r="AY40" s="37">
        <f t="shared" ca="1" si="50"/>
        <v>0</v>
      </c>
      <c r="AZ40" s="37" t="e">
        <f t="shared" ca="1" si="50"/>
        <v>#N/A</v>
      </c>
      <c r="BA40" s="37" t="e">
        <f t="shared" ca="1" si="50"/>
        <v>#N/A</v>
      </c>
      <c r="BB40" s="37" t="e">
        <f t="shared" ca="1" si="50"/>
        <v>#N/A</v>
      </c>
    </row>
    <row r="41" spans="1:54" x14ac:dyDescent="0.25">
      <c r="C41" s="5">
        <f ca="1">SUM(C35:C40)</f>
        <v>1.90268E-2</v>
      </c>
      <c r="D41" s="5">
        <f ca="1">SUM(D35:D40)</f>
        <v>4.57165E-2</v>
      </c>
      <c r="E41" s="131"/>
      <c r="F41" s="132">
        <f ca="1">SUM(F35:F40)</f>
        <v>6.1730320000000005E-2</v>
      </c>
      <c r="G41" s="132"/>
      <c r="H41" s="132">
        <f ca="1">Implant_Base!H41</f>
        <v>7.7744140000000017E-2</v>
      </c>
      <c r="I41" s="132"/>
      <c r="J41" s="132">
        <f ca="1">SUM(J35:J40)</f>
        <v>5.6392380000000006E-2</v>
      </c>
      <c r="K41" s="132">
        <f ca="1">SUM(K35:K40)</f>
        <v>6.1730320000000005E-2</v>
      </c>
      <c r="L41" s="5">
        <f t="shared" ref="L41:AD41" ca="1" si="55">SUM(L35:L40)</f>
        <v>6.7068260000000005E-2</v>
      </c>
      <c r="M41" s="5">
        <f t="shared" ca="1" si="55"/>
        <v>7.2406200000000004E-2</v>
      </c>
      <c r="N41" s="5">
        <f t="shared" ca="1" si="55"/>
        <v>7.7744140000000017E-2</v>
      </c>
      <c r="O41" s="5">
        <f t="shared" ca="1" si="55"/>
        <v>8.3082080000000003E-2</v>
      </c>
      <c r="P41" s="5">
        <f t="shared" ca="1" si="55"/>
        <v>8.8420020000000016E-2</v>
      </c>
      <c r="Q41" s="5">
        <f t="shared" ca="1" si="55"/>
        <v>9.3757960000000015E-2</v>
      </c>
      <c r="R41" s="5">
        <f t="shared" ca="1" si="55"/>
        <v>9.9095900000000028E-2</v>
      </c>
      <c r="S41" s="5">
        <f t="shared" ca="1" si="55"/>
        <v>0.10443384000000003</v>
      </c>
      <c r="T41" s="5">
        <f t="shared" ca="1" si="55"/>
        <v>0.10977178000000003</v>
      </c>
      <c r="U41" s="5">
        <f t="shared" ca="1" si="55"/>
        <v>0.11510972000000005</v>
      </c>
      <c r="V41" s="5">
        <f t="shared" ca="1" si="55"/>
        <v>0.12044766000000005</v>
      </c>
      <c r="W41" s="5">
        <f t="shared" ca="1" si="55"/>
        <v>0.12578560000000008</v>
      </c>
      <c r="X41" s="5">
        <f t="shared" ca="1" si="55"/>
        <v>0.13112354000000009</v>
      </c>
      <c r="Y41" s="5">
        <f t="shared" ca="1" si="55"/>
        <v>0.13646148000000008</v>
      </c>
      <c r="Z41" s="5">
        <f t="shared" ca="1" si="55"/>
        <v>0.14179942000000009</v>
      </c>
      <c r="AA41" s="5">
        <f t="shared" ca="1" si="55"/>
        <v>0.14713736000000011</v>
      </c>
      <c r="AB41" s="5">
        <f t="shared" ca="1" si="55"/>
        <v>0.15247530000000012</v>
      </c>
      <c r="AC41" s="5">
        <f t="shared" ca="1" si="55"/>
        <v>0.15781324000000013</v>
      </c>
      <c r="AD41" s="5">
        <f t="shared" ca="1" si="55"/>
        <v>0.16315118000000012</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56">IF(K44=Yr_Start,"Start Year",IF(K44=Yr_End,"End Year",""))</f>
        <v>Start Year</v>
      </c>
      <c r="L43" s="205" t="str">
        <f t="shared" si="56"/>
        <v/>
      </c>
      <c r="M43" s="205" t="str">
        <f t="shared" si="56"/>
        <v/>
      </c>
      <c r="N43" s="205" t="str">
        <f t="shared" si="56"/>
        <v>End Year</v>
      </c>
      <c r="O43" s="205" t="str">
        <f t="shared" si="56"/>
        <v/>
      </c>
      <c r="P43" s="205" t="str">
        <f t="shared" si="56"/>
        <v/>
      </c>
      <c r="Q43" s="205" t="str">
        <f t="shared" si="56"/>
        <v/>
      </c>
      <c r="R43" s="205" t="str">
        <f t="shared" si="56"/>
        <v/>
      </c>
      <c r="S43" s="205" t="str">
        <f t="shared" si="56"/>
        <v/>
      </c>
      <c r="T43" s="205" t="str">
        <f t="shared" si="56"/>
        <v/>
      </c>
      <c r="U43" s="205" t="str">
        <f t="shared" si="56"/>
        <v/>
      </c>
      <c r="V43" s="205" t="str">
        <f t="shared" si="56"/>
        <v/>
      </c>
      <c r="W43" s="205" t="str">
        <f t="shared" si="56"/>
        <v/>
      </c>
      <c r="X43" s="205" t="str">
        <f t="shared" si="56"/>
        <v/>
      </c>
      <c r="Y43" s="205" t="str">
        <f t="shared" si="56"/>
        <v/>
      </c>
      <c r="Z43" s="205" t="str">
        <f t="shared" si="56"/>
        <v/>
      </c>
      <c r="AA43" s="205" t="str">
        <f t="shared" si="56"/>
        <v/>
      </c>
      <c r="AB43" s="205" t="str">
        <f t="shared" si="56"/>
        <v/>
      </c>
      <c r="AC43" s="205" t="str">
        <f t="shared" si="56"/>
        <v/>
      </c>
      <c r="AD43" s="205" t="str">
        <f t="shared" si="56"/>
        <v/>
      </c>
      <c r="AE43" s="35"/>
      <c r="AF43" s="6" t="str">
        <f>A43</f>
        <v>Other</v>
      </c>
      <c r="AI43" s="205" t="str">
        <f t="shared" ref="AI43:BB43" si="57">IF(AI44=Yr_Start,"Start Year",IF(AI44=Yr_End,"End Year",""))</f>
        <v>Start Year</v>
      </c>
      <c r="AJ43" s="205" t="str">
        <f t="shared" si="57"/>
        <v/>
      </c>
      <c r="AK43" s="205" t="str">
        <f t="shared" si="57"/>
        <v/>
      </c>
      <c r="AL43" s="205" t="str">
        <f t="shared" si="57"/>
        <v>End Year</v>
      </c>
      <c r="AM43" s="205" t="str">
        <f t="shared" si="57"/>
        <v/>
      </c>
      <c r="AN43" s="205" t="str">
        <f t="shared" si="57"/>
        <v/>
      </c>
      <c r="AO43" s="205" t="str">
        <f t="shared" si="57"/>
        <v/>
      </c>
      <c r="AP43" s="205" t="str">
        <f t="shared" si="57"/>
        <v/>
      </c>
      <c r="AQ43" s="205" t="str">
        <f t="shared" si="57"/>
        <v/>
      </c>
      <c r="AR43" s="205" t="str">
        <f t="shared" si="57"/>
        <v/>
      </c>
      <c r="AS43" s="205" t="str">
        <f t="shared" si="57"/>
        <v/>
      </c>
      <c r="AT43" s="205" t="str">
        <f t="shared" si="57"/>
        <v/>
      </c>
      <c r="AU43" s="205" t="str">
        <f t="shared" si="57"/>
        <v/>
      </c>
      <c r="AV43" s="205" t="str">
        <f t="shared" si="57"/>
        <v/>
      </c>
      <c r="AW43" s="205" t="str">
        <f t="shared" si="57"/>
        <v/>
      </c>
      <c r="AX43" s="205" t="str">
        <f t="shared" si="57"/>
        <v/>
      </c>
      <c r="AY43" s="205" t="str">
        <f t="shared" si="57"/>
        <v/>
      </c>
      <c r="AZ43" s="205" t="str">
        <f t="shared" si="57"/>
        <v/>
      </c>
      <c r="BA43" s="205" t="str">
        <f t="shared" si="57"/>
        <v/>
      </c>
      <c r="BB43" s="205" t="str">
        <f t="shared" si="57"/>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58">L44+1</f>
        <v>2021</v>
      </c>
      <c r="N44" s="130">
        <f t="shared" si="58"/>
        <v>2022</v>
      </c>
      <c r="O44" s="130">
        <f t="shared" si="58"/>
        <v>2023</v>
      </c>
      <c r="P44" s="130">
        <f t="shared" si="58"/>
        <v>2024</v>
      </c>
      <c r="Q44" s="130">
        <f t="shared" si="58"/>
        <v>2025</v>
      </c>
      <c r="R44" s="130">
        <f t="shared" si="58"/>
        <v>2026</v>
      </c>
      <c r="S44" s="130">
        <f t="shared" si="58"/>
        <v>2027</v>
      </c>
      <c r="T44" s="130">
        <f t="shared" si="58"/>
        <v>2028</v>
      </c>
      <c r="U44" s="130">
        <f t="shared" si="58"/>
        <v>2029</v>
      </c>
      <c r="V44" s="130">
        <f t="shared" si="58"/>
        <v>2030</v>
      </c>
      <c r="W44" s="130">
        <f t="shared" si="58"/>
        <v>2031</v>
      </c>
      <c r="X44" s="130">
        <f t="shared" si="58"/>
        <v>2032</v>
      </c>
      <c r="Y44" s="130">
        <f t="shared" si="58"/>
        <v>2033</v>
      </c>
      <c r="Z44" s="130">
        <f t="shared" si="58"/>
        <v>2034</v>
      </c>
      <c r="AA44" s="130">
        <f t="shared" si="58"/>
        <v>2035</v>
      </c>
      <c r="AB44" s="130">
        <f t="shared" si="58"/>
        <v>2036</v>
      </c>
      <c r="AC44" s="130">
        <f t="shared" si="58"/>
        <v>2037</v>
      </c>
      <c r="AD44" s="130">
        <f t="shared" si="58"/>
        <v>2038</v>
      </c>
      <c r="AE44" s="6"/>
      <c r="AF44" s="6" t="str">
        <f>A44</f>
        <v>Urban</v>
      </c>
      <c r="AG44" s="38"/>
      <c r="AH44" s="161">
        <f>AI44-1</f>
        <v>2018</v>
      </c>
      <c r="AI44" s="36">
        <f>Yr_Start</f>
        <v>2019</v>
      </c>
      <c r="AJ44" s="36">
        <f>AI44+1</f>
        <v>2020</v>
      </c>
      <c r="AK44" s="36">
        <f t="shared" ref="AK44:BB44" si="59">AJ44+1</f>
        <v>2021</v>
      </c>
      <c r="AL44" s="36">
        <f t="shared" si="59"/>
        <v>2022</v>
      </c>
      <c r="AM44" s="36">
        <f t="shared" si="59"/>
        <v>2023</v>
      </c>
      <c r="AN44" s="36">
        <f t="shared" si="59"/>
        <v>2024</v>
      </c>
      <c r="AO44" s="36">
        <f t="shared" si="59"/>
        <v>2025</v>
      </c>
      <c r="AP44" s="36">
        <f t="shared" si="59"/>
        <v>2026</v>
      </c>
      <c r="AQ44" s="36">
        <f t="shared" si="59"/>
        <v>2027</v>
      </c>
      <c r="AR44" s="36">
        <f t="shared" si="59"/>
        <v>2028</v>
      </c>
      <c r="AS44" s="36">
        <f t="shared" si="59"/>
        <v>2029</v>
      </c>
      <c r="AT44" s="36">
        <f t="shared" si="59"/>
        <v>2030</v>
      </c>
      <c r="AU44" s="36">
        <f t="shared" si="59"/>
        <v>2031</v>
      </c>
      <c r="AV44" s="36">
        <f t="shared" si="59"/>
        <v>2032</v>
      </c>
      <c r="AW44" s="36">
        <f t="shared" si="59"/>
        <v>2033</v>
      </c>
      <c r="AX44" s="36">
        <f t="shared" si="59"/>
        <v>2034</v>
      </c>
      <c r="AY44" s="36">
        <f t="shared" si="59"/>
        <v>2035</v>
      </c>
      <c r="AZ44" s="36">
        <f t="shared" si="59"/>
        <v>2036</v>
      </c>
      <c r="BA44" s="36">
        <f t="shared" si="59"/>
        <v>2037</v>
      </c>
      <c r="BB44" s="36">
        <f t="shared" si="59"/>
        <v>2038</v>
      </c>
    </row>
    <row r="45" spans="1:54" x14ac:dyDescent="0.25">
      <c r="B45" s="1" t="s">
        <v>52</v>
      </c>
      <c r="C45" s="14">
        <f ca="1">Implant_Base!C45</f>
        <v>1.3792199999999999E-2</v>
      </c>
      <c r="D45" s="14">
        <f ca="1">Implant_Base!D45</f>
        <v>4.5020699999999997E-2</v>
      </c>
      <c r="E45" s="14">
        <f ca="1">IF('User Settings'!$N$7="On",($D45-$C45)/($D$4-$C$4),0)</f>
        <v>6.2456999999999999E-3</v>
      </c>
      <c r="F45" s="14">
        <f ca="1">Implant_Base!F45</f>
        <v>6.3757800000000003E-2</v>
      </c>
      <c r="G45" s="14"/>
      <c r="H45" s="14">
        <f t="shared" ref="H45:H50" ca="1" si="60">MAX(0,MIN(1,($D45+$E45*(H$4-$D$4))*$H$1))</f>
        <v>8.2494899999999996E-2</v>
      </c>
      <c r="I45" s="14">
        <f t="shared" ref="I45:I50" ca="1" si="61">($H45-$F45)/($H$4-$F$4)</f>
        <v>6.2456999999999973E-3</v>
      </c>
      <c r="J45" s="14">
        <f ca="1">K45-E45</f>
        <v>5.7512100000000003E-2</v>
      </c>
      <c r="K45" s="14">
        <f ca="1">MAX(0,MIN(1,D45+(K$4-D$4)*E45))</f>
        <v>6.3757800000000003E-2</v>
      </c>
      <c r="L45" s="15">
        <f ca="1">MAX(0,MIN(1,K45+$I45))</f>
        <v>7.0003499999999996E-2</v>
      </c>
      <c r="M45" s="15">
        <f t="shared" ref="M45:AD45" ca="1" si="62">MAX(0,MIN(1,L45+$I45))</f>
        <v>7.6249199999999989E-2</v>
      </c>
      <c r="N45" s="15">
        <f ca="1">MAX(0,MIN(1,M45+$I45))</f>
        <v>8.2494899999999982E-2</v>
      </c>
      <c r="O45" s="15">
        <f t="shared" ca="1" si="62"/>
        <v>8.8740599999999975E-2</v>
      </c>
      <c r="P45" s="15">
        <f t="shared" ca="1" si="62"/>
        <v>9.4986299999999968E-2</v>
      </c>
      <c r="Q45" s="15">
        <f t="shared" ca="1" si="62"/>
        <v>0.10123199999999996</v>
      </c>
      <c r="R45" s="15">
        <f t="shared" ca="1" si="62"/>
        <v>0.10747769999999995</v>
      </c>
      <c r="S45" s="15">
        <f t="shared" ca="1" si="62"/>
        <v>0.11372339999999995</v>
      </c>
      <c r="T45" s="15">
        <f t="shared" ca="1" si="62"/>
        <v>0.11996909999999994</v>
      </c>
      <c r="U45" s="15">
        <f t="shared" ca="1" si="62"/>
        <v>0.12621479999999993</v>
      </c>
      <c r="V45" s="15">
        <f t="shared" ca="1" si="62"/>
        <v>0.13246049999999993</v>
      </c>
      <c r="W45" s="15">
        <f t="shared" ca="1" si="62"/>
        <v>0.13870619999999992</v>
      </c>
      <c r="X45" s="15">
        <f t="shared" ca="1" si="62"/>
        <v>0.14495189999999991</v>
      </c>
      <c r="Y45" s="15">
        <f t="shared" ca="1" si="62"/>
        <v>0.1511975999999999</v>
      </c>
      <c r="Z45" s="15">
        <f t="shared" ca="1" si="62"/>
        <v>0.1574432999999999</v>
      </c>
      <c r="AA45" s="15">
        <f t="shared" ca="1" si="62"/>
        <v>0.16368899999999989</v>
      </c>
      <c r="AB45" s="15">
        <f t="shared" ca="1" si="62"/>
        <v>0.16993469999999988</v>
      </c>
      <c r="AC45" s="15">
        <f t="shared" ca="1" si="62"/>
        <v>0.17618039999999988</v>
      </c>
      <c r="AD45" s="15">
        <f t="shared" ca="1" si="62"/>
        <v>0.18242609999999987</v>
      </c>
      <c r="AE45" s="5"/>
      <c r="AG45" s="1" t="s">
        <v>52</v>
      </c>
      <c r="AH45" s="37">
        <f ca="1">J45*AH$51</f>
        <v>84320.195337433281</v>
      </c>
      <c r="AI45" s="37">
        <f t="shared" ref="AI45:AI50" ca="1" si="63">K45*AI$51</f>
        <v>97071.905762405368</v>
      </c>
      <c r="AJ45" s="37">
        <f t="shared" ref="AJ45:AS50" ca="1" si="64">L45*AJ$51</f>
        <v>110655.3957692908</v>
      </c>
      <c r="AK45" s="37">
        <f t="shared" ca="1" si="64"/>
        <v>124949.915224974</v>
      </c>
      <c r="AL45" s="37">
        <f t="shared" ca="1" si="64"/>
        <v>140143.87724262546</v>
      </c>
      <c r="AM45" s="37">
        <f t="shared" ca="1" si="64"/>
        <v>156258.61438993181</v>
      </c>
      <c r="AN45" s="37">
        <f t="shared" ca="1" si="64"/>
        <v>173307.56892302886</v>
      </c>
      <c r="AO45" s="37">
        <f t="shared" ca="1" si="64"/>
        <v>191310.19062679281</v>
      </c>
      <c r="AP45" s="37">
        <f t="shared" ca="1" si="64"/>
        <v>210151.57030131813</v>
      </c>
      <c r="AQ45" s="37">
        <f t="shared" ca="1" si="64"/>
        <v>230006.23754750143</v>
      </c>
      <c r="AR45" s="37">
        <f t="shared" ca="1" si="64"/>
        <v>250909.67949939569</v>
      </c>
      <c r="AS45" s="37">
        <f t="shared" ca="1" si="64"/>
        <v>272909.72502266022</v>
      </c>
      <c r="AT45" s="37">
        <f t="shared" ref="AT45:BB50" ca="1" si="65">V45*AT$51</f>
        <v>296047.93623121415</v>
      </c>
      <c r="AU45" s="37">
        <f t="shared" ca="1" si="65"/>
        <v>320172.31546262256</v>
      </c>
      <c r="AV45" s="37">
        <f t="shared" ca="1" si="65"/>
        <v>345509.04606112675</v>
      </c>
      <c r="AW45" s="37">
        <f t="shared" ca="1" si="65"/>
        <v>372074.72736131452</v>
      </c>
      <c r="AX45" s="37">
        <f t="shared" ca="1" si="65"/>
        <v>399879.2892082379</v>
      </c>
      <c r="AY45" s="37">
        <f t="shared" ca="1" si="65"/>
        <v>428937.42042709381</v>
      </c>
      <c r="AZ45" s="37" t="e">
        <f t="shared" ca="1" si="65"/>
        <v>#N/A</v>
      </c>
      <c r="BA45" s="37" t="e">
        <f t="shared" ca="1" si="65"/>
        <v>#N/A</v>
      </c>
      <c r="BB45" s="37" t="e">
        <f t="shared" ca="1" si="65"/>
        <v>#N/A</v>
      </c>
    </row>
    <row r="46" spans="1:54" x14ac:dyDescent="0.25">
      <c r="B46" s="1" t="s">
        <v>54</v>
      </c>
      <c r="C46" s="14">
        <f ca="1">Implant_Base!C46</f>
        <v>0</v>
      </c>
      <c r="D46" s="14">
        <f ca="1">Implant_Base!D46</f>
        <v>5.4086000000000004E-3</v>
      </c>
      <c r="E46" s="14">
        <f ca="1">IF('User Settings'!$N$7="On",($D46-$C46)/($D$4-$C$4),0)</f>
        <v>1.08172E-3</v>
      </c>
      <c r="F46" s="14">
        <f ca="1">Implant_Base!F46</f>
        <v>8.6537599999999999E-3</v>
      </c>
      <c r="G46" s="14"/>
      <c r="H46" s="14">
        <f t="shared" ca="1" si="60"/>
        <v>1.189892E-2</v>
      </c>
      <c r="I46" s="14">
        <f t="shared" ca="1" si="61"/>
        <v>1.0817200000000002E-3</v>
      </c>
      <c r="J46" s="14">
        <f t="shared" ref="J46:J50" ca="1" si="66">K46-E46</f>
        <v>7.5720400000000004E-3</v>
      </c>
      <c r="K46" s="14">
        <f t="shared" ref="K46:K50" ca="1" si="67">MAX(0,MIN(1,D46+(K$4-D$4)*E46))</f>
        <v>8.6537599999999999E-3</v>
      </c>
      <c r="L46" s="15">
        <f t="shared" ref="L46:AD50" ca="1" si="68">MAX(0,MIN(1,K46+$I46))</f>
        <v>9.7354799999999995E-3</v>
      </c>
      <c r="M46" s="15">
        <f t="shared" ca="1" si="68"/>
        <v>1.0817199999999999E-2</v>
      </c>
      <c r="N46" s="15">
        <f t="shared" ca="1" si="68"/>
        <v>1.1898919999999999E-2</v>
      </c>
      <c r="O46" s="15">
        <f t="shared" ca="1" si="68"/>
        <v>1.2980639999999998E-2</v>
      </c>
      <c r="P46" s="15">
        <f t="shared" ca="1" si="68"/>
        <v>1.4062359999999998E-2</v>
      </c>
      <c r="Q46" s="15">
        <f t="shared" ca="1" si="68"/>
        <v>1.5144079999999997E-2</v>
      </c>
      <c r="R46" s="15">
        <f t="shared" ca="1" si="68"/>
        <v>1.6225799999999999E-2</v>
      </c>
      <c r="S46" s="15">
        <f t="shared" ca="1" si="68"/>
        <v>1.730752E-2</v>
      </c>
      <c r="T46" s="15">
        <f t="shared" ca="1" si="68"/>
        <v>1.8389240000000001E-2</v>
      </c>
      <c r="U46" s="15">
        <f t="shared" ca="1" si="68"/>
        <v>1.9470960000000002E-2</v>
      </c>
      <c r="V46" s="15">
        <f t="shared" ca="1" si="68"/>
        <v>2.0552680000000004E-2</v>
      </c>
      <c r="W46" s="15">
        <f t="shared" ca="1" si="68"/>
        <v>2.1634400000000005E-2</v>
      </c>
      <c r="X46" s="15">
        <f t="shared" ca="1" si="68"/>
        <v>2.2716120000000006E-2</v>
      </c>
      <c r="Y46" s="15">
        <f t="shared" ca="1" si="68"/>
        <v>2.3797840000000008E-2</v>
      </c>
      <c r="Z46" s="15">
        <f t="shared" ca="1" si="68"/>
        <v>2.4879560000000009E-2</v>
      </c>
      <c r="AA46" s="15">
        <f t="shared" ca="1" si="68"/>
        <v>2.596128000000001E-2</v>
      </c>
      <c r="AB46" s="15">
        <f t="shared" ca="1" si="68"/>
        <v>2.7043000000000011E-2</v>
      </c>
      <c r="AC46" s="15">
        <f t="shared" ca="1" si="68"/>
        <v>2.8124720000000013E-2</v>
      </c>
      <c r="AD46" s="15">
        <f t="shared" ca="1" si="68"/>
        <v>2.9206440000000014E-2</v>
      </c>
      <c r="AE46" s="5"/>
      <c r="AG46" s="1" t="s">
        <v>54</v>
      </c>
      <c r="AH46" s="37">
        <f t="shared" ref="AH46:AH50" ca="1" si="69">J46*AH$51</f>
        <v>11101.592393650351</v>
      </c>
      <c r="AI46" s="37">
        <f t="shared" ca="1" si="63"/>
        <v>13175.438537880431</v>
      </c>
      <c r="AJ46" s="37">
        <f t="shared" ca="1" si="64"/>
        <v>15388.99329896384</v>
      </c>
      <c r="AK46" s="37">
        <f t="shared" ca="1" si="64"/>
        <v>17726.195461350268</v>
      </c>
      <c r="AL46" s="37">
        <f t="shared" ca="1" si="64"/>
        <v>20214.107584830348</v>
      </c>
      <c r="AM46" s="37">
        <f t="shared" ca="1" si="64"/>
        <v>22856.920285579821</v>
      </c>
      <c r="AN46" s="37">
        <f t="shared" ca="1" si="64"/>
        <v>25657.52561075065</v>
      </c>
      <c r="AO46" s="37">
        <f t="shared" ca="1" si="64"/>
        <v>28619.575150815956</v>
      </c>
      <c r="AP46" s="37">
        <f t="shared" ca="1" si="64"/>
        <v>31726.370674057307</v>
      </c>
      <c r="AQ46" s="37">
        <f t="shared" ca="1" si="64"/>
        <v>35004.559804562065</v>
      </c>
      <c r="AR46" s="37">
        <f t="shared" ca="1" si="64"/>
        <v>38460.222796015558</v>
      </c>
      <c r="AS46" s="37">
        <f t="shared" ca="1" si="64"/>
        <v>42101.35688942358</v>
      </c>
      <c r="AT46" s="37">
        <f t="shared" ca="1" si="65"/>
        <v>45935.040997282624</v>
      </c>
      <c r="AU46" s="37">
        <f t="shared" ca="1" si="65"/>
        <v>49938.185471482648</v>
      </c>
      <c r="AV46" s="37">
        <f t="shared" ca="1" si="65"/>
        <v>54146.409611809773</v>
      </c>
      <c r="AW46" s="37">
        <f t="shared" ca="1" si="65"/>
        <v>58562.932412870265</v>
      </c>
      <c r="AX46" s="37">
        <f t="shared" ca="1" si="65"/>
        <v>63189.864342361449</v>
      </c>
      <c r="AY46" s="37">
        <f t="shared" ca="1" si="65"/>
        <v>68030.011022032719</v>
      </c>
      <c r="AZ46" s="37" t="e">
        <f t="shared" ca="1" si="65"/>
        <v>#N/A</v>
      </c>
      <c r="BA46" s="37" t="e">
        <f t="shared" ca="1" si="65"/>
        <v>#N/A</v>
      </c>
      <c r="BB46" s="37" t="e">
        <f t="shared" ca="1" si="65"/>
        <v>#N/A</v>
      </c>
    </row>
    <row r="47" spans="1:54" x14ac:dyDescent="0.25">
      <c r="B47" s="1" t="s">
        <v>170</v>
      </c>
      <c r="C47" s="14">
        <f ca="1">Implant_Base!C47</f>
        <v>0</v>
      </c>
      <c r="D47" s="14">
        <f ca="1">Implant_Base!D47</f>
        <v>1.4874000000000001E-3</v>
      </c>
      <c r="E47" s="14">
        <f ca="1">IF('User Settings'!$N$7="On",($D47-$C47)/($D$4-$C$4),0)</f>
        <v>2.9748000000000003E-4</v>
      </c>
      <c r="F47" s="14">
        <f ca="1">Implant_Base!F47</f>
        <v>2.3798400000000003E-3</v>
      </c>
      <c r="G47" s="14"/>
      <c r="H47" s="14">
        <f t="shared" ca="1" si="60"/>
        <v>3.2722800000000002E-3</v>
      </c>
      <c r="I47" s="14">
        <f t="shared" ca="1" si="61"/>
        <v>2.9747999999999998E-4</v>
      </c>
      <c r="J47" s="14">
        <f t="shared" ca="1" si="66"/>
        <v>2.0823600000000001E-3</v>
      </c>
      <c r="K47" s="14">
        <f t="shared" ca="1" si="67"/>
        <v>2.3798400000000003E-3</v>
      </c>
      <c r="L47" s="15">
        <f t="shared" ca="1" si="68"/>
        <v>2.6773200000000004E-3</v>
      </c>
      <c r="M47" s="15">
        <f t="shared" ca="1" si="68"/>
        <v>2.9748000000000005E-3</v>
      </c>
      <c r="N47" s="15">
        <f t="shared" ca="1" si="68"/>
        <v>3.2722800000000007E-3</v>
      </c>
      <c r="O47" s="15">
        <f t="shared" ca="1" si="68"/>
        <v>3.5697600000000008E-3</v>
      </c>
      <c r="P47" s="15">
        <f t="shared" ca="1" si="68"/>
        <v>3.867240000000001E-3</v>
      </c>
      <c r="Q47" s="15">
        <f t="shared" ca="1" si="68"/>
        <v>4.1647200000000011E-3</v>
      </c>
      <c r="R47" s="15">
        <f t="shared" ca="1" si="68"/>
        <v>4.4622000000000012E-3</v>
      </c>
      <c r="S47" s="15">
        <f t="shared" ca="1" si="68"/>
        <v>4.7596800000000014E-3</v>
      </c>
      <c r="T47" s="15">
        <f t="shared" ca="1" si="68"/>
        <v>5.0571600000000015E-3</v>
      </c>
      <c r="U47" s="15">
        <f t="shared" ca="1" si="68"/>
        <v>5.3546400000000017E-3</v>
      </c>
      <c r="V47" s="15">
        <f t="shared" ca="1" si="68"/>
        <v>5.6521200000000018E-3</v>
      </c>
      <c r="W47" s="15">
        <f t="shared" ca="1" si="68"/>
        <v>5.9496000000000019E-3</v>
      </c>
      <c r="X47" s="15">
        <f t="shared" ca="1" si="68"/>
        <v>6.2470800000000021E-3</v>
      </c>
      <c r="Y47" s="15">
        <f t="shared" ca="1" si="68"/>
        <v>6.5445600000000022E-3</v>
      </c>
      <c r="Z47" s="15">
        <f t="shared" ca="1" si="68"/>
        <v>6.8420400000000024E-3</v>
      </c>
      <c r="AA47" s="15">
        <f t="shared" ca="1" si="68"/>
        <v>7.1395200000000025E-3</v>
      </c>
      <c r="AB47" s="15">
        <f t="shared" ca="1" si="68"/>
        <v>7.4370000000000026E-3</v>
      </c>
      <c r="AC47" s="15">
        <f t="shared" ca="1" si="68"/>
        <v>7.7344800000000028E-3</v>
      </c>
      <c r="AD47" s="15">
        <f t="shared" ca="1" si="68"/>
        <v>8.0319600000000029E-3</v>
      </c>
      <c r="AE47" s="5"/>
      <c r="AG47" s="1" t="s">
        <v>170</v>
      </c>
      <c r="AH47" s="37">
        <f t="shared" ca="1" si="69"/>
        <v>3053.0097486069467</v>
      </c>
      <c r="AI47" s="37">
        <f t="shared" ca="1" si="63"/>
        <v>3623.3308584926517</v>
      </c>
      <c r="AJ47" s="37">
        <f t="shared" ca="1" si="64"/>
        <v>4232.0727420920057</v>
      </c>
      <c r="AK47" s="37">
        <f t="shared" ca="1" si="64"/>
        <v>4874.8184611937277</v>
      </c>
      <c r="AL47" s="37">
        <f t="shared" ca="1" si="64"/>
        <v>5559.0103948668175</v>
      </c>
      <c r="AM47" s="37">
        <f t="shared" ca="1" si="64"/>
        <v>6285.8009896778167</v>
      </c>
      <c r="AN47" s="37">
        <f t="shared" ca="1" si="64"/>
        <v>7055.9855773084591</v>
      </c>
      <c r="AO47" s="37">
        <f t="shared" ca="1" si="64"/>
        <v>7870.568368768937</v>
      </c>
      <c r="AP47" s="37">
        <f t="shared" ca="1" si="64"/>
        <v>8724.9572422794918</v>
      </c>
      <c r="AQ47" s="37">
        <f t="shared" ca="1" si="64"/>
        <v>9626.4804669056011</v>
      </c>
      <c r="AR47" s="37">
        <f t="shared" ca="1" si="64"/>
        <v>10576.810151757118</v>
      </c>
      <c r="AS47" s="37">
        <f t="shared" ca="1" si="64"/>
        <v>11578.145589862192</v>
      </c>
      <c r="AT47" s="37">
        <f t="shared" ca="1" si="65"/>
        <v>12632.433527966235</v>
      </c>
      <c r="AU47" s="37">
        <f t="shared" ca="1" si="65"/>
        <v>13733.324163421828</v>
      </c>
      <c r="AV47" s="37">
        <f t="shared" ca="1" si="65"/>
        <v>14890.613034168891</v>
      </c>
      <c r="AW47" s="37">
        <f t="shared" ca="1" si="65"/>
        <v>16105.185384554827</v>
      </c>
      <c r="AX47" s="37">
        <f t="shared" ca="1" si="65"/>
        <v>17377.621606853609</v>
      </c>
      <c r="AY47" s="37">
        <f t="shared" ca="1" si="65"/>
        <v>18708.693265201986</v>
      </c>
      <c r="AZ47" s="37" t="e">
        <f t="shared" ca="1" si="65"/>
        <v>#N/A</v>
      </c>
      <c r="BA47" s="37" t="e">
        <f t="shared" ca="1" si="65"/>
        <v>#N/A</v>
      </c>
      <c r="BB47" s="37" t="e">
        <f t="shared" ca="1" si="65"/>
        <v>#N/A</v>
      </c>
    </row>
    <row r="48" spans="1:54" x14ac:dyDescent="0.25">
      <c r="B48" s="1" t="s">
        <v>59</v>
      </c>
      <c r="C48" s="14">
        <f ca="1">Implant_Base!C48</f>
        <v>2.7785000000000002E-3</v>
      </c>
      <c r="D48" s="14">
        <f ca="1">Implant_Base!D48</f>
        <v>8.8821000000000004E-3</v>
      </c>
      <c r="E48" s="14">
        <f ca="1">IF('User Settings'!$N$7="On",($D48-$C48)/($D$4-$C$4),0)</f>
        <v>1.2207200000000002E-3</v>
      </c>
      <c r="F48" s="14">
        <f ca="1">Implant_Base!F48</f>
        <v>1.2544260000000002E-2</v>
      </c>
      <c r="G48" s="14"/>
      <c r="H48" s="14">
        <f t="shared" ca="1" si="60"/>
        <v>1.6206420000000003E-2</v>
      </c>
      <c r="I48" s="14">
        <f t="shared" ca="1" si="61"/>
        <v>1.2207200000000004E-3</v>
      </c>
      <c r="J48" s="14">
        <f t="shared" ca="1" si="66"/>
        <v>1.1323540000000002E-2</v>
      </c>
      <c r="K48" s="14">
        <f t="shared" ca="1" si="67"/>
        <v>1.2544260000000002E-2</v>
      </c>
      <c r="L48" s="15">
        <f t="shared" ca="1" si="68"/>
        <v>1.3764980000000001E-2</v>
      </c>
      <c r="M48" s="15">
        <f t="shared" ca="1" si="68"/>
        <v>1.4985700000000001E-2</v>
      </c>
      <c r="N48" s="15">
        <f t="shared" ca="1" si="68"/>
        <v>1.6206420000000003E-2</v>
      </c>
      <c r="O48" s="15">
        <f t="shared" ca="1" si="68"/>
        <v>1.7427140000000004E-2</v>
      </c>
      <c r="P48" s="15">
        <f t="shared" ca="1" si="68"/>
        <v>1.8647860000000006E-2</v>
      </c>
      <c r="Q48" s="15">
        <f t="shared" ca="1" si="68"/>
        <v>1.9868580000000007E-2</v>
      </c>
      <c r="R48" s="15">
        <f t="shared" ca="1" si="68"/>
        <v>2.1089300000000009E-2</v>
      </c>
      <c r="S48" s="15">
        <f t="shared" ca="1" si="68"/>
        <v>2.231002000000001E-2</v>
      </c>
      <c r="T48" s="15">
        <f t="shared" ca="1" si="68"/>
        <v>2.3530740000000012E-2</v>
      </c>
      <c r="U48" s="15">
        <f t="shared" ca="1" si="68"/>
        <v>2.4751460000000013E-2</v>
      </c>
      <c r="V48" s="15">
        <f t="shared" ca="1" si="68"/>
        <v>2.5972180000000015E-2</v>
      </c>
      <c r="W48" s="15">
        <f t="shared" ca="1" si="68"/>
        <v>2.7192900000000016E-2</v>
      </c>
      <c r="X48" s="15">
        <f t="shared" ca="1" si="68"/>
        <v>2.8413620000000018E-2</v>
      </c>
      <c r="Y48" s="15">
        <f t="shared" ca="1" si="68"/>
        <v>2.9634340000000019E-2</v>
      </c>
      <c r="Z48" s="15">
        <f t="shared" ca="1" si="68"/>
        <v>3.0855060000000021E-2</v>
      </c>
      <c r="AA48" s="15">
        <f t="shared" ca="1" si="68"/>
        <v>3.2075780000000019E-2</v>
      </c>
      <c r="AB48" s="15">
        <f t="shared" ca="1" si="68"/>
        <v>3.3296500000000021E-2</v>
      </c>
      <c r="AC48" s="15">
        <f t="shared" ca="1" si="68"/>
        <v>3.4517220000000022E-2</v>
      </c>
      <c r="AD48" s="15">
        <f t="shared" ca="1" si="68"/>
        <v>3.5737940000000024E-2</v>
      </c>
      <c r="AE48" s="5"/>
      <c r="AG48" s="1" t="s">
        <v>59</v>
      </c>
      <c r="AH48" s="37">
        <f t="shared" ca="1" si="69"/>
        <v>16601.777794781261</v>
      </c>
      <c r="AI48" s="37">
        <f t="shared" ca="1" si="63"/>
        <v>19098.764771982584</v>
      </c>
      <c r="AJ48" s="37">
        <f t="shared" ca="1" si="64"/>
        <v>21758.473642837467</v>
      </c>
      <c r="AK48" s="37">
        <f t="shared" ca="1" si="64"/>
        <v>24557.135610431236</v>
      </c>
      <c r="AL48" s="37">
        <f t="shared" ca="1" si="64"/>
        <v>27531.769055086203</v>
      </c>
      <c r="AM48" s="37">
        <f t="shared" ca="1" si="64"/>
        <v>30686.526225643705</v>
      </c>
      <c r="AN48" s="37">
        <f t="shared" ca="1" si="64"/>
        <v>34024.014854952715</v>
      </c>
      <c r="AO48" s="37">
        <f t="shared" ca="1" si="64"/>
        <v>37548.026585305888</v>
      </c>
      <c r="AP48" s="37">
        <f t="shared" ca="1" si="64"/>
        <v>41235.991387567767</v>
      </c>
      <c r="AQ48" s="37">
        <f t="shared" ca="1" si="64"/>
        <v>45122.145132923499</v>
      </c>
      <c r="AR48" s="37">
        <f t="shared" ca="1" si="64"/>
        <v>49213.426055406067</v>
      </c>
      <c r="AS48" s="37">
        <f t="shared" ca="1" si="64"/>
        <v>53519.192222381054</v>
      </c>
      <c r="AT48" s="37">
        <f t="shared" ca="1" si="65"/>
        <v>58047.571075344153</v>
      </c>
      <c r="AU48" s="37">
        <f t="shared" ca="1" si="65"/>
        <v>62768.742544627123</v>
      </c>
      <c r="AV48" s="37">
        <f t="shared" ca="1" si="65"/>
        <v>67727.037323024837</v>
      </c>
      <c r="AW48" s="37">
        <f t="shared" ca="1" si="65"/>
        <v>72925.687815365527</v>
      </c>
      <c r="AX48" s="37">
        <f t="shared" ca="1" si="65"/>
        <v>78366.621261606866</v>
      </c>
      <c r="AY48" s="37">
        <f t="shared" ca="1" si="65"/>
        <v>84052.699517908855</v>
      </c>
      <c r="AZ48" s="37" t="e">
        <f t="shared" ca="1" si="65"/>
        <v>#N/A</v>
      </c>
      <c r="BA48" s="37" t="e">
        <f t="shared" ca="1" si="65"/>
        <v>#N/A</v>
      </c>
      <c r="BB48" s="37" t="e">
        <f t="shared" ca="1" si="65"/>
        <v>#N/A</v>
      </c>
    </row>
    <row r="49" spans="1:54" x14ac:dyDescent="0.25">
      <c r="B49" s="1" t="s">
        <v>171</v>
      </c>
      <c r="C49" s="14">
        <f ca="1">Implant_Base!C49</f>
        <v>0</v>
      </c>
      <c r="D49" s="14">
        <f ca="1">Implant_Base!D49</f>
        <v>0</v>
      </c>
      <c r="E49" s="14">
        <f ca="1">IF('User Settings'!$N$7="On",($D49-$C49)/($D$4-$C$4),0)</f>
        <v>0</v>
      </c>
      <c r="F49" s="14">
        <f ca="1">Implant_Base!F49</f>
        <v>0</v>
      </c>
      <c r="G49" s="14"/>
      <c r="H49" s="14">
        <f t="shared" ca="1" si="60"/>
        <v>0</v>
      </c>
      <c r="I49" s="14">
        <f t="shared" ca="1" si="61"/>
        <v>0</v>
      </c>
      <c r="J49" s="14">
        <f t="shared" ca="1" si="66"/>
        <v>0</v>
      </c>
      <c r="K49" s="14">
        <f t="shared" ca="1" si="67"/>
        <v>0</v>
      </c>
      <c r="L49" s="15">
        <f t="shared" ca="1" si="68"/>
        <v>0</v>
      </c>
      <c r="M49" s="15">
        <f t="shared" ca="1" si="68"/>
        <v>0</v>
      </c>
      <c r="N49" s="15">
        <f t="shared" ca="1" si="68"/>
        <v>0</v>
      </c>
      <c r="O49" s="15">
        <f t="shared" ca="1" si="68"/>
        <v>0</v>
      </c>
      <c r="P49" s="15">
        <f t="shared" ca="1" si="68"/>
        <v>0</v>
      </c>
      <c r="Q49" s="15">
        <f t="shared" ca="1" si="68"/>
        <v>0</v>
      </c>
      <c r="R49" s="15">
        <f t="shared" ca="1" si="68"/>
        <v>0</v>
      </c>
      <c r="S49" s="15">
        <f t="shared" ca="1" si="68"/>
        <v>0</v>
      </c>
      <c r="T49" s="15">
        <f t="shared" ca="1" si="68"/>
        <v>0</v>
      </c>
      <c r="U49" s="15">
        <f t="shared" ca="1" si="68"/>
        <v>0</v>
      </c>
      <c r="V49" s="15">
        <f t="shared" ca="1" si="68"/>
        <v>0</v>
      </c>
      <c r="W49" s="15">
        <f t="shared" ca="1" si="68"/>
        <v>0</v>
      </c>
      <c r="X49" s="15">
        <f t="shared" ca="1" si="68"/>
        <v>0</v>
      </c>
      <c r="Y49" s="15">
        <f t="shared" ca="1" si="68"/>
        <v>0</v>
      </c>
      <c r="Z49" s="15">
        <f t="shared" ca="1" si="68"/>
        <v>0</v>
      </c>
      <c r="AA49" s="15">
        <f t="shared" ca="1" si="68"/>
        <v>0</v>
      </c>
      <c r="AB49" s="15">
        <f t="shared" ca="1" si="68"/>
        <v>0</v>
      </c>
      <c r="AC49" s="15">
        <f t="shared" ca="1" si="68"/>
        <v>0</v>
      </c>
      <c r="AD49" s="15">
        <f t="shared" ca="1" si="68"/>
        <v>0</v>
      </c>
      <c r="AE49" s="5"/>
      <c r="AG49" s="1" t="s">
        <v>171</v>
      </c>
      <c r="AH49" s="37">
        <f t="shared" ca="1" si="69"/>
        <v>0</v>
      </c>
      <c r="AI49" s="37">
        <f t="shared" ca="1" si="63"/>
        <v>0</v>
      </c>
      <c r="AJ49" s="37">
        <f t="shared" ca="1" si="64"/>
        <v>0</v>
      </c>
      <c r="AK49" s="37">
        <f t="shared" ca="1" si="64"/>
        <v>0</v>
      </c>
      <c r="AL49" s="37">
        <f t="shared" ca="1" si="64"/>
        <v>0</v>
      </c>
      <c r="AM49" s="37">
        <f t="shared" ca="1" si="64"/>
        <v>0</v>
      </c>
      <c r="AN49" s="37">
        <f t="shared" ca="1" si="64"/>
        <v>0</v>
      </c>
      <c r="AO49" s="37">
        <f t="shared" ca="1" si="64"/>
        <v>0</v>
      </c>
      <c r="AP49" s="37">
        <f t="shared" ca="1" si="64"/>
        <v>0</v>
      </c>
      <c r="AQ49" s="37">
        <f t="shared" ca="1" si="64"/>
        <v>0</v>
      </c>
      <c r="AR49" s="37">
        <f t="shared" ca="1" si="64"/>
        <v>0</v>
      </c>
      <c r="AS49" s="37">
        <f t="shared" ca="1" si="64"/>
        <v>0</v>
      </c>
      <c r="AT49" s="37">
        <f t="shared" ca="1" si="65"/>
        <v>0</v>
      </c>
      <c r="AU49" s="37">
        <f t="shared" ca="1" si="65"/>
        <v>0</v>
      </c>
      <c r="AV49" s="37">
        <f t="shared" ca="1" si="65"/>
        <v>0</v>
      </c>
      <c r="AW49" s="37">
        <f t="shared" ca="1" si="65"/>
        <v>0</v>
      </c>
      <c r="AX49" s="37">
        <f t="shared" ca="1" si="65"/>
        <v>0</v>
      </c>
      <c r="AY49" s="37">
        <f t="shared" ca="1" si="65"/>
        <v>0</v>
      </c>
      <c r="AZ49" s="37" t="e">
        <f t="shared" ca="1" si="65"/>
        <v>#N/A</v>
      </c>
      <c r="BA49" s="37" t="e">
        <f t="shared" ca="1" si="65"/>
        <v>#N/A</v>
      </c>
      <c r="BB49" s="37" t="e">
        <f t="shared" ca="1" si="65"/>
        <v>#N/A</v>
      </c>
    </row>
    <row r="50" spans="1:54" x14ac:dyDescent="0.25">
      <c r="B50" s="1" t="s">
        <v>116</v>
      </c>
      <c r="C50" s="14">
        <f ca="1">Implant_Base!C50</f>
        <v>0</v>
      </c>
      <c r="D50" s="14">
        <f ca="1">Implant_Base!D50</f>
        <v>3.9500000000000001E-4</v>
      </c>
      <c r="E50" s="14">
        <f ca="1">IF('User Settings'!$N$7="On",($D50-$C50)/($D$4-$C$4),0)</f>
        <v>7.8999999999999996E-5</v>
      </c>
      <c r="F50" s="14">
        <f ca="1">Implant_Base!F50</f>
        <v>6.3199999999999997E-4</v>
      </c>
      <c r="G50" s="14"/>
      <c r="H50" s="14">
        <f t="shared" ca="1" si="60"/>
        <v>8.6899999999999998E-4</v>
      </c>
      <c r="I50" s="14">
        <f t="shared" ca="1" si="61"/>
        <v>7.9000000000000009E-5</v>
      </c>
      <c r="J50" s="14">
        <f t="shared" ca="1" si="66"/>
        <v>5.53E-4</v>
      </c>
      <c r="K50" s="14">
        <f t="shared" ca="1" si="67"/>
        <v>6.3199999999999997E-4</v>
      </c>
      <c r="L50" s="15">
        <f t="shared" ca="1" si="68"/>
        <v>7.1099999999999994E-4</v>
      </c>
      <c r="M50" s="15">
        <f t="shared" ca="1" si="68"/>
        <v>7.899999999999999E-4</v>
      </c>
      <c r="N50" s="15">
        <f t="shared" ca="1" si="68"/>
        <v>8.6899999999999987E-4</v>
      </c>
      <c r="O50" s="15">
        <f t="shared" ca="1" si="68"/>
        <v>9.4799999999999984E-4</v>
      </c>
      <c r="P50" s="15">
        <f t="shared" ca="1" si="68"/>
        <v>1.0269999999999999E-3</v>
      </c>
      <c r="Q50" s="15">
        <f t="shared" ca="1" si="68"/>
        <v>1.106E-3</v>
      </c>
      <c r="R50" s="15">
        <f t="shared" ca="1" si="68"/>
        <v>1.1850000000000001E-3</v>
      </c>
      <c r="S50" s="15">
        <f t="shared" ca="1" si="68"/>
        <v>1.2640000000000001E-3</v>
      </c>
      <c r="T50" s="15">
        <f t="shared" ca="1" si="68"/>
        <v>1.3430000000000002E-3</v>
      </c>
      <c r="U50" s="15">
        <f t="shared" ca="1" si="68"/>
        <v>1.4220000000000003E-3</v>
      </c>
      <c r="V50" s="15">
        <f t="shared" ca="1" si="68"/>
        <v>1.5010000000000004E-3</v>
      </c>
      <c r="W50" s="15">
        <f t="shared" ca="1" si="68"/>
        <v>1.5800000000000005E-3</v>
      </c>
      <c r="X50" s="15">
        <f t="shared" ca="1" si="68"/>
        <v>1.6590000000000005E-3</v>
      </c>
      <c r="Y50" s="15">
        <f t="shared" ca="1" si="68"/>
        <v>1.7380000000000006E-3</v>
      </c>
      <c r="Z50" s="15">
        <f t="shared" ca="1" si="68"/>
        <v>1.8170000000000007E-3</v>
      </c>
      <c r="AA50" s="15">
        <f t="shared" ca="1" si="68"/>
        <v>1.8960000000000008E-3</v>
      </c>
      <c r="AB50" s="15">
        <f t="shared" ca="1" si="68"/>
        <v>1.9750000000000006E-3</v>
      </c>
      <c r="AC50" s="15">
        <f t="shared" ca="1" si="68"/>
        <v>2.0540000000000007E-3</v>
      </c>
      <c r="AD50" s="15">
        <f t="shared" ca="1" si="68"/>
        <v>2.1330000000000008E-3</v>
      </c>
      <c r="AE50" s="5"/>
      <c r="AG50" s="1" t="s">
        <v>116</v>
      </c>
      <c r="AH50" s="37">
        <f t="shared" ca="1" si="69"/>
        <v>810.76969927372852</v>
      </c>
      <c r="AI50" s="37">
        <f t="shared" ca="1" si="63"/>
        <v>962.22649529689204</v>
      </c>
      <c r="AJ50" s="37">
        <f t="shared" ca="1" si="64"/>
        <v>1123.8864684189471</v>
      </c>
      <c r="AK50" s="37">
        <f t="shared" ca="1" si="64"/>
        <v>1294.5766385447907</v>
      </c>
      <c r="AL50" s="37">
        <f t="shared" ca="1" si="64"/>
        <v>1476.273434161888</v>
      </c>
      <c r="AM50" s="37">
        <f t="shared" ca="1" si="64"/>
        <v>1669.2829036726748</v>
      </c>
      <c r="AN50" s="37">
        <f t="shared" ca="1" si="64"/>
        <v>1873.8162585967732</v>
      </c>
      <c r="AO50" s="37">
        <f t="shared" ca="1" si="64"/>
        <v>2090.1401812987287</v>
      </c>
      <c r="AP50" s="37">
        <f t="shared" ca="1" si="64"/>
        <v>2317.0351692217278</v>
      </c>
      <c r="AQ50" s="37">
        <f t="shared" ca="1" si="64"/>
        <v>2556.4473473360977</v>
      </c>
      <c r="AR50" s="37">
        <f t="shared" ca="1" si="64"/>
        <v>2808.8207677450996</v>
      </c>
      <c r="AS50" s="37">
        <f t="shared" ca="1" si="64"/>
        <v>3074.7394836597855</v>
      </c>
      <c r="AT50" s="37">
        <f t="shared" ca="1" si="65"/>
        <v>3354.7204810721141</v>
      </c>
      <c r="AU50" s="37">
        <f t="shared" ca="1" si="65"/>
        <v>3647.0774805375972</v>
      </c>
      <c r="AV50" s="37">
        <f t="shared" ca="1" si="65"/>
        <v>3954.4118249944277</v>
      </c>
      <c r="AW50" s="37">
        <f t="shared" ca="1" si="65"/>
        <v>4276.9586035358052</v>
      </c>
      <c r="AX50" s="37">
        <f t="shared" ca="1" si="65"/>
        <v>4614.8719474970922</v>
      </c>
      <c r="AY50" s="37">
        <f t="shared" ca="1" si="65"/>
        <v>4968.3567565918947</v>
      </c>
      <c r="AZ50" s="37" t="e">
        <f t="shared" ca="1" si="65"/>
        <v>#N/A</v>
      </c>
      <c r="BA50" s="37" t="e">
        <f t="shared" ca="1" si="65"/>
        <v>#N/A</v>
      </c>
      <c r="BB50" s="37" t="e">
        <f t="shared" ca="1" si="65"/>
        <v>#N/A</v>
      </c>
    </row>
    <row r="51" spans="1:54" x14ac:dyDescent="0.25">
      <c r="D51" s="5">
        <f ca="1">SUM(D45:D50)</f>
        <v>6.11938E-2</v>
      </c>
      <c r="F51" s="132">
        <f ca="1">SUM(F45:F50)</f>
        <v>8.7967659999999989E-2</v>
      </c>
      <c r="G51" s="132"/>
      <c r="H51" s="132">
        <f ca="1">SUM(H45:H50)</f>
        <v>0.11474151999999999</v>
      </c>
      <c r="I51" s="132"/>
      <c r="J51" s="132">
        <f ca="1">SUM(J45:J50)</f>
        <v>7.9043040000000009E-2</v>
      </c>
      <c r="K51" s="132">
        <f ca="1">SUM(K45:K50)</f>
        <v>8.7967659999999989E-2</v>
      </c>
      <c r="L51" s="5">
        <f t="shared" ref="L51:AD51" ca="1" si="70">SUM(L45:L50)</f>
        <v>9.6892279999999997E-2</v>
      </c>
      <c r="M51" s="5">
        <f t="shared" ca="1" si="70"/>
        <v>0.10581689999999999</v>
      </c>
      <c r="N51" s="5">
        <f t="shared" ca="1" si="70"/>
        <v>0.11474151999999997</v>
      </c>
      <c r="O51" s="5">
        <f t="shared" ca="1" si="70"/>
        <v>0.12366613999999999</v>
      </c>
      <c r="P51" s="5">
        <f t="shared" ca="1" si="70"/>
        <v>0.13259075999999997</v>
      </c>
      <c r="Q51" s="5">
        <f t="shared" ca="1" si="70"/>
        <v>0.14151537999999997</v>
      </c>
      <c r="R51" s="5">
        <f t="shared" ca="1" si="70"/>
        <v>0.15043999999999996</v>
      </c>
      <c r="S51" s="5">
        <f t="shared" ca="1" si="70"/>
        <v>0.15936461999999993</v>
      </c>
      <c r="T51" s="5">
        <f t="shared" ca="1" si="70"/>
        <v>0.16828923999999998</v>
      </c>
      <c r="U51" s="5">
        <f t="shared" ca="1" si="70"/>
        <v>0.17721385999999995</v>
      </c>
      <c r="V51" s="5">
        <f t="shared" ca="1" si="70"/>
        <v>0.18613847999999994</v>
      </c>
      <c r="W51" s="5">
        <f t="shared" ca="1" si="70"/>
        <v>0.19506309999999993</v>
      </c>
      <c r="X51" s="5">
        <f t="shared" ca="1" si="70"/>
        <v>0.20398771999999996</v>
      </c>
      <c r="Y51" s="5">
        <f t="shared" ca="1" si="70"/>
        <v>0.21291233999999992</v>
      </c>
      <c r="Z51" s="5">
        <f t="shared" ca="1" si="70"/>
        <v>0.22183695999999994</v>
      </c>
      <c r="AA51" s="5">
        <f t="shared" ca="1" si="70"/>
        <v>0.23076157999999994</v>
      </c>
      <c r="AB51" s="5">
        <f t="shared" ca="1" si="70"/>
        <v>0.2396861999999999</v>
      </c>
      <c r="AC51" s="5">
        <f t="shared" ca="1" si="70"/>
        <v>0.24861081999999993</v>
      </c>
      <c r="AD51" s="5">
        <f t="shared" ca="1" si="70"/>
        <v>0.25753543999999989</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71">IF(K54=Yr_Start,"Start Year",IF(K54=Yr_End,"End Year",""))</f>
        <v>Start Year</v>
      </c>
      <c r="L53" s="205" t="str">
        <f t="shared" si="71"/>
        <v/>
      </c>
      <c r="M53" s="205" t="str">
        <f t="shared" si="71"/>
        <v/>
      </c>
      <c r="N53" s="205" t="str">
        <f t="shared" si="71"/>
        <v>End Year</v>
      </c>
      <c r="O53" s="205" t="str">
        <f t="shared" si="71"/>
        <v/>
      </c>
      <c r="P53" s="205" t="str">
        <f t="shared" si="71"/>
        <v/>
      </c>
      <c r="Q53" s="205" t="str">
        <f t="shared" si="71"/>
        <v/>
      </c>
      <c r="R53" s="205" t="str">
        <f t="shared" si="71"/>
        <v/>
      </c>
      <c r="S53" s="205" t="str">
        <f t="shared" si="71"/>
        <v/>
      </c>
      <c r="T53" s="205" t="str">
        <f t="shared" si="71"/>
        <v/>
      </c>
      <c r="U53" s="205" t="str">
        <f t="shared" si="71"/>
        <v/>
      </c>
      <c r="V53" s="205" t="str">
        <f t="shared" si="71"/>
        <v/>
      </c>
      <c r="W53" s="205" t="str">
        <f t="shared" si="71"/>
        <v/>
      </c>
      <c r="X53" s="205" t="str">
        <f t="shared" si="71"/>
        <v/>
      </c>
      <c r="Y53" s="205" t="str">
        <f t="shared" si="71"/>
        <v/>
      </c>
      <c r="Z53" s="205" t="str">
        <f t="shared" si="71"/>
        <v/>
      </c>
      <c r="AA53" s="205" t="str">
        <f t="shared" si="71"/>
        <v/>
      </c>
      <c r="AB53" s="205" t="str">
        <f t="shared" si="71"/>
        <v/>
      </c>
      <c r="AC53" s="205" t="str">
        <f t="shared" si="71"/>
        <v/>
      </c>
      <c r="AD53" s="205" t="str">
        <f t="shared" si="71"/>
        <v/>
      </c>
      <c r="AE53" s="35"/>
      <c r="AF53" s="6" t="str">
        <f>A53</f>
        <v>Other</v>
      </c>
      <c r="AI53" s="205" t="str">
        <f t="shared" ref="AI53:BB53" si="72">IF(AI54=Yr_Start,"Start Year",IF(AI54=Yr_End,"End Year",""))</f>
        <v>Start Year</v>
      </c>
      <c r="AJ53" s="205" t="str">
        <f t="shared" si="72"/>
        <v/>
      </c>
      <c r="AK53" s="205" t="str">
        <f t="shared" si="72"/>
        <v/>
      </c>
      <c r="AL53" s="205" t="str">
        <f t="shared" si="72"/>
        <v>End Year</v>
      </c>
      <c r="AM53" s="205" t="str">
        <f t="shared" si="72"/>
        <v/>
      </c>
      <c r="AN53" s="205" t="str">
        <f t="shared" si="72"/>
        <v/>
      </c>
      <c r="AO53" s="205" t="str">
        <f t="shared" si="72"/>
        <v/>
      </c>
      <c r="AP53" s="205" t="str">
        <f t="shared" si="72"/>
        <v/>
      </c>
      <c r="AQ53" s="205" t="str">
        <f t="shared" si="72"/>
        <v/>
      </c>
      <c r="AR53" s="205" t="str">
        <f t="shared" si="72"/>
        <v/>
      </c>
      <c r="AS53" s="205" t="str">
        <f t="shared" si="72"/>
        <v/>
      </c>
      <c r="AT53" s="205" t="str">
        <f t="shared" si="72"/>
        <v/>
      </c>
      <c r="AU53" s="205" t="str">
        <f t="shared" si="72"/>
        <v/>
      </c>
      <c r="AV53" s="205" t="str">
        <f t="shared" si="72"/>
        <v/>
      </c>
      <c r="AW53" s="205" t="str">
        <f t="shared" si="72"/>
        <v/>
      </c>
      <c r="AX53" s="205" t="str">
        <f t="shared" si="72"/>
        <v/>
      </c>
      <c r="AY53" s="205" t="str">
        <f t="shared" si="72"/>
        <v/>
      </c>
      <c r="AZ53" s="205" t="str">
        <f t="shared" si="72"/>
        <v/>
      </c>
      <c r="BA53" s="205" t="str">
        <f t="shared" si="72"/>
        <v/>
      </c>
      <c r="BB53" s="205" t="str">
        <f t="shared" si="72"/>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73">L54+1</f>
        <v>2021</v>
      </c>
      <c r="N54" s="130">
        <f t="shared" si="73"/>
        <v>2022</v>
      </c>
      <c r="O54" s="130">
        <f t="shared" si="73"/>
        <v>2023</v>
      </c>
      <c r="P54" s="130">
        <f t="shared" si="73"/>
        <v>2024</v>
      </c>
      <c r="Q54" s="130">
        <f t="shared" si="73"/>
        <v>2025</v>
      </c>
      <c r="R54" s="130">
        <f t="shared" si="73"/>
        <v>2026</v>
      </c>
      <c r="S54" s="130">
        <f t="shared" si="73"/>
        <v>2027</v>
      </c>
      <c r="T54" s="130">
        <f t="shared" si="73"/>
        <v>2028</v>
      </c>
      <c r="U54" s="130">
        <f t="shared" si="73"/>
        <v>2029</v>
      </c>
      <c r="V54" s="130">
        <f t="shared" si="73"/>
        <v>2030</v>
      </c>
      <c r="W54" s="130">
        <f t="shared" si="73"/>
        <v>2031</v>
      </c>
      <c r="X54" s="130">
        <f t="shared" si="73"/>
        <v>2032</v>
      </c>
      <c r="Y54" s="130">
        <f t="shared" si="73"/>
        <v>2033</v>
      </c>
      <c r="Z54" s="130">
        <f t="shared" si="73"/>
        <v>2034</v>
      </c>
      <c r="AA54" s="130">
        <f t="shared" si="73"/>
        <v>2035</v>
      </c>
      <c r="AB54" s="130">
        <f t="shared" si="73"/>
        <v>2036</v>
      </c>
      <c r="AC54" s="130">
        <f t="shared" si="73"/>
        <v>2037</v>
      </c>
      <c r="AD54" s="130">
        <f t="shared" si="73"/>
        <v>2038</v>
      </c>
      <c r="AE54" s="6"/>
      <c r="AF54" s="6" t="str">
        <f>A54</f>
        <v>Rural</v>
      </c>
      <c r="AG54" s="38"/>
      <c r="AH54" s="161">
        <f>AI54-1</f>
        <v>2018</v>
      </c>
      <c r="AI54" s="36">
        <f>Yr_Start</f>
        <v>2019</v>
      </c>
      <c r="AJ54" s="36">
        <f>AI54+1</f>
        <v>2020</v>
      </c>
      <c r="AK54" s="36">
        <f t="shared" ref="AK54:BB54" si="74">AJ54+1</f>
        <v>2021</v>
      </c>
      <c r="AL54" s="36">
        <f t="shared" si="74"/>
        <v>2022</v>
      </c>
      <c r="AM54" s="36">
        <f t="shared" si="74"/>
        <v>2023</v>
      </c>
      <c r="AN54" s="36">
        <f t="shared" si="74"/>
        <v>2024</v>
      </c>
      <c r="AO54" s="36">
        <f t="shared" si="74"/>
        <v>2025</v>
      </c>
      <c r="AP54" s="36">
        <f t="shared" si="74"/>
        <v>2026</v>
      </c>
      <c r="AQ54" s="36">
        <f t="shared" si="74"/>
        <v>2027</v>
      </c>
      <c r="AR54" s="36">
        <f t="shared" si="74"/>
        <v>2028</v>
      </c>
      <c r="AS54" s="36">
        <f t="shared" si="74"/>
        <v>2029</v>
      </c>
      <c r="AT54" s="36">
        <f t="shared" si="74"/>
        <v>2030</v>
      </c>
      <c r="AU54" s="36">
        <f t="shared" si="74"/>
        <v>2031</v>
      </c>
      <c r="AV54" s="36">
        <f t="shared" si="74"/>
        <v>2032</v>
      </c>
      <c r="AW54" s="36">
        <f t="shared" si="74"/>
        <v>2033</v>
      </c>
      <c r="AX54" s="36">
        <f t="shared" si="74"/>
        <v>2034</v>
      </c>
      <c r="AY54" s="36">
        <f t="shared" si="74"/>
        <v>2035</v>
      </c>
      <c r="AZ54" s="36">
        <f t="shared" si="74"/>
        <v>2036</v>
      </c>
      <c r="BA54" s="36">
        <f t="shared" si="74"/>
        <v>2037</v>
      </c>
      <c r="BB54" s="36">
        <f t="shared" si="74"/>
        <v>2038</v>
      </c>
    </row>
    <row r="55" spans="1:54" x14ac:dyDescent="0.25">
      <c r="B55" s="1" t="s">
        <v>52</v>
      </c>
      <c r="C55" s="14">
        <f ca="1">Implant_Base!C55</f>
        <v>1.6174999999999998E-2</v>
      </c>
      <c r="D55" s="14">
        <f ca="1">Implant_Base!D55</f>
        <v>3.87763E-2</v>
      </c>
      <c r="E55" s="14">
        <f ca="1">IF('User Settings'!$N$7="On",($D55-$C55)/($D$4-$C$4),0)</f>
        <v>4.5202599999999999E-3</v>
      </c>
      <c r="F55" s="14">
        <f ca="1">Implant_Base!F55</f>
        <v>5.2337080000000001E-2</v>
      </c>
      <c r="G55" s="14"/>
      <c r="H55" s="14">
        <f t="shared" ref="H55:H60" ca="1" si="75">MAX(0,MIN(1,($D55+$E55*(H$4-$D$4))*$H$1))</f>
        <v>6.5897860000000003E-2</v>
      </c>
      <c r="I55" s="14">
        <f t="shared" ref="I55:I60" ca="1" si="76">($H55-$F55)/($H$4-$F$4)</f>
        <v>4.5202600000000008E-3</v>
      </c>
      <c r="J55" s="14">
        <f ca="1">K55-E55</f>
        <v>4.7816820000000003E-2</v>
      </c>
      <c r="K55" s="14">
        <f ca="1">MAX(0,MIN(1,D55+(K$4-D$4)*E55))</f>
        <v>5.2337080000000001E-2</v>
      </c>
      <c r="L55" s="15">
        <f ca="1">MAX(0,MIN(1,K55+$I55))</f>
        <v>5.6857339999999999E-2</v>
      </c>
      <c r="M55" s="15">
        <f t="shared" ref="M55:AD55" ca="1" si="77">MAX(0,MIN(1,L55+$I55))</f>
        <v>6.1377599999999997E-2</v>
      </c>
      <c r="N55" s="15">
        <f ca="1">MAX(0,MIN(1,M55+$I55))</f>
        <v>6.5897860000000003E-2</v>
      </c>
      <c r="O55" s="15">
        <f t="shared" ca="1" si="77"/>
        <v>7.0418120000000001E-2</v>
      </c>
      <c r="P55" s="15">
        <f t="shared" ca="1" si="77"/>
        <v>7.4938379999999999E-2</v>
      </c>
      <c r="Q55" s="15">
        <f t="shared" ca="1" si="77"/>
        <v>7.9458639999999997E-2</v>
      </c>
      <c r="R55" s="15">
        <f t="shared" ca="1" si="77"/>
        <v>8.3978899999999995E-2</v>
      </c>
      <c r="S55" s="15">
        <f t="shared" ca="1" si="77"/>
        <v>8.8499159999999993E-2</v>
      </c>
      <c r="T55" s="15">
        <f t="shared" ca="1" si="77"/>
        <v>9.3019419999999992E-2</v>
      </c>
      <c r="U55" s="15">
        <f t="shared" ca="1" si="77"/>
        <v>9.753967999999999E-2</v>
      </c>
      <c r="V55" s="15">
        <f t="shared" ca="1" si="77"/>
        <v>0.10205993999999999</v>
      </c>
      <c r="W55" s="15">
        <f t="shared" ca="1" si="77"/>
        <v>0.10658019999999999</v>
      </c>
      <c r="X55" s="15">
        <f t="shared" ca="1" si="77"/>
        <v>0.11110045999999998</v>
      </c>
      <c r="Y55" s="15">
        <f t="shared" ca="1" si="77"/>
        <v>0.11562071999999998</v>
      </c>
      <c r="Z55" s="15">
        <f t="shared" ca="1" si="77"/>
        <v>0.12014097999999998</v>
      </c>
      <c r="AA55" s="15">
        <f t="shared" ca="1" si="77"/>
        <v>0.12466123999999998</v>
      </c>
      <c r="AB55" s="15">
        <f t="shared" ca="1" si="77"/>
        <v>0.12918149999999998</v>
      </c>
      <c r="AC55" s="15">
        <f t="shared" ca="1" si="77"/>
        <v>0.13370175999999998</v>
      </c>
      <c r="AD55" s="15">
        <f t="shared" ca="1" si="77"/>
        <v>0.13822201999999997</v>
      </c>
      <c r="AE55" s="5"/>
      <c r="AG55" s="1" t="s">
        <v>52</v>
      </c>
      <c r="AH55" s="37">
        <f ca="1">J55*AH$61</f>
        <v>203375.645770237</v>
      </c>
      <c r="AI55" s="37">
        <f t="shared" ref="AI55:AI60" ca="1" si="78">K55*AI$61</f>
        <v>231161.55000723264</v>
      </c>
      <c r="AJ55" s="37">
        <f t="shared" ref="AJ55:AS60" ca="1" si="79">L55*AJ$61</f>
        <v>260726.54864588124</v>
      </c>
      <c r="AK55" s="37">
        <f t="shared" ca="1" si="79"/>
        <v>291780.62694025849</v>
      </c>
      <c r="AL55" s="37">
        <f t="shared" ca="1" si="79"/>
        <v>324761.25850278919</v>
      </c>
      <c r="AM55" s="37">
        <f t="shared" ca="1" si="79"/>
        <v>359709.50233489834</v>
      </c>
      <c r="AN55" s="37">
        <f t="shared" ca="1" si="79"/>
        <v>396649.33991103637</v>
      </c>
      <c r="AO55" s="37">
        <f t="shared" ca="1" si="79"/>
        <v>435619.4787528016</v>
      </c>
      <c r="AP55" s="37">
        <f t="shared" ca="1" si="79"/>
        <v>476354.56706413598</v>
      </c>
      <c r="AQ55" s="37">
        <f t="shared" ca="1" si="79"/>
        <v>519247.96510303207</v>
      </c>
      <c r="AR55" s="37">
        <f t="shared" ca="1" si="79"/>
        <v>564374.67599126371</v>
      </c>
      <c r="AS55" s="37">
        <f t="shared" ca="1" si="79"/>
        <v>611837.27368909738</v>
      </c>
      <c r="AT55" s="37">
        <f t="shared" ref="AT55:BB60" ca="1" si="80">V55*AT$61</f>
        <v>661723.9184299662</v>
      </c>
      <c r="AU55" s="37">
        <f t="shared" ca="1" si="80"/>
        <v>713691.14758837991</v>
      </c>
      <c r="AV55" s="37">
        <f t="shared" ca="1" si="80"/>
        <v>768240.57944586314</v>
      </c>
      <c r="AW55" s="37">
        <f t="shared" ca="1" si="80"/>
        <v>825404.47739887121</v>
      </c>
      <c r="AX55" s="37">
        <f t="shared" ca="1" si="80"/>
        <v>885200.75143741956</v>
      </c>
      <c r="AY55" s="37">
        <f t="shared" ca="1" si="80"/>
        <v>947658.27409748477</v>
      </c>
      <c r="AZ55" s="37" t="e">
        <f t="shared" ca="1" si="80"/>
        <v>#N/A</v>
      </c>
      <c r="BA55" s="37" t="e">
        <f t="shared" ca="1" si="80"/>
        <v>#N/A</v>
      </c>
      <c r="BB55" s="37" t="e">
        <f t="shared" ca="1" si="80"/>
        <v>#N/A</v>
      </c>
    </row>
    <row r="56" spans="1:54" x14ac:dyDescent="0.25">
      <c r="B56" s="1" t="s">
        <v>54</v>
      </c>
      <c r="C56" s="14">
        <f ca="1">Implant_Base!C56</f>
        <v>7.8189999999999998E-4</v>
      </c>
      <c r="D56" s="14">
        <f ca="1">Implant_Base!D56</f>
        <v>1.2178E-3</v>
      </c>
      <c r="E56" s="14">
        <f ca="1">IF('User Settings'!$N$7="On",($D56-$C56)/($D$4-$C$4),0)</f>
        <v>8.7180000000000002E-5</v>
      </c>
      <c r="F56" s="14">
        <f ca="1">Implant_Base!F56</f>
        <v>1.47934E-3</v>
      </c>
      <c r="G56" s="14"/>
      <c r="H56" s="14">
        <f t="shared" ca="1" si="75"/>
        <v>1.74088E-3</v>
      </c>
      <c r="I56" s="14">
        <f t="shared" ca="1" si="76"/>
        <v>8.7180000000000002E-5</v>
      </c>
      <c r="J56" s="14">
        <f t="shared" ref="J56:J60" ca="1" si="81">K56-E56</f>
        <v>1.3921599999999999E-3</v>
      </c>
      <c r="K56" s="14">
        <f t="shared" ref="K56:K60" ca="1" si="82">MAX(0,MIN(1,D56+(K$4-D$4)*E56))</f>
        <v>1.47934E-3</v>
      </c>
      <c r="L56" s="15">
        <f t="shared" ref="L56:AD60" ca="1" si="83">MAX(0,MIN(1,K56+$I56))</f>
        <v>1.5665200000000001E-3</v>
      </c>
      <c r="M56" s="15">
        <f t="shared" ca="1" si="83"/>
        <v>1.6537000000000001E-3</v>
      </c>
      <c r="N56" s="15">
        <f t="shared" ca="1" si="83"/>
        <v>1.7408800000000002E-3</v>
      </c>
      <c r="O56" s="15">
        <f t="shared" ca="1" si="83"/>
        <v>1.8280600000000003E-3</v>
      </c>
      <c r="P56" s="15">
        <f t="shared" ca="1" si="83"/>
        <v>1.9152400000000003E-3</v>
      </c>
      <c r="Q56" s="15">
        <f t="shared" ca="1" si="83"/>
        <v>2.0024200000000004E-3</v>
      </c>
      <c r="R56" s="15">
        <f t="shared" ca="1" si="83"/>
        <v>2.0896000000000005E-3</v>
      </c>
      <c r="S56" s="15">
        <f t="shared" ca="1" si="83"/>
        <v>2.1767800000000006E-3</v>
      </c>
      <c r="T56" s="15">
        <f t="shared" ca="1" si="83"/>
        <v>2.2639600000000006E-3</v>
      </c>
      <c r="U56" s="15">
        <f t="shared" ca="1" si="83"/>
        <v>2.3511400000000007E-3</v>
      </c>
      <c r="V56" s="15">
        <f t="shared" ca="1" si="83"/>
        <v>2.4383200000000008E-3</v>
      </c>
      <c r="W56" s="15">
        <f t="shared" ca="1" si="83"/>
        <v>2.5255000000000008E-3</v>
      </c>
      <c r="X56" s="15">
        <f t="shared" ca="1" si="83"/>
        <v>2.6126800000000009E-3</v>
      </c>
      <c r="Y56" s="15">
        <f t="shared" ca="1" si="83"/>
        <v>2.699860000000001E-3</v>
      </c>
      <c r="Z56" s="15">
        <f t="shared" ca="1" si="83"/>
        <v>2.787040000000001E-3</v>
      </c>
      <c r="AA56" s="15">
        <f t="shared" ca="1" si="83"/>
        <v>2.8742200000000011E-3</v>
      </c>
      <c r="AB56" s="15">
        <f t="shared" ca="1" si="83"/>
        <v>2.9614000000000012E-3</v>
      </c>
      <c r="AC56" s="15">
        <f t="shared" ca="1" si="83"/>
        <v>3.0485800000000013E-3</v>
      </c>
      <c r="AD56" s="15">
        <f t="shared" ca="1" si="83"/>
        <v>3.1357600000000013E-3</v>
      </c>
      <c r="AE56" s="5"/>
      <c r="AG56" s="1" t="s">
        <v>54</v>
      </c>
      <c r="AH56" s="37">
        <f t="shared" ref="AH56:AH60" ca="1" si="84">J56*AH$61</f>
        <v>5921.1683046989137</v>
      </c>
      <c r="AI56" s="37">
        <f t="shared" ca="1" si="78"/>
        <v>6533.9244640262605</v>
      </c>
      <c r="AJ56" s="37">
        <f t="shared" ca="1" si="79"/>
        <v>7183.4762756179916</v>
      </c>
      <c r="AK56" s="37">
        <f t="shared" ca="1" si="79"/>
        <v>7861.4612296848609</v>
      </c>
      <c r="AL56" s="37">
        <f t="shared" ca="1" si="79"/>
        <v>8579.495293205815</v>
      </c>
      <c r="AM56" s="37">
        <f t="shared" ca="1" si="79"/>
        <v>9338.0873110264001</v>
      </c>
      <c r="AN56" s="37">
        <f t="shared" ca="1" si="79"/>
        <v>10137.377960014794</v>
      </c>
      <c r="AO56" s="37">
        <f t="shared" ca="1" si="79"/>
        <v>10977.952261002518</v>
      </c>
      <c r="AP56" s="37">
        <f t="shared" ca="1" si="79"/>
        <v>11852.864271111182</v>
      </c>
      <c r="AQ56" s="37">
        <f t="shared" ca="1" si="79"/>
        <v>12771.743658097754</v>
      </c>
      <c r="AR56" s="37">
        <f t="shared" ca="1" si="79"/>
        <v>13736.074590200433</v>
      </c>
      <c r="AS56" s="37">
        <f t="shared" ca="1" si="79"/>
        <v>14747.998841716366</v>
      </c>
      <c r="AT56" s="37">
        <f t="shared" ca="1" si="80"/>
        <v>15809.284865209169</v>
      </c>
      <c r="AU56" s="37">
        <f t="shared" ca="1" si="80"/>
        <v>16911.461915388172</v>
      </c>
      <c r="AV56" s="37">
        <f t="shared" ca="1" si="80"/>
        <v>18066.23300305524</v>
      </c>
      <c r="AW56" s="37">
        <f t="shared" ca="1" si="80"/>
        <v>19274.024001494869</v>
      </c>
      <c r="AX56" s="37">
        <f t="shared" ca="1" si="80"/>
        <v>20534.957366638322</v>
      </c>
      <c r="AY56" s="37">
        <f t="shared" ca="1" si="80"/>
        <v>21849.440648725093</v>
      </c>
      <c r="AZ56" s="37" t="e">
        <f t="shared" ca="1" si="80"/>
        <v>#N/A</v>
      </c>
      <c r="BA56" s="37" t="e">
        <f t="shared" ca="1" si="80"/>
        <v>#N/A</v>
      </c>
      <c r="BB56" s="37" t="e">
        <f t="shared" ca="1" si="80"/>
        <v>#N/A</v>
      </c>
    </row>
    <row r="57" spans="1:54" x14ac:dyDescent="0.25">
      <c r="B57" s="1" t="s">
        <v>170</v>
      </c>
      <c r="C57" s="14">
        <f ca="1">Implant_Base!C57</f>
        <v>4.0939999999999998E-4</v>
      </c>
      <c r="D57" s="14">
        <f ca="1">Implant_Base!D57</f>
        <v>4.461E-4</v>
      </c>
      <c r="E57" s="14">
        <f ca="1">IF('User Settings'!$N$7="On",($D57-$C57)/($D$4-$C$4),0)</f>
        <v>7.3400000000000051E-6</v>
      </c>
      <c r="F57" s="14">
        <f ca="1">Implant_Base!F57</f>
        <v>4.6812000000000004E-4</v>
      </c>
      <c r="G57" s="14"/>
      <c r="H57" s="14">
        <f t="shared" ca="1" si="75"/>
        <v>4.9014000000000002E-4</v>
      </c>
      <c r="I57" s="14">
        <f t="shared" ca="1" si="76"/>
        <v>7.3399999999999941E-6</v>
      </c>
      <c r="J57" s="14">
        <f t="shared" ca="1" si="81"/>
        <v>4.6078000000000004E-4</v>
      </c>
      <c r="K57" s="14">
        <f t="shared" ca="1" si="82"/>
        <v>4.6812000000000004E-4</v>
      </c>
      <c r="L57" s="15">
        <f t="shared" ca="1" si="83"/>
        <v>4.7546000000000003E-4</v>
      </c>
      <c r="M57" s="15">
        <f t="shared" ca="1" si="83"/>
        <v>4.8280000000000003E-4</v>
      </c>
      <c r="N57" s="15">
        <f t="shared" ca="1" si="83"/>
        <v>4.9014000000000002E-4</v>
      </c>
      <c r="O57" s="15">
        <f t="shared" ca="1" si="83"/>
        <v>4.9748000000000001E-4</v>
      </c>
      <c r="P57" s="15">
        <f t="shared" ca="1" si="83"/>
        <v>5.0482000000000001E-4</v>
      </c>
      <c r="Q57" s="15">
        <f t="shared" ca="1" si="83"/>
        <v>5.1216E-4</v>
      </c>
      <c r="R57" s="15">
        <f t="shared" ca="1" si="83"/>
        <v>5.195E-4</v>
      </c>
      <c r="S57" s="15">
        <f t="shared" ca="1" si="83"/>
        <v>5.2683999999999999E-4</v>
      </c>
      <c r="T57" s="15">
        <f t="shared" ca="1" si="83"/>
        <v>5.3417999999999998E-4</v>
      </c>
      <c r="U57" s="15">
        <f t="shared" ca="1" si="83"/>
        <v>5.4151999999999998E-4</v>
      </c>
      <c r="V57" s="15">
        <f t="shared" ca="1" si="83"/>
        <v>5.4885999999999997E-4</v>
      </c>
      <c r="W57" s="15">
        <f t="shared" ca="1" si="83"/>
        <v>5.5619999999999997E-4</v>
      </c>
      <c r="X57" s="15">
        <f t="shared" ca="1" si="83"/>
        <v>5.6353999999999996E-4</v>
      </c>
      <c r="Y57" s="15">
        <f t="shared" ca="1" si="83"/>
        <v>5.7087999999999996E-4</v>
      </c>
      <c r="Z57" s="15">
        <f t="shared" ca="1" si="83"/>
        <v>5.7821999999999995E-4</v>
      </c>
      <c r="AA57" s="15">
        <f t="shared" ca="1" si="83"/>
        <v>5.8555999999999994E-4</v>
      </c>
      <c r="AB57" s="15">
        <f t="shared" ca="1" si="83"/>
        <v>5.9289999999999994E-4</v>
      </c>
      <c r="AC57" s="15">
        <f t="shared" ca="1" si="83"/>
        <v>6.0023999999999993E-4</v>
      </c>
      <c r="AD57" s="15">
        <f t="shared" ca="1" si="83"/>
        <v>6.0757999999999993E-4</v>
      </c>
      <c r="AE57" s="5"/>
      <c r="AG57" s="1" t="s">
        <v>170</v>
      </c>
      <c r="AH57" s="37">
        <f t="shared" ca="1" si="84"/>
        <v>1959.8005483846439</v>
      </c>
      <c r="AI57" s="37">
        <f t="shared" ca="1" si="78"/>
        <v>2067.5846797220202</v>
      </c>
      <c r="AJ57" s="37">
        <f t="shared" ca="1" si="79"/>
        <v>2180.28217322813</v>
      </c>
      <c r="AK57" s="37">
        <f t="shared" ca="1" si="79"/>
        <v>2295.1644685806682</v>
      </c>
      <c r="AL57" s="37">
        <f t="shared" ca="1" si="79"/>
        <v>2415.5334216097017</v>
      </c>
      <c r="AM57" s="37">
        <f t="shared" ca="1" si="79"/>
        <v>2541.224946385465</v>
      </c>
      <c r="AN57" s="37">
        <f t="shared" ca="1" si="79"/>
        <v>2672.0155916619678</v>
      </c>
      <c r="AO57" s="37">
        <f t="shared" ca="1" si="79"/>
        <v>2807.836532792845</v>
      </c>
      <c r="AP57" s="37">
        <f t="shared" ca="1" si="79"/>
        <v>2946.766361429105</v>
      </c>
      <c r="AQ57" s="37">
        <f t="shared" ca="1" si="79"/>
        <v>3091.1095419988328</v>
      </c>
      <c r="AR57" s="37">
        <f t="shared" ca="1" si="79"/>
        <v>3241.0185359252218</v>
      </c>
      <c r="AS57" s="37">
        <f t="shared" ca="1" si="79"/>
        <v>3396.7931866100039</v>
      </c>
      <c r="AT57" s="37">
        <f t="shared" ca="1" si="80"/>
        <v>3558.6322103410139</v>
      </c>
      <c r="AU57" s="37">
        <f t="shared" ca="1" si="80"/>
        <v>3724.4724281682429</v>
      </c>
      <c r="AV57" s="37">
        <f t="shared" ca="1" si="80"/>
        <v>3896.7822108110236</v>
      </c>
      <c r="AW57" s="37">
        <f t="shared" ca="1" si="80"/>
        <v>4075.4538464858865</v>
      </c>
      <c r="AX57" s="37">
        <f t="shared" ca="1" si="80"/>
        <v>4260.3346376577319</v>
      </c>
      <c r="AY57" s="37">
        <f t="shared" ca="1" si="80"/>
        <v>4451.3497457631838</v>
      </c>
      <c r="AZ57" s="37" t="e">
        <f t="shared" ca="1" si="80"/>
        <v>#N/A</v>
      </c>
      <c r="BA57" s="37" t="e">
        <f t="shared" ca="1" si="80"/>
        <v>#N/A</v>
      </c>
      <c r="BB57" s="37" t="e">
        <f t="shared" ca="1" si="80"/>
        <v>#N/A</v>
      </c>
    </row>
    <row r="58" spans="1:54" x14ac:dyDescent="0.25">
      <c r="B58" s="1" t="s">
        <v>59</v>
      </c>
      <c r="C58" s="14">
        <f ca="1">Implant_Base!C58</f>
        <v>1.8887000000000001E-3</v>
      </c>
      <c r="D58" s="14">
        <f ca="1">Implant_Base!D58</f>
        <v>5.3004999999999997E-3</v>
      </c>
      <c r="E58" s="14">
        <f ca="1">IF('User Settings'!$N$7="On",($D58-$C58)/($D$4-$C$4),0)</f>
        <v>6.8235999999999991E-4</v>
      </c>
      <c r="F58" s="14">
        <f ca="1">Implant_Base!F58</f>
        <v>7.3475799999999994E-3</v>
      </c>
      <c r="G58" s="14"/>
      <c r="H58" s="14">
        <f t="shared" ca="1" si="75"/>
        <v>9.3946599999999991E-3</v>
      </c>
      <c r="I58" s="14">
        <f t="shared" ca="1" si="76"/>
        <v>6.8235999999999991E-4</v>
      </c>
      <c r="J58" s="14">
        <f t="shared" ca="1" si="81"/>
        <v>6.6652199999999995E-3</v>
      </c>
      <c r="K58" s="14">
        <f t="shared" ca="1" si="82"/>
        <v>7.3475799999999994E-3</v>
      </c>
      <c r="L58" s="15">
        <f t="shared" ca="1" si="83"/>
        <v>8.0299399999999993E-3</v>
      </c>
      <c r="M58" s="15">
        <f t="shared" ca="1" si="83"/>
        <v>8.7122999999999992E-3</v>
      </c>
      <c r="N58" s="15">
        <f t="shared" ca="1" si="83"/>
        <v>9.3946599999999991E-3</v>
      </c>
      <c r="O58" s="15">
        <f t="shared" ca="1" si="83"/>
        <v>1.0077019999999999E-2</v>
      </c>
      <c r="P58" s="15">
        <f t="shared" ca="1" si="83"/>
        <v>1.0759379999999999E-2</v>
      </c>
      <c r="Q58" s="15">
        <f t="shared" ca="1" si="83"/>
        <v>1.1441739999999999E-2</v>
      </c>
      <c r="R58" s="15">
        <f t="shared" ca="1" si="83"/>
        <v>1.2124099999999999E-2</v>
      </c>
      <c r="S58" s="15">
        <f t="shared" ca="1" si="83"/>
        <v>1.2806459999999999E-2</v>
      </c>
      <c r="T58" s="15">
        <f t="shared" ca="1" si="83"/>
        <v>1.3488819999999999E-2</v>
      </c>
      <c r="U58" s="15">
        <f t="shared" ca="1" si="83"/>
        <v>1.4171179999999999E-2</v>
      </c>
      <c r="V58" s="15">
        <f t="shared" ca="1" si="83"/>
        <v>1.4853539999999998E-2</v>
      </c>
      <c r="W58" s="15">
        <f t="shared" ca="1" si="83"/>
        <v>1.5535899999999998E-2</v>
      </c>
      <c r="X58" s="15">
        <f t="shared" ca="1" si="83"/>
        <v>1.6218259999999998E-2</v>
      </c>
      <c r="Y58" s="15">
        <f t="shared" ca="1" si="83"/>
        <v>1.6900619999999998E-2</v>
      </c>
      <c r="Z58" s="15">
        <f t="shared" ca="1" si="83"/>
        <v>1.7582979999999998E-2</v>
      </c>
      <c r="AA58" s="15">
        <f t="shared" ca="1" si="83"/>
        <v>1.8265339999999998E-2</v>
      </c>
      <c r="AB58" s="15">
        <f t="shared" ca="1" si="83"/>
        <v>1.8947699999999998E-2</v>
      </c>
      <c r="AC58" s="15">
        <f t="shared" ca="1" si="83"/>
        <v>1.9630059999999998E-2</v>
      </c>
      <c r="AD58" s="15">
        <f t="shared" ca="1" si="83"/>
        <v>2.0312419999999998E-2</v>
      </c>
      <c r="AE58" s="5"/>
      <c r="AG58" s="1" t="s">
        <v>59</v>
      </c>
      <c r="AH58" s="37">
        <f t="shared" ca="1" si="84"/>
        <v>28348.673577638554</v>
      </c>
      <c r="AI58" s="37">
        <f t="shared" ca="1" si="78"/>
        <v>32452.669915901733</v>
      </c>
      <c r="AJ58" s="37">
        <f t="shared" ca="1" si="79"/>
        <v>36822.308993588289</v>
      </c>
      <c r="AK58" s="37">
        <f t="shared" ca="1" si="79"/>
        <v>41417.070007488299</v>
      </c>
      <c r="AL58" s="37">
        <f t="shared" ca="1" si="79"/>
        <v>46299.251672297294</v>
      </c>
      <c r="AM58" s="37">
        <f t="shared" ca="1" si="79"/>
        <v>51475.385159655169</v>
      </c>
      <c r="AN58" s="37">
        <f t="shared" ca="1" si="79"/>
        <v>56949.469348710314</v>
      </c>
      <c r="AO58" s="37">
        <f t="shared" ca="1" si="79"/>
        <v>62727.53743110982</v>
      </c>
      <c r="AP58" s="37">
        <f t="shared" ca="1" si="79"/>
        <v>68771.684393845251</v>
      </c>
      <c r="AQ58" s="37">
        <f t="shared" ca="1" si="79"/>
        <v>75138.886009464666</v>
      </c>
      <c r="AR58" s="37">
        <f t="shared" ca="1" si="79"/>
        <v>81840.420172523955</v>
      </c>
      <c r="AS58" s="37">
        <f t="shared" ca="1" si="79"/>
        <v>88891.578649401592</v>
      </c>
      <c r="AT58" s="37">
        <f t="shared" ca="1" si="80"/>
        <v>96305.589552142003</v>
      </c>
      <c r="AU58" s="37">
        <f t="shared" ca="1" si="80"/>
        <v>104032.77813156958</v>
      </c>
      <c r="AV58" s="37">
        <f t="shared" ca="1" si="80"/>
        <v>112146.47950155799</v>
      </c>
      <c r="AW58" s="37">
        <f t="shared" ca="1" si="80"/>
        <v>120651.79510054004</v>
      </c>
      <c r="AX58" s="37">
        <f t="shared" ca="1" si="80"/>
        <v>129551.69092601976</v>
      </c>
      <c r="AY58" s="37">
        <f t="shared" ca="1" si="80"/>
        <v>138850.7011498021</v>
      </c>
      <c r="AZ58" s="37" t="e">
        <f t="shared" ca="1" si="80"/>
        <v>#N/A</v>
      </c>
      <c r="BA58" s="37" t="e">
        <f t="shared" ca="1" si="80"/>
        <v>#N/A</v>
      </c>
      <c r="BB58" s="37" t="e">
        <f t="shared" ca="1" si="80"/>
        <v>#N/A</v>
      </c>
    </row>
    <row r="59" spans="1:54" x14ac:dyDescent="0.25">
      <c r="B59" s="1" t="s">
        <v>171</v>
      </c>
      <c r="C59" s="14">
        <f ca="1">Implant_Base!C59</f>
        <v>0</v>
      </c>
      <c r="D59" s="14">
        <f ca="1">Implant_Base!D59</f>
        <v>0</v>
      </c>
      <c r="E59" s="14">
        <f ca="1">IF('User Settings'!$N$7="On",($D59-$C59)/($D$4-$C$4),0)</f>
        <v>0</v>
      </c>
      <c r="F59" s="14">
        <f ca="1">Implant_Base!F59</f>
        <v>0</v>
      </c>
      <c r="G59" s="14"/>
      <c r="H59" s="14">
        <f t="shared" ca="1" si="75"/>
        <v>0</v>
      </c>
      <c r="I59" s="14">
        <f t="shared" ca="1" si="76"/>
        <v>0</v>
      </c>
      <c r="J59" s="14">
        <f t="shared" ca="1" si="81"/>
        <v>0</v>
      </c>
      <c r="K59" s="14">
        <f t="shared" ca="1" si="82"/>
        <v>0</v>
      </c>
      <c r="L59" s="15">
        <f t="shared" ca="1" si="83"/>
        <v>0</v>
      </c>
      <c r="M59" s="15">
        <f t="shared" ca="1" si="83"/>
        <v>0</v>
      </c>
      <c r="N59" s="15">
        <f t="shared" ca="1" si="83"/>
        <v>0</v>
      </c>
      <c r="O59" s="15">
        <f t="shared" ca="1" si="83"/>
        <v>0</v>
      </c>
      <c r="P59" s="15">
        <f t="shared" ca="1" si="83"/>
        <v>0</v>
      </c>
      <c r="Q59" s="15">
        <f t="shared" ca="1" si="83"/>
        <v>0</v>
      </c>
      <c r="R59" s="15">
        <f t="shared" ca="1" si="83"/>
        <v>0</v>
      </c>
      <c r="S59" s="15">
        <f t="shared" ca="1" si="83"/>
        <v>0</v>
      </c>
      <c r="T59" s="15">
        <f t="shared" ca="1" si="83"/>
        <v>0</v>
      </c>
      <c r="U59" s="15">
        <f t="shared" ca="1" si="83"/>
        <v>0</v>
      </c>
      <c r="V59" s="15">
        <f t="shared" ca="1" si="83"/>
        <v>0</v>
      </c>
      <c r="W59" s="15">
        <f t="shared" ca="1" si="83"/>
        <v>0</v>
      </c>
      <c r="X59" s="15">
        <f t="shared" ca="1" si="83"/>
        <v>0</v>
      </c>
      <c r="Y59" s="15">
        <f t="shared" ca="1" si="83"/>
        <v>0</v>
      </c>
      <c r="Z59" s="15">
        <f t="shared" ca="1" si="83"/>
        <v>0</v>
      </c>
      <c r="AA59" s="15">
        <f t="shared" ca="1" si="83"/>
        <v>0</v>
      </c>
      <c r="AB59" s="15">
        <f t="shared" ca="1" si="83"/>
        <v>0</v>
      </c>
      <c r="AC59" s="15">
        <f t="shared" ca="1" si="83"/>
        <v>0</v>
      </c>
      <c r="AD59" s="15">
        <f t="shared" ca="1" si="83"/>
        <v>0</v>
      </c>
      <c r="AE59" s="5"/>
      <c r="AG59" s="1" t="s">
        <v>171</v>
      </c>
      <c r="AH59" s="37">
        <f t="shared" ca="1" si="84"/>
        <v>0</v>
      </c>
      <c r="AI59" s="37">
        <f t="shared" ca="1" si="78"/>
        <v>0</v>
      </c>
      <c r="AJ59" s="37">
        <f t="shared" ca="1" si="79"/>
        <v>0</v>
      </c>
      <c r="AK59" s="37">
        <f t="shared" ca="1" si="79"/>
        <v>0</v>
      </c>
      <c r="AL59" s="37">
        <f t="shared" ca="1" si="79"/>
        <v>0</v>
      </c>
      <c r="AM59" s="37">
        <f t="shared" ca="1" si="79"/>
        <v>0</v>
      </c>
      <c r="AN59" s="37">
        <f t="shared" ca="1" si="79"/>
        <v>0</v>
      </c>
      <c r="AO59" s="37">
        <f t="shared" ca="1" si="79"/>
        <v>0</v>
      </c>
      <c r="AP59" s="37">
        <f t="shared" ca="1" si="79"/>
        <v>0</v>
      </c>
      <c r="AQ59" s="37">
        <f t="shared" ca="1" si="79"/>
        <v>0</v>
      </c>
      <c r="AR59" s="37">
        <f t="shared" ca="1" si="79"/>
        <v>0</v>
      </c>
      <c r="AS59" s="37">
        <f t="shared" ca="1" si="79"/>
        <v>0</v>
      </c>
      <c r="AT59" s="37">
        <f t="shared" ca="1" si="80"/>
        <v>0</v>
      </c>
      <c r="AU59" s="37">
        <f t="shared" ca="1" si="80"/>
        <v>0</v>
      </c>
      <c r="AV59" s="37">
        <f t="shared" ca="1" si="80"/>
        <v>0</v>
      </c>
      <c r="AW59" s="37">
        <f t="shared" ca="1" si="80"/>
        <v>0</v>
      </c>
      <c r="AX59" s="37">
        <f t="shared" ca="1" si="80"/>
        <v>0</v>
      </c>
      <c r="AY59" s="37">
        <f t="shared" ca="1" si="80"/>
        <v>0</v>
      </c>
      <c r="AZ59" s="37" t="e">
        <f t="shared" ca="1" si="80"/>
        <v>#N/A</v>
      </c>
      <c r="BA59" s="37" t="e">
        <f t="shared" ca="1" si="80"/>
        <v>#N/A</v>
      </c>
      <c r="BB59" s="37" t="e">
        <f t="shared" ca="1" si="80"/>
        <v>#N/A</v>
      </c>
    </row>
    <row r="60" spans="1:54" x14ac:dyDescent="0.25">
      <c r="B60" s="1" t="s">
        <v>116</v>
      </c>
      <c r="C60" s="14">
        <f ca="1">Implant_Base!C60</f>
        <v>0</v>
      </c>
      <c r="D60" s="14">
        <f ca="1">Implant_Base!D60</f>
        <v>0</v>
      </c>
      <c r="E60" s="14">
        <f ca="1">IF('User Settings'!$N$7="On",($D60-$C60)/($D$4-$C$4),0)</f>
        <v>0</v>
      </c>
      <c r="F60" s="14">
        <f ca="1">Implant_Base!F60</f>
        <v>0</v>
      </c>
      <c r="G60" s="14"/>
      <c r="H60" s="14">
        <f t="shared" ca="1" si="75"/>
        <v>0</v>
      </c>
      <c r="I60" s="14">
        <f t="shared" ca="1" si="76"/>
        <v>0</v>
      </c>
      <c r="J60" s="14">
        <f t="shared" ca="1" si="81"/>
        <v>0</v>
      </c>
      <c r="K60" s="14">
        <f t="shared" ca="1" si="82"/>
        <v>0</v>
      </c>
      <c r="L60" s="15">
        <f t="shared" ca="1" si="83"/>
        <v>0</v>
      </c>
      <c r="M60" s="15">
        <f t="shared" ca="1" si="83"/>
        <v>0</v>
      </c>
      <c r="N60" s="15">
        <f t="shared" ca="1" si="83"/>
        <v>0</v>
      </c>
      <c r="O60" s="15">
        <f t="shared" ca="1" si="83"/>
        <v>0</v>
      </c>
      <c r="P60" s="15">
        <f t="shared" ca="1" si="83"/>
        <v>0</v>
      </c>
      <c r="Q60" s="15">
        <f t="shared" ca="1" si="83"/>
        <v>0</v>
      </c>
      <c r="R60" s="15">
        <f t="shared" ca="1" si="83"/>
        <v>0</v>
      </c>
      <c r="S60" s="15">
        <f t="shared" ca="1" si="83"/>
        <v>0</v>
      </c>
      <c r="T60" s="15">
        <f t="shared" ca="1" si="83"/>
        <v>0</v>
      </c>
      <c r="U60" s="15">
        <f t="shared" ca="1" si="83"/>
        <v>0</v>
      </c>
      <c r="V60" s="15">
        <f t="shared" ca="1" si="83"/>
        <v>0</v>
      </c>
      <c r="W60" s="15">
        <f t="shared" ca="1" si="83"/>
        <v>0</v>
      </c>
      <c r="X60" s="15">
        <f t="shared" ca="1" si="83"/>
        <v>0</v>
      </c>
      <c r="Y60" s="15">
        <f t="shared" ca="1" si="83"/>
        <v>0</v>
      </c>
      <c r="Z60" s="15">
        <f t="shared" ca="1" si="83"/>
        <v>0</v>
      </c>
      <c r="AA60" s="15">
        <f t="shared" ca="1" si="83"/>
        <v>0</v>
      </c>
      <c r="AB60" s="15">
        <f t="shared" ca="1" si="83"/>
        <v>0</v>
      </c>
      <c r="AC60" s="15">
        <f t="shared" ca="1" si="83"/>
        <v>0</v>
      </c>
      <c r="AD60" s="15">
        <f t="shared" ca="1" si="83"/>
        <v>0</v>
      </c>
      <c r="AE60" s="5"/>
      <c r="AG60" s="1" t="s">
        <v>116</v>
      </c>
      <c r="AH60" s="37">
        <f t="shared" ca="1" si="84"/>
        <v>0</v>
      </c>
      <c r="AI60" s="37">
        <f t="shared" ca="1" si="78"/>
        <v>0</v>
      </c>
      <c r="AJ60" s="37">
        <f t="shared" ca="1" si="79"/>
        <v>0</v>
      </c>
      <c r="AK60" s="37">
        <f t="shared" ca="1" si="79"/>
        <v>0</v>
      </c>
      <c r="AL60" s="37">
        <f t="shared" ca="1" si="79"/>
        <v>0</v>
      </c>
      <c r="AM60" s="37">
        <f t="shared" ca="1" si="79"/>
        <v>0</v>
      </c>
      <c r="AN60" s="37">
        <f t="shared" ca="1" si="79"/>
        <v>0</v>
      </c>
      <c r="AO60" s="37">
        <f t="shared" ca="1" si="79"/>
        <v>0</v>
      </c>
      <c r="AP60" s="37">
        <f t="shared" ca="1" si="79"/>
        <v>0</v>
      </c>
      <c r="AQ60" s="37">
        <f t="shared" ca="1" si="79"/>
        <v>0</v>
      </c>
      <c r="AR60" s="37">
        <f t="shared" ca="1" si="79"/>
        <v>0</v>
      </c>
      <c r="AS60" s="37">
        <f t="shared" ca="1" si="79"/>
        <v>0</v>
      </c>
      <c r="AT60" s="37">
        <f t="shared" ca="1" si="80"/>
        <v>0</v>
      </c>
      <c r="AU60" s="37">
        <f t="shared" ca="1" si="80"/>
        <v>0</v>
      </c>
      <c r="AV60" s="37">
        <f t="shared" ca="1" si="80"/>
        <v>0</v>
      </c>
      <c r="AW60" s="37">
        <f t="shared" ca="1" si="80"/>
        <v>0</v>
      </c>
      <c r="AX60" s="37">
        <f t="shared" ca="1" si="80"/>
        <v>0</v>
      </c>
      <c r="AY60" s="37">
        <f t="shared" ca="1" si="80"/>
        <v>0</v>
      </c>
      <c r="AZ60" s="37" t="e">
        <f t="shared" ca="1" si="80"/>
        <v>#N/A</v>
      </c>
      <c r="BA60" s="37" t="e">
        <f t="shared" ca="1" si="80"/>
        <v>#N/A</v>
      </c>
      <c r="BB60" s="37" t="e">
        <f t="shared" ca="1" si="80"/>
        <v>#N/A</v>
      </c>
    </row>
    <row r="61" spans="1:54" x14ac:dyDescent="0.25">
      <c r="D61" s="5">
        <f ca="1">SUM(D55:D60)</f>
        <v>4.5740699999999995E-2</v>
      </c>
      <c r="F61" s="132">
        <f ca="1">SUM(F55:F60)</f>
        <v>6.1632120000000006E-2</v>
      </c>
      <c r="G61" s="132"/>
      <c r="H61" s="132">
        <f ca="1">SUM(H55:H60)</f>
        <v>7.7523540000000002E-2</v>
      </c>
      <c r="I61" s="132"/>
      <c r="J61" s="132">
        <f ca="1">SUM(J55:J60)</f>
        <v>5.633498E-2</v>
      </c>
      <c r="K61" s="132">
        <f ca="1">SUM(K55:K60)</f>
        <v>6.1632120000000006E-2</v>
      </c>
      <c r="L61" s="5">
        <f t="shared" ref="L61:AD61" ca="1" si="85">SUM(L55:L60)</f>
        <v>6.692925999999999E-2</v>
      </c>
      <c r="M61" s="5">
        <f t="shared" ca="1" si="85"/>
        <v>7.2226399999999996E-2</v>
      </c>
      <c r="N61" s="5">
        <f t="shared" ca="1" si="85"/>
        <v>7.7523540000000002E-2</v>
      </c>
      <c r="O61" s="5">
        <f t="shared" ca="1" si="85"/>
        <v>8.2820680000000008E-2</v>
      </c>
      <c r="P61" s="5">
        <f t="shared" ca="1" si="85"/>
        <v>8.8117819999999999E-2</v>
      </c>
      <c r="Q61" s="5">
        <f t="shared" ca="1" si="85"/>
        <v>9.3414959999999991E-2</v>
      </c>
      <c r="R61" s="5">
        <f t="shared" ca="1" si="85"/>
        <v>9.8712099999999997E-2</v>
      </c>
      <c r="S61" s="5">
        <f t="shared" ca="1" si="85"/>
        <v>0.10400924</v>
      </c>
      <c r="T61" s="5">
        <f t="shared" ca="1" si="85"/>
        <v>0.10930637999999998</v>
      </c>
      <c r="U61" s="5">
        <f t="shared" ca="1" si="85"/>
        <v>0.11460351999999999</v>
      </c>
      <c r="V61" s="5">
        <f t="shared" ca="1" si="85"/>
        <v>0.11990065999999998</v>
      </c>
      <c r="W61" s="5">
        <f t="shared" ca="1" si="85"/>
        <v>0.1251978</v>
      </c>
      <c r="X61" s="5">
        <f t="shared" ca="1" si="85"/>
        <v>0.13049494</v>
      </c>
      <c r="Y61" s="5">
        <f t="shared" ca="1" si="85"/>
        <v>0.13579207999999998</v>
      </c>
      <c r="Z61" s="5">
        <f t="shared" ca="1" si="85"/>
        <v>0.14108921999999999</v>
      </c>
      <c r="AA61" s="5">
        <f t="shared" ca="1" si="85"/>
        <v>0.14638635999999999</v>
      </c>
      <c r="AB61" s="5">
        <f t="shared" ca="1" si="85"/>
        <v>0.15168349999999997</v>
      </c>
      <c r="AC61" s="5">
        <f t="shared" ca="1" si="85"/>
        <v>0.15698063999999998</v>
      </c>
      <c r="AD61" s="5">
        <f t="shared" ca="1" si="85"/>
        <v>0.16227777999999998</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86">AJ66+1</f>
        <v>2021</v>
      </c>
      <c r="AL66" s="36">
        <f t="shared" si="86"/>
        <v>2022</v>
      </c>
      <c r="AM66" s="36">
        <f t="shared" si="86"/>
        <v>2023</v>
      </c>
      <c r="AN66" s="36">
        <f t="shared" si="86"/>
        <v>2024</v>
      </c>
      <c r="AO66" s="36">
        <f t="shared" si="86"/>
        <v>2025</v>
      </c>
      <c r="AP66" s="36">
        <f t="shared" si="86"/>
        <v>2026</v>
      </c>
      <c r="AQ66" s="36">
        <f t="shared" si="86"/>
        <v>2027</v>
      </c>
      <c r="AR66" s="36">
        <f t="shared" si="86"/>
        <v>2028</v>
      </c>
      <c r="AS66" s="36">
        <f t="shared" si="86"/>
        <v>2029</v>
      </c>
      <c r="AT66" s="36">
        <f t="shared" si="86"/>
        <v>2030</v>
      </c>
      <c r="AU66" s="36">
        <f t="shared" si="86"/>
        <v>2031</v>
      </c>
      <c r="AV66" s="36">
        <f t="shared" si="86"/>
        <v>2032</v>
      </c>
      <c r="AW66" s="36">
        <f t="shared" si="86"/>
        <v>2033</v>
      </c>
      <c r="AX66" s="36">
        <f t="shared" si="86"/>
        <v>2034</v>
      </c>
      <c r="AY66" s="36">
        <f t="shared" si="86"/>
        <v>2035</v>
      </c>
      <c r="AZ66" s="36">
        <f t="shared" si="86"/>
        <v>2036</v>
      </c>
      <c r="BA66" s="36">
        <f t="shared" si="86"/>
        <v>2037</v>
      </c>
      <c r="BB66" s="36">
        <f t="shared" si="86"/>
        <v>2038</v>
      </c>
    </row>
    <row r="67" spans="1:54" x14ac:dyDescent="0.25">
      <c r="A67"/>
      <c r="AF67"/>
      <c r="AH67" s="128">
        <f>AI67</f>
        <v>5.0000000000000044E-2</v>
      </c>
      <c r="AI67" s="128">
        <f>1-VLOOKUP($A$1,Dashboard!$U$4:$W$9,2,FALSE)</f>
        <v>5.0000000000000044E-2</v>
      </c>
      <c r="AJ67" s="128">
        <f>MAX(0,AI67-(VLOOKUP($A$1,Dashboard!$U$4:$W$9,3,FALSE)-VLOOKUP($A$1,Dashboard!$U$4:$W$9,2,FALSE))/(Yr_End-Yr_Start))</f>
        <v>5.0000000000000044E-2</v>
      </c>
      <c r="AK67" s="128">
        <f>MAX(0,AJ67-(VLOOKUP($A$1,Dashboard!$U$4:$W$9,3,FALSE)-VLOOKUP($A$1,Dashboard!$U$4:$W$9,2,FALSE))/(Yr_End-Yr_Start))</f>
        <v>5.0000000000000044E-2</v>
      </c>
      <c r="AL67" s="128">
        <f>MAX(0,AK67-(VLOOKUP($A$1,Dashboard!$U$4:$W$9,3,FALSE)-VLOOKUP($A$1,Dashboard!$U$4:$W$9,2,FALSE))/(Yr_End-Yr_Start))</f>
        <v>5.0000000000000044E-2</v>
      </c>
      <c r="AM67" s="128">
        <f>MAX(0,AL67-(VLOOKUP($A$1,Dashboard!$U$4:$W$9,3,FALSE)-VLOOKUP($A$1,Dashboard!$U$4:$W$9,2,FALSE))/(Yr_End-Yr_Start))</f>
        <v>5.0000000000000044E-2</v>
      </c>
      <c r="AN67" s="128">
        <f>MAX(0,AM67-(VLOOKUP($A$1,Dashboard!$U$4:$W$9,3,FALSE)-VLOOKUP($A$1,Dashboard!$U$4:$W$9,2,FALSE))/(Yr_End-Yr_Start))</f>
        <v>5.0000000000000044E-2</v>
      </c>
      <c r="AO67" s="128">
        <f>MAX(0,AN67-(VLOOKUP($A$1,Dashboard!$U$4:$W$9,3,FALSE)-VLOOKUP($A$1,Dashboard!$U$4:$W$9,2,FALSE))/(Yr_End-Yr_Start))</f>
        <v>5.0000000000000044E-2</v>
      </c>
      <c r="AP67" s="128">
        <f>MAX(0,AO67-(VLOOKUP($A$1,Dashboard!$U$4:$W$9,3,FALSE)-VLOOKUP($A$1,Dashboard!$U$4:$W$9,2,FALSE))/(Yr_End-Yr_Start))</f>
        <v>5.0000000000000044E-2</v>
      </c>
      <c r="AQ67" s="128">
        <f>MAX(0,AP67-(VLOOKUP($A$1,Dashboard!$U$4:$W$9,3,FALSE)-VLOOKUP($A$1,Dashboard!$U$4:$W$9,2,FALSE))/(Yr_End-Yr_Start))</f>
        <v>5.0000000000000044E-2</v>
      </c>
      <c r="AR67" s="128">
        <f>MAX(0,AQ67-(VLOOKUP($A$1,Dashboard!$U$4:$W$9,3,FALSE)-VLOOKUP($A$1,Dashboard!$U$4:$W$9,2,FALSE))/(Yr_End-Yr_Start))</f>
        <v>5.0000000000000044E-2</v>
      </c>
      <c r="AS67" s="128">
        <f>MAX(0,AR67-(VLOOKUP($A$1,Dashboard!$U$4:$W$9,3,FALSE)-VLOOKUP($A$1,Dashboard!$U$4:$W$9,2,FALSE))/(Yr_End-Yr_Start))</f>
        <v>5.0000000000000044E-2</v>
      </c>
      <c r="AT67" s="128">
        <f>MAX(0,AS67-(VLOOKUP($A$1,Dashboard!$U$4:$W$9,3,FALSE)-VLOOKUP($A$1,Dashboard!$U$4:$W$9,2,FALSE))/(Yr_End-Yr_Start))</f>
        <v>5.0000000000000044E-2</v>
      </c>
      <c r="AU67" s="128">
        <f>MAX(0,AT67-(VLOOKUP($A$1,Dashboard!$U$4:$W$9,3,FALSE)-VLOOKUP($A$1,Dashboard!$U$4:$W$9,2,FALSE))/(Yr_End-Yr_Start))</f>
        <v>5.0000000000000044E-2</v>
      </c>
      <c r="AV67" s="128">
        <f>MAX(0,AU67-(VLOOKUP($A$1,Dashboard!$U$4:$W$9,3,FALSE)-VLOOKUP($A$1,Dashboard!$U$4:$W$9,2,FALSE))/(Yr_End-Yr_Start))</f>
        <v>5.0000000000000044E-2</v>
      </c>
      <c r="AW67" s="128">
        <f>MAX(0,AV67-(VLOOKUP($A$1,Dashboard!$U$4:$W$9,3,FALSE)-VLOOKUP($A$1,Dashboard!$U$4:$W$9,2,FALSE))/(Yr_End-Yr_Start))</f>
        <v>5.0000000000000044E-2</v>
      </c>
      <c r="AX67" s="128">
        <f>MAX(0,AW67-(VLOOKUP($A$1,Dashboard!$U$4:$W$9,3,FALSE)-VLOOKUP($A$1,Dashboard!$U$4:$W$9,2,FALSE))/(Yr_End-Yr_Start))</f>
        <v>5.0000000000000044E-2</v>
      </c>
      <c r="AY67" s="128">
        <f>MAX(0,AX67-(VLOOKUP($A$1,Dashboard!$U$4:$W$9,3,FALSE)-VLOOKUP($A$1,Dashboard!$U$4:$W$9,2,FALSE))/(Yr_End-Yr_Start))</f>
        <v>5.0000000000000044E-2</v>
      </c>
      <c r="AZ67" s="128">
        <f>MAX(0,AY67-(VLOOKUP($A$1,Dashboard!$U$4:$W$9,3,FALSE)-VLOOKUP($A$1,Dashboard!$U$4:$W$9,2,FALSE))/(Yr_End-Yr_Start))</f>
        <v>5.0000000000000044E-2</v>
      </c>
      <c r="BA67" s="128">
        <f>MAX(0,AZ67-(VLOOKUP($A$1,Dashboard!$U$4:$W$9,3,FALSE)-VLOOKUP($A$1,Dashboard!$U$4:$W$9,2,FALSE))/(Yr_End-Yr_Start))</f>
        <v>5.0000000000000044E-2</v>
      </c>
      <c r="BB67" s="128">
        <f>MAX(0,BA67-(VLOOKUP($A$1,Dashboard!$U$4:$W$9,3,FALSE)-VLOOKUP($A$1,Dashboard!$U$4:$W$9,2,FALSE))/(Yr_End-Yr_Start))</f>
        <v>5.0000000000000044E-2</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87">AJ70+1</f>
        <v>2021</v>
      </c>
      <c r="AL70" s="36">
        <f t="shared" si="87"/>
        <v>2022</v>
      </c>
      <c r="AM70" s="36">
        <f t="shared" si="87"/>
        <v>2023</v>
      </c>
      <c r="AN70" s="36">
        <f t="shared" si="87"/>
        <v>2024</v>
      </c>
      <c r="AO70" s="36">
        <f t="shared" si="87"/>
        <v>2025</v>
      </c>
      <c r="AP70" s="36">
        <f t="shared" si="87"/>
        <v>2026</v>
      </c>
      <c r="AQ70" s="36">
        <f t="shared" si="87"/>
        <v>2027</v>
      </c>
      <c r="AR70" s="36">
        <f t="shared" si="87"/>
        <v>2028</v>
      </c>
      <c r="AS70" s="36">
        <f t="shared" si="87"/>
        <v>2029</v>
      </c>
      <c r="AT70" s="36">
        <f t="shared" si="87"/>
        <v>2030</v>
      </c>
      <c r="AU70" s="36">
        <f t="shared" si="87"/>
        <v>2031</v>
      </c>
      <c r="AV70" s="36">
        <f t="shared" si="87"/>
        <v>2032</v>
      </c>
      <c r="AW70" s="36">
        <f t="shared" si="87"/>
        <v>2033</v>
      </c>
      <c r="AX70" s="36">
        <f t="shared" si="87"/>
        <v>2034</v>
      </c>
      <c r="AY70" s="36">
        <f t="shared" si="87"/>
        <v>2035</v>
      </c>
      <c r="AZ70" s="36">
        <f t="shared" si="87"/>
        <v>2036</v>
      </c>
      <c r="BA70" s="36">
        <f t="shared" si="87"/>
        <v>2037</v>
      </c>
      <c r="BB70" s="36">
        <f t="shared" si="87"/>
        <v>2038</v>
      </c>
    </row>
    <row r="71" spans="1:54" x14ac:dyDescent="0.25">
      <c r="A71"/>
      <c r="AF71" s="6" t="s">
        <v>179</v>
      </c>
      <c r="AG71" s="1" t="s">
        <v>52</v>
      </c>
      <c r="AH71" s="37">
        <f ca="1">SUM(AH35,AH25,AH15,AH5)</f>
        <v>172704.83911875769</v>
      </c>
      <c r="AI71" s="37">
        <f ca="1">SUM(AI35,AI25,AI15,AI5)</f>
        <v>195342.93244423246</v>
      </c>
      <c r="AJ71" s="37">
        <f t="shared" ref="AJ71:BB71" ca="1" si="88">SUM(AJ35,AJ25,AJ15,AJ5)</f>
        <v>203048.36454503133</v>
      </c>
      <c r="AK71" s="37">
        <f t="shared" ca="1" si="88"/>
        <v>210744.33848604525</v>
      </c>
      <c r="AL71" s="37">
        <f t="shared" ca="1" si="88"/>
        <v>218730.96208357855</v>
      </c>
      <c r="AM71" s="37">
        <f t="shared" ca="1" si="88"/>
        <v>226982.43080120583</v>
      </c>
      <c r="AN71" s="37">
        <f t="shared" ca="1" si="88"/>
        <v>235469.14190080512</v>
      </c>
      <c r="AO71" s="37">
        <f t="shared" ca="1" si="88"/>
        <v>244176.54581803852</v>
      </c>
      <c r="AP71" s="37">
        <f t="shared" ca="1" si="88"/>
        <v>252931.87365247408</v>
      </c>
      <c r="AQ71" s="37">
        <f t="shared" ca="1" si="88"/>
        <v>261929.31275316983</v>
      </c>
      <c r="AR71" s="37">
        <f t="shared" ca="1" si="88"/>
        <v>273192.55879181065</v>
      </c>
      <c r="AS71" s="37">
        <f ca="1">SUM(AS35,AS25,AS15,AS5)</f>
        <v>285698.80667669995</v>
      </c>
      <c r="AT71" s="37">
        <f t="shared" ca="1" si="88"/>
        <v>298674.23543272563</v>
      </c>
      <c r="AU71" s="37">
        <f t="shared" ca="1" si="88"/>
        <v>311944.44984671567</v>
      </c>
      <c r="AV71" s="37">
        <f t="shared" ca="1" si="88"/>
        <v>325715.31038937968</v>
      </c>
      <c r="AW71" s="37">
        <f t="shared" ca="1" si="88"/>
        <v>339976.17149157025</v>
      </c>
      <c r="AX71" s="37">
        <f t="shared" ca="1" si="88"/>
        <v>354712.79579469701</v>
      </c>
      <c r="AY71" s="37">
        <f t="shared" ca="1" si="88"/>
        <v>369917.58852309652</v>
      </c>
      <c r="AZ71" s="37" t="e">
        <f t="shared" ca="1" si="88"/>
        <v>#N/A</v>
      </c>
      <c r="BA71" s="37" t="e">
        <f t="shared" ca="1" si="88"/>
        <v>#N/A</v>
      </c>
      <c r="BB71" s="37" t="e">
        <f t="shared" ca="1" si="88"/>
        <v>#N/A</v>
      </c>
    </row>
    <row r="72" spans="1:54" x14ac:dyDescent="0.25">
      <c r="B72" s="6"/>
      <c r="AG72" s="1" t="s">
        <v>54</v>
      </c>
      <c r="AH72" s="37">
        <f ca="1">SUM(AH36,AH26,AH16,AH6)+SUM(AH40,AH30,AH20,AH10)</f>
        <v>13426.39575371283</v>
      </c>
      <c r="AI72" s="37">
        <f ca="1">SUM(AI36,AI26,AI16,AI6)+SUM(AI40,AI30,AI20,AI10)</f>
        <v>15712.214620166627</v>
      </c>
      <c r="AJ72" s="37">
        <f t="shared" ref="AJ72:BB72" ca="1" si="89">SUM(AJ36,AJ26,AJ16,AJ6)+SUM(AJ40,AJ30,AJ20,AJ10)</f>
        <v>16627.735132092097</v>
      </c>
      <c r="AK72" s="37">
        <f t="shared" ca="1" si="89"/>
        <v>17564.194895124081</v>
      </c>
      <c r="AL72" s="37">
        <f t="shared" ca="1" si="89"/>
        <v>18546.92371249045</v>
      </c>
      <c r="AM72" s="37">
        <f t="shared" ca="1" si="89"/>
        <v>19574.881577388835</v>
      </c>
      <c r="AN72" s="37">
        <f t="shared" ca="1" si="89"/>
        <v>20646.540979097172</v>
      </c>
      <c r="AO72" s="37">
        <f t="shared" ca="1" si="89"/>
        <v>21761.540538847057</v>
      </c>
      <c r="AP72" s="37">
        <f t="shared" ca="1" si="89"/>
        <v>22905.102850435662</v>
      </c>
      <c r="AQ72" s="37">
        <f t="shared" ca="1" si="89"/>
        <v>24095.213009532694</v>
      </c>
      <c r="AR72" s="37">
        <f t="shared" ca="1" si="89"/>
        <v>25333.231510813086</v>
      </c>
      <c r="AS72" s="37">
        <f t="shared" ca="1" si="89"/>
        <v>26737.23769360279</v>
      </c>
      <c r="AT72" s="37">
        <f t="shared" ca="1" si="89"/>
        <v>28380.355235314106</v>
      </c>
      <c r="AU72" s="37">
        <f t="shared" ca="1" si="89"/>
        <v>30079.182033510253</v>
      </c>
      <c r="AV72" s="37">
        <f t="shared" ca="1" si="89"/>
        <v>31854.16256678378</v>
      </c>
      <c r="AW72" s="37">
        <f t="shared" ca="1" si="89"/>
        <v>33705.3689630441</v>
      </c>
      <c r="AX72" s="37">
        <f t="shared" ca="1" si="89"/>
        <v>35632.407954497168</v>
      </c>
      <c r="AY72" s="37">
        <f t="shared" ca="1" si="89"/>
        <v>37635.444610503342</v>
      </c>
      <c r="AZ72" s="37" t="e">
        <f t="shared" ca="1" si="89"/>
        <v>#N/A</v>
      </c>
      <c r="BA72" s="37" t="e">
        <f t="shared" ca="1" si="89"/>
        <v>#N/A</v>
      </c>
      <c r="BB72" s="37" t="e">
        <f t="shared" ca="1" si="89"/>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7235.5300298748452</v>
      </c>
      <c r="AI73" s="39">
        <f ca="1">SUM(AI37,AI27,AI17,AI7)+SUM(AI38,AI28,AI18,AI8)*AI67</f>
        <v>8140.2469392787834</v>
      </c>
      <c r="AJ73" s="39">
        <f t="shared" ref="AJ73:BB73" ca="1" si="90">SUM(AJ37,AJ27,AJ17,AJ7)+SUM(AJ38,AJ28,AJ18,AJ8)*AJ67</f>
        <v>9602.9539335825066</v>
      </c>
      <c r="AK73" s="39">
        <f t="shared" ca="1" si="90"/>
        <v>11149.032231291807</v>
      </c>
      <c r="AL73" s="39">
        <f t="shared" ca="1" si="90"/>
        <v>12795.584970691551</v>
      </c>
      <c r="AM73" s="39">
        <f t="shared" ca="1" si="90"/>
        <v>14545.534242724987</v>
      </c>
      <c r="AN73" s="39">
        <f t="shared" ca="1" si="90"/>
        <v>16400.941315280084</v>
      </c>
      <c r="AO73" s="39">
        <f t="shared" ca="1" si="90"/>
        <v>18364.322369884107</v>
      </c>
      <c r="AP73" s="39">
        <f t="shared" ca="1" si="90"/>
        <v>20425.077398674021</v>
      </c>
      <c r="AQ73" s="39">
        <f t="shared" ca="1" si="90"/>
        <v>22600.430965843192</v>
      </c>
      <c r="AR73" s="39">
        <f t="shared" ca="1" si="90"/>
        <v>24894.46453708726</v>
      </c>
      <c r="AS73" s="39">
        <f ca="1">SUM(AS37,AS27,AS17,AS7)+SUM(AS38,AS28,AS18,AS8)*AS67</f>
        <v>27312.506140853809</v>
      </c>
      <c r="AT73" s="39">
        <f t="shared" ca="1" si="90"/>
        <v>29859.299011801457</v>
      </c>
      <c r="AU73" s="39">
        <f t="shared" ca="1" si="90"/>
        <v>32519.945309507213</v>
      </c>
      <c r="AV73" s="39">
        <f t="shared" ca="1" si="90"/>
        <v>35317.716718503238</v>
      </c>
      <c r="AW73" s="39">
        <f t="shared" ca="1" si="90"/>
        <v>38254.850396183057</v>
      </c>
      <c r="AX73" s="39">
        <f t="shared" ca="1" si="90"/>
        <v>41332.846349626168</v>
      </c>
      <c r="AY73" s="39">
        <f ca="1">SUM(AY37,AY27,AY17,AY7)+SUM(AY38,AY28,AY18,AY8)*AY67</f>
        <v>44553.646731623441</v>
      </c>
      <c r="AZ73" s="39" t="e">
        <f t="shared" ca="1" si="90"/>
        <v>#N/A</v>
      </c>
      <c r="BA73" s="39" t="e">
        <f t="shared" ca="1" si="90"/>
        <v>#N/A</v>
      </c>
      <c r="BB73" s="39" t="e">
        <f t="shared" ca="1" si="90"/>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0</v>
      </c>
      <c r="AI74" s="37">
        <f ca="1">SUM(AI39,AI29,AI19,AI9)</f>
        <v>0</v>
      </c>
      <c r="AJ74" s="37">
        <f t="shared" ref="AJ74:BB74" ca="1" si="91">SUM(AJ39,AJ29,AJ19,AJ9)</f>
        <v>0</v>
      </c>
      <c r="AK74" s="37">
        <f t="shared" ca="1" si="91"/>
        <v>0</v>
      </c>
      <c r="AL74" s="37">
        <f t="shared" ca="1" si="91"/>
        <v>0</v>
      </c>
      <c r="AM74" s="37">
        <f t="shared" ca="1" si="91"/>
        <v>0</v>
      </c>
      <c r="AN74" s="37">
        <f t="shared" ca="1" si="91"/>
        <v>0</v>
      </c>
      <c r="AO74" s="37">
        <f t="shared" ca="1" si="91"/>
        <v>0</v>
      </c>
      <c r="AP74" s="37">
        <f t="shared" ca="1" si="91"/>
        <v>0</v>
      </c>
      <c r="AQ74" s="37">
        <f t="shared" ca="1" si="91"/>
        <v>0</v>
      </c>
      <c r="AR74" s="37">
        <f t="shared" ca="1" si="91"/>
        <v>0</v>
      </c>
      <c r="AS74" s="37">
        <f t="shared" ca="1" si="91"/>
        <v>0</v>
      </c>
      <c r="AT74" s="37">
        <f t="shared" ca="1" si="91"/>
        <v>0</v>
      </c>
      <c r="AU74" s="37">
        <f t="shared" ca="1" si="91"/>
        <v>0</v>
      </c>
      <c r="AV74" s="37">
        <f t="shared" ca="1" si="91"/>
        <v>0</v>
      </c>
      <c r="AW74" s="37">
        <f t="shared" ca="1" si="91"/>
        <v>0</v>
      </c>
      <c r="AX74" s="37">
        <f t="shared" ca="1" si="91"/>
        <v>0</v>
      </c>
      <c r="AY74" s="37">
        <f t="shared" ca="1" si="91"/>
        <v>0</v>
      </c>
      <c r="AZ74" s="37" t="e">
        <f t="shared" ca="1" si="91"/>
        <v>#N/A</v>
      </c>
      <c r="BA74" s="37" t="e">
        <f t="shared" ca="1" si="91"/>
        <v>#N/A</v>
      </c>
      <c r="BB74" s="37" t="e">
        <f t="shared" ca="1" si="91"/>
        <v>#N/A</v>
      </c>
    </row>
    <row r="75" spans="1:54" x14ac:dyDescent="0.25">
      <c r="AG75" s="1" t="s">
        <v>59</v>
      </c>
      <c r="AH75" s="37">
        <f ca="1">+SUM(AH38,AH28,AH18,AH8)*(1-AH67)</f>
        <v>47313.066204821516</v>
      </c>
      <c r="AI75" s="37">
        <f ca="1">+SUM(AI38,AI28,AI18,AI8)*(1-AI67)</f>
        <v>54430.265679466422</v>
      </c>
      <c r="AJ75" s="37">
        <f t="shared" ref="AJ75:BB75" ca="1" si="92">+SUM(AJ38,AJ28,AJ18,AJ8)*(1-AJ67)</f>
        <v>79448.421214782371</v>
      </c>
      <c r="AK75" s="37">
        <f t="shared" ca="1" si="92"/>
        <v>106142.10637884049</v>
      </c>
      <c r="AL75" s="37">
        <f t="shared" ca="1" si="92"/>
        <v>134687.04331249796</v>
      </c>
      <c r="AM75" s="37">
        <f t="shared" ca="1" si="92"/>
        <v>165156.12628629498</v>
      </c>
      <c r="AN75" s="37">
        <f t="shared" ca="1" si="92"/>
        <v>197607.11636558123</v>
      </c>
      <c r="AO75" s="37">
        <f t="shared" ca="1" si="92"/>
        <v>232098.51563217759</v>
      </c>
      <c r="AP75" s="37">
        <f t="shared" ca="1" si="92"/>
        <v>268514.05876280245</v>
      </c>
      <c r="AQ75" s="37">
        <f t="shared" ca="1" si="92"/>
        <v>307090.81487732462</v>
      </c>
      <c r="AR75" s="37">
        <f t="shared" ca="1" si="92"/>
        <v>347908.13105930836</v>
      </c>
      <c r="AS75" s="37">
        <f ca="1">+SUM(AS38,AS28,AS18,AS8)*(1-AS67)</f>
        <v>391063.65320968995</v>
      </c>
      <c r="AT75" s="37">
        <f t="shared" ca="1" si="92"/>
        <v>436648.32593637169</v>
      </c>
      <c r="AU75" s="37">
        <f t="shared" ca="1" si="92"/>
        <v>484461.22525326407</v>
      </c>
      <c r="AV75" s="37">
        <f t="shared" ca="1" si="92"/>
        <v>534860.63034335931</v>
      </c>
      <c r="AW75" s="37">
        <f t="shared" ca="1" si="92"/>
        <v>587901.29460387095</v>
      </c>
      <c r="AX75" s="37">
        <f t="shared" ca="1" si="92"/>
        <v>643624.66793866141</v>
      </c>
      <c r="AY75" s="37">
        <f t="shared" ca="1" si="92"/>
        <v>702077.18450277369</v>
      </c>
      <c r="AZ75" s="37" t="e">
        <f t="shared" ca="1" si="92"/>
        <v>#N/A</v>
      </c>
      <c r="BA75" s="37" t="e">
        <f t="shared" ca="1" si="92"/>
        <v>#N/A</v>
      </c>
      <c r="BB75" s="37" t="e">
        <f t="shared" ca="1" si="92"/>
        <v>#N/A</v>
      </c>
    </row>
    <row r="76" spans="1:54" x14ac:dyDescent="0.25">
      <c r="AG76" s="12" t="s">
        <v>60</v>
      </c>
      <c r="AH76" s="45">
        <f ca="1">SUM(AH71:AH75)</f>
        <v>240679.83110716689</v>
      </c>
      <c r="AI76" s="45">
        <f ca="1">SUM(AI71:AI75)</f>
        <v>273625.6596831443</v>
      </c>
      <c r="AJ76" s="45">
        <f t="shared" ref="AJ76:BB76" ca="1" si="93">SUM(AJ71:AJ75)</f>
        <v>308727.47482548829</v>
      </c>
      <c r="AK76" s="45">
        <f t="shared" ca="1" si="93"/>
        <v>345599.67199130164</v>
      </c>
      <c r="AL76" s="45">
        <f t="shared" ca="1" si="93"/>
        <v>384760.51407925854</v>
      </c>
      <c r="AM76" s="45">
        <f t="shared" ca="1" si="93"/>
        <v>426258.97290761466</v>
      </c>
      <c r="AN76" s="45">
        <f t="shared" ca="1" si="93"/>
        <v>470123.74056076357</v>
      </c>
      <c r="AO76" s="45">
        <f t="shared" ca="1" si="93"/>
        <v>516400.92435894726</v>
      </c>
      <c r="AP76" s="45">
        <f t="shared" ca="1" si="93"/>
        <v>564776.11266438616</v>
      </c>
      <c r="AQ76" s="45">
        <f t="shared" ca="1" si="93"/>
        <v>615715.77160587034</v>
      </c>
      <c r="AR76" s="45">
        <f t="shared" ca="1" si="93"/>
        <v>671328.38589901943</v>
      </c>
      <c r="AS76" s="45">
        <f ca="1">SUM(AS71:AS75)</f>
        <v>730812.20372084645</v>
      </c>
      <c r="AT76" s="45">
        <f t="shared" ca="1" si="93"/>
        <v>793562.21561621292</v>
      </c>
      <c r="AU76" s="45">
        <f t="shared" ca="1" si="93"/>
        <v>859004.80244299723</v>
      </c>
      <c r="AV76" s="45">
        <f t="shared" ca="1" si="93"/>
        <v>927747.82001802605</v>
      </c>
      <c r="AW76" s="45">
        <f t="shared" ca="1" si="93"/>
        <v>999837.68545466836</v>
      </c>
      <c r="AX76" s="45">
        <f t="shared" ca="1" si="93"/>
        <v>1075302.7180374819</v>
      </c>
      <c r="AY76" s="45">
        <f t="shared" ca="1" si="93"/>
        <v>1154183.864367997</v>
      </c>
      <c r="AZ76" s="45" t="e">
        <f t="shared" ca="1" si="93"/>
        <v>#N/A</v>
      </c>
      <c r="BA76" s="45" t="e">
        <f t="shared" ca="1" si="93"/>
        <v>#N/A</v>
      </c>
      <c r="BB76" s="45" t="e">
        <f t="shared" ca="1" si="93"/>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94">AJ79+1</f>
        <v>2021</v>
      </c>
      <c r="AL79" s="36">
        <f t="shared" si="94"/>
        <v>2022</v>
      </c>
      <c r="AM79" s="36">
        <f t="shared" si="94"/>
        <v>2023</v>
      </c>
      <c r="AN79" s="36">
        <f t="shared" si="94"/>
        <v>2024</v>
      </c>
      <c r="AO79" s="36">
        <f t="shared" si="94"/>
        <v>2025</v>
      </c>
      <c r="AP79" s="36">
        <f t="shared" si="94"/>
        <v>2026</v>
      </c>
      <c r="AQ79" s="36">
        <f t="shared" si="94"/>
        <v>2027</v>
      </c>
      <c r="AR79" s="36">
        <f t="shared" si="94"/>
        <v>2028</v>
      </c>
      <c r="AS79" s="36">
        <f t="shared" si="94"/>
        <v>2029</v>
      </c>
      <c r="AT79" s="36">
        <f t="shared" si="94"/>
        <v>2030</v>
      </c>
      <c r="AU79" s="36">
        <f t="shared" si="94"/>
        <v>2031</v>
      </c>
      <c r="AV79" s="36">
        <f t="shared" si="94"/>
        <v>2032</v>
      </c>
      <c r="AW79" s="36">
        <f t="shared" si="94"/>
        <v>2033</v>
      </c>
      <c r="AX79" s="36">
        <f t="shared" si="94"/>
        <v>2034</v>
      </c>
      <c r="AY79" s="36">
        <f t="shared" si="94"/>
        <v>2035</v>
      </c>
      <c r="AZ79" s="36">
        <f t="shared" si="94"/>
        <v>2036</v>
      </c>
      <c r="BA79" s="36">
        <f t="shared" si="94"/>
        <v>2037</v>
      </c>
      <c r="BB79" s="36">
        <f t="shared" si="94"/>
        <v>2038</v>
      </c>
    </row>
    <row r="80" spans="1:54" x14ac:dyDescent="0.25">
      <c r="AG80" s="1" t="s">
        <v>52</v>
      </c>
      <c r="AH80" s="37">
        <f ca="1">SUM(AH55,AH45)</f>
        <v>287695.84110767028</v>
      </c>
      <c r="AI80" s="37">
        <f ca="1">SUM(AI55,AI45)</f>
        <v>328233.45576963801</v>
      </c>
      <c r="AJ80" s="37">
        <f t="shared" ref="AJ80:BB80" ca="1" si="95">SUM(AJ55,AJ45)</f>
        <v>371381.94441517204</v>
      </c>
      <c r="AK80" s="37">
        <f t="shared" ca="1" si="95"/>
        <v>416730.54216523247</v>
      </c>
      <c r="AL80" s="37">
        <f t="shared" ca="1" si="95"/>
        <v>464905.13574541465</v>
      </c>
      <c r="AM80" s="37">
        <f t="shared" ca="1" si="95"/>
        <v>515968.11672483012</v>
      </c>
      <c r="AN80" s="37">
        <f t="shared" ca="1" si="95"/>
        <v>569956.90883406519</v>
      </c>
      <c r="AO80" s="37">
        <f t="shared" ca="1" si="95"/>
        <v>626929.66937959439</v>
      </c>
      <c r="AP80" s="37">
        <f t="shared" ca="1" si="95"/>
        <v>686506.13736545411</v>
      </c>
      <c r="AQ80" s="37">
        <f t="shared" ca="1" si="95"/>
        <v>749254.20265053352</v>
      </c>
      <c r="AR80" s="37">
        <f t="shared" ca="1" si="95"/>
        <v>815284.35549065936</v>
      </c>
      <c r="AS80" s="37">
        <f t="shared" ca="1" si="95"/>
        <v>884746.99871175759</v>
      </c>
      <c r="AT80" s="37">
        <f t="shared" ca="1" si="95"/>
        <v>957771.8546611804</v>
      </c>
      <c r="AU80" s="37">
        <f t="shared" ca="1" si="95"/>
        <v>1033863.4630510025</v>
      </c>
      <c r="AV80" s="37">
        <f t="shared" ca="1" si="95"/>
        <v>1113749.6255069899</v>
      </c>
      <c r="AW80" s="37">
        <f t="shared" ca="1" si="95"/>
        <v>1197479.2047601857</v>
      </c>
      <c r="AX80" s="37">
        <f t="shared" ca="1" si="95"/>
        <v>1285080.0406456576</v>
      </c>
      <c r="AY80" s="37">
        <f t="shared" ca="1" si="95"/>
        <v>1376595.6945245785</v>
      </c>
      <c r="AZ80" s="37" t="e">
        <f t="shared" ca="1" si="95"/>
        <v>#N/A</v>
      </c>
      <c r="BA80" s="37" t="e">
        <f t="shared" ca="1" si="95"/>
        <v>#N/A</v>
      </c>
      <c r="BB80" s="37" t="e">
        <f t="shared" ca="1" si="95"/>
        <v>#N/A</v>
      </c>
    </row>
    <row r="81" spans="12:54" x14ac:dyDescent="0.25">
      <c r="AG81" s="1" t="s">
        <v>54</v>
      </c>
      <c r="AH81" s="37">
        <f ca="1">SUM(AH56,AH46,AH50,AH60)</f>
        <v>17833.530397622995</v>
      </c>
      <c r="AI81" s="37">
        <f ca="1">SUM(AI56,AI46,AI50,AI60)</f>
        <v>20671.589497203582</v>
      </c>
      <c r="AJ81" s="37">
        <f t="shared" ref="AJ81:BB81" ca="1" si="96">SUM(AJ56,AJ46,AJ50,AJ60)</f>
        <v>23696.356043000778</v>
      </c>
      <c r="AK81" s="37">
        <f t="shared" ca="1" si="96"/>
        <v>26882.233329579918</v>
      </c>
      <c r="AL81" s="37">
        <f t="shared" ca="1" si="96"/>
        <v>30269.876312198052</v>
      </c>
      <c r="AM81" s="37">
        <f t="shared" ca="1" si="96"/>
        <v>33864.290500278898</v>
      </c>
      <c r="AN81" s="37">
        <f t="shared" ca="1" si="96"/>
        <v>37668.719829362213</v>
      </c>
      <c r="AO81" s="37">
        <f t="shared" ca="1" si="96"/>
        <v>41687.667593117207</v>
      </c>
      <c r="AP81" s="37">
        <f t="shared" ca="1" si="96"/>
        <v>45896.270114390216</v>
      </c>
      <c r="AQ81" s="37">
        <f t="shared" ca="1" si="96"/>
        <v>50332.750809995916</v>
      </c>
      <c r="AR81" s="37">
        <f t="shared" ca="1" si="96"/>
        <v>55005.118153961092</v>
      </c>
      <c r="AS81" s="37">
        <f t="shared" ca="1" si="96"/>
        <v>59924.095214799738</v>
      </c>
      <c r="AT81" s="37">
        <f t="shared" ca="1" si="96"/>
        <v>65099.04634356391</v>
      </c>
      <c r="AU81" s="37">
        <f t="shared" ca="1" si="96"/>
        <v>70496.724867408411</v>
      </c>
      <c r="AV81" s="37">
        <f t="shared" ca="1" si="96"/>
        <v>76167.054439859436</v>
      </c>
      <c r="AW81" s="37">
        <f t="shared" ca="1" si="96"/>
        <v>82113.915017900945</v>
      </c>
      <c r="AX81" s="37">
        <f t="shared" ca="1" si="96"/>
        <v>88339.693656496864</v>
      </c>
      <c r="AY81" s="37">
        <f t="shared" ca="1" si="96"/>
        <v>94847.808427349708</v>
      </c>
      <c r="AZ81" s="37" t="e">
        <f t="shared" ca="1" si="96"/>
        <v>#N/A</v>
      </c>
      <c r="BA81" s="37" t="e">
        <f t="shared" ca="1" si="96"/>
        <v>#N/A</v>
      </c>
      <c r="BB81" s="37" t="e">
        <f t="shared" ca="1" si="96"/>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7260.3328656125832</v>
      </c>
      <c r="AI82" s="39">
        <f ca="1">SUM(AI57,AI47)+SUM(AI48,AI58)*AI67</f>
        <v>8268.4872726088906</v>
      </c>
      <c r="AJ82" s="39">
        <f t="shared" ref="AJ82:BB82" ca="1" si="97">SUM(AJ57,AJ47)+SUM(AJ48,AJ58)*AJ67</f>
        <v>9341.3940471414262</v>
      </c>
      <c r="AK82" s="39">
        <f t="shared" ca="1" si="97"/>
        <v>10468.693210670375</v>
      </c>
      <c r="AL82" s="39">
        <f t="shared" ca="1" si="97"/>
        <v>11666.094852845697</v>
      </c>
      <c r="AM82" s="39">
        <f t="shared" ca="1" si="97"/>
        <v>12935.121505328229</v>
      </c>
      <c r="AN82" s="39">
        <f t="shared" ca="1" si="97"/>
        <v>14276.675379153581</v>
      </c>
      <c r="AO82" s="39">
        <f t="shared" ca="1" si="97"/>
        <v>15692.183102382573</v>
      </c>
      <c r="AP82" s="39">
        <f t="shared" ca="1" si="97"/>
        <v>17172.107392779253</v>
      </c>
      <c r="AQ82" s="39">
        <f t="shared" ca="1" si="97"/>
        <v>18730.641566023849</v>
      </c>
      <c r="AR82" s="39">
        <f t="shared" ca="1" si="97"/>
        <v>20370.520999078846</v>
      </c>
      <c r="AS82" s="39">
        <f t="shared" ca="1" si="97"/>
        <v>22095.477320061334</v>
      </c>
      <c r="AT82" s="39">
        <f t="shared" ca="1" si="97"/>
        <v>23908.723769681565</v>
      </c>
      <c r="AU82" s="39">
        <f t="shared" ca="1" si="97"/>
        <v>25797.872625399912</v>
      </c>
      <c r="AV82" s="39">
        <f t="shared" ca="1" si="97"/>
        <v>27781.071086209064</v>
      </c>
      <c r="AW82" s="39">
        <f t="shared" ca="1" si="97"/>
        <v>29859.513376836003</v>
      </c>
      <c r="AX82" s="39">
        <f t="shared" ca="1" si="97"/>
        <v>32033.871853892681</v>
      </c>
      <c r="AY82" s="39">
        <f t="shared" ca="1" si="97"/>
        <v>34305.213044350727</v>
      </c>
      <c r="AZ82" s="39" t="e">
        <f t="shared" ca="1" si="97"/>
        <v>#N/A</v>
      </c>
      <c r="BA82" s="39" t="e">
        <f t="shared" ca="1" si="97"/>
        <v>#N/A</v>
      </c>
      <c r="BB82" s="39" t="e">
        <f t="shared" ca="1" si="97"/>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0</v>
      </c>
      <c r="AI83" s="37">
        <f ca="1">SUM(AI59,AI49)</f>
        <v>0</v>
      </c>
      <c r="AJ83" s="37">
        <f t="shared" ref="AJ83:BB83" ca="1" si="98">SUM(AJ59,AJ49)</f>
        <v>0</v>
      </c>
      <c r="AK83" s="37">
        <f t="shared" ca="1" si="98"/>
        <v>0</v>
      </c>
      <c r="AL83" s="37">
        <f t="shared" ca="1" si="98"/>
        <v>0</v>
      </c>
      <c r="AM83" s="37">
        <f t="shared" ca="1" si="98"/>
        <v>0</v>
      </c>
      <c r="AN83" s="37">
        <f t="shared" ca="1" si="98"/>
        <v>0</v>
      </c>
      <c r="AO83" s="37">
        <f t="shared" ca="1" si="98"/>
        <v>0</v>
      </c>
      <c r="AP83" s="37">
        <f t="shared" ca="1" si="98"/>
        <v>0</v>
      </c>
      <c r="AQ83" s="37">
        <f t="shared" ca="1" si="98"/>
        <v>0</v>
      </c>
      <c r="AR83" s="37">
        <f t="shared" ca="1" si="98"/>
        <v>0</v>
      </c>
      <c r="AS83" s="37">
        <f t="shared" ca="1" si="98"/>
        <v>0</v>
      </c>
      <c r="AT83" s="37">
        <f t="shared" ca="1" si="98"/>
        <v>0</v>
      </c>
      <c r="AU83" s="37">
        <f t="shared" ca="1" si="98"/>
        <v>0</v>
      </c>
      <c r="AV83" s="37">
        <f t="shared" ca="1" si="98"/>
        <v>0</v>
      </c>
      <c r="AW83" s="37">
        <f t="shared" ca="1" si="98"/>
        <v>0</v>
      </c>
      <c r="AX83" s="37">
        <f t="shared" ca="1" si="98"/>
        <v>0</v>
      </c>
      <c r="AY83" s="37">
        <f t="shared" ca="1" si="98"/>
        <v>0</v>
      </c>
      <c r="AZ83" s="37" t="e">
        <f t="shared" ca="1" si="98"/>
        <v>#N/A</v>
      </c>
      <c r="BA83" s="37" t="e">
        <f t="shared" ca="1" si="98"/>
        <v>#N/A</v>
      </c>
      <c r="BB83" s="37" t="e">
        <f t="shared" ca="1" si="98"/>
        <v>#N/A</v>
      </c>
    </row>
    <row r="84" spans="12:54" x14ac:dyDescent="0.25">
      <c r="AG84" s="1" t="s">
        <v>59</v>
      </c>
      <c r="AH84" s="37">
        <f ca="1">SUM(AH48,AH58)*(1-AH67)</f>
        <v>42702.928803798823</v>
      </c>
      <c r="AI84" s="37">
        <f ca="1">SUM(AI48,AI58)*(1-AI67)</f>
        <v>48973.862953490105</v>
      </c>
      <c r="AJ84" s="37">
        <f t="shared" ref="AJ84:BB84" ca="1" si="99">SUM(AJ48,AJ58)*(1-AJ67)</f>
        <v>55651.743504604463</v>
      </c>
      <c r="AK84" s="37">
        <f t="shared" ca="1" si="99"/>
        <v>62675.495337023553</v>
      </c>
      <c r="AL84" s="37">
        <f t="shared" ca="1" si="99"/>
        <v>70139.469691014325</v>
      </c>
      <c r="AM84" s="37">
        <f t="shared" ca="1" si="99"/>
        <v>78053.815816033937</v>
      </c>
      <c r="AN84" s="37">
        <f t="shared" ca="1" si="99"/>
        <v>86424.809993479867</v>
      </c>
      <c r="AO84" s="37">
        <f t="shared" ca="1" si="99"/>
        <v>95261.785815594922</v>
      </c>
      <c r="AP84" s="37">
        <f t="shared" ca="1" si="99"/>
        <v>104507.29199234236</v>
      </c>
      <c r="AQ84" s="37">
        <f t="shared" ca="1" si="99"/>
        <v>114247.97958526875</v>
      </c>
      <c r="AR84" s="37">
        <f t="shared" ca="1" si="99"/>
        <v>124501.15391653351</v>
      </c>
      <c r="AS84" s="37">
        <f t="shared" ca="1" si="99"/>
        <v>135290.2323281935</v>
      </c>
      <c r="AT84" s="37">
        <f t="shared" ca="1" si="99"/>
        <v>146635.50259611185</v>
      </c>
      <c r="AU84" s="37">
        <f t="shared" ca="1" si="99"/>
        <v>158461.44464238686</v>
      </c>
      <c r="AV84" s="37">
        <f t="shared" ca="1" si="99"/>
        <v>170879.84098335367</v>
      </c>
      <c r="AW84" s="37">
        <f t="shared" ca="1" si="99"/>
        <v>183898.60877011027</v>
      </c>
      <c r="AX84" s="37">
        <f t="shared" ca="1" si="99"/>
        <v>197522.39657824527</v>
      </c>
      <c r="AY84" s="37">
        <f t="shared" ca="1" si="99"/>
        <v>211758.23063432539</v>
      </c>
      <c r="AZ84" s="37" t="e">
        <f t="shared" ca="1" si="99"/>
        <v>#N/A</v>
      </c>
      <c r="BA84" s="37" t="e">
        <f t="shared" ca="1" si="99"/>
        <v>#N/A</v>
      </c>
      <c r="BB84" s="37" t="e">
        <f t="shared" ca="1" si="99"/>
        <v>#N/A</v>
      </c>
    </row>
    <row r="85" spans="12:54" x14ac:dyDescent="0.25">
      <c r="AG85" s="12" t="s">
        <v>60</v>
      </c>
      <c r="AH85" s="45">
        <f ca="1">SUM(AH80:AH84)</f>
        <v>355492.63317470468</v>
      </c>
      <c r="AI85" s="45">
        <f ca="1">SUM(AI80:AI84)</f>
        <v>406147.39549294062</v>
      </c>
      <c r="AJ85" s="45">
        <f t="shared" ref="AJ85:BB85" ca="1" si="100">SUM(AJ80:AJ84)</f>
        <v>460071.43800991867</v>
      </c>
      <c r="AK85" s="45">
        <f t="shared" ca="1" si="100"/>
        <v>516756.96404250636</v>
      </c>
      <c r="AL85" s="45">
        <f t="shared" ca="1" si="100"/>
        <v>576980.57660147268</v>
      </c>
      <c r="AM85" s="45">
        <f t="shared" ca="1" si="100"/>
        <v>640821.34454647126</v>
      </c>
      <c r="AN85" s="45">
        <f t="shared" ca="1" si="100"/>
        <v>708327.11403606087</v>
      </c>
      <c r="AO85" s="45">
        <f t="shared" ca="1" si="100"/>
        <v>779571.30589068914</v>
      </c>
      <c r="AP85" s="45">
        <f t="shared" ca="1" si="100"/>
        <v>854081.80686496582</v>
      </c>
      <c r="AQ85" s="45">
        <f t="shared" ca="1" si="100"/>
        <v>932565.57461182203</v>
      </c>
      <c r="AR85" s="45">
        <f t="shared" ca="1" si="100"/>
        <v>1015161.1485602329</v>
      </c>
      <c r="AS85" s="45">
        <f t="shared" ca="1" si="100"/>
        <v>1102056.8035748121</v>
      </c>
      <c r="AT85" s="45">
        <f t="shared" ca="1" si="100"/>
        <v>1193415.1273705377</v>
      </c>
      <c r="AU85" s="45">
        <f t="shared" ca="1" si="100"/>
        <v>1288619.5051861976</v>
      </c>
      <c r="AV85" s="45">
        <f t="shared" ca="1" si="100"/>
        <v>1388577.5920164119</v>
      </c>
      <c r="AW85" s="45">
        <f t="shared" ca="1" si="100"/>
        <v>1493351.2419250328</v>
      </c>
      <c r="AX85" s="45">
        <f t="shared" ca="1" si="100"/>
        <v>1602976.0027342925</v>
      </c>
      <c r="AY85" s="45">
        <f t="shared" ca="1" si="100"/>
        <v>1717506.9466306043</v>
      </c>
      <c r="AZ85" s="45" t="e">
        <f t="shared" ca="1" si="100"/>
        <v>#N/A</v>
      </c>
      <c r="BA85" s="45" t="e">
        <f t="shared" ca="1" si="100"/>
        <v>#N/A</v>
      </c>
      <c r="BB85" s="45" t="e">
        <f t="shared" ca="1" si="100"/>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182</v>
      </c>
      <c r="AH87" s="6"/>
    </row>
    <row r="88" spans="12:54" x14ac:dyDescent="0.25">
      <c r="AF88" s="6" t="s">
        <v>178</v>
      </c>
      <c r="AG88" s="38"/>
      <c r="AH88" s="36">
        <f>AI88-1</f>
        <v>2018</v>
      </c>
      <c r="AI88" s="36">
        <f>Yr_Start</f>
        <v>2019</v>
      </c>
      <c r="AJ88" s="36">
        <f>AI88+1</f>
        <v>2020</v>
      </c>
      <c r="AK88" s="36">
        <f t="shared" ref="AK88:BB88" si="101">AJ88+1</f>
        <v>2021</v>
      </c>
      <c r="AL88" s="36">
        <f t="shared" si="101"/>
        <v>2022</v>
      </c>
      <c r="AM88" s="36">
        <f t="shared" si="101"/>
        <v>2023</v>
      </c>
      <c r="AN88" s="36">
        <f t="shared" si="101"/>
        <v>2024</v>
      </c>
      <c r="AO88" s="36">
        <f t="shared" si="101"/>
        <v>2025</v>
      </c>
      <c r="AP88" s="36">
        <f t="shared" si="101"/>
        <v>2026</v>
      </c>
      <c r="AQ88" s="36">
        <f t="shared" si="101"/>
        <v>2027</v>
      </c>
      <c r="AR88" s="36">
        <f t="shared" si="101"/>
        <v>2028</v>
      </c>
      <c r="AS88" s="36">
        <f t="shared" si="101"/>
        <v>2029</v>
      </c>
      <c r="AT88" s="36">
        <f t="shared" si="101"/>
        <v>2030</v>
      </c>
      <c r="AU88" s="36">
        <f t="shared" si="101"/>
        <v>2031</v>
      </c>
      <c r="AV88" s="36">
        <f t="shared" si="101"/>
        <v>2032</v>
      </c>
      <c r="AW88" s="36">
        <f t="shared" si="101"/>
        <v>2033</v>
      </c>
      <c r="AX88" s="36">
        <f t="shared" si="101"/>
        <v>2034</v>
      </c>
      <c r="AY88" s="36">
        <f t="shared" si="101"/>
        <v>2035</v>
      </c>
      <c r="AZ88" s="36">
        <f t="shared" si="101"/>
        <v>2036</v>
      </c>
      <c r="BA88" s="36">
        <f t="shared" si="101"/>
        <v>2037</v>
      </c>
      <c r="BB88" s="36">
        <f t="shared" si="101"/>
        <v>2038</v>
      </c>
    </row>
    <row r="89" spans="12:54" x14ac:dyDescent="0.25">
      <c r="AG89" s="1" t="s">
        <v>52</v>
      </c>
      <c r="AH89" s="1"/>
      <c r="AI89" s="37">
        <f ca="1">IF((AI71-AH71)&lt;0,AH71/3.2,(AI71-AH71)+AH71/3.2)</f>
        <v>76608.355550086533</v>
      </c>
      <c r="AJ89" s="37">
        <f ca="1">IF((AJ71-AI71)&lt;0,AI71/3.2,(AJ71-AI71)+AI71/3.2)</f>
        <v>68750.098489621509</v>
      </c>
      <c r="AK89" s="37">
        <f t="shared" ref="AK89:BB93" ca="1" si="102">IF((AK71-AJ71)&lt;0,AJ71/3.2,(AK71-AJ71)+AJ71/3.2)</f>
        <v>71148.587861336215</v>
      </c>
      <c r="AL89" s="37">
        <f t="shared" ca="1" si="102"/>
        <v>73844.22937442243</v>
      </c>
      <c r="AM89" s="37">
        <f t="shared" ca="1" si="102"/>
        <v>76604.894368745576</v>
      </c>
      <c r="AN89" s="37">
        <f t="shared" ca="1" si="102"/>
        <v>79418.720724976098</v>
      </c>
      <c r="AO89" s="37">
        <f t="shared" ca="1" si="102"/>
        <v>82291.510761234997</v>
      </c>
      <c r="AP89" s="37">
        <f t="shared" ca="1" si="102"/>
        <v>85060.498402572601</v>
      </c>
      <c r="AQ89" s="37">
        <f t="shared" ca="1" si="102"/>
        <v>88038.649617093892</v>
      </c>
      <c r="AR89" s="37">
        <f t="shared" ca="1" si="102"/>
        <v>93116.156274006382</v>
      </c>
      <c r="AS89" s="37">
        <f t="shared" ca="1" si="102"/>
        <v>97878.922507330135</v>
      </c>
      <c r="AT89" s="37">
        <f t="shared" ca="1" si="102"/>
        <v>102256.3058424944</v>
      </c>
      <c r="AU89" s="37">
        <f t="shared" ca="1" si="102"/>
        <v>106605.91298671679</v>
      </c>
      <c r="AV89" s="37">
        <f t="shared" ca="1" si="102"/>
        <v>111253.50111976266</v>
      </c>
      <c r="AW89" s="37">
        <f t="shared" ca="1" si="102"/>
        <v>116046.89559887171</v>
      </c>
      <c r="AX89" s="37">
        <f t="shared" ca="1" si="102"/>
        <v>120979.17789424246</v>
      </c>
      <c r="AY89" s="37">
        <f t="shared" ca="1" si="102"/>
        <v>126052.54141424233</v>
      </c>
      <c r="AZ89" s="37" t="e">
        <f t="shared" ca="1" si="102"/>
        <v>#N/A</v>
      </c>
      <c r="BA89" s="37" t="e">
        <f t="shared" ca="1" si="102"/>
        <v>#N/A</v>
      </c>
      <c r="BB89" s="37" t="e">
        <f t="shared" ca="1" si="102"/>
        <v>#N/A</v>
      </c>
    </row>
    <row r="90" spans="12:54" x14ac:dyDescent="0.25">
      <c r="AG90" s="1" t="s">
        <v>54</v>
      </c>
      <c r="AH90" s="1"/>
      <c r="AI90" s="37">
        <f t="shared" ref="AI90:AY93" ca="1" si="103">IF((AI72-AH72)&lt;0,AH72/3.2,(AI72-AH72)+AH72/3.2)</f>
        <v>6481.5675394890568</v>
      </c>
      <c r="AJ90" s="37">
        <f t="shared" ca="1" si="103"/>
        <v>5825.5875807275406</v>
      </c>
      <c r="AK90" s="37">
        <f t="shared" ca="1" si="103"/>
        <v>6132.6269918107637</v>
      </c>
      <c r="AL90" s="37">
        <f t="shared" ca="1" si="103"/>
        <v>6471.5397220926443</v>
      </c>
      <c r="AM90" s="37">
        <f t="shared" ca="1" si="103"/>
        <v>6823.8715250516498</v>
      </c>
      <c r="AN90" s="37">
        <f t="shared" ca="1" si="103"/>
        <v>7188.8098946423479</v>
      </c>
      <c r="AO90" s="37">
        <f t="shared" ca="1" si="103"/>
        <v>7567.043615717751</v>
      </c>
      <c r="AP90" s="37">
        <f t="shared" ca="1" si="103"/>
        <v>7944.0437299783098</v>
      </c>
      <c r="AQ90" s="37">
        <f t="shared" ca="1" si="103"/>
        <v>8347.9547998581766</v>
      </c>
      <c r="AR90" s="37">
        <f t="shared" ca="1" si="103"/>
        <v>8767.7725667593586</v>
      </c>
      <c r="AS90" s="37">
        <f t="shared" ca="1" si="103"/>
        <v>9320.6410299187937</v>
      </c>
      <c r="AT90" s="37">
        <f t="shared" ca="1" si="103"/>
        <v>9998.5043209621872</v>
      </c>
      <c r="AU90" s="37">
        <f t="shared" ca="1" si="103"/>
        <v>10567.687809231804</v>
      </c>
      <c r="AV90" s="37">
        <f t="shared" ca="1" si="103"/>
        <v>11174.72491874548</v>
      </c>
      <c r="AW90" s="37">
        <f t="shared" ca="1" si="103"/>
        <v>11805.632198380252</v>
      </c>
      <c r="AX90" s="37">
        <f t="shared" ca="1" si="103"/>
        <v>12459.966792404348</v>
      </c>
      <c r="AY90" s="37">
        <f t="shared" ca="1" si="103"/>
        <v>13138.164141786538</v>
      </c>
      <c r="AZ90" s="37" t="e">
        <f t="shared" ca="1" si="102"/>
        <v>#N/A</v>
      </c>
      <c r="BA90" s="37" t="e">
        <f t="shared" ca="1" si="102"/>
        <v>#N/A</v>
      </c>
      <c r="BB90" s="37" t="e">
        <f t="shared" ca="1" si="102"/>
        <v>#N/A</v>
      </c>
    </row>
    <row r="91" spans="12:54" x14ac:dyDescent="0.25">
      <c r="AG91" s="1" t="s">
        <v>56</v>
      </c>
      <c r="AH91" s="1"/>
      <c r="AI91" s="37">
        <f t="shared" ca="1" si="103"/>
        <v>3165.8200437398273</v>
      </c>
      <c r="AJ91" s="37">
        <f t="shared" ca="1" si="103"/>
        <v>4006.5341628283427</v>
      </c>
      <c r="AK91" s="37">
        <f t="shared" ca="1" si="102"/>
        <v>4547.0014019538339</v>
      </c>
      <c r="AL91" s="37">
        <f t="shared" ca="1" si="102"/>
        <v>5130.6253116784337</v>
      </c>
      <c r="AM91" s="37">
        <f t="shared" ca="1" si="102"/>
        <v>5748.5695753745458</v>
      </c>
      <c r="AN91" s="37">
        <f t="shared" ca="1" si="102"/>
        <v>6400.8865234066552</v>
      </c>
      <c r="AO91" s="37">
        <f t="shared" ca="1" si="102"/>
        <v>7088.6752156290486</v>
      </c>
      <c r="AP91" s="37">
        <f t="shared" ca="1" si="102"/>
        <v>7799.605769378697</v>
      </c>
      <c r="AQ91" s="37">
        <f t="shared" ca="1" si="102"/>
        <v>8558.1902542548014</v>
      </c>
      <c r="AR91" s="37">
        <f t="shared" ca="1" si="102"/>
        <v>9356.6682480700656</v>
      </c>
      <c r="AS91" s="37">
        <f t="shared" ca="1" si="102"/>
        <v>10197.561771606317</v>
      </c>
      <c r="AT91" s="37">
        <f t="shared" ca="1" si="102"/>
        <v>11081.951039964462</v>
      </c>
      <c r="AU91" s="37">
        <f t="shared" ca="1" si="102"/>
        <v>11991.677238893712</v>
      </c>
      <c r="AV91" s="37">
        <f t="shared" ca="1" si="102"/>
        <v>12960.254318217028</v>
      </c>
      <c r="AW91" s="37">
        <f t="shared" ca="1" si="102"/>
        <v>13973.92015221208</v>
      </c>
      <c r="AX91" s="37">
        <f t="shared" ca="1" si="102"/>
        <v>15032.636702250316</v>
      </c>
      <c r="AY91" s="37">
        <f t="shared" ca="1" si="102"/>
        <v>16137.31486625545</v>
      </c>
      <c r="AZ91" s="37" t="e">
        <f t="shared" ca="1" si="102"/>
        <v>#N/A</v>
      </c>
      <c r="BA91" s="37" t="e">
        <f t="shared" ca="1" si="102"/>
        <v>#N/A</v>
      </c>
      <c r="BB91" s="37" t="e">
        <f t="shared" ca="1" si="102"/>
        <v>#N/A</v>
      </c>
    </row>
    <row r="92" spans="12:54" x14ac:dyDescent="0.25">
      <c r="AG92" s="1" t="s">
        <v>57</v>
      </c>
      <c r="AH92" s="1"/>
      <c r="AI92" s="37">
        <f t="shared" ca="1" si="103"/>
        <v>0</v>
      </c>
      <c r="AJ92" s="37">
        <f t="shared" ca="1" si="103"/>
        <v>0</v>
      </c>
      <c r="AK92" s="37">
        <f t="shared" ca="1" si="102"/>
        <v>0</v>
      </c>
      <c r="AL92" s="37">
        <f t="shared" ca="1" si="102"/>
        <v>0</v>
      </c>
      <c r="AM92" s="37">
        <f t="shared" ca="1" si="102"/>
        <v>0</v>
      </c>
      <c r="AN92" s="37">
        <f t="shared" ca="1" si="102"/>
        <v>0</v>
      </c>
      <c r="AO92" s="37">
        <f t="shared" ca="1" si="102"/>
        <v>0</v>
      </c>
      <c r="AP92" s="37">
        <f t="shared" ca="1" si="102"/>
        <v>0</v>
      </c>
      <c r="AQ92" s="37">
        <f t="shared" ca="1" si="102"/>
        <v>0</v>
      </c>
      <c r="AR92" s="37">
        <f t="shared" ca="1" si="102"/>
        <v>0</v>
      </c>
      <c r="AS92" s="37">
        <f t="shared" ca="1" si="102"/>
        <v>0</v>
      </c>
      <c r="AT92" s="37">
        <f t="shared" ca="1" si="102"/>
        <v>0</v>
      </c>
      <c r="AU92" s="37">
        <f t="shared" ca="1" si="102"/>
        <v>0</v>
      </c>
      <c r="AV92" s="37">
        <f t="shared" ca="1" si="102"/>
        <v>0</v>
      </c>
      <c r="AW92" s="37">
        <f t="shared" ca="1" si="102"/>
        <v>0</v>
      </c>
      <c r="AX92" s="37">
        <f t="shared" ca="1" si="102"/>
        <v>0</v>
      </c>
      <c r="AY92" s="37">
        <f t="shared" ca="1" si="102"/>
        <v>0</v>
      </c>
      <c r="AZ92" s="37" t="e">
        <f t="shared" ca="1" si="102"/>
        <v>#N/A</v>
      </c>
      <c r="BA92" s="37" t="e">
        <f t="shared" ca="1" si="102"/>
        <v>#N/A</v>
      </c>
      <c r="BB92" s="37" t="e">
        <f t="shared" ca="1" si="102"/>
        <v>#N/A</v>
      </c>
    </row>
    <row r="93" spans="12:54" x14ac:dyDescent="0.25">
      <c r="AG93" s="1" t="s">
        <v>59</v>
      </c>
      <c r="AH93" s="1"/>
      <c r="AI93" s="37">
        <f t="shared" ca="1" si="103"/>
        <v>21902.532663651629</v>
      </c>
      <c r="AJ93" s="37">
        <f t="shared" ca="1" si="103"/>
        <v>42027.613560149206</v>
      </c>
      <c r="AK93" s="37">
        <f t="shared" ca="1" si="102"/>
        <v>51521.316793677601</v>
      </c>
      <c r="AL93" s="37">
        <f t="shared" ca="1" si="102"/>
        <v>61714.345177045121</v>
      </c>
      <c r="AM93" s="37">
        <f t="shared" ca="1" si="102"/>
        <v>72558.784008952629</v>
      </c>
      <c r="AN93" s="37">
        <f t="shared" ca="1" si="102"/>
        <v>84062.279543753422</v>
      </c>
      <c r="AO93" s="37">
        <f t="shared" ca="1" si="102"/>
        <v>96243.623130840482</v>
      </c>
      <c r="AP93" s="37">
        <f t="shared" ca="1" si="102"/>
        <v>108946.32926568035</v>
      </c>
      <c r="AQ93" s="37">
        <f t="shared" ca="1" si="102"/>
        <v>122487.39947789792</v>
      </c>
      <c r="AR93" s="37">
        <f t="shared" ca="1" si="102"/>
        <v>136783.19583114766</v>
      </c>
      <c r="AS93" s="37">
        <f t="shared" ca="1" si="102"/>
        <v>151876.81310641544</v>
      </c>
      <c r="AT93" s="37">
        <f t="shared" ca="1" si="102"/>
        <v>167792.06435470984</v>
      </c>
      <c r="AU93" s="37">
        <f t="shared" ca="1" si="102"/>
        <v>184265.50117200852</v>
      </c>
      <c r="AV93" s="37">
        <f t="shared" ca="1" si="102"/>
        <v>201793.53798174026</v>
      </c>
      <c r="AW93" s="37">
        <f t="shared" ca="1" si="102"/>
        <v>220184.6112428114</v>
      </c>
      <c r="AX93" s="37">
        <f t="shared" ca="1" si="102"/>
        <v>239442.52789850012</v>
      </c>
      <c r="AY93" s="37">
        <f t="shared" ca="1" si="102"/>
        <v>259585.22529494396</v>
      </c>
      <c r="AZ93" s="37" t="e">
        <f t="shared" ca="1" si="102"/>
        <v>#N/A</v>
      </c>
      <c r="BA93" s="37" t="e">
        <f t="shared" ca="1" si="102"/>
        <v>#N/A</v>
      </c>
      <c r="BB93" s="37" t="e">
        <f t="shared" ca="1" si="102"/>
        <v>#N/A</v>
      </c>
    </row>
    <row r="94" spans="12:54" x14ac:dyDescent="0.25">
      <c r="AG94" s="12" t="s">
        <v>60</v>
      </c>
      <c r="AH94" s="12"/>
      <c r="AI94" s="45">
        <f ca="1">SUM(AI89:AI93)</f>
        <v>108158.27579696705</v>
      </c>
      <c r="AJ94" s="45">
        <f ca="1">SUM(AJ89:AJ93)</f>
        <v>120609.8337933266</v>
      </c>
      <c r="AK94" s="45">
        <f t="shared" ref="AK94:BB94" ca="1" si="104">SUM(AK89:AK93)</f>
        <v>133349.53304877842</v>
      </c>
      <c r="AL94" s="45">
        <f t="shared" ca="1" si="104"/>
        <v>147160.73958523863</v>
      </c>
      <c r="AM94" s="45">
        <f t="shared" ca="1" si="104"/>
        <v>161736.11947812443</v>
      </c>
      <c r="AN94" s="45">
        <f t="shared" ca="1" si="104"/>
        <v>177070.69668677851</v>
      </c>
      <c r="AO94" s="45">
        <f t="shared" ca="1" si="104"/>
        <v>193190.85272342229</v>
      </c>
      <c r="AP94" s="45">
        <f t="shared" ca="1" si="104"/>
        <v>209750.47716760996</v>
      </c>
      <c r="AQ94" s="45">
        <f t="shared" ca="1" si="104"/>
        <v>227432.19414910479</v>
      </c>
      <c r="AR94" s="45">
        <f t="shared" ca="1" si="104"/>
        <v>248023.79291998348</v>
      </c>
      <c r="AS94" s="45">
        <f t="shared" ca="1" si="104"/>
        <v>269273.93841527071</v>
      </c>
      <c r="AT94" s="45">
        <f t="shared" ca="1" si="104"/>
        <v>291128.82555813092</v>
      </c>
      <c r="AU94" s="45">
        <f t="shared" ca="1" si="104"/>
        <v>313430.7792068508</v>
      </c>
      <c r="AV94" s="45">
        <f t="shared" ca="1" si="104"/>
        <v>337182.01833846542</v>
      </c>
      <c r="AW94" s="45">
        <f t="shared" ca="1" si="104"/>
        <v>362011.0591922754</v>
      </c>
      <c r="AX94" s="45">
        <f t="shared" ca="1" si="104"/>
        <v>387914.30928739725</v>
      </c>
      <c r="AY94" s="45">
        <f t="shared" ca="1" si="104"/>
        <v>414913.24571722827</v>
      </c>
      <c r="AZ94" s="45" t="e">
        <f t="shared" ca="1" si="104"/>
        <v>#N/A</v>
      </c>
      <c r="BA94" s="45" t="e">
        <f t="shared" ca="1" si="104"/>
        <v>#N/A</v>
      </c>
      <c r="BB94" s="45" t="e">
        <f t="shared" ca="1" si="104"/>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182</v>
      </c>
      <c r="AH96" s="6"/>
      <c r="AS96" s="142"/>
    </row>
    <row r="97" spans="32:54" x14ac:dyDescent="0.25">
      <c r="AF97" s="6" t="s">
        <v>178</v>
      </c>
      <c r="AG97" s="38"/>
      <c r="AH97" s="36">
        <f>AI97-1</f>
        <v>2018</v>
      </c>
      <c r="AI97" s="36">
        <f>Yr_Start</f>
        <v>2019</v>
      </c>
      <c r="AJ97" s="36">
        <f>AI97+1</f>
        <v>2020</v>
      </c>
      <c r="AK97" s="36">
        <f t="shared" ref="AK97:BB97" si="105">AJ97+1</f>
        <v>2021</v>
      </c>
      <c r="AL97" s="36">
        <f t="shared" si="105"/>
        <v>2022</v>
      </c>
      <c r="AM97" s="36">
        <f t="shared" si="105"/>
        <v>2023</v>
      </c>
      <c r="AN97" s="36">
        <f t="shared" si="105"/>
        <v>2024</v>
      </c>
      <c r="AO97" s="36">
        <f t="shared" si="105"/>
        <v>2025</v>
      </c>
      <c r="AP97" s="36">
        <f t="shared" si="105"/>
        <v>2026</v>
      </c>
      <c r="AQ97" s="36">
        <f t="shared" si="105"/>
        <v>2027</v>
      </c>
      <c r="AR97" s="36">
        <f t="shared" si="105"/>
        <v>2028</v>
      </c>
      <c r="AS97" s="36">
        <f t="shared" si="105"/>
        <v>2029</v>
      </c>
      <c r="AT97" s="36">
        <f t="shared" si="105"/>
        <v>2030</v>
      </c>
      <c r="AU97" s="36">
        <f t="shared" si="105"/>
        <v>2031</v>
      </c>
      <c r="AV97" s="36">
        <f t="shared" si="105"/>
        <v>2032</v>
      </c>
      <c r="AW97" s="36">
        <f t="shared" si="105"/>
        <v>2033</v>
      </c>
      <c r="AX97" s="36">
        <f t="shared" si="105"/>
        <v>2034</v>
      </c>
      <c r="AY97" s="36">
        <f t="shared" si="105"/>
        <v>2035</v>
      </c>
      <c r="AZ97" s="36">
        <f t="shared" si="105"/>
        <v>2036</v>
      </c>
      <c r="BA97" s="36">
        <f t="shared" si="105"/>
        <v>2037</v>
      </c>
      <c r="BB97" s="36">
        <f t="shared" si="105"/>
        <v>2038</v>
      </c>
    </row>
    <row r="98" spans="32:54" x14ac:dyDescent="0.25">
      <c r="AG98" s="1" t="s">
        <v>52</v>
      </c>
      <c r="AH98" s="1"/>
      <c r="AI98" s="37">
        <f ca="1">IF((AI80-AH80)&lt;0,AH80/3.2,(AI80-AH80)+AH80/3.2)</f>
        <v>130442.56500811469</v>
      </c>
      <c r="AJ98" s="37">
        <f ca="1">IF((AJ80-AI80)&lt;0,AI80/3.2,(AJ80-AI80)+AI80/3.2)</f>
        <v>145721.4435735459</v>
      </c>
      <c r="AK98" s="37">
        <f t="shared" ref="AK98:BB98" ca="1" si="106">IF((AK80-AJ80)&lt;0,AJ80/3.2,(AK80-AJ80)+AJ80/3.2)</f>
        <v>161405.45537980169</v>
      </c>
      <c r="AL98" s="37">
        <f t="shared" ca="1" si="106"/>
        <v>178402.88800681732</v>
      </c>
      <c r="AM98" s="37">
        <f t="shared" ca="1" si="106"/>
        <v>196345.83589985754</v>
      </c>
      <c r="AN98" s="37">
        <f t="shared" ca="1" si="106"/>
        <v>215228.82858574449</v>
      </c>
      <c r="AO98" s="37">
        <f t="shared" ca="1" si="106"/>
        <v>235084.29455617454</v>
      </c>
      <c r="AP98" s="37">
        <f t="shared" ca="1" si="106"/>
        <v>255491.98966698296</v>
      </c>
      <c r="AQ98" s="37">
        <f t="shared" ca="1" si="106"/>
        <v>277281.23321178381</v>
      </c>
      <c r="AR98" s="37">
        <f t="shared" ca="1" si="106"/>
        <v>300172.0911684176</v>
      </c>
      <c r="AS98" s="37">
        <f t="shared" ca="1" si="106"/>
        <v>324239.00431192928</v>
      </c>
      <c r="AT98" s="37">
        <f t="shared" ca="1" si="106"/>
        <v>349508.29304684704</v>
      </c>
      <c r="AU98" s="37">
        <f t="shared" ca="1" si="106"/>
        <v>375395.3129714409</v>
      </c>
      <c r="AV98" s="37">
        <f t="shared" ca="1" si="106"/>
        <v>402968.49465942569</v>
      </c>
      <c r="AW98" s="37">
        <f t="shared" ca="1" si="106"/>
        <v>431776.33722413011</v>
      </c>
      <c r="AX98" s="37">
        <f t="shared" ca="1" si="106"/>
        <v>461813.08737302991</v>
      </c>
      <c r="AY98" s="37">
        <f t="shared" ca="1" si="106"/>
        <v>493103.16658068891</v>
      </c>
      <c r="AZ98" s="37" t="e">
        <f t="shared" ca="1" si="106"/>
        <v>#N/A</v>
      </c>
      <c r="BA98" s="37" t="e">
        <f t="shared" ca="1" si="106"/>
        <v>#N/A</v>
      </c>
      <c r="BB98" s="37" t="e">
        <f t="shared" ca="1" si="106"/>
        <v>#N/A</v>
      </c>
    </row>
    <row r="99" spans="32:54" x14ac:dyDescent="0.25">
      <c r="AG99" s="1" t="s">
        <v>54</v>
      </c>
      <c r="AH99" s="1"/>
      <c r="AI99" s="37">
        <f t="shared" ref="AI99:BB102" ca="1" si="107">IF((AI81-AH81)&lt;0,AH81/3.2,(AI81-AH81)+AH81/3.2)</f>
        <v>8411.0373488377736</v>
      </c>
      <c r="AJ99" s="37">
        <f t="shared" ca="1" si="107"/>
        <v>9484.6382636733142</v>
      </c>
      <c r="AK99" s="37">
        <f t="shared" ca="1" si="107"/>
        <v>10590.988550016882</v>
      </c>
      <c r="AL99" s="37">
        <f t="shared" ca="1" si="107"/>
        <v>11788.340898111857</v>
      </c>
      <c r="AM99" s="37">
        <f t="shared" ca="1" si="107"/>
        <v>13053.750535642735</v>
      </c>
      <c r="AN99" s="37">
        <f t="shared" ca="1" si="107"/>
        <v>14387.02011042047</v>
      </c>
      <c r="AO99" s="37">
        <f t="shared" ca="1" si="107"/>
        <v>15790.422710430685</v>
      </c>
      <c r="AP99" s="37">
        <f t="shared" ca="1" si="107"/>
        <v>17235.998644122134</v>
      </c>
      <c r="AQ99" s="37">
        <f t="shared" ca="1" si="107"/>
        <v>18779.065106352642</v>
      </c>
      <c r="AR99" s="37">
        <f t="shared" ca="1" si="107"/>
        <v>20401.351972088898</v>
      </c>
      <c r="AS99" s="37">
        <f t="shared" ca="1" si="107"/>
        <v>22108.076483951485</v>
      </c>
      <c r="AT99" s="37">
        <f t="shared" ca="1" si="107"/>
        <v>23901.230883389089</v>
      </c>
      <c r="AU99" s="37">
        <f t="shared" ca="1" si="107"/>
        <v>25741.130506208221</v>
      </c>
      <c r="AV99" s="37">
        <f t="shared" ca="1" si="107"/>
        <v>27700.556093516152</v>
      </c>
      <c r="AW99" s="37">
        <f t="shared" ca="1" si="107"/>
        <v>29749.065090497581</v>
      </c>
      <c r="AX99" s="37">
        <f t="shared" ca="1" si="107"/>
        <v>31886.377081689963</v>
      </c>
      <c r="AY99" s="37">
        <f t="shared" ca="1" si="107"/>
        <v>34114.269038508108</v>
      </c>
      <c r="AZ99" s="37" t="e">
        <f t="shared" ca="1" si="107"/>
        <v>#N/A</v>
      </c>
      <c r="BA99" s="37" t="e">
        <f t="shared" ca="1" si="107"/>
        <v>#N/A</v>
      </c>
      <c r="BB99" s="37" t="e">
        <f t="shared" ca="1" si="107"/>
        <v>#N/A</v>
      </c>
    </row>
    <row r="100" spans="32:54" x14ac:dyDescent="0.25">
      <c r="AG100" s="1" t="s">
        <v>56</v>
      </c>
      <c r="AH100" s="1"/>
      <c r="AI100" s="37">
        <f t="shared" ca="1" si="107"/>
        <v>3277.0084275002396</v>
      </c>
      <c r="AJ100" s="37">
        <f t="shared" ca="1" si="107"/>
        <v>3656.8090472228137</v>
      </c>
      <c r="AK100" s="37">
        <f t="shared" ca="1" si="107"/>
        <v>4046.4848032606446</v>
      </c>
      <c r="AL100" s="37">
        <f t="shared" ca="1" si="107"/>
        <v>4468.8682705098145</v>
      </c>
      <c r="AM100" s="37">
        <f t="shared" ca="1" si="107"/>
        <v>4914.6812939968113</v>
      </c>
      <c r="AN100" s="37">
        <f t="shared" ca="1" si="107"/>
        <v>5383.7793442404236</v>
      </c>
      <c r="AO100" s="37">
        <f t="shared" ca="1" si="107"/>
        <v>5876.968779214485</v>
      </c>
      <c r="AP100" s="37">
        <f t="shared" ca="1" si="107"/>
        <v>6383.7315098912341</v>
      </c>
      <c r="AQ100" s="37">
        <f t="shared" ca="1" si="107"/>
        <v>6924.817733488112</v>
      </c>
      <c r="AR100" s="37">
        <f t="shared" ca="1" si="107"/>
        <v>7493.2049224374496</v>
      </c>
      <c r="AS100" s="37">
        <f t="shared" ca="1" si="107"/>
        <v>8090.7441331946275</v>
      </c>
      <c r="AT100" s="37">
        <f t="shared" ca="1" si="107"/>
        <v>8718.0831121393967</v>
      </c>
      <c r="AU100" s="37">
        <f t="shared" ca="1" si="107"/>
        <v>9360.625033743836</v>
      </c>
      <c r="AV100" s="37">
        <f t="shared" ca="1" si="107"/>
        <v>10045.033656246624</v>
      </c>
      <c r="AW100" s="37">
        <f t="shared" ca="1" si="107"/>
        <v>10760.027005067272</v>
      </c>
      <c r="AX100" s="37">
        <f t="shared" ca="1" si="107"/>
        <v>11505.456407317928</v>
      </c>
      <c r="AY100" s="37">
        <f t="shared" ca="1" si="107"/>
        <v>12281.926144799509</v>
      </c>
      <c r="AZ100" s="37" t="e">
        <f t="shared" ca="1" si="107"/>
        <v>#N/A</v>
      </c>
      <c r="BA100" s="37" t="e">
        <f t="shared" ca="1" si="107"/>
        <v>#N/A</v>
      </c>
      <c r="BB100" s="37" t="e">
        <f t="shared" ca="1" si="107"/>
        <v>#N/A</v>
      </c>
    </row>
    <row r="101" spans="32:54" x14ac:dyDescent="0.25">
      <c r="AG101" s="1" t="s">
        <v>57</v>
      </c>
      <c r="AH101" s="1"/>
      <c r="AI101" s="37">
        <f t="shared" ca="1" si="107"/>
        <v>0</v>
      </c>
      <c r="AJ101" s="37">
        <f t="shared" ca="1" si="107"/>
        <v>0</v>
      </c>
      <c r="AK101" s="37">
        <f t="shared" ca="1" si="107"/>
        <v>0</v>
      </c>
      <c r="AL101" s="37">
        <f t="shared" ca="1" si="107"/>
        <v>0</v>
      </c>
      <c r="AM101" s="37">
        <f t="shared" ca="1" si="107"/>
        <v>0</v>
      </c>
      <c r="AN101" s="37">
        <f t="shared" ca="1" si="107"/>
        <v>0</v>
      </c>
      <c r="AO101" s="37">
        <f t="shared" ca="1" si="107"/>
        <v>0</v>
      </c>
      <c r="AP101" s="37">
        <f t="shared" ca="1" si="107"/>
        <v>0</v>
      </c>
      <c r="AQ101" s="37">
        <f t="shared" ca="1" si="107"/>
        <v>0</v>
      </c>
      <c r="AR101" s="37">
        <f t="shared" ca="1" si="107"/>
        <v>0</v>
      </c>
      <c r="AS101" s="37">
        <f t="shared" ca="1" si="107"/>
        <v>0</v>
      </c>
      <c r="AT101" s="37">
        <f t="shared" ca="1" si="107"/>
        <v>0</v>
      </c>
      <c r="AU101" s="37">
        <f t="shared" ca="1" si="107"/>
        <v>0</v>
      </c>
      <c r="AV101" s="37">
        <f t="shared" ca="1" si="107"/>
        <v>0</v>
      </c>
      <c r="AW101" s="37">
        <f t="shared" ca="1" si="107"/>
        <v>0</v>
      </c>
      <c r="AX101" s="37">
        <f t="shared" ca="1" si="107"/>
        <v>0</v>
      </c>
      <c r="AY101" s="37">
        <f t="shared" ca="1" si="107"/>
        <v>0</v>
      </c>
      <c r="AZ101" s="37" t="e">
        <f t="shared" ca="1" si="107"/>
        <v>#N/A</v>
      </c>
      <c r="BA101" s="37" t="e">
        <f t="shared" ca="1" si="107"/>
        <v>#N/A</v>
      </c>
      <c r="BB101" s="37" t="e">
        <f t="shared" ca="1" si="107"/>
        <v>#N/A</v>
      </c>
    </row>
    <row r="102" spans="32:54" x14ac:dyDescent="0.25">
      <c r="AG102" s="1" t="s">
        <v>59</v>
      </c>
      <c r="AH102" s="1"/>
      <c r="AI102" s="37">
        <f t="shared" ca="1" si="107"/>
        <v>19615.599400878411</v>
      </c>
      <c r="AJ102" s="37">
        <f t="shared" ca="1" si="107"/>
        <v>21982.212724080015</v>
      </c>
      <c r="AK102" s="37">
        <f t="shared" ca="1" si="107"/>
        <v>24414.921677607985</v>
      </c>
      <c r="AL102" s="37">
        <f t="shared" ca="1" si="107"/>
        <v>27050.066646810632</v>
      </c>
      <c r="AM102" s="37">
        <f t="shared" ca="1" si="107"/>
        <v>29832.930403461589</v>
      </c>
      <c r="AN102" s="37">
        <f t="shared" ca="1" si="107"/>
        <v>32762.811619956534</v>
      </c>
      <c r="AO102" s="37">
        <f t="shared" ca="1" si="107"/>
        <v>35844.728945077513</v>
      </c>
      <c r="AP102" s="37">
        <f t="shared" ca="1" si="107"/>
        <v>39014.814244120847</v>
      </c>
      <c r="AQ102" s="37">
        <f t="shared" ca="1" si="107"/>
        <v>42399.216340533378</v>
      </c>
      <c r="AR102" s="37">
        <f t="shared" ca="1" si="107"/>
        <v>45955.667951661242</v>
      </c>
      <c r="AS102" s="37">
        <f t="shared" ca="1" si="107"/>
        <v>49695.689010576702</v>
      </c>
      <c r="AT102" s="37">
        <f t="shared" ca="1" si="107"/>
        <v>53623.467870478824</v>
      </c>
      <c r="AU102" s="37">
        <f t="shared" ca="1" si="107"/>
        <v>57649.536607559967</v>
      </c>
      <c r="AV102" s="37">
        <f t="shared" ca="1" si="107"/>
        <v>61937.597791712702</v>
      </c>
      <c r="AW102" s="37">
        <f t="shared" ca="1" si="107"/>
        <v>66418.71809405461</v>
      </c>
      <c r="AX102" s="37">
        <f t="shared" ca="1" si="107"/>
        <v>71092.103048794466</v>
      </c>
      <c r="AY102" s="37">
        <f t="shared" ca="1" si="107"/>
        <v>75961.582986781752</v>
      </c>
      <c r="AZ102" s="37" t="e">
        <f t="shared" ca="1" si="107"/>
        <v>#N/A</v>
      </c>
      <c r="BA102" s="37" t="e">
        <f t="shared" ca="1" si="107"/>
        <v>#N/A</v>
      </c>
      <c r="BB102" s="37" t="e">
        <f t="shared" ca="1" si="107"/>
        <v>#N/A</v>
      </c>
    </row>
    <row r="103" spans="32:54" x14ac:dyDescent="0.25">
      <c r="AG103" s="12" t="s">
        <v>60</v>
      </c>
      <c r="AH103" s="12"/>
      <c r="AI103" s="45">
        <f ca="1">SUM(AI98:AI102)</f>
        <v>161746.21018533112</v>
      </c>
      <c r="AJ103" s="45">
        <f ca="1">SUM(AJ98:AJ102)</f>
        <v>180845.10360852204</v>
      </c>
      <c r="AK103" s="45">
        <f t="shared" ref="AK103:BB103" ca="1" si="108">SUM(AK98:AK102)</f>
        <v>200457.85041068721</v>
      </c>
      <c r="AL103" s="45">
        <f t="shared" ca="1" si="108"/>
        <v>221710.16382224963</v>
      </c>
      <c r="AM103" s="45">
        <f t="shared" ca="1" si="108"/>
        <v>244147.19813295867</v>
      </c>
      <c r="AN103" s="45">
        <f t="shared" ca="1" si="108"/>
        <v>267762.43966036191</v>
      </c>
      <c r="AO103" s="45">
        <f t="shared" ca="1" si="108"/>
        <v>292596.41499089723</v>
      </c>
      <c r="AP103" s="45">
        <f t="shared" ca="1" si="108"/>
        <v>318126.53406511719</v>
      </c>
      <c r="AQ103" s="45">
        <f t="shared" ca="1" si="108"/>
        <v>345384.33239215793</v>
      </c>
      <c r="AR103" s="45">
        <f t="shared" ca="1" si="108"/>
        <v>374022.31601460517</v>
      </c>
      <c r="AS103" s="45">
        <f t="shared" ca="1" si="108"/>
        <v>404133.51393965207</v>
      </c>
      <c r="AT103" s="45">
        <f t="shared" ca="1" si="108"/>
        <v>435751.0749128543</v>
      </c>
      <c r="AU103" s="45">
        <f t="shared" ca="1" si="108"/>
        <v>468146.60511895292</v>
      </c>
      <c r="AV103" s="45">
        <f t="shared" ca="1" si="108"/>
        <v>502651.68220090121</v>
      </c>
      <c r="AW103" s="45">
        <f t="shared" ca="1" si="108"/>
        <v>538704.1474137496</v>
      </c>
      <c r="AX103" s="45">
        <f t="shared" ca="1" si="108"/>
        <v>576297.02391083224</v>
      </c>
      <c r="AY103" s="45">
        <f t="shared" ca="1" si="108"/>
        <v>615460.94475077826</v>
      </c>
      <c r="AZ103" s="45" t="e">
        <f t="shared" ca="1" si="108"/>
        <v>#N/A</v>
      </c>
      <c r="BA103" s="45" t="e">
        <f t="shared" ca="1" si="108"/>
        <v>#N/A</v>
      </c>
      <c r="BB103" s="45" t="e">
        <f t="shared" ca="1" si="108"/>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09">AJ107+1</f>
        <v>2021</v>
      </c>
      <c r="AL107" s="36">
        <f t="shared" si="109"/>
        <v>2022</v>
      </c>
      <c r="AM107" s="36">
        <f t="shared" si="109"/>
        <v>2023</v>
      </c>
      <c r="AN107" s="36">
        <f t="shared" si="109"/>
        <v>2024</v>
      </c>
      <c r="AO107" s="36">
        <f t="shared" si="109"/>
        <v>2025</v>
      </c>
      <c r="AP107" s="36">
        <f t="shared" si="109"/>
        <v>2026</v>
      </c>
      <c r="AQ107" s="36">
        <f t="shared" si="109"/>
        <v>2027</v>
      </c>
      <c r="AR107" s="36">
        <f t="shared" si="109"/>
        <v>2028</v>
      </c>
      <c r="AS107" s="36">
        <f t="shared" si="109"/>
        <v>2029</v>
      </c>
      <c r="AT107" s="36">
        <f t="shared" si="109"/>
        <v>2030</v>
      </c>
      <c r="AU107" s="36">
        <f t="shared" si="109"/>
        <v>2031</v>
      </c>
      <c r="AV107" s="36">
        <f t="shared" si="109"/>
        <v>2032</v>
      </c>
      <c r="AW107" s="36">
        <f t="shared" si="109"/>
        <v>2033</v>
      </c>
      <c r="AX107" s="36">
        <f t="shared" si="109"/>
        <v>2034</v>
      </c>
      <c r="AY107" s="36">
        <f t="shared" si="109"/>
        <v>2035</v>
      </c>
      <c r="AZ107" s="36">
        <f t="shared" si="109"/>
        <v>2036</v>
      </c>
      <c r="BA107" s="36">
        <f t="shared" si="109"/>
        <v>2037</v>
      </c>
      <c r="BB107" s="36">
        <f t="shared" si="109"/>
        <v>2038</v>
      </c>
    </row>
    <row r="108" spans="32:54" x14ac:dyDescent="0.25">
      <c r="AF108"/>
      <c r="AG108" s="1" t="s">
        <v>52</v>
      </c>
      <c r="AH108" s="1"/>
      <c r="AI108" s="37">
        <f ca="1">AI89+AI98</f>
        <v>207050.92055820121</v>
      </c>
      <c r="AJ108" s="37">
        <f ca="1">AJ89+AJ98</f>
        <v>214471.54206316741</v>
      </c>
      <c r="AK108" s="37">
        <f t="shared" ref="AK108:BB108" ca="1" si="110">AK89+AK98</f>
        <v>232554.0432411379</v>
      </c>
      <c r="AL108" s="37">
        <f t="shared" ca="1" si="110"/>
        <v>252247.11738123975</v>
      </c>
      <c r="AM108" s="37">
        <f t="shared" ca="1" si="110"/>
        <v>272950.73026860313</v>
      </c>
      <c r="AN108" s="37">
        <f t="shared" ca="1" si="110"/>
        <v>294647.54931072058</v>
      </c>
      <c r="AO108" s="37">
        <f t="shared" ca="1" si="110"/>
        <v>317375.80531740957</v>
      </c>
      <c r="AP108" s="37">
        <f t="shared" ca="1" si="110"/>
        <v>340552.48806955555</v>
      </c>
      <c r="AQ108" s="37">
        <f t="shared" ca="1" si="110"/>
        <v>365319.88282887771</v>
      </c>
      <c r="AR108" s="37">
        <f t="shared" ca="1" si="110"/>
        <v>393288.24744242395</v>
      </c>
      <c r="AS108" s="37">
        <f t="shared" ca="1" si="110"/>
        <v>422117.92681925942</v>
      </c>
      <c r="AT108" s="37">
        <f t="shared" ca="1" si="110"/>
        <v>451764.59888934146</v>
      </c>
      <c r="AU108" s="37">
        <f t="shared" ca="1" si="110"/>
        <v>482001.22595815768</v>
      </c>
      <c r="AV108" s="37">
        <f t="shared" ca="1" si="110"/>
        <v>514221.99577918835</v>
      </c>
      <c r="AW108" s="37">
        <f t="shared" ca="1" si="110"/>
        <v>547823.2328230018</v>
      </c>
      <c r="AX108" s="37">
        <f t="shared" ca="1" si="110"/>
        <v>582792.26526727236</v>
      </c>
      <c r="AY108" s="37">
        <f t="shared" ca="1" si="110"/>
        <v>619155.70799493126</v>
      </c>
      <c r="AZ108" s="37" t="e">
        <f t="shared" ca="1" si="110"/>
        <v>#N/A</v>
      </c>
      <c r="BA108" s="37" t="e">
        <f t="shared" ca="1" si="110"/>
        <v>#N/A</v>
      </c>
      <c r="BB108" s="37" t="e">
        <f t="shared" ca="1" si="110"/>
        <v>#N/A</v>
      </c>
    </row>
    <row r="109" spans="32:54" x14ac:dyDescent="0.25">
      <c r="AF109"/>
      <c r="AG109" s="1" t="s">
        <v>54</v>
      </c>
      <c r="AH109" s="1"/>
      <c r="AI109" s="37">
        <f t="shared" ref="AI109" ca="1" si="111">AI90+AI99</f>
        <v>14892.60488832683</v>
      </c>
      <c r="AJ109" s="37">
        <f t="shared" ref="AJ109:BB112" ca="1" si="112">AJ90+AJ99</f>
        <v>15310.225844400855</v>
      </c>
      <c r="AK109" s="37">
        <f t="shared" ca="1" si="112"/>
        <v>16723.615541827647</v>
      </c>
      <c r="AL109" s="37">
        <f t="shared" ca="1" si="112"/>
        <v>18259.880620204502</v>
      </c>
      <c r="AM109" s="37">
        <f t="shared" ca="1" si="112"/>
        <v>19877.622060694386</v>
      </c>
      <c r="AN109" s="37">
        <f t="shared" ca="1" si="112"/>
        <v>21575.830005062817</v>
      </c>
      <c r="AO109" s="37">
        <f t="shared" ca="1" si="112"/>
        <v>23357.466326148435</v>
      </c>
      <c r="AP109" s="37">
        <f t="shared" ca="1" si="112"/>
        <v>25180.042374100442</v>
      </c>
      <c r="AQ109" s="37">
        <f t="shared" ca="1" si="112"/>
        <v>27127.019906210819</v>
      </c>
      <c r="AR109" s="37">
        <f t="shared" ca="1" si="112"/>
        <v>29169.124538848257</v>
      </c>
      <c r="AS109" s="37">
        <f t="shared" ca="1" si="112"/>
        <v>31428.717513870281</v>
      </c>
      <c r="AT109" s="37">
        <f t="shared" ca="1" si="112"/>
        <v>33899.73520435128</v>
      </c>
      <c r="AU109" s="37">
        <f t="shared" ca="1" si="112"/>
        <v>36308.818315440025</v>
      </c>
      <c r="AV109" s="37">
        <f t="shared" ca="1" si="112"/>
        <v>38875.281012261636</v>
      </c>
      <c r="AW109" s="37">
        <f t="shared" ca="1" si="112"/>
        <v>41554.697288877833</v>
      </c>
      <c r="AX109" s="37">
        <f t="shared" ca="1" si="112"/>
        <v>44346.343874094309</v>
      </c>
      <c r="AY109" s="37">
        <f t="shared" ca="1" si="112"/>
        <v>47252.433180294647</v>
      </c>
      <c r="AZ109" s="37" t="e">
        <f t="shared" ca="1" si="112"/>
        <v>#N/A</v>
      </c>
      <c r="BA109" s="37" t="e">
        <f t="shared" ca="1" si="112"/>
        <v>#N/A</v>
      </c>
      <c r="BB109" s="37" t="e">
        <f t="shared" ca="1" si="112"/>
        <v>#N/A</v>
      </c>
    </row>
    <row r="110" spans="32:54" x14ac:dyDescent="0.25">
      <c r="AF110"/>
      <c r="AG110" s="1" t="s">
        <v>56</v>
      </c>
      <c r="AH110" s="1"/>
      <c r="AI110" s="37">
        <f t="shared" ref="AI110" ca="1" si="113">AI91+AI100</f>
        <v>6442.8284712400673</v>
      </c>
      <c r="AJ110" s="37">
        <f t="shared" ca="1" si="112"/>
        <v>7663.3432100511563</v>
      </c>
      <c r="AK110" s="37">
        <f t="shared" ca="1" si="112"/>
        <v>8593.4862052144781</v>
      </c>
      <c r="AL110" s="37">
        <f t="shared" ca="1" si="112"/>
        <v>9599.4935821882482</v>
      </c>
      <c r="AM110" s="37">
        <f t="shared" ca="1" si="112"/>
        <v>10663.250869371357</v>
      </c>
      <c r="AN110" s="37">
        <f t="shared" ca="1" si="112"/>
        <v>11784.66586764708</v>
      </c>
      <c r="AO110" s="37">
        <f t="shared" ca="1" si="112"/>
        <v>12965.643994843533</v>
      </c>
      <c r="AP110" s="37">
        <f t="shared" ca="1" si="112"/>
        <v>14183.33727926993</v>
      </c>
      <c r="AQ110" s="37">
        <f t="shared" ca="1" si="112"/>
        <v>15483.007987742913</v>
      </c>
      <c r="AR110" s="37">
        <f t="shared" ca="1" si="112"/>
        <v>16849.873170507515</v>
      </c>
      <c r="AS110" s="37">
        <f t="shared" ca="1" si="112"/>
        <v>18288.305904800945</v>
      </c>
      <c r="AT110" s="37">
        <f t="shared" ca="1" si="112"/>
        <v>19800.034152103857</v>
      </c>
      <c r="AU110" s="37">
        <f t="shared" ca="1" si="112"/>
        <v>21352.302272637549</v>
      </c>
      <c r="AV110" s="37">
        <f t="shared" ca="1" si="112"/>
        <v>23005.287974463652</v>
      </c>
      <c r="AW110" s="37">
        <f t="shared" ca="1" si="112"/>
        <v>24733.947157279352</v>
      </c>
      <c r="AX110" s="37">
        <f t="shared" ca="1" si="112"/>
        <v>26538.093109568246</v>
      </c>
      <c r="AY110" s="37">
        <f t="shared" ca="1" si="112"/>
        <v>28419.241011054961</v>
      </c>
      <c r="AZ110" s="37" t="e">
        <f t="shared" ca="1" si="112"/>
        <v>#N/A</v>
      </c>
      <c r="BA110" s="37" t="e">
        <f t="shared" ca="1" si="112"/>
        <v>#N/A</v>
      </c>
      <c r="BB110" s="37" t="e">
        <f t="shared" ca="1" si="112"/>
        <v>#N/A</v>
      </c>
    </row>
    <row r="111" spans="32:54" x14ac:dyDescent="0.25">
      <c r="AF111"/>
      <c r="AG111" s="1" t="s">
        <v>57</v>
      </c>
      <c r="AH111" s="1"/>
      <c r="AI111" s="37">
        <f t="shared" ref="AI111" ca="1" si="114">AI92+AI101</f>
        <v>0</v>
      </c>
      <c r="AJ111" s="37">
        <f t="shared" ca="1" si="112"/>
        <v>0</v>
      </c>
      <c r="AK111" s="37">
        <f t="shared" ca="1" si="112"/>
        <v>0</v>
      </c>
      <c r="AL111" s="37">
        <f t="shared" ca="1" si="112"/>
        <v>0</v>
      </c>
      <c r="AM111" s="37">
        <f t="shared" ca="1" si="112"/>
        <v>0</v>
      </c>
      <c r="AN111" s="37">
        <f t="shared" ca="1" si="112"/>
        <v>0</v>
      </c>
      <c r="AO111" s="37">
        <f t="shared" ca="1" si="112"/>
        <v>0</v>
      </c>
      <c r="AP111" s="37">
        <f t="shared" ca="1" si="112"/>
        <v>0</v>
      </c>
      <c r="AQ111" s="37">
        <f t="shared" ca="1" si="112"/>
        <v>0</v>
      </c>
      <c r="AR111" s="37">
        <f t="shared" ca="1" si="112"/>
        <v>0</v>
      </c>
      <c r="AS111" s="37">
        <f t="shared" ca="1" si="112"/>
        <v>0</v>
      </c>
      <c r="AT111" s="37">
        <f t="shared" ca="1" si="112"/>
        <v>0</v>
      </c>
      <c r="AU111" s="37">
        <f t="shared" ca="1" si="112"/>
        <v>0</v>
      </c>
      <c r="AV111" s="37">
        <f t="shared" ca="1" si="112"/>
        <v>0</v>
      </c>
      <c r="AW111" s="37">
        <f t="shared" ca="1" si="112"/>
        <v>0</v>
      </c>
      <c r="AX111" s="37">
        <f t="shared" ca="1" si="112"/>
        <v>0</v>
      </c>
      <c r="AY111" s="37">
        <f t="shared" ca="1" si="112"/>
        <v>0</v>
      </c>
      <c r="AZ111" s="37" t="e">
        <f t="shared" ca="1" si="112"/>
        <v>#N/A</v>
      </c>
      <c r="BA111" s="37" t="e">
        <f t="shared" ca="1" si="112"/>
        <v>#N/A</v>
      </c>
      <c r="BB111" s="37" t="e">
        <f t="shared" ca="1" si="112"/>
        <v>#N/A</v>
      </c>
    </row>
    <row r="112" spans="32:54" x14ac:dyDescent="0.25">
      <c r="AF112"/>
      <c r="AG112" s="1" t="s">
        <v>59</v>
      </c>
      <c r="AH112" s="1"/>
      <c r="AI112" s="37">
        <f ca="1">AI93+AI102</f>
        <v>41518.132064530044</v>
      </c>
      <c r="AJ112" s="37">
        <f ca="1">AJ93+AJ102</f>
        <v>64009.826284229217</v>
      </c>
      <c r="AK112" s="37">
        <f t="shared" ca="1" si="112"/>
        <v>75936.238471285586</v>
      </c>
      <c r="AL112" s="37">
        <f t="shared" ca="1" si="112"/>
        <v>88764.411823855757</v>
      </c>
      <c r="AM112" s="37">
        <f t="shared" ca="1" si="112"/>
        <v>102391.71441241422</v>
      </c>
      <c r="AN112" s="37">
        <f t="shared" ca="1" si="112"/>
        <v>116825.09116370996</v>
      </c>
      <c r="AO112" s="37">
        <f t="shared" ca="1" si="112"/>
        <v>132088.352075918</v>
      </c>
      <c r="AP112" s="37">
        <f t="shared" ca="1" si="112"/>
        <v>147961.14350980119</v>
      </c>
      <c r="AQ112" s="37">
        <f t="shared" ca="1" si="112"/>
        <v>164886.61581843131</v>
      </c>
      <c r="AR112" s="37">
        <f t="shared" ca="1" si="112"/>
        <v>182738.86378280891</v>
      </c>
      <c r="AS112" s="37">
        <f t="shared" ca="1" si="112"/>
        <v>201572.50211699214</v>
      </c>
      <c r="AT112" s="37">
        <f t="shared" ca="1" si="112"/>
        <v>221415.53222518868</v>
      </c>
      <c r="AU112" s="37">
        <f t="shared" ca="1" si="112"/>
        <v>241915.03777956849</v>
      </c>
      <c r="AV112" s="37">
        <f t="shared" ca="1" si="112"/>
        <v>263731.13577345293</v>
      </c>
      <c r="AW112" s="37">
        <f t="shared" ca="1" si="112"/>
        <v>286603.32933686604</v>
      </c>
      <c r="AX112" s="37">
        <f t="shared" ca="1" si="112"/>
        <v>310534.63094729459</v>
      </c>
      <c r="AY112" s="37">
        <f t="shared" ca="1" si="112"/>
        <v>335546.80828172574</v>
      </c>
      <c r="AZ112" s="37" t="e">
        <f t="shared" ca="1" si="112"/>
        <v>#N/A</v>
      </c>
      <c r="BA112" s="37" t="e">
        <f t="shared" ca="1" si="112"/>
        <v>#N/A</v>
      </c>
      <c r="BB112" s="37" t="e">
        <f t="shared" ca="1" si="112"/>
        <v>#N/A</v>
      </c>
    </row>
    <row r="113" spans="32:54" x14ac:dyDescent="0.25">
      <c r="AF113"/>
      <c r="AG113" s="12" t="s">
        <v>60</v>
      </c>
      <c r="AH113" s="12"/>
      <c r="AI113" s="45">
        <f ca="1">SUM(AI108:AI112)</f>
        <v>269904.48598229815</v>
      </c>
      <c r="AJ113" s="45">
        <f ca="1">SUM(AJ108:AJ112)</f>
        <v>301454.93740184861</v>
      </c>
      <c r="AK113" s="45">
        <f t="shared" ref="AK113:BB113" ca="1" si="115">SUM(AK108:AK112)</f>
        <v>333807.38345946564</v>
      </c>
      <c r="AL113" s="45">
        <f t="shared" ca="1" si="115"/>
        <v>368870.90340748831</v>
      </c>
      <c r="AM113" s="45">
        <f t="shared" ca="1" si="115"/>
        <v>405883.3176110831</v>
      </c>
      <c r="AN113" s="45">
        <f t="shared" ca="1" si="115"/>
        <v>444833.13634714042</v>
      </c>
      <c r="AO113" s="45">
        <f t="shared" ca="1" si="115"/>
        <v>485787.26771431952</v>
      </c>
      <c r="AP113" s="45">
        <f t="shared" ca="1" si="115"/>
        <v>527877.01123272709</v>
      </c>
      <c r="AQ113" s="45">
        <f t="shared" ca="1" si="115"/>
        <v>572816.52654126275</v>
      </c>
      <c r="AR113" s="45">
        <f t="shared" ca="1" si="115"/>
        <v>622046.10893458861</v>
      </c>
      <c r="AS113" s="45">
        <f t="shared" ca="1" si="115"/>
        <v>673407.45235492277</v>
      </c>
      <c r="AT113" s="45">
        <f t="shared" ca="1" si="115"/>
        <v>726879.90047098533</v>
      </c>
      <c r="AU113" s="45">
        <f t="shared" ca="1" si="115"/>
        <v>781577.38432580372</v>
      </c>
      <c r="AV113" s="45">
        <f t="shared" ca="1" si="115"/>
        <v>839833.70053936657</v>
      </c>
      <c r="AW113" s="45">
        <f t="shared" ca="1" si="115"/>
        <v>900715.20660602499</v>
      </c>
      <c r="AX113" s="45">
        <f t="shared" ca="1" si="115"/>
        <v>964211.33319822955</v>
      </c>
      <c r="AY113" s="45">
        <f t="shared" ca="1" si="115"/>
        <v>1030374.1904680067</v>
      </c>
      <c r="AZ113" s="45" t="e">
        <f t="shared" ca="1" si="115"/>
        <v>#N/A</v>
      </c>
      <c r="BA113" s="45" t="e">
        <f t="shared" ca="1" si="115"/>
        <v>#N/A</v>
      </c>
      <c r="BB113" s="45" t="e">
        <f t="shared" ca="1" si="115"/>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16">AJ116+1</f>
        <v>2021</v>
      </c>
      <c r="AL116" s="36">
        <f t="shared" si="116"/>
        <v>2022</v>
      </c>
      <c r="AM116" s="36">
        <f t="shared" si="116"/>
        <v>2023</v>
      </c>
      <c r="AN116" s="36">
        <f t="shared" si="116"/>
        <v>2024</v>
      </c>
      <c r="AO116" s="36">
        <f t="shared" si="116"/>
        <v>2025</v>
      </c>
      <c r="AP116" s="36">
        <f t="shared" si="116"/>
        <v>2026</v>
      </c>
      <c r="AQ116" s="36">
        <f t="shared" si="116"/>
        <v>2027</v>
      </c>
      <c r="AR116" s="36">
        <f t="shared" si="116"/>
        <v>2028</v>
      </c>
      <c r="AS116" s="36">
        <f t="shared" si="116"/>
        <v>2029</v>
      </c>
      <c r="AT116" s="36">
        <f t="shared" si="116"/>
        <v>2030</v>
      </c>
      <c r="AU116" s="36">
        <f t="shared" si="116"/>
        <v>2031</v>
      </c>
      <c r="AV116" s="36">
        <f t="shared" si="116"/>
        <v>2032</v>
      </c>
      <c r="AW116" s="36">
        <f t="shared" si="116"/>
        <v>2033</v>
      </c>
      <c r="AX116" s="36">
        <f t="shared" si="116"/>
        <v>2034</v>
      </c>
      <c r="AY116" s="36">
        <f t="shared" si="116"/>
        <v>2035</v>
      </c>
      <c r="AZ116" s="36">
        <f t="shared" si="116"/>
        <v>2036</v>
      </c>
      <c r="BA116" s="36">
        <f t="shared" si="116"/>
        <v>2037</v>
      </c>
      <c r="BB116" s="36">
        <f t="shared" si="116"/>
        <v>2038</v>
      </c>
    </row>
    <row r="117" spans="32:54" x14ac:dyDescent="0.25">
      <c r="AF117"/>
      <c r="AG117" s="1" t="s">
        <v>52</v>
      </c>
      <c r="AH117" s="1"/>
      <c r="AI117" s="37">
        <f ca="1">AI71+AI80</f>
        <v>523576.38821387046</v>
      </c>
      <c r="AJ117" s="37">
        <f t="shared" ref="AJ117:BB117" ca="1" si="117">AJ71+AJ80</f>
        <v>574430.30896020331</v>
      </c>
      <c r="AK117" s="37">
        <f t="shared" ca="1" si="117"/>
        <v>627474.88065127772</v>
      </c>
      <c r="AL117" s="37">
        <f t="shared" ca="1" si="117"/>
        <v>683636.09782899322</v>
      </c>
      <c r="AM117" s="37">
        <f t="shared" ca="1" si="117"/>
        <v>742950.54752603592</v>
      </c>
      <c r="AN117" s="37">
        <f t="shared" ca="1" si="117"/>
        <v>805426.05073487037</v>
      </c>
      <c r="AO117" s="37">
        <f t="shared" ca="1" si="117"/>
        <v>871106.2151976329</v>
      </c>
      <c r="AP117" s="37">
        <f t="shared" ca="1" si="117"/>
        <v>939438.01101792813</v>
      </c>
      <c r="AQ117" s="37">
        <f t="shared" ca="1" si="117"/>
        <v>1011183.5154037033</v>
      </c>
      <c r="AR117" s="37">
        <f t="shared" ca="1" si="117"/>
        <v>1088476.91428247</v>
      </c>
      <c r="AS117" s="37">
        <f t="shared" ca="1" si="117"/>
        <v>1170445.8053884576</v>
      </c>
      <c r="AT117" s="37">
        <f t="shared" ca="1" si="117"/>
        <v>1256446.090093906</v>
      </c>
      <c r="AU117" s="37">
        <f t="shared" ca="1" si="117"/>
        <v>1345807.9128977181</v>
      </c>
      <c r="AV117" s="37">
        <f t="shared" ca="1" si="117"/>
        <v>1439464.9358963696</v>
      </c>
      <c r="AW117" s="37">
        <f t="shared" ca="1" si="117"/>
        <v>1537455.376251756</v>
      </c>
      <c r="AX117" s="37">
        <f t="shared" ca="1" si="117"/>
        <v>1639792.8364403546</v>
      </c>
      <c r="AY117" s="37">
        <f t="shared" ca="1" si="117"/>
        <v>1746513.2830476752</v>
      </c>
      <c r="AZ117" s="37" t="e">
        <f t="shared" ca="1" si="117"/>
        <v>#N/A</v>
      </c>
      <c r="BA117" s="37" t="e">
        <f t="shared" ca="1" si="117"/>
        <v>#N/A</v>
      </c>
      <c r="BB117" s="37" t="e">
        <f t="shared" ca="1" si="117"/>
        <v>#N/A</v>
      </c>
    </row>
    <row r="118" spans="32:54" x14ac:dyDescent="0.25">
      <c r="AF118"/>
      <c r="AG118" s="1" t="s">
        <v>54</v>
      </c>
      <c r="AH118" s="1"/>
      <c r="AI118" s="37">
        <f t="shared" ref="AI118:BB121" ca="1" si="118">AI72+AI81</f>
        <v>36383.804117370208</v>
      </c>
      <c r="AJ118" s="37">
        <f t="shared" ca="1" si="118"/>
        <v>40324.091175092879</v>
      </c>
      <c r="AK118" s="37">
        <f t="shared" ca="1" si="118"/>
        <v>44446.428224703996</v>
      </c>
      <c r="AL118" s="37">
        <f t="shared" ca="1" si="118"/>
        <v>48816.800024688506</v>
      </c>
      <c r="AM118" s="37">
        <f t="shared" ca="1" si="118"/>
        <v>53439.172077667732</v>
      </c>
      <c r="AN118" s="37">
        <f t="shared" ca="1" si="118"/>
        <v>58315.260808459381</v>
      </c>
      <c r="AO118" s="37">
        <f t="shared" ca="1" si="118"/>
        <v>63449.20813196426</v>
      </c>
      <c r="AP118" s="37">
        <f t="shared" ca="1" si="118"/>
        <v>68801.372964825874</v>
      </c>
      <c r="AQ118" s="37">
        <f t="shared" ca="1" si="118"/>
        <v>74427.96381952861</v>
      </c>
      <c r="AR118" s="37">
        <f t="shared" ca="1" si="118"/>
        <v>80338.34966477417</v>
      </c>
      <c r="AS118" s="37">
        <f t="shared" ca="1" si="118"/>
        <v>86661.332908402532</v>
      </c>
      <c r="AT118" s="37">
        <f t="shared" ca="1" si="118"/>
        <v>93479.401578878023</v>
      </c>
      <c r="AU118" s="37">
        <f t="shared" ca="1" si="118"/>
        <v>100575.90690091866</v>
      </c>
      <c r="AV118" s="37">
        <f t="shared" ca="1" si="118"/>
        <v>108021.21700664322</v>
      </c>
      <c r="AW118" s="37">
        <f t="shared" ca="1" si="118"/>
        <v>115819.28398094504</v>
      </c>
      <c r="AX118" s="37">
        <f t="shared" ca="1" si="118"/>
        <v>123972.10161099402</v>
      </c>
      <c r="AY118" s="37">
        <f t="shared" ca="1" si="118"/>
        <v>132483.25303785305</v>
      </c>
      <c r="AZ118" s="37" t="e">
        <f t="shared" ca="1" si="118"/>
        <v>#N/A</v>
      </c>
      <c r="BA118" s="37" t="e">
        <f t="shared" ca="1" si="118"/>
        <v>#N/A</v>
      </c>
      <c r="BB118" s="37" t="e">
        <f t="shared" ca="1" si="118"/>
        <v>#N/A</v>
      </c>
    </row>
    <row r="119" spans="32:54" x14ac:dyDescent="0.25">
      <c r="AF119"/>
      <c r="AG119" s="1" t="s">
        <v>56</v>
      </c>
      <c r="AH119" s="1"/>
      <c r="AI119" s="37">
        <f t="shared" ca="1" si="118"/>
        <v>16408.734211887673</v>
      </c>
      <c r="AJ119" s="37">
        <f t="shared" ca="1" si="118"/>
        <v>18944.347980723935</v>
      </c>
      <c r="AK119" s="37">
        <f t="shared" ca="1" si="118"/>
        <v>21617.725441962182</v>
      </c>
      <c r="AL119" s="37">
        <f t="shared" ca="1" si="118"/>
        <v>24461.679823537248</v>
      </c>
      <c r="AM119" s="37">
        <f t="shared" ca="1" si="118"/>
        <v>27480.655748053214</v>
      </c>
      <c r="AN119" s="37">
        <f t="shared" ca="1" si="118"/>
        <v>30677.616694433666</v>
      </c>
      <c r="AO119" s="37">
        <f t="shared" ca="1" si="118"/>
        <v>34056.505472266683</v>
      </c>
      <c r="AP119" s="37">
        <f t="shared" ca="1" si="118"/>
        <v>37597.18479145327</v>
      </c>
      <c r="AQ119" s="37">
        <f t="shared" ca="1" si="118"/>
        <v>41331.072531867045</v>
      </c>
      <c r="AR119" s="37">
        <f t="shared" ca="1" si="118"/>
        <v>45264.985536166103</v>
      </c>
      <c r="AS119" s="37">
        <f t="shared" ca="1" si="118"/>
        <v>49407.983460915144</v>
      </c>
      <c r="AT119" s="37">
        <f t="shared" ca="1" si="118"/>
        <v>53768.022781483021</v>
      </c>
      <c r="AU119" s="37">
        <f t="shared" ca="1" si="118"/>
        <v>58317.817934907129</v>
      </c>
      <c r="AV119" s="37">
        <f t="shared" ca="1" si="118"/>
        <v>63098.787804712301</v>
      </c>
      <c r="AW119" s="37">
        <f t="shared" ca="1" si="118"/>
        <v>68114.363773019053</v>
      </c>
      <c r="AX119" s="37">
        <f t="shared" ca="1" si="118"/>
        <v>73366.718203518845</v>
      </c>
      <c r="AY119" s="37">
        <f t="shared" ca="1" si="118"/>
        <v>78858.859775974168</v>
      </c>
      <c r="AZ119" s="37" t="e">
        <f t="shared" ca="1" si="118"/>
        <v>#N/A</v>
      </c>
      <c r="BA119" s="37" t="e">
        <f t="shared" ca="1" si="118"/>
        <v>#N/A</v>
      </c>
      <c r="BB119" s="37" t="e">
        <f t="shared" ca="1" si="118"/>
        <v>#N/A</v>
      </c>
    </row>
    <row r="120" spans="32:54" x14ac:dyDescent="0.25">
      <c r="AF120"/>
      <c r="AG120" s="1" t="s">
        <v>57</v>
      </c>
      <c r="AH120" s="1"/>
      <c r="AI120" s="37">
        <f t="shared" ca="1" si="118"/>
        <v>0</v>
      </c>
      <c r="AJ120" s="37">
        <f t="shared" ca="1" si="118"/>
        <v>0</v>
      </c>
      <c r="AK120" s="37">
        <f t="shared" ca="1" si="118"/>
        <v>0</v>
      </c>
      <c r="AL120" s="37">
        <f t="shared" ca="1" si="118"/>
        <v>0</v>
      </c>
      <c r="AM120" s="37">
        <f t="shared" ca="1" si="118"/>
        <v>0</v>
      </c>
      <c r="AN120" s="37">
        <f t="shared" ca="1" si="118"/>
        <v>0</v>
      </c>
      <c r="AO120" s="37">
        <f t="shared" ca="1" si="118"/>
        <v>0</v>
      </c>
      <c r="AP120" s="37">
        <f t="shared" ca="1" si="118"/>
        <v>0</v>
      </c>
      <c r="AQ120" s="37">
        <f t="shared" ca="1" si="118"/>
        <v>0</v>
      </c>
      <c r="AR120" s="37">
        <f t="shared" ca="1" si="118"/>
        <v>0</v>
      </c>
      <c r="AS120" s="37">
        <f t="shared" ca="1" si="118"/>
        <v>0</v>
      </c>
      <c r="AT120" s="37">
        <f t="shared" ca="1" si="118"/>
        <v>0</v>
      </c>
      <c r="AU120" s="37">
        <f t="shared" ca="1" si="118"/>
        <v>0</v>
      </c>
      <c r="AV120" s="37">
        <f t="shared" ca="1" si="118"/>
        <v>0</v>
      </c>
      <c r="AW120" s="37">
        <f t="shared" ca="1" si="118"/>
        <v>0</v>
      </c>
      <c r="AX120" s="37">
        <f t="shared" ca="1" si="118"/>
        <v>0</v>
      </c>
      <c r="AY120" s="37">
        <f t="shared" ca="1" si="118"/>
        <v>0</v>
      </c>
      <c r="AZ120" s="37" t="e">
        <f t="shared" ca="1" si="118"/>
        <v>#N/A</v>
      </c>
      <c r="BA120" s="37" t="e">
        <f t="shared" ca="1" si="118"/>
        <v>#N/A</v>
      </c>
      <c r="BB120" s="37" t="e">
        <f t="shared" ca="1" si="118"/>
        <v>#N/A</v>
      </c>
    </row>
    <row r="121" spans="32:54" x14ac:dyDescent="0.25">
      <c r="AF121"/>
      <c r="AG121" s="1" t="s">
        <v>59</v>
      </c>
      <c r="AH121" s="1"/>
      <c r="AI121" s="37">
        <f t="shared" ca="1" si="118"/>
        <v>103404.12863295653</v>
      </c>
      <c r="AJ121" s="37">
        <f t="shared" ca="1" si="118"/>
        <v>135100.16471938684</v>
      </c>
      <c r="AK121" s="37">
        <f t="shared" ca="1" si="118"/>
        <v>168817.60171586403</v>
      </c>
      <c r="AL121" s="37">
        <f t="shared" ca="1" si="118"/>
        <v>204826.51300351229</v>
      </c>
      <c r="AM121" s="37">
        <f t="shared" ca="1" si="118"/>
        <v>243209.94210232893</v>
      </c>
      <c r="AN121" s="37">
        <f t="shared" ca="1" si="118"/>
        <v>284031.92635906109</v>
      </c>
      <c r="AO121" s="37">
        <f t="shared" ca="1" si="118"/>
        <v>327360.30144777254</v>
      </c>
      <c r="AP121" s="37">
        <f t="shared" ca="1" si="118"/>
        <v>373021.35075514484</v>
      </c>
      <c r="AQ121" s="37">
        <f t="shared" ca="1" si="118"/>
        <v>421338.79446259339</v>
      </c>
      <c r="AR121" s="37">
        <f t="shared" ca="1" si="118"/>
        <v>472409.28497584187</v>
      </c>
      <c r="AS121" s="37">
        <f t="shared" ca="1" si="118"/>
        <v>526353.8855378835</v>
      </c>
      <c r="AT121" s="37">
        <f t="shared" ca="1" si="118"/>
        <v>583283.82853248355</v>
      </c>
      <c r="AU121" s="37">
        <f t="shared" ca="1" si="118"/>
        <v>642922.66989565094</v>
      </c>
      <c r="AV121" s="37">
        <f t="shared" ca="1" si="118"/>
        <v>705740.47132671298</v>
      </c>
      <c r="AW121" s="37">
        <f t="shared" ca="1" si="118"/>
        <v>771799.90337398124</v>
      </c>
      <c r="AX121" s="37">
        <f t="shared" ca="1" si="118"/>
        <v>841147.06451690663</v>
      </c>
      <c r="AY121" s="37">
        <f t="shared" ca="1" si="118"/>
        <v>913835.4151370991</v>
      </c>
      <c r="AZ121" s="37" t="e">
        <f t="shared" ca="1" si="118"/>
        <v>#N/A</v>
      </c>
      <c r="BA121" s="37" t="e">
        <f t="shared" ca="1" si="118"/>
        <v>#N/A</v>
      </c>
      <c r="BB121" s="37" t="e">
        <f t="shared" ca="1" si="118"/>
        <v>#N/A</v>
      </c>
    </row>
    <row r="122" spans="32:54" x14ac:dyDescent="0.25">
      <c r="AF122"/>
      <c r="AG122" s="12" t="s">
        <v>60</v>
      </c>
      <c r="AH122" s="12"/>
      <c r="AI122" s="45">
        <f ca="1">SUM(AI117:AI121)</f>
        <v>679773.05517608486</v>
      </c>
      <c r="AJ122" s="45">
        <f ca="1">SUM(AJ117:AJ121)</f>
        <v>768798.91283540695</v>
      </c>
      <c r="AK122" s="45">
        <f t="shared" ref="AK122:BB122" ca="1" si="119">SUM(AK117:AK121)</f>
        <v>862356.63603380788</v>
      </c>
      <c r="AL122" s="45">
        <f t="shared" ca="1" si="119"/>
        <v>961741.09068073123</v>
      </c>
      <c r="AM122" s="45">
        <f t="shared" ca="1" si="119"/>
        <v>1067080.3174540859</v>
      </c>
      <c r="AN122" s="45">
        <f t="shared" ca="1" si="119"/>
        <v>1178450.8545968244</v>
      </c>
      <c r="AO122" s="45">
        <f t="shared" ca="1" si="119"/>
        <v>1295972.2302496363</v>
      </c>
      <c r="AP122" s="45">
        <f t="shared" ca="1" si="119"/>
        <v>1418857.9195293521</v>
      </c>
      <c r="AQ122" s="45">
        <f t="shared" ca="1" si="119"/>
        <v>1548281.3462176924</v>
      </c>
      <c r="AR122" s="45">
        <f t="shared" ca="1" si="119"/>
        <v>1686489.5344592521</v>
      </c>
      <c r="AS122" s="45">
        <f t="shared" ca="1" si="119"/>
        <v>1832869.0072956586</v>
      </c>
      <c r="AT122" s="45">
        <f t="shared" ca="1" si="119"/>
        <v>1986977.3429867509</v>
      </c>
      <c r="AU122" s="45">
        <f t="shared" ca="1" si="119"/>
        <v>2147624.3076291946</v>
      </c>
      <c r="AV122" s="45">
        <f t="shared" ca="1" si="119"/>
        <v>2316325.412034438</v>
      </c>
      <c r="AW122" s="45">
        <f t="shared" ca="1" si="119"/>
        <v>2493188.9273797013</v>
      </c>
      <c r="AX122" s="45">
        <f t="shared" ca="1" si="119"/>
        <v>2678278.7207717737</v>
      </c>
      <c r="AY122" s="45">
        <f t="shared" ca="1" si="119"/>
        <v>2871690.8109986018</v>
      </c>
      <c r="AZ122" s="45" t="e">
        <f t="shared" ca="1" si="119"/>
        <v>#N/A</v>
      </c>
      <c r="BA122" s="45" t="e">
        <f t="shared" ca="1" si="119"/>
        <v>#N/A</v>
      </c>
      <c r="BB122" s="45" t="e">
        <f t="shared" ca="1" si="119"/>
        <v>#N/A</v>
      </c>
    </row>
    <row r="123" spans="32:54" x14ac:dyDescent="0.25">
      <c r="AF123"/>
    </row>
  </sheetData>
  <conditionalFormatting sqref="AJ77">
    <cfRule type="cellIs" dxfId="72" priority="13" operator="equal">
      <formula>"Check"</formula>
    </cfRule>
  </conditionalFormatting>
  <conditionalFormatting sqref="AK77:BB77">
    <cfRule type="cellIs" dxfId="71" priority="15" operator="equal">
      <formula>"Check"</formula>
    </cfRule>
  </conditionalFormatting>
  <conditionalFormatting sqref="AK86:BB86">
    <cfRule type="cellIs" dxfId="70" priority="14" operator="equal">
      <formula>"Check"</formula>
    </cfRule>
  </conditionalFormatting>
  <conditionalFormatting sqref="AI77">
    <cfRule type="cellIs" dxfId="69" priority="12" operator="equal">
      <formula>"Check"</formula>
    </cfRule>
  </conditionalFormatting>
  <conditionalFormatting sqref="AI86:AJ86">
    <cfRule type="cellIs" dxfId="68" priority="11" operator="equal">
      <formula>"Check"</formula>
    </cfRule>
  </conditionalFormatting>
  <conditionalFormatting sqref="AK104:BB104">
    <cfRule type="cellIs" dxfId="67" priority="9" operator="equal">
      <formula>"Check"</formula>
    </cfRule>
  </conditionalFormatting>
  <conditionalFormatting sqref="AK95:BB95">
    <cfRule type="cellIs" dxfId="66" priority="8" operator="equal">
      <formula>"Check"</formula>
    </cfRule>
  </conditionalFormatting>
  <conditionalFormatting sqref="K11:AE11 K21:AE21 K31:AE31 K41:AE41 K51:AE51 K61:AE61">
    <cfRule type="expression" dxfId="65" priority="7">
      <formula>K11&gt;1</formula>
    </cfRule>
  </conditionalFormatting>
  <conditionalFormatting sqref="J11">
    <cfRule type="expression" dxfId="64" priority="6">
      <formula>J11&gt;1</formula>
    </cfRule>
  </conditionalFormatting>
  <conditionalFormatting sqref="J21">
    <cfRule type="expression" dxfId="63" priority="5">
      <formula>J21&gt;1</formula>
    </cfRule>
  </conditionalFormatting>
  <conditionalFormatting sqref="J31">
    <cfRule type="expression" dxfId="62" priority="4">
      <formula>J31&gt;1</formula>
    </cfRule>
  </conditionalFormatting>
  <conditionalFormatting sqref="J41">
    <cfRule type="expression" dxfId="61" priority="3">
      <formula>J41&gt;1</formula>
    </cfRule>
  </conditionalFormatting>
  <conditionalFormatting sqref="J51">
    <cfRule type="expression" dxfId="60" priority="2">
      <formula>J51&gt;1</formula>
    </cfRule>
  </conditionalFormatting>
  <conditionalFormatting sqref="J61">
    <cfRule type="expression" dxfId="59" priority="1">
      <formula>J61&gt;1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A16" zoomScale="70" zoomScaleNormal="70" workbookViewId="0">
      <pane xSplit="1" topLeftCell="I1" activePane="topRight" state="frozen"/>
      <selection activeCell="G24" sqref="G24"/>
      <selection pane="topRight"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2.42578125"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s>
  <sheetData>
    <row r="1" spans="1:54" x14ac:dyDescent="0.25">
      <c r="A1" s="6" t="s">
        <v>22</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36"/>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INDEX(Data_FP!$2:$1048576,MATCH(C$4&amp;$A$4&amp;$B5&amp;$A$1,Data_FP!$A$2:$A$1048576,0),MATCH($A$3,Data_FP!$2:$2,0))</f>
        <v>9.9697999999999991E-3</v>
      </c>
      <c r="D5" s="14">
        <f ca="1">INDEX(Data_FP!$2:$1048576,MATCH(D$4&amp;$A$4&amp;$B5&amp;$A$1,Data_FP!$A$2:$A$1048576,0),MATCH($A$3,Data_FP!$2:$2,0))</f>
        <v>3.09257E-2</v>
      </c>
      <c r="E5" s="14">
        <f ca="1">IF('User Settings'!$N$7="On",($D5-$C5)/($D$4-$C$4),0)</f>
        <v>4.1911800000000001E-3</v>
      </c>
      <c r="F5" s="14">
        <f ca="1">MAX(0,MIN(1,($D5+$E5*(F$4-$D$4))))</f>
        <v>4.3499240000000002E-2</v>
      </c>
      <c r="G5" s="14"/>
      <c r="H5" s="14">
        <f ca="1">MAX(0,MIN(1,($D5+$E5*(H$4-$D$4))*$H$1))</f>
        <v>5.6072780000000003E-2</v>
      </c>
      <c r="I5" s="14">
        <f t="shared" ref="I5:I10" ca="1" si="4">($H5-$F5)/($H$4-$F$4)</f>
        <v>4.1911800000000001E-3</v>
      </c>
      <c r="J5" s="14">
        <f ca="1">K5-E5</f>
        <v>3.9308059999999999E-2</v>
      </c>
      <c r="K5" s="14">
        <f ca="1">MAX(0,MIN(1,D5+(K$4-D$4)*E5))</f>
        <v>4.3499240000000002E-2</v>
      </c>
      <c r="L5" s="15">
        <f ca="1">MAX(0,MIN(1,K5+$I5))</f>
        <v>4.7690420000000004E-2</v>
      </c>
      <c r="M5" s="15">
        <f t="shared" ref="M5:AD5" ca="1" si="5">MAX(0,MIN(1,L5+$I5))</f>
        <v>5.1881600000000007E-2</v>
      </c>
      <c r="N5" s="15">
        <f ca="1">MAX(0,MIN(1,M5+$I5))</f>
        <v>5.607278000000001E-2</v>
      </c>
      <c r="O5" s="15">
        <f t="shared" ca="1" si="5"/>
        <v>6.0263960000000012E-2</v>
      </c>
      <c r="P5" s="15">
        <f t="shared" ca="1" si="5"/>
        <v>6.4455140000000008E-2</v>
      </c>
      <c r="Q5" s="15">
        <f t="shared" ca="1" si="5"/>
        <v>6.8646320000000011E-2</v>
      </c>
      <c r="R5" s="15">
        <f t="shared" ca="1" si="5"/>
        <v>7.2837500000000013E-2</v>
      </c>
      <c r="S5" s="15">
        <f t="shared" ca="1" si="5"/>
        <v>7.7028680000000016E-2</v>
      </c>
      <c r="T5" s="15">
        <f t="shared" ca="1" si="5"/>
        <v>8.1219860000000019E-2</v>
      </c>
      <c r="U5" s="15">
        <f t="shared" ca="1" si="5"/>
        <v>8.5411040000000021E-2</v>
      </c>
      <c r="V5" s="15">
        <f t="shared" ca="1" si="5"/>
        <v>8.9602220000000024E-2</v>
      </c>
      <c r="W5" s="15">
        <f t="shared" ca="1" si="5"/>
        <v>9.3793400000000027E-2</v>
      </c>
      <c r="X5" s="15">
        <f t="shared" ca="1" si="5"/>
        <v>9.7984580000000029E-2</v>
      </c>
      <c r="Y5" s="15">
        <f t="shared" ca="1" si="5"/>
        <v>0.10217576000000003</v>
      </c>
      <c r="Z5" s="15">
        <f t="shared" ca="1" si="5"/>
        <v>0.10636694000000003</v>
      </c>
      <c r="AA5" s="15">
        <f t="shared" ca="1" si="5"/>
        <v>0.11055812000000004</v>
      </c>
      <c r="AB5" s="15">
        <f t="shared" ca="1" si="5"/>
        <v>0.11474930000000004</v>
      </c>
      <c r="AC5" s="15">
        <f t="shared" ca="1" si="5"/>
        <v>0.11894048000000004</v>
      </c>
      <c r="AD5" s="15">
        <f t="shared" ca="1" si="5"/>
        <v>0.12313166000000005</v>
      </c>
      <c r="AE5" s="5"/>
      <c r="AG5" s="1" t="s">
        <v>52</v>
      </c>
      <c r="AH5" s="37">
        <f ca="1">J5*AH$11</f>
        <v>25226.767084536827</v>
      </c>
      <c r="AI5" s="37">
        <f t="shared" ref="AI5:AI10" ca="1" si="6">K5*AI$11</f>
        <v>28990.086490916889</v>
      </c>
      <c r="AJ5" s="37">
        <f t="shared" ref="AJ5:AS10" ca="1" si="7">L5*AJ$11</f>
        <v>32998.302368870303</v>
      </c>
      <c r="AK5" s="37">
        <f t="shared" ca="1" si="7"/>
        <v>37215.310283740087</v>
      </c>
      <c r="AL5" s="37">
        <f t="shared" ca="1" si="7"/>
        <v>41697.183928963343</v>
      </c>
      <c r="AM5" s="37">
        <f t="shared" ca="1" si="7"/>
        <v>46450.124592015738</v>
      </c>
      <c r="AN5" s="37">
        <f t="shared" ca="1" si="7"/>
        <v>51478.006959537088</v>
      </c>
      <c r="AO5" s="37">
        <f t="shared" ca="1" si="7"/>
        <v>56786.507152447026</v>
      </c>
      <c r="AP5" s="37">
        <f t="shared" ca="1" si="7"/>
        <v>62341.452319191107</v>
      </c>
      <c r="AQ5" s="37">
        <f t="shared" ca="1" si="7"/>
        <v>68194.577497628823</v>
      </c>
      <c r="AR5" s="37">
        <f t="shared" ca="1" si="7"/>
        <v>74356.315302718067</v>
      </c>
      <c r="AS5" s="37">
        <f t="shared" ca="1" si="7"/>
        <v>80840.75248311086</v>
      </c>
      <c r="AT5" s="37">
        <f t="shared" ref="AT5:BB10" ca="1" si="8">V5*AT$11</f>
        <v>87660.113121482253</v>
      </c>
      <c r="AU5" s="37">
        <f t="shared" ca="1" si="8"/>
        <v>94769.32580594148</v>
      </c>
      <c r="AV5" s="37">
        <f t="shared" ca="1" si="8"/>
        <v>102235.29499084259</v>
      </c>
      <c r="AW5" s="37">
        <f t="shared" ca="1" si="8"/>
        <v>110062.85150791594</v>
      </c>
      <c r="AX5" s="37">
        <f t="shared" ca="1" si="8"/>
        <v>118254.86099380317</v>
      </c>
      <c r="AY5" s="37">
        <f t="shared" ca="1" si="8"/>
        <v>126815.60388778339</v>
      </c>
      <c r="AZ5" s="37" t="e">
        <f t="shared" ca="1" si="8"/>
        <v>#N/A</v>
      </c>
      <c r="BA5" s="37" t="e">
        <f t="shared" ca="1" si="8"/>
        <v>#N/A</v>
      </c>
      <c r="BB5" s="37" t="e">
        <f t="shared" ca="1" si="8"/>
        <v>#N/A</v>
      </c>
    </row>
    <row r="6" spans="1:54" x14ac:dyDescent="0.25">
      <c r="B6" s="1" t="s">
        <v>54</v>
      </c>
      <c r="C6" s="14">
        <f ca="1">INDEX(Data_FP!$2:$1048576,MATCH(C$4&amp;$A$4&amp;$B6&amp;$A$1,Data_FP!$A$2:$A$1048576,0),MATCH($A$3,Data_FP!$2:$2,0))</f>
        <v>0</v>
      </c>
      <c r="D6" s="14">
        <f ca="1">INDEX(Data_FP!$2:$1048576,MATCH(D$4&amp;$A$4&amp;$B6&amp;$A$1,Data_FP!$A$2:$A$1048576,0),MATCH($A$3,Data_FP!$2:$2,0))</f>
        <v>2.2753000000000001E-3</v>
      </c>
      <c r="E6" s="14">
        <f ca="1">IF('User Settings'!$N$7="On",($D6-$C6)/($D$4-$C$4),0)</f>
        <v>4.5506000000000002E-4</v>
      </c>
      <c r="F6" s="14">
        <f t="shared" ref="F6:F10" ca="1" si="9">MAX(0,MIN(1,($D6+$E6*(F$4-$D$4))))</f>
        <v>3.6404800000000002E-3</v>
      </c>
      <c r="G6" s="14"/>
      <c r="H6" s="14">
        <f t="shared" ref="H6:H10" ca="1" si="10">MAX(0,MIN(1,($D6+$E6*(H$4-$D$4))*$H$1))</f>
        <v>5.0056600000000003E-3</v>
      </c>
      <c r="I6" s="14">
        <f t="shared" ca="1" si="4"/>
        <v>4.5506000000000002E-4</v>
      </c>
      <c r="J6" s="14">
        <f t="shared" ref="J6:J10" ca="1" si="11">K6-E6</f>
        <v>3.18542E-3</v>
      </c>
      <c r="K6" s="14">
        <f t="shared" ref="K6:K10" ca="1" si="12">MAX(0,MIN(1,D6+(K$4-D$4)*E6))</f>
        <v>3.6404800000000002E-3</v>
      </c>
      <c r="L6" s="15">
        <f t="shared" ref="L6:AD10" ca="1" si="13">MAX(0,MIN(1,K6+$I6))</f>
        <v>4.0955399999999999E-3</v>
      </c>
      <c r="M6" s="15">
        <f t="shared" ca="1" si="13"/>
        <v>4.5506000000000001E-3</v>
      </c>
      <c r="N6" s="15">
        <f t="shared" ca="1" si="13"/>
        <v>5.0056600000000003E-3</v>
      </c>
      <c r="O6" s="15">
        <f t="shared" ca="1" si="13"/>
        <v>5.4607200000000005E-3</v>
      </c>
      <c r="P6" s="15">
        <f t="shared" ca="1" si="13"/>
        <v>5.9157800000000007E-3</v>
      </c>
      <c r="Q6" s="15">
        <f t="shared" ca="1" si="13"/>
        <v>6.3708400000000009E-3</v>
      </c>
      <c r="R6" s="15">
        <f t="shared" ca="1" si="13"/>
        <v>6.8259000000000011E-3</v>
      </c>
      <c r="S6" s="15">
        <f t="shared" ca="1" si="13"/>
        <v>7.2809600000000013E-3</v>
      </c>
      <c r="T6" s="15">
        <f t="shared" ca="1" si="13"/>
        <v>7.7360200000000014E-3</v>
      </c>
      <c r="U6" s="15">
        <f t="shared" ca="1" si="13"/>
        <v>8.1910800000000016E-3</v>
      </c>
      <c r="V6" s="15">
        <f t="shared" ca="1" si="13"/>
        <v>8.6461400000000018E-3</v>
      </c>
      <c r="W6" s="15">
        <f t="shared" ca="1" si="13"/>
        <v>9.101200000000002E-3</v>
      </c>
      <c r="X6" s="15">
        <f t="shared" ca="1" si="13"/>
        <v>9.5562600000000022E-3</v>
      </c>
      <c r="Y6" s="15">
        <f t="shared" ca="1" si="13"/>
        <v>1.0011320000000002E-2</v>
      </c>
      <c r="Z6" s="15">
        <f t="shared" ca="1" si="13"/>
        <v>1.0466380000000003E-2</v>
      </c>
      <c r="AA6" s="15">
        <f t="shared" ca="1" si="13"/>
        <v>1.0921440000000003E-2</v>
      </c>
      <c r="AB6" s="15">
        <f t="shared" ca="1" si="13"/>
        <v>1.1376500000000003E-2</v>
      </c>
      <c r="AC6" s="15">
        <f t="shared" ca="1" si="13"/>
        <v>1.1831560000000003E-2</v>
      </c>
      <c r="AD6" s="15">
        <f t="shared" ca="1" si="13"/>
        <v>1.2286620000000003E-2</v>
      </c>
      <c r="AE6" s="5"/>
      <c r="AG6" s="1" t="s">
        <v>54</v>
      </c>
      <c r="AH6" s="37">
        <f t="shared" ref="AH6:AH10" ca="1" si="14">J6*AH$11</f>
        <v>2044.3097015325941</v>
      </c>
      <c r="AI6" s="37">
        <f t="shared" ca="1" si="6"/>
        <v>2426.199401839046</v>
      </c>
      <c r="AJ6" s="37">
        <f t="shared" ca="1" si="7"/>
        <v>2833.8158331128784</v>
      </c>
      <c r="AK6" s="37">
        <f t="shared" ca="1" si="7"/>
        <v>3264.2013927324451</v>
      </c>
      <c r="AL6" s="37">
        <f t="shared" ca="1" si="7"/>
        <v>3722.3395327617895</v>
      </c>
      <c r="AM6" s="37">
        <f t="shared" ca="1" si="7"/>
        <v>4209.0019368476978</v>
      </c>
      <c r="AN6" s="37">
        <f t="shared" ca="1" si="7"/>
        <v>4724.7211628287569</v>
      </c>
      <c r="AO6" s="37">
        <f t="shared" ca="1" si="7"/>
        <v>5270.1696351253149</v>
      </c>
      <c r="AP6" s="37">
        <f t="shared" ca="1" si="7"/>
        <v>5842.2724473734897</v>
      </c>
      <c r="AQ6" s="37">
        <f t="shared" ca="1" si="7"/>
        <v>6445.9366430417285</v>
      </c>
      <c r="AR6" s="37">
        <f t="shared" ca="1" si="7"/>
        <v>7082.2818742624395</v>
      </c>
      <c r="AS6" s="37">
        <f t="shared" ca="1" si="7"/>
        <v>7752.7807980017533</v>
      </c>
      <c r="AT6" s="37">
        <f t="shared" ca="1" si="8"/>
        <v>8458.7369650458713</v>
      </c>
      <c r="AU6" s="37">
        <f t="shared" ca="1" si="8"/>
        <v>9195.8985176465994</v>
      </c>
      <c r="AV6" s="37">
        <f t="shared" ca="1" si="8"/>
        <v>9970.8245941268451</v>
      </c>
      <c r="AW6" s="37">
        <f t="shared" ca="1" si="8"/>
        <v>10784.107958269446</v>
      </c>
      <c r="AX6" s="37">
        <f t="shared" ca="1" si="8"/>
        <v>11636.137243473597</v>
      </c>
      <c r="AY6" s="37">
        <f t="shared" ca="1" si="8"/>
        <v>12527.429092717864</v>
      </c>
      <c r="AZ6" s="37" t="e">
        <f t="shared" ca="1" si="8"/>
        <v>#N/A</v>
      </c>
      <c r="BA6" s="37" t="e">
        <f t="shared" ca="1" si="8"/>
        <v>#N/A</v>
      </c>
      <c r="BB6" s="37" t="e">
        <f t="shared" ca="1" si="8"/>
        <v>#N/A</v>
      </c>
    </row>
    <row r="7" spans="1:54" x14ac:dyDescent="0.25">
      <c r="B7" s="1" t="s">
        <v>170</v>
      </c>
      <c r="C7" s="14">
        <f ca="1">INDEX(Data_FP!$2:$1048576,MATCH(C$4&amp;$A$4&amp;$B7&amp;$A$1,Data_FP!$A$2:$A$1048576,0),MATCH($A$3,Data_FP!$2:$2,0))</f>
        <v>0</v>
      </c>
      <c r="D7" s="14">
        <f ca="1">INDEX(Data_FP!$2:$1048576,MATCH(D$4&amp;$A$4&amp;$B7&amp;$A$1,Data_FP!$A$2:$A$1048576,0),MATCH($A$3,Data_FP!$2:$2,0))</f>
        <v>0</v>
      </c>
      <c r="E7" s="14">
        <f ca="1">IF('User Settings'!$N$7="On",($D7-$C7)/($D$4-$C$4),0)</f>
        <v>0</v>
      </c>
      <c r="F7" s="14">
        <f t="shared" ca="1" si="9"/>
        <v>0</v>
      </c>
      <c r="G7" s="14"/>
      <c r="H7" s="14">
        <f t="shared" ca="1" si="10"/>
        <v>0</v>
      </c>
      <c r="I7" s="14">
        <f t="shared" ca="1" si="4"/>
        <v>0</v>
      </c>
      <c r="J7" s="14">
        <f t="shared" ca="1" si="11"/>
        <v>0</v>
      </c>
      <c r="K7" s="14">
        <f t="shared" ca="1" si="12"/>
        <v>0</v>
      </c>
      <c r="L7" s="15">
        <f t="shared" ca="1" si="13"/>
        <v>0</v>
      </c>
      <c r="M7" s="15">
        <f t="shared" ca="1" si="13"/>
        <v>0</v>
      </c>
      <c r="N7" s="15">
        <f t="shared" ca="1" si="13"/>
        <v>0</v>
      </c>
      <c r="O7" s="15">
        <f t="shared" ca="1" si="13"/>
        <v>0</v>
      </c>
      <c r="P7" s="15">
        <f t="shared" ca="1" si="13"/>
        <v>0</v>
      </c>
      <c r="Q7" s="15">
        <f t="shared" ca="1" si="13"/>
        <v>0</v>
      </c>
      <c r="R7" s="15">
        <f t="shared" ca="1" si="13"/>
        <v>0</v>
      </c>
      <c r="S7" s="15">
        <f t="shared" ca="1" si="13"/>
        <v>0</v>
      </c>
      <c r="T7" s="15">
        <f t="shared" ca="1" si="13"/>
        <v>0</v>
      </c>
      <c r="U7" s="15">
        <f t="shared" ca="1" si="13"/>
        <v>0</v>
      </c>
      <c r="V7" s="15">
        <f t="shared" ca="1" si="13"/>
        <v>0</v>
      </c>
      <c r="W7" s="15">
        <f t="shared" ca="1" si="13"/>
        <v>0</v>
      </c>
      <c r="X7" s="15">
        <f t="shared" ca="1" si="13"/>
        <v>0</v>
      </c>
      <c r="Y7" s="15">
        <f t="shared" ca="1" si="13"/>
        <v>0</v>
      </c>
      <c r="Z7" s="15">
        <f t="shared" ca="1" si="13"/>
        <v>0</v>
      </c>
      <c r="AA7" s="15">
        <f t="shared" ca="1" si="13"/>
        <v>0</v>
      </c>
      <c r="AB7" s="15">
        <f t="shared" ca="1" si="13"/>
        <v>0</v>
      </c>
      <c r="AC7" s="15">
        <f t="shared" ca="1" si="13"/>
        <v>0</v>
      </c>
      <c r="AD7" s="15">
        <f t="shared" ca="1" si="13"/>
        <v>0</v>
      </c>
      <c r="AE7" s="5"/>
      <c r="AG7" s="1" t="s">
        <v>170</v>
      </c>
      <c r="AH7" s="37">
        <f t="shared" ca="1" si="14"/>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INDEX(Data_FP!$2:$1048576,MATCH(C$4&amp;$A$4&amp;$B8&amp;$A$1,Data_FP!$A$2:$A$1048576,0),MATCH($A$3,Data_FP!$2:$2,0))</f>
        <v>5.0159299999999997E-2</v>
      </c>
      <c r="D8" s="14">
        <f ca="1">INDEX(Data_FP!$2:$1048576,MATCH(D$4&amp;$A$4&amp;$B8&amp;$A$1,Data_FP!$A$2:$A$1048576,0),MATCH($A$3,Data_FP!$2:$2,0))</f>
        <v>7.0752300000000004E-2</v>
      </c>
      <c r="E8" s="14">
        <f ca="1">IF('User Settings'!$N$7="On",($D8-$C8)/($D$4-$C$4),0)</f>
        <v>4.1186000000000018E-3</v>
      </c>
      <c r="F8" s="14">
        <f t="shared" ca="1" si="9"/>
        <v>8.3108100000000004E-2</v>
      </c>
      <c r="G8" s="14"/>
      <c r="H8" s="14">
        <f t="shared" ca="1" si="10"/>
        <v>9.5463900000000018E-2</v>
      </c>
      <c r="I8" s="14">
        <f t="shared" ca="1" si="4"/>
        <v>4.1186000000000044E-3</v>
      </c>
      <c r="J8" s="14">
        <f t="shared" ca="1" si="11"/>
        <v>7.8989500000000004E-2</v>
      </c>
      <c r="K8" s="14">
        <f t="shared" ca="1" si="12"/>
        <v>8.3108100000000004E-2</v>
      </c>
      <c r="L8" s="15">
        <f t="shared" ca="1" si="13"/>
        <v>8.7226700000000004E-2</v>
      </c>
      <c r="M8" s="15">
        <f t="shared" ca="1" si="13"/>
        <v>9.1345300000000004E-2</v>
      </c>
      <c r="N8" s="15">
        <f t="shared" ca="1" si="13"/>
        <v>9.5463900000000004E-2</v>
      </c>
      <c r="O8" s="15">
        <f t="shared" ca="1" si="13"/>
        <v>9.9582500000000004E-2</v>
      </c>
      <c r="P8" s="15">
        <f t="shared" ca="1" si="13"/>
        <v>0.1037011</v>
      </c>
      <c r="Q8" s="15">
        <f t="shared" ca="1" si="13"/>
        <v>0.1078197</v>
      </c>
      <c r="R8" s="15">
        <f t="shared" ca="1" si="13"/>
        <v>0.1119383</v>
      </c>
      <c r="S8" s="15">
        <f t="shared" ca="1" si="13"/>
        <v>0.1160569</v>
      </c>
      <c r="T8" s="15">
        <f t="shared" ca="1" si="13"/>
        <v>0.1201755</v>
      </c>
      <c r="U8" s="15">
        <f t="shared" ca="1" si="13"/>
        <v>0.1242941</v>
      </c>
      <c r="V8" s="15">
        <f t="shared" ca="1" si="13"/>
        <v>0.12841270000000002</v>
      </c>
      <c r="W8" s="15">
        <f t="shared" ca="1" si="13"/>
        <v>0.13253130000000002</v>
      </c>
      <c r="X8" s="15">
        <f t="shared" ca="1" si="13"/>
        <v>0.13664990000000002</v>
      </c>
      <c r="Y8" s="15">
        <f t="shared" ca="1" si="13"/>
        <v>0.14076850000000002</v>
      </c>
      <c r="Z8" s="15">
        <f t="shared" ca="1" si="13"/>
        <v>0.14488710000000002</v>
      </c>
      <c r="AA8" s="15">
        <f t="shared" ca="1" si="13"/>
        <v>0.14900570000000002</v>
      </c>
      <c r="AB8" s="15">
        <f t="shared" ca="1" si="13"/>
        <v>0.15312430000000002</v>
      </c>
      <c r="AC8" s="15">
        <f t="shared" ca="1" si="13"/>
        <v>0.15724290000000002</v>
      </c>
      <c r="AD8" s="15">
        <f t="shared" ca="1" si="13"/>
        <v>0.16136150000000002</v>
      </c>
      <c r="AE8" s="5"/>
      <c r="AG8" s="1" t="s">
        <v>59</v>
      </c>
      <c r="AH8" s="37">
        <f t="shared" ca="1" si="14"/>
        <v>50693.158569108266</v>
      </c>
      <c r="AI8" s="37">
        <f t="shared" ca="1" si="6"/>
        <v>55387.427621626717</v>
      </c>
      <c r="AJ8" s="37">
        <f t="shared" ca="1" si="7"/>
        <v>60354.532865064706</v>
      </c>
      <c r="AK8" s="37">
        <f t="shared" ca="1" si="7"/>
        <v>65523.108047194444</v>
      </c>
      <c r="AL8" s="37">
        <f t="shared" ca="1" si="7"/>
        <v>70989.449727232408</v>
      </c>
      <c r="AM8" s="37">
        <f t="shared" ca="1" si="7"/>
        <v>76755.983712062851</v>
      </c>
      <c r="AN8" s="37">
        <f t="shared" ca="1" si="7"/>
        <v>82822.346635375419</v>
      </c>
      <c r="AO8" s="37">
        <f t="shared" ca="1" si="7"/>
        <v>89192.023188201376</v>
      </c>
      <c r="AP8" s="37">
        <f t="shared" ca="1" si="7"/>
        <v>95807.739037464344</v>
      </c>
      <c r="AQ8" s="37">
        <f t="shared" ca="1" si="7"/>
        <v>102746.81146275073</v>
      </c>
      <c r="AR8" s="37">
        <f t="shared" ca="1" si="7"/>
        <v>110019.9799613271</v>
      </c>
      <c r="AS8" s="37">
        <f t="shared" ca="1" si="7"/>
        <v>117643.20599785494</v>
      </c>
      <c r="AT8" s="37">
        <f t="shared" ca="1" si="8"/>
        <v>125629.38516740951</v>
      </c>
      <c r="AU8" s="37">
        <f t="shared" ca="1" si="8"/>
        <v>133910.29591831588</v>
      </c>
      <c r="AV8" s="37">
        <f t="shared" ca="1" si="8"/>
        <v>142577.97336039139</v>
      </c>
      <c r="AW8" s="37">
        <f t="shared" ca="1" si="8"/>
        <v>151634.61972283898</v>
      </c>
      <c r="AX8" s="37">
        <f t="shared" ca="1" si="8"/>
        <v>161080.16147023931</v>
      </c>
      <c r="AY8" s="37">
        <f t="shared" ca="1" si="8"/>
        <v>170916.87004285058</v>
      </c>
      <c r="AZ8" s="37" t="e">
        <f t="shared" ca="1" si="8"/>
        <v>#N/A</v>
      </c>
      <c r="BA8" s="37" t="e">
        <f t="shared" ca="1" si="8"/>
        <v>#N/A</v>
      </c>
      <c r="BB8" s="37" t="e">
        <f t="shared" ca="1" si="8"/>
        <v>#N/A</v>
      </c>
    </row>
    <row r="9" spans="1:54" x14ac:dyDescent="0.25">
      <c r="B9" s="1" t="s">
        <v>171</v>
      </c>
      <c r="C9" s="14">
        <f ca="1">INDEX(Data_FP!$2:$1048576,MATCH(C$4&amp;$A$4&amp;$B9&amp;$A$1,Data_FP!$A$2:$A$1048576,0),MATCH($A$3,Data_FP!$2:$2,0))</f>
        <v>0</v>
      </c>
      <c r="D9" s="14">
        <f ca="1">INDEX(Data_FP!$2:$1048576,MATCH(D$4&amp;$A$4&amp;$B9&amp;$A$1,Data_FP!$A$2:$A$1048576,0),MATCH($A$3,Data_FP!$2:$2,0))</f>
        <v>0</v>
      </c>
      <c r="E9" s="14">
        <f ca="1">IF('User Settings'!$N$7="On",($D9-$C9)/($D$4-$C$4),0)</f>
        <v>0</v>
      </c>
      <c r="F9" s="14">
        <f t="shared" ca="1" si="9"/>
        <v>0</v>
      </c>
      <c r="G9" s="14"/>
      <c r="H9" s="14">
        <f t="shared" ca="1" si="10"/>
        <v>0</v>
      </c>
      <c r="I9" s="14">
        <f t="shared" ca="1" si="4"/>
        <v>0</v>
      </c>
      <c r="J9" s="14">
        <f t="shared" ca="1" si="11"/>
        <v>0</v>
      </c>
      <c r="K9" s="14">
        <f t="shared" ca="1" si="12"/>
        <v>0</v>
      </c>
      <c r="L9" s="15">
        <f t="shared" ca="1" si="13"/>
        <v>0</v>
      </c>
      <c r="M9" s="15">
        <f t="shared" ca="1" si="13"/>
        <v>0</v>
      </c>
      <c r="N9" s="15">
        <f t="shared" ca="1" si="13"/>
        <v>0</v>
      </c>
      <c r="O9" s="15">
        <f t="shared" ca="1" si="13"/>
        <v>0</v>
      </c>
      <c r="P9" s="15">
        <f t="shared" ca="1" si="13"/>
        <v>0</v>
      </c>
      <c r="Q9" s="15">
        <f t="shared" ca="1" si="13"/>
        <v>0</v>
      </c>
      <c r="R9" s="15">
        <f t="shared" ca="1" si="13"/>
        <v>0</v>
      </c>
      <c r="S9" s="15">
        <f t="shared" ca="1" si="13"/>
        <v>0</v>
      </c>
      <c r="T9" s="15">
        <f t="shared" ca="1" si="13"/>
        <v>0</v>
      </c>
      <c r="U9" s="15">
        <f t="shared" ca="1" si="13"/>
        <v>0</v>
      </c>
      <c r="V9" s="15">
        <f t="shared" ca="1" si="13"/>
        <v>0</v>
      </c>
      <c r="W9" s="15">
        <f t="shared" ca="1" si="13"/>
        <v>0</v>
      </c>
      <c r="X9" s="15">
        <f t="shared" ca="1" si="13"/>
        <v>0</v>
      </c>
      <c r="Y9" s="15">
        <f t="shared" ca="1" si="13"/>
        <v>0</v>
      </c>
      <c r="Z9" s="15">
        <f t="shared" ca="1" si="13"/>
        <v>0</v>
      </c>
      <c r="AA9" s="15">
        <f t="shared" ca="1" si="13"/>
        <v>0</v>
      </c>
      <c r="AB9" s="15">
        <f t="shared" ca="1" si="13"/>
        <v>0</v>
      </c>
      <c r="AC9" s="15">
        <f t="shared" ca="1" si="13"/>
        <v>0</v>
      </c>
      <c r="AD9" s="15">
        <f t="shared" ca="1" si="13"/>
        <v>0</v>
      </c>
      <c r="AE9" s="5"/>
      <c r="AG9" s="1" t="s">
        <v>171</v>
      </c>
      <c r="AH9" s="37">
        <f t="shared" ca="1" si="14"/>
        <v>0</v>
      </c>
      <c r="AI9" s="37">
        <f t="shared" ca="1" si="6"/>
        <v>0</v>
      </c>
      <c r="AJ9" s="37">
        <f t="shared" ca="1" si="7"/>
        <v>0</v>
      </c>
      <c r="AK9" s="37">
        <f t="shared" ca="1" si="7"/>
        <v>0</v>
      </c>
      <c r="AL9" s="37">
        <f t="shared" ca="1" si="7"/>
        <v>0</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INDEX(Data_FP!$2:$1048576,MATCH(C$4&amp;$A$4&amp;$B10&amp;$A$1,Data_FP!$A$2:$A$1048576,0),MATCH($A$3,Data_FP!$2:$2,0))</f>
        <v>1.5491000000000001E-3</v>
      </c>
      <c r="D10" s="14">
        <f ca="1">INDEX(Data_FP!$2:$1048576,MATCH(D$4&amp;$A$4&amp;$B10&amp;$A$1,Data_FP!$A$2:$A$1048576,0),MATCH($A$3,Data_FP!$2:$2,0))</f>
        <v>0</v>
      </c>
      <c r="E10" s="14">
        <f ca="1">IF('User Settings'!$N$7="On",($D10-$C10)/($D$4-$C$4),0)</f>
        <v>-3.0982000000000004E-4</v>
      </c>
      <c r="F10" s="14">
        <f t="shared" ca="1" si="9"/>
        <v>0</v>
      </c>
      <c r="G10" s="14"/>
      <c r="H10" s="14">
        <f t="shared" ca="1" si="10"/>
        <v>0</v>
      </c>
      <c r="I10" s="14">
        <f t="shared" ca="1" si="4"/>
        <v>0</v>
      </c>
      <c r="J10" s="14">
        <f t="shared" ca="1" si="11"/>
        <v>3.0982000000000004E-4</v>
      </c>
      <c r="K10" s="14">
        <f t="shared" ca="1" si="12"/>
        <v>0</v>
      </c>
      <c r="L10" s="15">
        <f t="shared" ca="1" si="13"/>
        <v>0</v>
      </c>
      <c r="M10" s="15">
        <f t="shared" ca="1" si="13"/>
        <v>0</v>
      </c>
      <c r="N10" s="15">
        <f t="shared" ca="1" si="13"/>
        <v>0</v>
      </c>
      <c r="O10" s="15">
        <f t="shared" ca="1" si="13"/>
        <v>0</v>
      </c>
      <c r="P10" s="15">
        <f t="shared" ca="1" si="13"/>
        <v>0</v>
      </c>
      <c r="Q10" s="15">
        <f t="shared" ca="1" si="13"/>
        <v>0</v>
      </c>
      <c r="R10" s="15">
        <f t="shared" ca="1" si="13"/>
        <v>0</v>
      </c>
      <c r="S10" s="15">
        <f t="shared" ca="1" si="13"/>
        <v>0</v>
      </c>
      <c r="T10" s="15">
        <f t="shared" ca="1" si="13"/>
        <v>0</v>
      </c>
      <c r="U10" s="15">
        <f t="shared" ca="1" si="13"/>
        <v>0</v>
      </c>
      <c r="V10" s="15">
        <f t="shared" ca="1" si="13"/>
        <v>0</v>
      </c>
      <c r="W10" s="15">
        <f t="shared" ca="1" si="13"/>
        <v>0</v>
      </c>
      <c r="X10" s="15">
        <f t="shared" ca="1" si="13"/>
        <v>0</v>
      </c>
      <c r="Y10" s="15">
        <f t="shared" ca="1" si="13"/>
        <v>0</v>
      </c>
      <c r="Z10" s="15">
        <f t="shared" ca="1" si="13"/>
        <v>0</v>
      </c>
      <c r="AA10" s="15">
        <f t="shared" ca="1" si="13"/>
        <v>0</v>
      </c>
      <c r="AB10" s="15">
        <f t="shared" ca="1" si="13"/>
        <v>0</v>
      </c>
      <c r="AC10" s="15">
        <f t="shared" ca="1" si="13"/>
        <v>0</v>
      </c>
      <c r="AD10" s="15">
        <f t="shared" ca="1" si="13"/>
        <v>0</v>
      </c>
      <c r="AE10" s="5"/>
      <c r="AG10" s="1" t="s">
        <v>116</v>
      </c>
      <c r="AH10" s="37">
        <f t="shared" ca="1" si="14"/>
        <v>198.8334447981203</v>
      </c>
      <c r="AI10" s="37">
        <f t="shared" ca="1" si="6"/>
        <v>0</v>
      </c>
      <c r="AJ10" s="37">
        <f t="shared" ca="1" si="7"/>
        <v>0</v>
      </c>
      <c r="AK10" s="37">
        <f t="shared" ca="1" si="7"/>
        <v>0</v>
      </c>
      <c r="AL10" s="37">
        <f t="shared" ca="1" si="7"/>
        <v>0</v>
      </c>
      <c r="AM10" s="37">
        <f t="shared" ca="1" si="7"/>
        <v>0</v>
      </c>
      <c r="AN10" s="37">
        <f t="shared" ca="1" si="7"/>
        <v>0</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6.1678199999999996E-2</v>
      </c>
      <c r="D11" s="5">
        <f ca="1">SUM(D5:D10)</f>
        <v>0.1039533</v>
      </c>
      <c r="E11" s="143"/>
      <c r="F11" s="132">
        <f ca="1">SUM(F5:F10)</f>
        <v>0.13024782000000001</v>
      </c>
      <c r="G11" s="132"/>
      <c r="H11" s="132">
        <f ca="1">SUM(H5:H10)</f>
        <v>0.15654234000000003</v>
      </c>
      <c r="I11" s="132"/>
      <c r="J11" s="132">
        <f ca="1">SUM(J5:J10)</f>
        <v>0.12179280000000001</v>
      </c>
      <c r="K11" s="132">
        <f ca="1">SUM(K5:K10)</f>
        <v>0.13024782000000001</v>
      </c>
      <c r="L11" s="5">
        <f t="shared" ref="L11:AD11" ca="1" si="15">SUM(L5:L10)</f>
        <v>0.13901266000000001</v>
      </c>
      <c r="M11" s="5">
        <f t="shared" ca="1" si="15"/>
        <v>0.14777750000000001</v>
      </c>
      <c r="N11" s="5">
        <f t="shared" ca="1" si="15"/>
        <v>0.15654234</v>
      </c>
      <c r="O11" s="5">
        <f t="shared" ca="1" si="15"/>
        <v>0.16530718</v>
      </c>
      <c r="P11" s="5">
        <f t="shared" ca="1" si="15"/>
        <v>0.17407201999999999</v>
      </c>
      <c r="Q11" s="5">
        <f t="shared" ca="1" si="15"/>
        <v>0.18283686000000002</v>
      </c>
      <c r="R11" s="5">
        <f t="shared" ca="1" si="15"/>
        <v>0.19160170000000001</v>
      </c>
      <c r="S11" s="5">
        <f t="shared" ca="1" si="15"/>
        <v>0.20036654000000004</v>
      </c>
      <c r="T11" s="5">
        <f t="shared" ca="1" si="15"/>
        <v>0.20913138000000003</v>
      </c>
      <c r="U11" s="5">
        <f t="shared" ca="1" si="15"/>
        <v>0.21789622000000003</v>
      </c>
      <c r="V11" s="5">
        <f t="shared" ca="1" si="15"/>
        <v>0.22666106000000003</v>
      </c>
      <c r="W11" s="5">
        <f t="shared" ca="1" si="15"/>
        <v>0.23542590000000005</v>
      </c>
      <c r="X11" s="5">
        <f t="shared" ca="1" si="15"/>
        <v>0.24419074000000004</v>
      </c>
      <c r="Y11" s="5">
        <f t="shared" ca="1" si="15"/>
        <v>0.25295558000000007</v>
      </c>
      <c r="Z11" s="5">
        <f t="shared" ca="1" si="15"/>
        <v>0.26172042000000006</v>
      </c>
      <c r="AA11" s="5">
        <f t="shared" ca="1" si="15"/>
        <v>0.27048526000000006</v>
      </c>
      <c r="AB11" s="5">
        <f t="shared" ca="1" si="15"/>
        <v>0.27925010000000006</v>
      </c>
      <c r="AC11" s="5">
        <f t="shared" ca="1" si="15"/>
        <v>0.28801494000000005</v>
      </c>
      <c r="AD11" s="5">
        <f t="shared" ca="1" si="15"/>
        <v>0.29677978000000005</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AI12" s="7"/>
      <c r="AJ12" s="7"/>
      <c r="AK12" s="7"/>
      <c r="AL12" s="7"/>
      <c r="AM12" s="7"/>
      <c r="AN12" s="7"/>
      <c r="AO12" s="7"/>
      <c r="AP12" s="7"/>
      <c r="AQ12" s="7"/>
      <c r="AR12" s="7"/>
      <c r="AS12" s="7"/>
      <c r="AT12" s="7"/>
    </row>
    <row r="13" spans="1:54" x14ac:dyDescent="0.25">
      <c r="A13" s="6" t="s">
        <v>162</v>
      </c>
      <c r="C13" s="4" t="s">
        <v>163</v>
      </c>
      <c r="D13" s="4" t="s">
        <v>164</v>
      </c>
      <c r="F13" s="4" t="s">
        <v>165</v>
      </c>
      <c r="G13" s="4"/>
      <c r="H13" s="4" t="s">
        <v>167</v>
      </c>
      <c r="K13" s="205" t="str">
        <f t="shared" ref="K13:AD13" si="16">IF(K14=Yr_Start,"Start Year",IF(K14=Yr_End,"End Year",""))</f>
        <v>Start Year</v>
      </c>
      <c r="L13" s="205" t="str">
        <f t="shared" si="16"/>
        <v/>
      </c>
      <c r="M13" s="205" t="str">
        <f t="shared" si="16"/>
        <v/>
      </c>
      <c r="N13" s="205" t="str">
        <f t="shared" si="16"/>
        <v>End Year</v>
      </c>
      <c r="O13" s="205" t="str">
        <f t="shared" si="16"/>
        <v/>
      </c>
      <c r="P13" s="205" t="str">
        <f t="shared" si="16"/>
        <v/>
      </c>
      <c r="Q13" s="205" t="str">
        <f t="shared" si="16"/>
        <v/>
      </c>
      <c r="R13" s="205" t="str">
        <f t="shared" si="16"/>
        <v/>
      </c>
      <c r="S13" s="205" t="str">
        <f t="shared" si="16"/>
        <v/>
      </c>
      <c r="T13" s="205" t="str">
        <f t="shared" si="16"/>
        <v/>
      </c>
      <c r="U13" s="205" t="str">
        <f t="shared" si="16"/>
        <v/>
      </c>
      <c r="V13" s="205" t="str">
        <f t="shared" si="16"/>
        <v/>
      </c>
      <c r="W13" s="205" t="str">
        <f t="shared" si="16"/>
        <v/>
      </c>
      <c r="X13" s="205" t="str">
        <f t="shared" si="16"/>
        <v/>
      </c>
      <c r="Y13" s="205" t="str">
        <f t="shared" si="16"/>
        <v/>
      </c>
      <c r="Z13" s="205" t="str">
        <f t="shared" si="16"/>
        <v/>
      </c>
      <c r="AA13" s="205" t="str">
        <f t="shared" si="16"/>
        <v/>
      </c>
      <c r="AB13" s="205" t="str">
        <f t="shared" si="16"/>
        <v/>
      </c>
      <c r="AC13" s="205" t="str">
        <f t="shared" si="16"/>
        <v/>
      </c>
      <c r="AD13" s="205" t="str">
        <f t="shared" si="16"/>
        <v/>
      </c>
      <c r="AE13" s="35"/>
      <c r="AF13" s="6" t="str">
        <f>A13</f>
        <v>Richest</v>
      </c>
      <c r="AI13" s="205" t="str">
        <f t="shared" ref="AI13:BB13" si="17">IF(AI14=Yr_Start,"Start Year",IF(AI14=Yr_End,"End Year",""))</f>
        <v>Start Year</v>
      </c>
      <c r="AJ13" s="205" t="str">
        <f t="shared" si="17"/>
        <v/>
      </c>
      <c r="AK13" s="205" t="str">
        <f t="shared" si="17"/>
        <v/>
      </c>
      <c r="AL13" s="205" t="str">
        <f t="shared" si="17"/>
        <v>End Year</v>
      </c>
      <c r="AM13" s="205" t="str">
        <f t="shared" si="17"/>
        <v/>
      </c>
      <c r="AN13" s="205" t="str">
        <f t="shared" si="17"/>
        <v/>
      </c>
      <c r="AO13" s="205" t="str">
        <f t="shared" si="17"/>
        <v/>
      </c>
      <c r="AP13" s="205" t="str">
        <f t="shared" si="17"/>
        <v/>
      </c>
      <c r="AQ13" s="205" t="str">
        <f t="shared" si="17"/>
        <v/>
      </c>
      <c r="AR13" s="205" t="str">
        <f t="shared" si="17"/>
        <v/>
      </c>
      <c r="AS13" s="205" t="str">
        <f t="shared" si="17"/>
        <v/>
      </c>
      <c r="AT13" s="205" t="str">
        <f t="shared" si="17"/>
        <v/>
      </c>
      <c r="AU13" s="205" t="str">
        <f t="shared" si="17"/>
        <v/>
      </c>
      <c r="AV13" s="205" t="str">
        <f t="shared" si="17"/>
        <v/>
      </c>
      <c r="AW13" s="205" t="str">
        <f t="shared" si="17"/>
        <v/>
      </c>
      <c r="AX13" s="205" t="str">
        <f t="shared" si="17"/>
        <v/>
      </c>
      <c r="AY13" s="205" t="str">
        <f t="shared" si="17"/>
        <v/>
      </c>
      <c r="AZ13" s="205" t="str">
        <f t="shared" si="17"/>
        <v/>
      </c>
      <c r="BA13" s="205" t="str">
        <f t="shared" si="17"/>
        <v/>
      </c>
      <c r="BB13" s="205" t="str">
        <f t="shared" si="17"/>
        <v/>
      </c>
    </row>
    <row r="14" spans="1:54" x14ac:dyDescent="0.25">
      <c r="A14" s="6" t="s">
        <v>21</v>
      </c>
      <c r="B14" s="36"/>
      <c r="C14" s="36">
        <f>Yr_DHS1</f>
        <v>2011</v>
      </c>
      <c r="D14" s="36">
        <f>Yr_DHS2</f>
        <v>2016</v>
      </c>
      <c r="E14" s="36" t="s">
        <v>168</v>
      </c>
      <c r="F14" s="36">
        <f>Yr_Start</f>
        <v>2019</v>
      </c>
      <c r="G14" s="36"/>
      <c r="H14" s="36">
        <f>Yr_End</f>
        <v>2022</v>
      </c>
      <c r="I14" s="36" t="s">
        <v>169</v>
      </c>
      <c r="J14" s="130">
        <f>K14-1</f>
        <v>2018</v>
      </c>
      <c r="K14" s="130">
        <f>Yr_Start</f>
        <v>2019</v>
      </c>
      <c r="L14" s="130">
        <f>K14+1</f>
        <v>2020</v>
      </c>
      <c r="M14" s="130">
        <f t="shared" ref="M14:AD14" si="18">L14+1</f>
        <v>2021</v>
      </c>
      <c r="N14" s="130">
        <f t="shared" si="18"/>
        <v>2022</v>
      </c>
      <c r="O14" s="130">
        <f t="shared" si="18"/>
        <v>2023</v>
      </c>
      <c r="P14" s="130">
        <f t="shared" si="18"/>
        <v>2024</v>
      </c>
      <c r="Q14" s="130">
        <f t="shared" si="18"/>
        <v>2025</v>
      </c>
      <c r="R14" s="130">
        <f t="shared" si="18"/>
        <v>2026</v>
      </c>
      <c r="S14" s="130">
        <f t="shared" si="18"/>
        <v>2027</v>
      </c>
      <c r="T14" s="130">
        <f t="shared" si="18"/>
        <v>2028</v>
      </c>
      <c r="U14" s="130">
        <f t="shared" si="18"/>
        <v>2029</v>
      </c>
      <c r="V14" s="130">
        <f t="shared" si="18"/>
        <v>2030</v>
      </c>
      <c r="W14" s="130">
        <f t="shared" si="18"/>
        <v>2031</v>
      </c>
      <c r="X14" s="130">
        <f t="shared" si="18"/>
        <v>2032</v>
      </c>
      <c r="Y14" s="130">
        <f t="shared" si="18"/>
        <v>2033</v>
      </c>
      <c r="Z14" s="130">
        <f t="shared" si="18"/>
        <v>2034</v>
      </c>
      <c r="AA14" s="130">
        <f t="shared" si="18"/>
        <v>2035</v>
      </c>
      <c r="AB14" s="130">
        <f t="shared" si="18"/>
        <v>2036</v>
      </c>
      <c r="AC14" s="130">
        <f t="shared" si="18"/>
        <v>2037</v>
      </c>
      <c r="AD14" s="130">
        <f t="shared" si="18"/>
        <v>2038</v>
      </c>
      <c r="AE14" s="6"/>
      <c r="AF14" s="6" t="str">
        <f>A14</f>
        <v>Rural</v>
      </c>
      <c r="AG14" s="38"/>
      <c r="AH14" s="161">
        <f>AI14-1</f>
        <v>2018</v>
      </c>
      <c r="AI14" s="36">
        <f>Yr_Start</f>
        <v>2019</v>
      </c>
      <c r="AJ14" s="36">
        <f>AI14+1</f>
        <v>2020</v>
      </c>
      <c r="AK14" s="36">
        <f t="shared" ref="AK14:BB14" si="19">AJ14+1</f>
        <v>2021</v>
      </c>
      <c r="AL14" s="36">
        <f t="shared" si="19"/>
        <v>2022</v>
      </c>
      <c r="AM14" s="36">
        <f t="shared" si="19"/>
        <v>2023</v>
      </c>
      <c r="AN14" s="36">
        <f t="shared" si="19"/>
        <v>2024</v>
      </c>
      <c r="AO14" s="36">
        <f t="shared" si="19"/>
        <v>2025</v>
      </c>
      <c r="AP14" s="36">
        <f t="shared" si="19"/>
        <v>2026</v>
      </c>
      <c r="AQ14" s="36">
        <f t="shared" si="19"/>
        <v>2027</v>
      </c>
      <c r="AR14" s="36">
        <f t="shared" si="19"/>
        <v>2028</v>
      </c>
      <c r="AS14" s="36">
        <f t="shared" si="19"/>
        <v>2029</v>
      </c>
      <c r="AT14" s="36">
        <f t="shared" si="19"/>
        <v>2030</v>
      </c>
      <c r="AU14" s="36">
        <f t="shared" si="19"/>
        <v>2031</v>
      </c>
      <c r="AV14" s="36">
        <f t="shared" si="19"/>
        <v>2032</v>
      </c>
      <c r="AW14" s="36">
        <f t="shared" si="19"/>
        <v>2033</v>
      </c>
      <c r="AX14" s="36">
        <f t="shared" si="19"/>
        <v>2034</v>
      </c>
      <c r="AY14" s="36">
        <f t="shared" si="19"/>
        <v>2035</v>
      </c>
      <c r="AZ14" s="36">
        <f t="shared" si="19"/>
        <v>2036</v>
      </c>
      <c r="BA14" s="36">
        <f t="shared" si="19"/>
        <v>2037</v>
      </c>
      <c r="BB14" s="36">
        <f t="shared" si="19"/>
        <v>2038</v>
      </c>
    </row>
    <row r="15" spans="1:54" x14ac:dyDescent="0.25">
      <c r="B15" s="1" t="s">
        <v>52</v>
      </c>
      <c r="C15" s="14">
        <f ca="1">INDEX(Data_FP!$2:$1048576,MATCH(C$4&amp;$A$14&amp;$B15&amp;$A$1,Data_FP!$A$2:$A$1048576,0),MATCH($A$13,Data_FP!$2:$2,0))</f>
        <v>4.2521099999999999E-2</v>
      </c>
      <c r="D15" s="14">
        <f ca="1">INDEX(Data_FP!$2:$1048576,MATCH(D$4&amp;$A$14&amp;$B15&amp;$A$1,Data_FP!$A$2:$A$1048576,0),MATCH($A$13,Data_FP!$2:$2,0))</f>
        <v>6.5509100000000001E-2</v>
      </c>
      <c r="E15" s="14">
        <f ca="1">IF('User Settings'!$N$7="On",($D15-$C15)/($D$4-$C$4),0)</f>
        <v>4.5976000000000003E-3</v>
      </c>
      <c r="F15" s="14">
        <f ca="1">MAX(0,MIN(1,($D15+$E15*(F$4-$D$4))))</f>
        <v>7.9301900000000008E-2</v>
      </c>
      <c r="G15" s="14"/>
      <c r="H15" s="14">
        <f ca="1">MAX(0,MIN(1,($D15+$E15*(H$4-$D$4))*$H$1))</f>
        <v>9.3094700000000002E-2</v>
      </c>
      <c r="I15" s="14">
        <f ca="1">($H15-$F15)/($H$4-$F$4)</f>
        <v>4.5975999999999977E-3</v>
      </c>
      <c r="J15" s="14">
        <f ca="1">K15-E15</f>
        <v>7.4704300000000001E-2</v>
      </c>
      <c r="K15" s="14">
        <f ca="1">MAX(0,MIN(1,D15+(K$4-D$4)*E15))</f>
        <v>7.9301900000000008E-2</v>
      </c>
      <c r="L15" s="15">
        <f ca="1">MAX(0,MIN(1,K15+$I15))</f>
        <v>8.3899500000000002E-2</v>
      </c>
      <c r="M15" s="15">
        <f t="shared" ref="M15:AD15" ca="1" si="20">MAX(0,MIN(1,L15+$I15))</f>
        <v>8.8497099999999995E-2</v>
      </c>
      <c r="N15" s="15">
        <f ca="1">MAX(0,MIN(1,M15+$I15))</f>
        <v>9.3094699999999989E-2</v>
      </c>
      <c r="O15" s="15">
        <f t="shared" ca="1" si="20"/>
        <v>9.7692299999999982E-2</v>
      </c>
      <c r="P15" s="15">
        <f t="shared" ca="1" si="20"/>
        <v>0.10228989999999998</v>
      </c>
      <c r="Q15" s="15">
        <f t="shared" ca="1" si="20"/>
        <v>0.10688749999999997</v>
      </c>
      <c r="R15" s="15">
        <f t="shared" ca="1" si="20"/>
        <v>0.11148509999999996</v>
      </c>
      <c r="S15" s="15">
        <f t="shared" ca="1" si="20"/>
        <v>0.11608269999999996</v>
      </c>
      <c r="T15" s="15">
        <f t="shared" ca="1" si="20"/>
        <v>0.12068029999999995</v>
      </c>
      <c r="U15" s="15">
        <f t="shared" ca="1" si="20"/>
        <v>0.12527789999999994</v>
      </c>
      <c r="V15" s="15">
        <f t="shared" ca="1" si="20"/>
        <v>0.12987549999999995</v>
      </c>
      <c r="W15" s="15">
        <f t="shared" ca="1" si="20"/>
        <v>0.13447309999999996</v>
      </c>
      <c r="X15" s="15">
        <f t="shared" ca="1" si="20"/>
        <v>0.13907069999999996</v>
      </c>
      <c r="Y15" s="15">
        <f t="shared" ca="1" si="20"/>
        <v>0.14366829999999997</v>
      </c>
      <c r="Z15" s="15">
        <f t="shared" ca="1" si="20"/>
        <v>0.14826589999999998</v>
      </c>
      <c r="AA15" s="15">
        <f t="shared" ca="1" si="20"/>
        <v>0.15286349999999999</v>
      </c>
      <c r="AB15" s="15">
        <f t="shared" ca="1" si="20"/>
        <v>0.15746109999999999</v>
      </c>
      <c r="AC15" s="15">
        <f t="shared" ca="1" si="20"/>
        <v>0.1620587</v>
      </c>
      <c r="AD15" s="15">
        <f t="shared" ca="1" si="20"/>
        <v>0.16665630000000001</v>
      </c>
      <c r="AE15" s="5"/>
      <c r="AG15" s="1" t="s">
        <v>52</v>
      </c>
      <c r="AH15" s="37">
        <f ca="1">J15*AH$21</f>
        <v>123745.47009010047</v>
      </c>
      <c r="AI15" s="37">
        <f t="shared" ref="AI15:AI20" ca="1" si="21">K15*AI$21</f>
        <v>136412.81045857942</v>
      </c>
      <c r="AJ15" s="37">
        <f t="shared" ref="AJ15:AS20" ca="1" si="22">L15*AJ$21</f>
        <v>149838.54432069414</v>
      </c>
      <c r="AK15" s="37">
        <f t="shared" ca="1" si="22"/>
        <v>163847.96230261656</v>
      </c>
      <c r="AL15" s="37">
        <f t="shared" ca="1" si="22"/>
        <v>178683.03308168249</v>
      </c>
      <c r="AM15" s="37">
        <f t="shared" ca="1" si="22"/>
        <v>194353.90614489358</v>
      </c>
      <c r="AN15" s="37">
        <f t="shared" ca="1" si="22"/>
        <v>210863.1278099489</v>
      </c>
      <c r="AO15" s="37">
        <f t="shared" ca="1" si="22"/>
        <v>228222.5416792944</v>
      </c>
      <c r="AP15" s="37">
        <f t="shared" ca="1" si="22"/>
        <v>246287.53617910971</v>
      </c>
      <c r="AQ15" s="37">
        <f t="shared" ca="1" si="22"/>
        <v>265258.07301768928</v>
      </c>
      <c r="AR15" s="37">
        <f t="shared" ca="1" si="22"/>
        <v>285164.67565932748</v>
      </c>
      <c r="AS15" s="37">
        <f t="shared" ca="1" si="22"/>
        <v>306051.50830796798</v>
      </c>
      <c r="AT15" s="37">
        <f t="shared" ref="AT15:BB20" ca="1" si="23">V15*AT$21</f>
        <v>327954.96589135169</v>
      </c>
      <c r="AU15" s="37">
        <f t="shared" ca="1" si="23"/>
        <v>350699.0993596047</v>
      </c>
      <c r="AV15" s="37">
        <f t="shared" ca="1" si="23"/>
        <v>374526.43932499667</v>
      </c>
      <c r="AW15" s="37">
        <f t="shared" ca="1" si="23"/>
        <v>399445.5234948977</v>
      </c>
      <c r="AX15" s="37">
        <f t="shared" ca="1" si="23"/>
        <v>425458.62933840958</v>
      </c>
      <c r="AY15" s="37">
        <f t="shared" ca="1" si="23"/>
        <v>452573.96840196307</v>
      </c>
      <c r="AZ15" s="37" t="e">
        <f t="shared" ca="1" si="23"/>
        <v>#N/A</v>
      </c>
      <c r="BA15" s="37" t="e">
        <f t="shared" ca="1" si="23"/>
        <v>#N/A</v>
      </c>
      <c r="BB15" s="37" t="e">
        <f t="shared" ca="1" si="23"/>
        <v>#N/A</v>
      </c>
    </row>
    <row r="16" spans="1:54" x14ac:dyDescent="0.25">
      <c r="B16" s="1" t="s">
        <v>54</v>
      </c>
      <c r="C16" s="14">
        <f ca="1">INDEX(Data_FP!$2:$1048576,MATCH(C$4&amp;$A$14&amp;$B16&amp;$A$1,Data_FP!$A$2:$A$1048576,0),MATCH($A$13,Data_FP!$2:$2,0))</f>
        <v>0</v>
      </c>
      <c r="D16" s="14">
        <f ca="1">INDEX(Data_FP!$2:$1048576,MATCH(D$4&amp;$A$14&amp;$B16&amp;$A$1,Data_FP!$A$2:$A$1048576,0),MATCH($A$13,Data_FP!$2:$2,0))</f>
        <v>2.9724999999999999E-3</v>
      </c>
      <c r="E16" s="14">
        <f ca="1">IF('User Settings'!$N$7="On",($D16-$C16)/($D$4-$C$4),0)</f>
        <v>5.9449999999999998E-4</v>
      </c>
      <c r="F16" s="14">
        <f t="shared" ref="F16:F20" ca="1" si="24">MAX(0,MIN(1,($D16+$E16*(F$4-$D$4))))</f>
        <v>4.7559999999999998E-3</v>
      </c>
      <c r="G16" s="14"/>
      <c r="H16" s="14">
        <f t="shared" ref="H16:H20" ca="1" si="25">MAX(0,MIN(1,($D16+$E16*(H$4-$D$4))*$H$1))</f>
        <v>6.5395000000000002E-3</v>
      </c>
      <c r="I16" s="14">
        <f ca="1">($H16-$F16)/($H$4-$F$4)</f>
        <v>5.9450000000000008E-4</v>
      </c>
      <c r="J16" s="14">
        <f t="shared" ref="J16:J20" ca="1" si="26">K16-E16</f>
        <v>4.1615000000000003E-3</v>
      </c>
      <c r="K16" s="14">
        <f t="shared" ref="K16:K20" ca="1" si="27">MAX(0,MIN(1,D16+(K$4-D$4)*E16))</f>
        <v>4.7559999999999998E-3</v>
      </c>
      <c r="L16" s="15">
        <f t="shared" ref="L16:AD20" ca="1" si="28">MAX(0,MIN(1,K16+$I16))</f>
        <v>5.3505000000000002E-3</v>
      </c>
      <c r="M16" s="15">
        <f t="shared" ca="1" si="28"/>
        <v>5.9450000000000006E-3</v>
      </c>
      <c r="N16" s="15">
        <f t="shared" ca="1" si="28"/>
        <v>6.539500000000001E-3</v>
      </c>
      <c r="O16" s="15">
        <f t="shared" ca="1" si="28"/>
        <v>7.1340000000000015E-3</v>
      </c>
      <c r="P16" s="15">
        <f t="shared" ca="1" si="28"/>
        <v>7.7285000000000019E-3</v>
      </c>
      <c r="Q16" s="15">
        <f t="shared" ca="1" si="28"/>
        <v>8.3230000000000023E-3</v>
      </c>
      <c r="R16" s="15">
        <f t="shared" ca="1" si="28"/>
        <v>8.9175000000000018E-3</v>
      </c>
      <c r="S16" s="15">
        <f t="shared" ca="1" si="28"/>
        <v>9.5120000000000014E-3</v>
      </c>
      <c r="T16" s="15">
        <f t="shared" ca="1" si="28"/>
        <v>1.0106500000000001E-2</v>
      </c>
      <c r="U16" s="15">
        <f t="shared" ca="1" si="28"/>
        <v>1.0701E-2</v>
      </c>
      <c r="V16" s="15">
        <f t="shared" ca="1" si="28"/>
        <v>1.12955E-2</v>
      </c>
      <c r="W16" s="15">
        <f t="shared" ca="1" si="28"/>
        <v>1.189E-2</v>
      </c>
      <c r="X16" s="15">
        <f t="shared" ca="1" si="28"/>
        <v>1.2484499999999999E-2</v>
      </c>
      <c r="Y16" s="15">
        <f t="shared" ca="1" si="28"/>
        <v>1.3078999999999999E-2</v>
      </c>
      <c r="Z16" s="15">
        <f t="shared" ca="1" si="28"/>
        <v>1.3673499999999998E-2</v>
      </c>
      <c r="AA16" s="15">
        <f t="shared" ca="1" si="28"/>
        <v>1.4267999999999998E-2</v>
      </c>
      <c r="AB16" s="15">
        <f t="shared" ca="1" si="28"/>
        <v>1.4862499999999997E-2</v>
      </c>
      <c r="AC16" s="15">
        <f t="shared" ca="1" si="28"/>
        <v>1.5456999999999997E-2</v>
      </c>
      <c r="AD16" s="15">
        <f t="shared" ca="1" si="28"/>
        <v>1.6051499999999996E-2</v>
      </c>
      <c r="AE16" s="5"/>
      <c r="AG16" s="1" t="s">
        <v>54</v>
      </c>
      <c r="AH16" s="37">
        <f t="shared" ref="AH16:AH20" ca="1" si="29">J16*AH$21</f>
        <v>6893.4020368299161</v>
      </c>
      <c r="AI16" s="37">
        <f t="shared" ca="1" si="21"/>
        <v>8181.132186505034</v>
      </c>
      <c r="AJ16" s="37">
        <f t="shared" ca="1" si="22"/>
        <v>9555.612743673968</v>
      </c>
      <c r="AK16" s="37">
        <f t="shared" ca="1" si="22"/>
        <v>11006.870687164388</v>
      </c>
      <c r="AL16" s="37">
        <f t="shared" ca="1" si="22"/>
        <v>12551.710192284449</v>
      </c>
      <c r="AM16" s="37">
        <f t="shared" ca="1" si="22"/>
        <v>14192.733372411862</v>
      </c>
      <c r="AN16" s="37">
        <f t="shared" ca="1" si="22"/>
        <v>15931.736009901182</v>
      </c>
      <c r="AO16" s="37">
        <f t="shared" ca="1" si="22"/>
        <v>17770.98551651754</v>
      </c>
      <c r="AP16" s="37">
        <f t="shared" ca="1" si="22"/>
        <v>19700.113323459474</v>
      </c>
      <c r="AQ16" s="37">
        <f t="shared" ca="1" si="22"/>
        <v>21735.665956634897</v>
      </c>
      <c r="AR16" s="37">
        <f t="shared" ca="1" si="22"/>
        <v>23881.418877405795</v>
      </c>
      <c r="AS16" s="37">
        <f t="shared" ca="1" si="22"/>
        <v>26142.337877658923</v>
      </c>
      <c r="AT16" s="37">
        <f t="shared" ca="1" si="23"/>
        <v>28522.818524092418</v>
      </c>
      <c r="AU16" s="37">
        <f t="shared" ca="1" si="23"/>
        <v>31008.52357375342</v>
      </c>
      <c r="AV16" s="37">
        <f t="shared" ca="1" si="23"/>
        <v>33621.57040809402</v>
      </c>
      <c r="AW16" s="37">
        <f t="shared" ca="1" si="23"/>
        <v>36363.957823610137</v>
      </c>
      <c r="AX16" s="37">
        <f t="shared" ca="1" si="23"/>
        <v>39236.99629017018</v>
      </c>
      <c r="AY16" s="37">
        <f t="shared" ca="1" si="23"/>
        <v>42242.427925300733</v>
      </c>
      <c r="AZ16" s="37" t="e">
        <f t="shared" ca="1" si="23"/>
        <v>#N/A</v>
      </c>
      <c r="BA16" s="37" t="e">
        <f t="shared" ca="1" si="23"/>
        <v>#N/A</v>
      </c>
      <c r="BB16" s="37" t="e">
        <f t="shared" ca="1" si="23"/>
        <v>#N/A</v>
      </c>
    </row>
    <row r="17" spans="1:54" x14ac:dyDescent="0.25">
      <c r="B17" s="1" t="s">
        <v>170</v>
      </c>
      <c r="C17" s="14">
        <f ca="1">INDEX(Data_FP!$2:$1048576,MATCH(C$4&amp;$A$14&amp;$B17&amp;$A$1,Data_FP!$A$2:$A$1048576,0),MATCH($A$13,Data_FP!$2:$2,0))</f>
        <v>0</v>
      </c>
      <c r="D17" s="14">
        <f ca="1">INDEX(Data_FP!$2:$1048576,MATCH(D$4&amp;$A$14&amp;$B17&amp;$A$1,Data_FP!$A$2:$A$1048576,0),MATCH($A$13,Data_FP!$2:$2,0))</f>
        <v>1.6806E-3</v>
      </c>
      <c r="E17" s="14">
        <f ca="1">IF('User Settings'!$N$7="On",($D17-$C17)/($D$4-$C$4),0)</f>
        <v>3.3611999999999997E-4</v>
      </c>
      <c r="F17" s="14">
        <f t="shared" ca="1" si="24"/>
        <v>2.6889599999999998E-3</v>
      </c>
      <c r="G17" s="14"/>
      <c r="H17" s="14">
        <f t="shared" ca="1" si="25"/>
        <v>3.6973199999999996E-3</v>
      </c>
      <c r="I17" s="14">
        <f t="shared" ref="I17:I20" ca="1" si="30">($H17-$F17)/($H$4-$F$4)</f>
        <v>3.3611999999999992E-4</v>
      </c>
      <c r="J17" s="14">
        <f t="shared" ca="1" si="26"/>
        <v>2.3528399999999997E-3</v>
      </c>
      <c r="K17" s="14">
        <f t="shared" ca="1" si="27"/>
        <v>2.6889599999999998E-3</v>
      </c>
      <c r="L17" s="15">
        <f t="shared" ca="1" si="28"/>
        <v>3.0250799999999999E-3</v>
      </c>
      <c r="M17" s="15">
        <f t="shared" ca="1" si="28"/>
        <v>3.3612E-3</v>
      </c>
      <c r="N17" s="15">
        <f t="shared" ca="1" si="28"/>
        <v>3.69732E-3</v>
      </c>
      <c r="O17" s="15">
        <f t="shared" ca="1" si="28"/>
        <v>4.0334400000000001E-3</v>
      </c>
      <c r="P17" s="15">
        <f t="shared" ca="1" si="28"/>
        <v>4.3695599999999998E-3</v>
      </c>
      <c r="Q17" s="15">
        <f t="shared" ca="1" si="28"/>
        <v>4.7056799999999994E-3</v>
      </c>
      <c r="R17" s="15">
        <f t="shared" ca="1" si="28"/>
        <v>5.0417999999999991E-3</v>
      </c>
      <c r="S17" s="15">
        <f t="shared" ca="1" si="28"/>
        <v>5.3779199999999987E-3</v>
      </c>
      <c r="T17" s="15">
        <f t="shared" ca="1" si="28"/>
        <v>5.7140399999999984E-3</v>
      </c>
      <c r="U17" s="15">
        <f t="shared" ca="1" si="28"/>
        <v>6.050159999999998E-3</v>
      </c>
      <c r="V17" s="15">
        <f t="shared" ca="1" si="28"/>
        <v>6.3862799999999977E-3</v>
      </c>
      <c r="W17" s="15">
        <f t="shared" ca="1" si="28"/>
        <v>6.7223999999999973E-3</v>
      </c>
      <c r="X17" s="15">
        <f t="shared" ca="1" si="28"/>
        <v>7.0585199999999969E-3</v>
      </c>
      <c r="Y17" s="15">
        <f t="shared" ca="1" si="28"/>
        <v>7.3946399999999966E-3</v>
      </c>
      <c r="Z17" s="15">
        <f t="shared" ca="1" si="28"/>
        <v>7.7307599999999962E-3</v>
      </c>
      <c r="AA17" s="15">
        <f t="shared" ca="1" si="28"/>
        <v>8.0668799999999968E-3</v>
      </c>
      <c r="AB17" s="15">
        <f t="shared" ca="1" si="28"/>
        <v>8.4029999999999973E-3</v>
      </c>
      <c r="AC17" s="15">
        <f t="shared" ca="1" si="28"/>
        <v>8.7391199999999978E-3</v>
      </c>
      <c r="AD17" s="15">
        <f t="shared" ca="1" si="28"/>
        <v>9.0752399999999983E-3</v>
      </c>
      <c r="AE17" s="5"/>
      <c r="AG17" s="1" t="s">
        <v>170</v>
      </c>
      <c r="AH17" s="37">
        <f t="shared" ca="1" si="29"/>
        <v>3897.4100800996989</v>
      </c>
      <c r="AI17" s="37">
        <f t="shared" ca="1" si="21"/>
        <v>4625.4703961784226</v>
      </c>
      <c r="AJ17" s="37">
        <f t="shared" ca="1" si="22"/>
        <v>5402.5778896613856</v>
      </c>
      <c r="AK17" s="37">
        <f t="shared" ca="1" si="22"/>
        <v>6223.0939871651708</v>
      </c>
      <c r="AL17" s="37">
        <f t="shared" ca="1" si="22"/>
        <v>7096.5194782685412</v>
      </c>
      <c r="AM17" s="37">
        <f t="shared" ca="1" si="22"/>
        <v>8024.3255527923875</v>
      </c>
      <c r="AN17" s="37">
        <f t="shared" ca="1" si="22"/>
        <v>9007.5275149671725</v>
      </c>
      <c r="AO17" s="37">
        <f t="shared" ca="1" si="22"/>
        <v>10047.407320120896</v>
      </c>
      <c r="AP17" s="37">
        <f t="shared" ca="1" si="22"/>
        <v>11138.102759093686</v>
      </c>
      <c r="AQ17" s="37">
        <f t="shared" ca="1" si="22"/>
        <v>12288.968950957305</v>
      </c>
      <c r="AR17" s="37">
        <f t="shared" ca="1" si="22"/>
        <v>13502.140476154134</v>
      </c>
      <c r="AS17" s="37">
        <f t="shared" ca="1" si="22"/>
        <v>14780.424907382192</v>
      </c>
      <c r="AT17" s="37">
        <f t="shared" ca="1" si="23"/>
        <v>16126.307421897291</v>
      </c>
      <c r="AU17" s="37">
        <f t="shared" ca="1" si="23"/>
        <v>17531.68199093355</v>
      </c>
      <c r="AV17" s="37">
        <f t="shared" ca="1" si="23"/>
        <v>19009.053398769654</v>
      </c>
      <c r="AW17" s="37">
        <f t="shared" ca="1" si="23"/>
        <v>20559.55173031427</v>
      </c>
      <c r="AX17" s="37">
        <f t="shared" ca="1" si="23"/>
        <v>22183.917902526489</v>
      </c>
      <c r="AY17" s="37">
        <f t="shared" ca="1" si="23"/>
        <v>23883.1368784728</v>
      </c>
      <c r="AZ17" s="37" t="e">
        <f t="shared" ca="1" si="23"/>
        <v>#N/A</v>
      </c>
      <c r="BA17" s="37" t="e">
        <f t="shared" ca="1" si="23"/>
        <v>#N/A</v>
      </c>
      <c r="BB17" s="37" t="e">
        <f t="shared" ca="1" si="23"/>
        <v>#N/A</v>
      </c>
    </row>
    <row r="18" spans="1:54" x14ac:dyDescent="0.25">
      <c r="B18" s="1" t="s">
        <v>59</v>
      </c>
      <c r="C18" s="14">
        <f ca="1">INDEX(Data_FP!$2:$1048576,MATCH(C$4&amp;$A$14&amp;$B18&amp;$A$1,Data_FP!$A$2:$A$1048576,0),MATCH($A$13,Data_FP!$2:$2,0))</f>
        <v>7.9717800000000005E-2</v>
      </c>
      <c r="D18" s="14">
        <f ca="1">INDEX(Data_FP!$2:$1048576,MATCH(D$4&amp;$A$14&amp;$B18&amp;$A$1,Data_FP!$A$2:$A$1048576,0),MATCH($A$13,Data_FP!$2:$2,0))</f>
        <v>7.5998200000000002E-2</v>
      </c>
      <c r="E18" s="14">
        <f ca="1">IF('User Settings'!$N$7="On",($D18-$C18)/($D$4-$C$4),0)</f>
        <v>-7.4392000000000067E-4</v>
      </c>
      <c r="F18" s="14">
        <f t="shared" ca="1" si="24"/>
        <v>7.3766440000000003E-2</v>
      </c>
      <c r="G18" s="14"/>
      <c r="H18" s="14">
        <f t="shared" ca="1" si="25"/>
        <v>7.1534680000000003E-2</v>
      </c>
      <c r="I18" s="14">
        <f t="shared" ca="1" si="30"/>
        <v>-7.439199999999998E-4</v>
      </c>
      <c r="J18" s="14">
        <f t="shared" ca="1" si="26"/>
        <v>7.4510359999999998E-2</v>
      </c>
      <c r="K18" s="14">
        <f t="shared" ca="1" si="27"/>
        <v>7.3766440000000003E-2</v>
      </c>
      <c r="L18" s="15">
        <f t="shared" ca="1" si="28"/>
        <v>7.3022520000000007E-2</v>
      </c>
      <c r="M18" s="15">
        <f t="shared" ca="1" si="28"/>
        <v>7.2278600000000012E-2</v>
      </c>
      <c r="N18" s="15">
        <f t="shared" ca="1" si="28"/>
        <v>7.1534680000000017E-2</v>
      </c>
      <c r="O18" s="15">
        <f t="shared" ca="1" si="28"/>
        <v>7.0790760000000022E-2</v>
      </c>
      <c r="P18" s="15">
        <f t="shared" ca="1" si="28"/>
        <v>7.0046840000000027E-2</v>
      </c>
      <c r="Q18" s="15">
        <f t="shared" ca="1" si="28"/>
        <v>6.9302920000000032E-2</v>
      </c>
      <c r="R18" s="15">
        <f t="shared" ca="1" si="28"/>
        <v>6.8559000000000037E-2</v>
      </c>
      <c r="S18" s="15">
        <f t="shared" ca="1" si="28"/>
        <v>6.7815080000000041E-2</v>
      </c>
      <c r="T18" s="15">
        <f t="shared" ca="1" si="28"/>
        <v>6.7071160000000046E-2</v>
      </c>
      <c r="U18" s="15">
        <f t="shared" ca="1" si="28"/>
        <v>6.6327240000000051E-2</v>
      </c>
      <c r="V18" s="15">
        <f t="shared" ca="1" si="28"/>
        <v>6.5583320000000056E-2</v>
      </c>
      <c r="W18" s="15">
        <f t="shared" ca="1" si="28"/>
        <v>6.4839400000000061E-2</v>
      </c>
      <c r="X18" s="15">
        <f t="shared" ca="1" si="28"/>
        <v>6.4095480000000066E-2</v>
      </c>
      <c r="Y18" s="15">
        <f t="shared" ca="1" si="28"/>
        <v>6.3351560000000071E-2</v>
      </c>
      <c r="Z18" s="15">
        <f t="shared" ca="1" si="28"/>
        <v>6.2607640000000075E-2</v>
      </c>
      <c r="AA18" s="15">
        <f t="shared" ca="1" si="28"/>
        <v>6.1863720000000073E-2</v>
      </c>
      <c r="AB18" s="15">
        <f t="shared" ca="1" si="28"/>
        <v>6.1119800000000071E-2</v>
      </c>
      <c r="AC18" s="15">
        <f t="shared" ca="1" si="28"/>
        <v>6.0375880000000069E-2</v>
      </c>
      <c r="AD18" s="15">
        <f t="shared" ca="1" si="28"/>
        <v>5.9631960000000067E-2</v>
      </c>
      <c r="AE18" s="5"/>
      <c r="AG18" s="1" t="s">
        <v>59</v>
      </c>
      <c r="AH18" s="37">
        <f t="shared" ca="1" si="29"/>
        <v>123424.21419894997</v>
      </c>
      <c r="AI18" s="37">
        <f t="shared" ca="1" si="21"/>
        <v>126890.8739629715</v>
      </c>
      <c r="AJ18" s="37">
        <f t="shared" ca="1" si="22"/>
        <v>130413.03106012283</v>
      </c>
      <c r="AK18" s="37">
        <f t="shared" ca="1" si="22"/>
        <v>133820.21928499243</v>
      </c>
      <c r="AL18" s="37">
        <f t="shared" ca="1" si="22"/>
        <v>137301.41020839612</v>
      </c>
      <c r="AM18" s="37">
        <f t="shared" ca="1" si="22"/>
        <v>140834.64843151093</v>
      </c>
      <c r="AN18" s="37">
        <f t="shared" ca="1" si="22"/>
        <v>144396.42404189514</v>
      </c>
      <c r="AO18" s="37">
        <f t="shared" ca="1" si="22"/>
        <v>147973.22931303302</v>
      </c>
      <c r="AP18" s="37">
        <f t="shared" ca="1" si="22"/>
        <v>151457.25476232785</v>
      </c>
      <c r="AQ18" s="37">
        <f t="shared" ca="1" si="22"/>
        <v>154962.77604105053</v>
      </c>
      <c r="AR18" s="37">
        <f t="shared" ca="1" si="22"/>
        <v>158487.55420308764</v>
      </c>
      <c r="AS18" s="37">
        <f t="shared" ca="1" si="22"/>
        <v>162036.17592492059</v>
      </c>
      <c r="AT18" s="37">
        <f t="shared" ca="1" si="23"/>
        <v>165607.64327099131</v>
      </c>
      <c r="AU18" s="37">
        <f t="shared" ca="1" si="23"/>
        <v>169097.90272565428</v>
      </c>
      <c r="AV18" s="37">
        <f t="shared" ca="1" si="23"/>
        <v>172613.29597986181</v>
      </c>
      <c r="AW18" s="37">
        <f t="shared" ca="1" si="23"/>
        <v>176138.34818410504</v>
      </c>
      <c r="AX18" s="37">
        <f t="shared" ca="1" si="23"/>
        <v>179656.68910054583</v>
      </c>
      <c r="AY18" s="37">
        <f t="shared" ca="1" si="23"/>
        <v>183156.27511150751</v>
      </c>
      <c r="AZ18" s="37" t="e">
        <f t="shared" ca="1" si="23"/>
        <v>#N/A</v>
      </c>
      <c r="BA18" s="37" t="e">
        <f t="shared" ca="1" si="23"/>
        <v>#N/A</v>
      </c>
      <c r="BB18" s="37" t="e">
        <f t="shared" ca="1" si="23"/>
        <v>#N/A</v>
      </c>
    </row>
    <row r="19" spans="1:54" x14ac:dyDescent="0.25">
      <c r="B19" s="1" t="s">
        <v>171</v>
      </c>
      <c r="C19" s="14">
        <f ca="1">INDEX(Data_FP!$2:$1048576,MATCH(C$4&amp;$A$14&amp;$B19&amp;$A$1,Data_FP!$A$2:$A$1048576,0),MATCH($A$13,Data_FP!$2:$2,0))</f>
        <v>0</v>
      </c>
      <c r="D19" s="14">
        <f ca="1">INDEX(Data_FP!$2:$1048576,MATCH(D$4&amp;$A$14&amp;$B19&amp;$A$1,Data_FP!$A$2:$A$1048576,0),MATCH($A$13,Data_FP!$2:$2,0))</f>
        <v>0</v>
      </c>
      <c r="E19" s="14">
        <f ca="1">IF('User Settings'!$N$7="On",($D19-$C19)/($D$4-$C$4),0)</f>
        <v>0</v>
      </c>
      <c r="F19" s="14">
        <f t="shared" ca="1" si="24"/>
        <v>0</v>
      </c>
      <c r="G19" s="14"/>
      <c r="H19" s="14">
        <f t="shared" ca="1" si="25"/>
        <v>0</v>
      </c>
      <c r="I19" s="14">
        <f t="shared" ca="1" si="30"/>
        <v>0</v>
      </c>
      <c r="J19" s="14">
        <f t="shared" ca="1" si="26"/>
        <v>0</v>
      </c>
      <c r="K19" s="14">
        <f t="shared" ca="1" si="27"/>
        <v>0</v>
      </c>
      <c r="L19" s="15">
        <f t="shared" ca="1" si="28"/>
        <v>0</v>
      </c>
      <c r="M19" s="15">
        <f t="shared" ca="1" si="28"/>
        <v>0</v>
      </c>
      <c r="N19" s="15">
        <f t="shared" ca="1" si="28"/>
        <v>0</v>
      </c>
      <c r="O19" s="15">
        <f t="shared" ca="1" si="28"/>
        <v>0</v>
      </c>
      <c r="P19" s="15">
        <f t="shared" ca="1" si="28"/>
        <v>0</v>
      </c>
      <c r="Q19" s="15">
        <f t="shared" ca="1" si="28"/>
        <v>0</v>
      </c>
      <c r="R19" s="15">
        <f t="shared" ca="1" si="28"/>
        <v>0</v>
      </c>
      <c r="S19" s="15">
        <f t="shared" ca="1" si="28"/>
        <v>0</v>
      </c>
      <c r="T19" s="15">
        <f t="shared" ca="1" si="28"/>
        <v>0</v>
      </c>
      <c r="U19" s="15">
        <f t="shared" ca="1" si="28"/>
        <v>0</v>
      </c>
      <c r="V19" s="15">
        <f t="shared" ca="1" si="28"/>
        <v>0</v>
      </c>
      <c r="W19" s="15">
        <f t="shared" ca="1" si="28"/>
        <v>0</v>
      </c>
      <c r="X19" s="15">
        <f t="shared" ca="1" si="28"/>
        <v>0</v>
      </c>
      <c r="Y19" s="15">
        <f t="shared" ca="1" si="28"/>
        <v>0</v>
      </c>
      <c r="Z19" s="15">
        <f t="shared" ca="1" si="28"/>
        <v>0</v>
      </c>
      <c r="AA19" s="15">
        <f t="shared" ca="1" si="28"/>
        <v>0</v>
      </c>
      <c r="AB19" s="15">
        <f t="shared" ca="1" si="28"/>
        <v>0</v>
      </c>
      <c r="AC19" s="15">
        <f t="shared" ca="1" si="28"/>
        <v>0</v>
      </c>
      <c r="AD19" s="15">
        <f t="shared" ca="1" si="28"/>
        <v>0</v>
      </c>
      <c r="AE19" s="5"/>
      <c r="AG19" s="1" t="s">
        <v>171</v>
      </c>
      <c r="AH19" s="37">
        <f t="shared" ca="1" si="29"/>
        <v>0</v>
      </c>
      <c r="AI19" s="37">
        <f t="shared" ca="1" si="21"/>
        <v>0</v>
      </c>
      <c r="AJ19" s="37">
        <f t="shared" ca="1" si="22"/>
        <v>0</v>
      </c>
      <c r="AK19" s="37">
        <f t="shared" ca="1" si="22"/>
        <v>0</v>
      </c>
      <c r="AL19" s="37">
        <f t="shared" ca="1" si="22"/>
        <v>0</v>
      </c>
      <c r="AM19" s="37">
        <f t="shared" ca="1" si="22"/>
        <v>0</v>
      </c>
      <c r="AN19" s="37">
        <f t="shared" ca="1" si="22"/>
        <v>0</v>
      </c>
      <c r="AO19" s="37">
        <f t="shared" ca="1" si="22"/>
        <v>0</v>
      </c>
      <c r="AP19" s="37">
        <f t="shared" ca="1" si="22"/>
        <v>0</v>
      </c>
      <c r="AQ19" s="37">
        <f t="shared" ca="1" si="22"/>
        <v>0</v>
      </c>
      <c r="AR19" s="37">
        <f t="shared" ca="1" si="22"/>
        <v>0</v>
      </c>
      <c r="AS19" s="37">
        <f t="shared" ca="1" si="22"/>
        <v>0</v>
      </c>
      <c r="AT19" s="37">
        <f t="shared" ca="1" si="23"/>
        <v>0</v>
      </c>
      <c r="AU19" s="37">
        <f t="shared" ca="1" si="23"/>
        <v>0</v>
      </c>
      <c r="AV19" s="37">
        <f t="shared" ca="1" si="23"/>
        <v>0</v>
      </c>
      <c r="AW19" s="37">
        <f t="shared" ca="1" si="23"/>
        <v>0</v>
      </c>
      <c r="AX19" s="37">
        <f t="shared" ca="1" si="23"/>
        <v>0</v>
      </c>
      <c r="AY19" s="37">
        <f t="shared" ca="1" si="23"/>
        <v>0</v>
      </c>
      <c r="AZ19" s="37" t="e">
        <f t="shared" ca="1" si="23"/>
        <v>#N/A</v>
      </c>
      <c r="BA19" s="37" t="e">
        <f t="shared" ca="1" si="23"/>
        <v>#N/A</v>
      </c>
      <c r="BB19" s="37" t="e">
        <f t="shared" ca="1" si="23"/>
        <v>#N/A</v>
      </c>
    </row>
    <row r="20" spans="1:54" x14ac:dyDescent="0.25">
      <c r="B20" s="1" t="s">
        <v>116</v>
      </c>
      <c r="C20" s="14">
        <f ca="1">INDEX(Data_FP!$2:$1048576,MATCH(C$4&amp;$A$14&amp;$B20&amp;$A$1,Data_FP!$A$2:$A$1048576,0),MATCH($A$13,Data_FP!$2:$2,0))</f>
        <v>0</v>
      </c>
      <c r="D20" s="14">
        <f ca="1">INDEX(Data_FP!$2:$1048576,MATCH(D$4&amp;$A$14&amp;$B20&amp;$A$1,Data_FP!$A$2:$A$1048576,0),MATCH($A$13,Data_FP!$2:$2,0))</f>
        <v>8.5789999999999998E-4</v>
      </c>
      <c r="E20" s="14">
        <f ca="1">IF('User Settings'!$N$7="On",($D20-$C20)/($D$4-$C$4),0)</f>
        <v>1.7158000000000001E-4</v>
      </c>
      <c r="F20" s="14">
        <f t="shared" ca="1" si="24"/>
        <v>1.3726400000000001E-3</v>
      </c>
      <c r="G20" s="14"/>
      <c r="H20" s="14">
        <f t="shared" ca="1" si="25"/>
        <v>1.8873800000000001E-3</v>
      </c>
      <c r="I20" s="14">
        <f t="shared" ca="1" si="30"/>
        <v>1.7158000000000003E-4</v>
      </c>
      <c r="J20" s="14">
        <f t="shared" ca="1" si="26"/>
        <v>1.2010600000000001E-3</v>
      </c>
      <c r="K20" s="14">
        <f t="shared" ca="1" si="27"/>
        <v>1.3726400000000001E-3</v>
      </c>
      <c r="L20" s="15">
        <f t="shared" ca="1" si="28"/>
        <v>1.54422E-3</v>
      </c>
      <c r="M20" s="15">
        <f t="shared" ca="1" si="28"/>
        <v>1.7158E-3</v>
      </c>
      <c r="N20" s="15">
        <f t="shared" ca="1" si="28"/>
        <v>1.8873799999999999E-3</v>
      </c>
      <c r="O20" s="15">
        <f t="shared" ca="1" si="28"/>
        <v>2.0589599999999999E-3</v>
      </c>
      <c r="P20" s="15">
        <f t="shared" ca="1" si="28"/>
        <v>2.23054E-3</v>
      </c>
      <c r="Q20" s="15">
        <f t="shared" ca="1" si="28"/>
        <v>2.4021200000000002E-3</v>
      </c>
      <c r="R20" s="15">
        <f t="shared" ca="1" si="28"/>
        <v>2.5737000000000004E-3</v>
      </c>
      <c r="S20" s="15">
        <f t="shared" ca="1" si="28"/>
        <v>2.7452800000000005E-3</v>
      </c>
      <c r="T20" s="15">
        <f t="shared" ca="1" si="28"/>
        <v>2.9168600000000007E-3</v>
      </c>
      <c r="U20" s="15">
        <f t="shared" ca="1" si="28"/>
        <v>3.0884400000000009E-3</v>
      </c>
      <c r="V20" s="15">
        <f t="shared" ca="1" si="28"/>
        <v>3.2600200000000011E-3</v>
      </c>
      <c r="W20" s="15">
        <f t="shared" ca="1" si="28"/>
        <v>3.4316000000000012E-3</v>
      </c>
      <c r="X20" s="15">
        <f t="shared" ca="1" si="28"/>
        <v>3.6031800000000014E-3</v>
      </c>
      <c r="Y20" s="15">
        <f t="shared" ca="1" si="28"/>
        <v>3.7747600000000016E-3</v>
      </c>
      <c r="Z20" s="15">
        <f t="shared" ca="1" si="28"/>
        <v>3.9463400000000013E-3</v>
      </c>
      <c r="AA20" s="15">
        <f t="shared" ca="1" si="28"/>
        <v>4.1179200000000015E-3</v>
      </c>
      <c r="AB20" s="15">
        <f t="shared" ca="1" si="28"/>
        <v>4.2895000000000016E-3</v>
      </c>
      <c r="AC20" s="15">
        <f t="shared" ca="1" si="28"/>
        <v>4.4610800000000018E-3</v>
      </c>
      <c r="AD20" s="15">
        <f t="shared" ca="1" si="28"/>
        <v>4.632660000000002E-3</v>
      </c>
      <c r="AE20" s="5"/>
      <c r="AG20" s="1" t="s">
        <v>116</v>
      </c>
      <c r="AH20" s="37">
        <f t="shared" ca="1" si="29"/>
        <v>1989.5204734722911</v>
      </c>
      <c r="AI20" s="37">
        <f t="shared" ca="1" si="21"/>
        <v>2361.175206998375</v>
      </c>
      <c r="AJ20" s="37">
        <f t="shared" ca="1" si="22"/>
        <v>2757.8671733550536</v>
      </c>
      <c r="AK20" s="37">
        <f t="shared" ca="1" si="22"/>
        <v>3176.7180361710102</v>
      </c>
      <c r="AL20" s="37">
        <f t="shared" ca="1" si="22"/>
        <v>3622.5776867824475</v>
      </c>
      <c r="AM20" s="37">
        <f t="shared" ca="1" si="22"/>
        <v>4096.1971270621143</v>
      </c>
      <c r="AN20" s="37">
        <f t="shared" ca="1" si="22"/>
        <v>4598.09464184835</v>
      </c>
      <c r="AO20" s="37">
        <f t="shared" ca="1" si="22"/>
        <v>5128.9246340186355</v>
      </c>
      <c r="AP20" s="37">
        <f t="shared" ca="1" si="22"/>
        <v>5685.6946072988676</v>
      </c>
      <c r="AQ20" s="37">
        <f t="shared" ca="1" si="22"/>
        <v>6273.1800922446018</v>
      </c>
      <c r="AR20" s="37">
        <f t="shared" ca="1" si="22"/>
        <v>6892.4707333646538</v>
      </c>
      <c r="AS20" s="37">
        <f t="shared" ca="1" si="22"/>
        <v>7544.9997191736229</v>
      </c>
      <c r="AT20" s="37">
        <f t="shared" ca="1" si="23"/>
        <v>8232.0356641947492</v>
      </c>
      <c r="AU20" s="37">
        <f t="shared" ca="1" si="23"/>
        <v>8949.4406640615871</v>
      </c>
      <c r="AV20" s="37">
        <f t="shared" ca="1" si="23"/>
        <v>9703.5980666455434</v>
      </c>
      <c r="AW20" s="37">
        <f t="shared" ca="1" si="23"/>
        <v>10495.084749159008</v>
      </c>
      <c r="AX20" s="37">
        <f t="shared" ca="1" si="23"/>
        <v>11324.278929297567</v>
      </c>
      <c r="AY20" s="37">
        <f t="shared" ca="1" si="23"/>
        <v>12191.683403571242</v>
      </c>
      <c r="AZ20" s="37" t="e">
        <f t="shared" ca="1" si="23"/>
        <v>#N/A</v>
      </c>
      <c r="BA20" s="37" t="e">
        <f t="shared" ca="1" si="23"/>
        <v>#N/A</v>
      </c>
      <c r="BB20" s="37" t="e">
        <f t="shared" ca="1" si="23"/>
        <v>#N/A</v>
      </c>
    </row>
    <row r="21" spans="1:54" x14ac:dyDescent="0.25">
      <c r="C21" s="5">
        <f ca="1">SUM(C15:C20)</f>
        <v>0.12223890000000001</v>
      </c>
      <c r="D21" s="5">
        <f ca="1">SUM(D15:D20)</f>
        <v>0.14701830000000002</v>
      </c>
      <c r="E21" s="131"/>
      <c r="F21" s="132">
        <f ca="1">SUM(F15:F20)</f>
        <v>0.16188594000000003</v>
      </c>
      <c r="G21" s="132"/>
      <c r="H21" s="132">
        <f ca="1">SUM(H15:H20)</f>
        <v>0.17675358000000002</v>
      </c>
      <c r="I21" s="132"/>
      <c r="J21" s="132">
        <f ca="1">SUM(J15:J20)</f>
        <v>0.15693006000000001</v>
      </c>
      <c r="K21" s="132">
        <f ca="1">SUM(K15:K20)</f>
        <v>0.16188594000000003</v>
      </c>
      <c r="L21" s="5">
        <f t="shared" ref="L21:AD21" ca="1" si="31">SUM(L15:L20)</f>
        <v>0.16684182</v>
      </c>
      <c r="M21" s="5">
        <f t="shared" ca="1" si="31"/>
        <v>0.1717977</v>
      </c>
      <c r="N21" s="5">
        <f t="shared" ca="1" si="31"/>
        <v>0.17675358000000002</v>
      </c>
      <c r="O21" s="5">
        <f t="shared" ca="1" si="31"/>
        <v>0.18170945999999999</v>
      </c>
      <c r="P21" s="5">
        <f t="shared" ca="1" si="31"/>
        <v>0.18666534000000001</v>
      </c>
      <c r="Q21" s="5">
        <f t="shared" ca="1" si="31"/>
        <v>0.19162122000000001</v>
      </c>
      <c r="R21" s="5">
        <f t="shared" ca="1" si="31"/>
        <v>0.1965771</v>
      </c>
      <c r="S21" s="5">
        <f t="shared" ca="1" si="31"/>
        <v>0.20153298</v>
      </c>
      <c r="T21" s="5">
        <f t="shared" ca="1" si="31"/>
        <v>0.20648886</v>
      </c>
      <c r="U21" s="5">
        <f t="shared" ca="1" si="31"/>
        <v>0.21144473999999999</v>
      </c>
      <c r="V21" s="5">
        <f t="shared" ca="1" si="31"/>
        <v>0.21640061999999999</v>
      </c>
      <c r="W21" s="5">
        <f t="shared" ca="1" si="31"/>
        <v>0.22135650000000004</v>
      </c>
      <c r="X21" s="5">
        <f t="shared" ca="1" si="31"/>
        <v>0.22631238000000004</v>
      </c>
      <c r="Y21" s="5">
        <f t="shared" ca="1" si="31"/>
        <v>0.23126826000000006</v>
      </c>
      <c r="Z21" s="5">
        <f t="shared" ca="1" si="31"/>
        <v>0.23622414000000005</v>
      </c>
      <c r="AA21" s="5">
        <f t="shared" ca="1" si="31"/>
        <v>0.24118002000000005</v>
      </c>
      <c r="AB21" s="5">
        <f t="shared" ca="1" si="31"/>
        <v>0.24613590000000007</v>
      </c>
      <c r="AC21" s="5">
        <f t="shared" ca="1" si="31"/>
        <v>0.25109178000000004</v>
      </c>
      <c r="AD21" s="5">
        <f t="shared" ca="1" si="31"/>
        <v>0.25604766000000007</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G23" s="4"/>
      <c r="H23" s="4" t="s">
        <v>167</v>
      </c>
      <c r="K23" s="205" t="str">
        <f t="shared" ref="K23:AD23" si="32">IF(K24=Yr_Start,"Start Year",IF(K24=Yr_End,"End Year",""))</f>
        <v>Start Year</v>
      </c>
      <c r="L23" s="205" t="str">
        <f t="shared" si="32"/>
        <v/>
      </c>
      <c r="M23" s="205" t="str">
        <f t="shared" si="32"/>
        <v/>
      </c>
      <c r="N23" s="205" t="str">
        <f t="shared" si="32"/>
        <v>End Year</v>
      </c>
      <c r="O23" s="205" t="str">
        <f t="shared" si="32"/>
        <v/>
      </c>
      <c r="P23" s="205" t="str">
        <f t="shared" si="32"/>
        <v/>
      </c>
      <c r="Q23" s="205" t="str">
        <f t="shared" si="32"/>
        <v/>
      </c>
      <c r="R23" s="205" t="str">
        <f t="shared" si="32"/>
        <v/>
      </c>
      <c r="S23" s="205" t="str">
        <f t="shared" si="32"/>
        <v/>
      </c>
      <c r="T23" s="205" t="str">
        <f t="shared" si="32"/>
        <v/>
      </c>
      <c r="U23" s="205" t="str">
        <f t="shared" si="32"/>
        <v/>
      </c>
      <c r="V23" s="205" t="str">
        <f t="shared" si="32"/>
        <v/>
      </c>
      <c r="W23" s="205" t="str">
        <f t="shared" si="32"/>
        <v/>
      </c>
      <c r="X23" s="205" t="str">
        <f t="shared" si="32"/>
        <v/>
      </c>
      <c r="Y23" s="205" t="str">
        <f t="shared" si="32"/>
        <v/>
      </c>
      <c r="Z23" s="205" t="str">
        <f t="shared" si="32"/>
        <v/>
      </c>
      <c r="AA23" s="205" t="str">
        <f t="shared" si="32"/>
        <v/>
      </c>
      <c r="AB23" s="205" t="str">
        <f t="shared" si="32"/>
        <v/>
      </c>
      <c r="AC23" s="205" t="str">
        <f t="shared" si="32"/>
        <v/>
      </c>
      <c r="AD23" s="205" t="str">
        <f t="shared" si="32"/>
        <v/>
      </c>
      <c r="AE23" s="35"/>
      <c r="AF23" s="6" t="str">
        <f>A23</f>
        <v>Richer</v>
      </c>
      <c r="AI23" s="205" t="str">
        <f t="shared" ref="AI23:BB23" si="33">IF(AI24=Yr_Start,"Start Year",IF(AI24=Yr_End,"End Year",""))</f>
        <v>Start Year</v>
      </c>
      <c r="AJ23" s="205" t="str">
        <f t="shared" si="33"/>
        <v/>
      </c>
      <c r="AK23" s="205" t="str">
        <f t="shared" si="33"/>
        <v/>
      </c>
      <c r="AL23" s="205" t="str">
        <f t="shared" si="33"/>
        <v>End Year</v>
      </c>
      <c r="AM23" s="205" t="str">
        <f t="shared" si="33"/>
        <v/>
      </c>
      <c r="AN23" s="205" t="str">
        <f t="shared" si="33"/>
        <v/>
      </c>
      <c r="AO23" s="205" t="str">
        <f t="shared" si="33"/>
        <v/>
      </c>
      <c r="AP23" s="205" t="str">
        <f t="shared" si="33"/>
        <v/>
      </c>
      <c r="AQ23" s="205" t="str">
        <f t="shared" si="33"/>
        <v/>
      </c>
      <c r="AR23" s="205" t="str">
        <f t="shared" si="33"/>
        <v/>
      </c>
      <c r="AS23" s="205" t="str">
        <f t="shared" si="33"/>
        <v/>
      </c>
      <c r="AT23" s="205" t="str">
        <f t="shared" si="33"/>
        <v/>
      </c>
      <c r="AU23" s="205" t="str">
        <f t="shared" si="33"/>
        <v/>
      </c>
      <c r="AV23" s="205" t="str">
        <f t="shared" si="33"/>
        <v/>
      </c>
      <c r="AW23" s="205" t="str">
        <f t="shared" si="33"/>
        <v/>
      </c>
      <c r="AX23" s="205" t="str">
        <f t="shared" si="33"/>
        <v/>
      </c>
      <c r="AY23" s="205" t="str">
        <f t="shared" si="33"/>
        <v/>
      </c>
      <c r="AZ23" s="205" t="str">
        <f t="shared" si="33"/>
        <v/>
      </c>
      <c r="BA23" s="205" t="str">
        <f t="shared" si="33"/>
        <v/>
      </c>
      <c r="BB23" s="205" t="str">
        <f t="shared" si="33"/>
        <v/>
      </c>
    </row>
    <row r="24" spans="1:54" x14ac:dyDescent="0.25">
      <c r="A24" s="6" t="s">
        <v>20</v>
      </c>
      <c r="B24" s="36"/>
      <c r="C24" s="36">
        <f>Yr_DHS1</f>
        <v>2011</v>
      </c>
      <c r="D24" s="36">
        <f>Yr_DHS2</f>
        <v>2016</v>
      </c>
      <c r="E24" s="36" t="s">
        <v>168</v>
      </c>
      <c r="F24" s="36">
        <f>Yr_Start</f>
        <v>2019</v>
      </c>
      <c r="G24" s="36"/>
      <c r="H24" s="36">
        <f>Yr_End</f>
        <v>2022</v>
      </c>
      <c r="I24" s="36" t="s">
        <v>169</v>
      </c>
      <c r="J24" s="130">
        <f>K24-1</f>
        <v>2018</v>
      </c>
      <c r="K24" s="130">
        <f>Yr_Start</f>
        <v>2019</v>
      </c>
      <c r="L24" s="130">
        <f>K24+1</f>
        <v>2020</v>
      </c>
      <c r="M24" s="130">
        <f t="shared" ref="M24:AD24" si="34">L24+1</f>
        <v>2021</v>
      </c>
      <c r="N24" s="130">
        <f t="shared" si="34"/>
        <v>2022</v>
      </c>
      <c r="O24" s="130">
        <f t="shared" si="34"/>
        <v>2023</v>
      </c>
      <c r="P24" s="130">
        <f t="shared" si="34"/>
        <v>2024</v>
      </c>
      <c r="Q24" s="130">
        <f t="shared" si="34"/>
        <v>2025</v>
      </c>
      <c r="R24" s="130">
        <f t="shared" si="34"/>
        <v>2026</v>
      </c>
      <c r="S24" s="130">
        <f t="shared" si="34"/>
        <v>2027</v>
      </c>
      <c r="T24" s="130">
        <f t="shared" si="34"/>
        <v>2028</v>
      </c>
      <c r="U24" s="130">
        <f t="shared" si="34"/>
        <v>2029</v>
      </c>
      <c r="V24" s="130">
        <f t="shared" si="34"/>
        <v>2030</v>
      </c>
      <c r="W24" s="130">
        <f t="shared" si="34"/>
        <v>2031</v>
      </c>
      <c r="X24" s="130">
        <f t="shared" si="34"/>
        <v>2032</v>
      </c>
      <c r="Y24" s="130">
        <f t="shared" si="34"/>
        <v>2033</v>
      </c>
      <c r="Z24" s="130">
        <f t="shared" si="34"/>
        <v>2034</v>
      </c>
      <c r="AA24" s="130">
        <f t="shared" si="34"/>
        <v>2035</v>
      </c>
      <c r="AB24" s="130">
        <f t="shared" si="34"/>
        <v>2036</v>
      </c>
      <c r="AC24" s="130">
        <f t="shared" si="34"/>
        <v>2037</v>
      </c>
      <c r="AD24" s="130">
        <f t="shared" si="34"/>
        <v>2038</v>
      </c>
      <c r="AE24" s="6"/>
      <c r="AF24" s="6" t="str">
        <f>A24</f>
        <v>Urban</v>
      </c>
      <c r="AG24" s="38"/>
      <c r="AH24" s="161">
        <f>AI24-1</f>
        <v>2018</v>
      </c>
      <c r="AI24" s="36">
        <f>Yr_Start</f>
        <v>2019</v>
      </c>
      <c r="AJ24" s="36">
        <f>AI24+1</f>
        <v>2020</v>
      </c>
      <c r="AK24" s="36">
        <f t="shared" ref="AK24:BB24" si="35">AJ24+1</f>
        <v>2021</v>
      </c>
      <c r="AL24" s="36">
        <f t="shared" si="35"/>
        <v>2022</v>
      </c>
      <c r="AM24" s="36">
        <f t="shared" si="35"/>
        <v>2023</v>
      </c>
      <c r="AN24" s="36">
        <f t="shared" si="35"/>
        <v>2024</v>
      </c>
      <c r="AO24" s="36">
        <f t="shared" si="35"/>
        <v>2025</v>
      </c>
      <c r="AP24" s="36">
        <f t="shared" si="35"/>
        <v>2026</v>
      </c>
      <c r="AQ24" s="36">
        <f t="shared" si="35"/>
        <v>2027</v>
      </c>
      <c r="AR24" s="36">
        <f t="shared" si="35"/>
        <v>2028</v>
      </c>
      <c r="AS24" s="36">
        <f t="shared" si="35"/>
        <v>2029</v>
      </c>
      <c r="AT24" s="36">
        <f t="shared" si="35"/>
        <v>2030</v>
      </c>
      <c r="AU24" s="36">
        <f t="shared" si="35"/>
        <v>2031</v>
      </c>
      <c r="AV24" s="36">
        <f t="shared" si="35"/>
        <v>2032</v>
      </c>
      <c r="AW24" s="36">
        <f t="shared" si="35"/>
        <v>2033</v>
      </c>
      <c r="AX24" s="36">
        <f t="shared" si="35"/>
        <v>2034</v>
      </c>
      <c r="AY24" s="36">
        <f t="shared" si="35"/>
        <v>2035</v>
      </c>
      <c r="AZ24" s="36">
        <f t="shared" si="35"/>
        <v>2036</v>
      </c>
      <c r="BA24" s="36">
        <f t="shared" si="35"/>
        <v>2037</v>
      </c>
      <c r="BB24" s="36">
        <f t="shared" si="35"/>
        <v>2038</v>
      </c>
    </row>
    <row r="25" spans="1:54" x14ac:dyDescent="0.25">
      <c r="B25" s="1" t="s">
        <v>52</v>
      </c>
      <c r="C25" s="14">
        <f ca="1">INDEX(Data_FP!$2:$1048576,MATCH(C$4&amp;$A$24&amp;$B25&amp;$A$1,Data_FP!$A$2:$A$1048576,0),MATCH($A$23,Data_FP!$2:$2,0))</f>
        <v>2.2919599999999998E-2</v>
      </c>
      <c r="D25" s="14">
        <f ca="1">INDEX(Data_FP!$2:$1048576,MATCH(D$4&amp;$A$24&amp;$B25&amp;$A$1,Data_FP!$A$2:$A$1048576,0),MATCH($A$23,Data_FP!$2:$2,0))</f>
        <v>4.7372999999999998E-2</v>
      </c>
      <c r="E25" s="14">
        <f ca="1">IF('User Settings'!$N$7="On",($D25-$C25)/($D$4-$C$4),0)</f>
        <v>4.8906799999999997E-3</v>
      </c>
      <c r="F25" s="14">
        <f ca="1">MAX(0,MIN(1,($D25+$E25*(F$4-$D$4))))</f>
        <v>6.2045039999999996E-2</v>
      </c>
      <c r="G25" s="14"/>
      <c r="H25" s="14">
        <f ca="1">MAX(0,MIN(1,($D25+$E25*(H$4-$D$4))*$H$1))</f>
        <v>7.6717079999999993E-2</v>
      </c>
      <c r="I25" s="14">
        <f ca="1">($H25-$F25)/($H$4-$F$4)</f>
        <v>4.8906799999999988E-3</v>
      </c>
      <c r="J25" s="14">
        <f ca="1">K25-E25</f>
        <v>5.7154359999999994E-2</v>
      </c>
      <c r="K25" s="14">
        <f ca="1">MAX(0,MIN(1,D25+(K$4-D$4)*E25))</f>
        <v>6.2045039999999996E-2</v>
      </c>
      <c r="L25" s="15">
        <f ca="1">MAX(0,MIN(1,K25+$I25))</f>
        <v>6.693571999999999E-2</v>
      </c>
      <c r="M25" s="15">
        <f t="shared" ref="M25:AD25" ca="1" si="36">MAX(0,MIN(1,L25+$I25))</f>
        <v>7.1826399999999985E-2</v>
      </c>
      <c r="N25" s="15">
        <f ca="1">MAX(0,MIN(1,M25+$I25))</f>
        <v>7.6717079999999979E-2</v>
      </c>
      <c r="O25" s="15">
        <f t="shared" ca="1" si="36"/>
        <v>8.1607759999999974E-2</v>
      </c>
      <c r="P25" s="15">
        <f t="shared" ca="1" si="36"/>
        <v>8.6498439999999968E-2</v>
      </c>
      <c r="Q25" s="15">
        <f t="shared" ca="1" si="36"/>
        <v>9.1389119999999963E-2</v>
      </c>
      <c r="R25" s="15">
        <f t="shared" ca="1" si="36"/>
        <v>9.6279799999999957E-2</v>
      </c>
      <c r="S25" s="15">
        <f t="shared" ca="1" si="36"/>
        <v>0.10117047999999995</v>
      </c>
      <c r="T25" s="15">
        <f t="shared" ca="1" si="36"/>
        <v>0.10606115999999995</v>
      </c>
      <c r="U25" s="15">
        <f t="shared" ca="1" si="36"/>
        <v>0.11095183999999994</v>
      </c>
      <c r="V25" s="15">
        <f t="shared" ca="1" si="36"/>
        <v>0.11584251999999993</v>
      </c>
      <c r="W25" s="15">
        <f t="shared" ca="1" si="36"/>
        <v>0.12073319999999993</v>
      </c>
      <c r="X25" s="15">
        <f t="shared" ca="1" si="36"/>
        <v>0.12562387999999994</v>
      </c>
      <c r="Y25" s="15">
        <f t="shared" ca="1" si="36"/>
        <v>0.13051455999999995</v>
      </c>
      <c r="Z25" s="15">
        <f t="shared" ca="1" si="36"/>
        <v>0.13540523999999995</v>
      </c>
      <c r="AA25" s="15">
        <f t="shared" ca="1" si="36"/>
        <v>0.14029591999999996</v>
      </c>
      <c r="AB25" s="15">
        <f t="shared" ca="1" si="36"/>
        <v>0.14518659999999997</v>
      </c>
      <c r="AC25" s="15">
        <f t="shared" ca="1" si="36"/>
        <v>0.15007727999999998</v>
      </c>
      <c r="AD25" s="15">
        <f t="shared" ca="1" si="36"/>
        <v>0.15496795999999999</v>
      </c>
      <c r="AE25" s="5"/>
      <c r="AG25" s="1" t="s">
        <v>52</v>
      </c>
      <c r="AH25" s="37">
        <f ca="1">J25*AH$31</f>
        <v>34450.579580857731</v>
      </c>
      <c r="AI25" s="37">
        <f t="shared" ref="AI25:AI30" ca="1" si="37">K25*AI$31</f>
        <v>38836.679430231576</v>
      </c>
      <c r="AJ25" s="37">
        <f t="shared" ref="AJ25:AS30" ca="1" si="38">L25*AJ$31</f>
        <v>43499.630642274293</v>
      </c>
      <c r="AK25" s="37">
        <f t="shared" ca="1" si="38"/>
        <v>48390.439056968033</v>
      </c>
      <c r="AL25" s="37">
        <f t="shared" ca="1" si="38"/>
        <v>53581.378303090423</v>
      </c>
      <c r="AM25" s="37">
        <f t="shared" ca="1" si="38"/>
        <v>59078.281514919116</v>
      </c>
      <c r="AN25" s="37">
        <f t="shared" ca="1" si="38"/>
        <v>64884.299871757969</v>
      </c>
      <c r="AO25" s="37">
        <f t="shared" ca="1" si="38"/>
        <v>71005.104553911908</v>
      </c>
      <c r="AP25" s="37">
        <f t="shared" ca="1" si="38"/>
        <v>77397.020695530271</v>
      </c>
      <c r="AQ25" s="37">
        <f t="shared" ca="1" si="38"/>
        <v>84123.702223338973</v>
      </c>
      <c r="AR25" s="37">
        <f t="shared" ca="1" si="38"/>
        <v>91196.711048039302</v>
      </c>
      <c r="AS25" s="37">
        <f t="shared" ca="1" si="38"/>
        <v>98632.042277337561</v>
      </c>
      <c r="AT25" s="37">
        <f t="shared" ref="AT25:BB30" ca="1" si="39">V25*AT$31</f>
        <v>106443.32512981143</v>
      </c>
      <c r="AU25" s="37">
        <f t="shared" ca="1" si="39"/>
        <v>114574.87786074574</v>
      </c>
      <c r="AV25" s="37">
        <f t="shared" ca="1" si="39"/>
        <v>123106.93007073026</v>
      </c>
      <c r="AW25" s="37">
        <f t="shared" ca="1" si="39"/>
        <v>132044.10787091823</v>
      </c>
      <c r="AX25" s="37">
        <f t="shared" ca="1" si="39"/>
        <v>141388.79307124924</v>
      </c>
      <c r="AY25" s="37">
        <f t="shared" ca="1" si="39"/>
        <v>151145.16878430435</v>
      </c>
      <c r="AZ25" s="37" t="e">
        <f t="shared" ca="1" si="39"/>
        <v>#N/A</v>
      </c>
      <c r="BA25" s="37" t="e">
        <f t="shared" ca="1" si="39"/>
        <v>#N/A</v>
      </c>
      <c r="BB25" s="37" t="e">
        <f t="shared" ca="1" si="39"/>
        <v>#N/A</v>
      </c>
    </row>
    <row r="26" spans="1:54" x14ac:dyDescent="0.25">
      <c r="B26" s="1" t="s">
        <v>54</v>
      </c>
      <c r="C26" s="14">
        <f ca="1">INDEX(Data_FP!$2:$1048576,MATCH(C$4&amp;$A$24&amp;$B26&amp;$A$1,Data_FP!$A$2:$A$1048576,0),MATCH($A$23,Data_FP!$2:$2,0))</f>
        <v>1.0582E-3</v>
      </c>
      <c r="D26" s="14">
        <f ca="1">INDEX(Data_FP!$2:$1048576,MATCH(D$4&amp;$A$24&amp;$B26&amp;$A$1,Data_FP!$A$2:$A$1048576,0),MATCH($A$23,Data_FP!$2:$2,0))</f>
        <v>6.5379999999999995E-4</v>
      </c>
      <c r="E26" s="14">
        <f ca="1">IF('User Settings'!$N$7="On",($D26-$C26)/($D$4-$C$4),0)</f>
        <v>-8.0880000000000012E-5</v>
      </c>
      <c r="F26" s="14">
        <f t="shared" ref="F26:F30" ca="1" si="40">MAX(0,MIN(1,($D26+$E26*(F$4-$D$4))))</f>
        <v>4.1115999999999993E-4</v>
      </c>
      <c r="G26" s="14"/>
      <c r="H26" s="14">
        <f t="shared" ref="H26:H30" ca="1" si="41">MAX(0,MIN(1,($D26+$E26*(H$4-$D$4))*$H$1))</f>
        <v>1.6851999999999991E-4</v>
      </c>
      <c r="I26" s="14">
        <f ca="1">($H26-$F26)/($H$4-$F$4)</f>
        <v>-8.0880000000000012E-5</v>
      </c>
      <c r="J26" s="14">
        <f t="shared" ref="J26:J30" ca="1" si="42">K26-E26</f>
        <v>4.920399999999999E-4</v>
      </c>
      <c r="K26" s="14">
        <f t="shared" ref="K26:K30" ca="1" si="43">MAX(0,MIN(1,D26+(K$4-D$4)*E26))</f>
        <v>4.1115999999999993E-4</v>
      </c>
      <c r="L26" s="15">
        <f t="shared" ref="L26:AD30" ca="1" si="44">MAX(0,MIN(1,K26+$I26))</f>
        <v>3.3027999999999991E-4</v>
      </c>
      <c r="M26" s="15">
        <f t="shared" ca="1" si="44"/>
        <v>2.4939999999999988E-4</v>
      </c>
      <c r="N26" s="15">
        <f t="shared" ca="1" si="44"/>
        <v>1.6851999999999986E-4</v>
      </c>
      <c r="O26" s="15">
        <f t="shared" ca="1" si="44"/>
        <v>8.7639999999999845E-5</v>
      </c>
      <c r="P26" s="15">
        <f t="shared" ca="1" si="44"/>
        <v>6.7599999999998336E-6</v>
      </c>
      <c r="Q26" s="15">
        <f t="shared" ca="1" si="44"/>
        <v>0</v>
      </c>
      <c r="R26" s="15">
        <f t="shared" ca="1" si="44"/>
        <v>0</v>
      </c>
      <c r="S26" s="15">
        <f t="shared" ca="1" si="44"/>
        <v>0</v>
      </c>
      <c r="T26" s="15">
        <f t="shared" ca="1" si="44"/>
        <v>0</v>
      </c>
      <c r="U26" s="15">
        <f t="shared" ca="1" si="44"/>
        <v>0</v>
      </c>
      <c r="V26" s="15">
        <f t="shared" ca="1" si="44"/>
        <v>0</v>
      </c>
      <c r="W26" s="15">
        <f t="shared" ca="1" si="44"/>
        <v>0</v>
      </c>
      <c r="X26" s="15">
        <f t="shared" ca="1" si="44"/>
        <v>0</v>
      </c>
      <c r="Y26" s="15">
        <f t="shared" ca="1" si="44"/>
        <v>0</v>
      </c>
      <c r="Z26" s="15">
        <f t="shared" ca="1" si="44"/>
        <v>0</v>
      </c>
      <c r="AA26" s="15">
        <f t="shared" ca="1" si="44"/>
        <v>0</v>
      </c>
      <c r="AB26" s="15">
        <f t="shared" ca="1" si="44"/>
        <v>0</v>
      </c>
      <c r="AC26" s="15">
        <f t="shared" ca="1" si="44"/>
        <v>0</v>
      </c>
      <c r="AD26" s="15">
        <f t="shared" ca="1" si="44"/>
        <v>0</v>
      </c>
      <c r="AE26" s="5"/>
      <c r="AG26" s="1" t="s">
        <v>54</v>
      </c>
      <c r="AH26" s="37">
        <f t="shared" ref="AH26:AH30" ca="1" si="45">J26*AH$31</f>
        <v>296.58390325716596</v>
      </c>
      <c r="AI26" s="37">
        <f t="shared" ca="1" si="37"/>
        <v>257.36286276121365</v>
      </c>
      <c r="AJ26" s="37">
        <f t="shared" ca="1" si="38"/>
        <v>214.63962751921324</v>
      </c>
      <c r="AK26" s="37">
        <f t="shared" ca="1" si="38"/>
        <v>168.02422926400075</v>
      </c>
      <c r="AL26" s="37">
        <f t="shared" ca="1" si="38"/>
        <v>117.69913390390762</v>
      </c>
      <c r="AM26" s="37">
        <f t="shared" ca="1" si="38"/>
        <v>63.445199230655319</v>
      </c>
      <c r="AN26" s="37">
        <f t="shared" ca="1" si="38"/>
        <v>5.0708182382604035</v>
      </c>
      <c r="AO26" s="37">
        <f t="shared" ca="1" si="38"/>
        <v>0</v>
      </c>
      <c r="AP26" s="37">
        <f t="shared" ca="1" si="38"/>
        <v>0</v>
      </c>
      <c r="AQ26" s="37">
        <f t="shared" ca="1" si="38"/>
        <v>0</v>
      </c>
      <c r="AR26" s="37">
        <f t="shared" ca="1" si="38"/>
        <v>0</v>
      </c>
      <c r="AS26" s="37">
        <f t="shared" ca="1" si="38"/>
        <v>0</v>
      </c>
      <c r="AT26" s="37">
        <f t="shared" ca="1" si="39"/>
        <v>0</v>
      </c>
      <c r="AU26" s="37">
        <f t="shared" ca="1" si="39"/>
        <v>0</v>
      </c>
      <c r="AV26" s="37">
        <f t="shared" ca="1" si="39"/>
        <v>0</v>
      </c>
      <c r="AW26" s="37">
        <f t="shared" ca="1" si="39"/>
        <v>0</v>
      </c>
      <c r="AX26" s="37">
        <f t="shared" ca="1" si="39"/>
        <v>0</v>
      </c>
      <c r="AY26" s="37">
        <f t="shared" ca="1" si="39"/>
        <v>0</v>
      </c>
      <c r="AZ26" s="37" t="e">
        <f t="shared" ca="1" si="39"/>
        <v>#N/A</v>
      </c>
      <c r="BA26" s="37" t="e">
        <f t="shared" ca="1" si="39"/>
        <v>#N/A</v>
      </c>
      <c r="BB26" s="37" t="e">
        <f t="shared" ca="1" si="39"/>
        <v>#N/A</v>
      </c>
    </row>
    <row r="27" spans="1:54" x14ac:dyDescent="0.25">
      <c r="B27" s="1" t="s">
        <v>170</v>
      </c>
      <c r="C27" s="14">
        <f ca="1">INDEX(Data_FP!$2:$1048576,MATCH(C$4&amp;$A$24&amp;$B27&amp;$A$1,Data_FP!$A$2:$A$1048576,0),MATCH($A$23,Data_FP!$2:$2,0))</f>
        <v>0</v>
      </c>
      <c r="D27" s="14">
        <f ca="1">INDEX(Data_FP!$2:$1048576,MATCH(D$4&amp;$A$24&amp;$B27&amp;$A$1,Data_FP!$A$2:$A$1048576,0),MATCH($A$23,Data_FP!$2:$2,0))</f>
        <v>0</v>
      </c>
      <c r="E27" s="14">
        <f ca="1">IF('User Settings'!$N$7="On",($D27-$C27)/($D$4-$C$4),0)</f>
        <v>0</v>
      </c>
      <c r="F27" s="14">
        <f t="shared" ca="1" si="40"/>
        <v>0</v>
      </c>
      <c r="G27" s="14"/>
      <c r="H27" s="14">
        <f t="shared" ca="1" si="41"/>
        <v>0</v>
      </c>
      <c r="I27" s="14">
        <f t="shared" ref="I27:I30" ca="1" si="46">($H27-$F27)/($H$4-$F$4)</f>
        <v>0</v>
      </c>
      <c r="J27" s="14">
        <f t="shared" ca="1" si="42"/>
        <v>0</v>
      </c>
      <c r="K27" s="14">
        <f t="shared" ca="1" si="43"/>
        <v>0</v>
      </c>
      <c r="L27" s="15">
        <f t="shared" ca="1" si="44"/>
        <v>0</v>
      </c>
      <c r="M27" s="15">
        <f t="shared" ca="1" si="44"/>
        <v>0</v>
      </c>
      <c r="N27" s="15">
        <f t="shared" ca="1" si="44"/>
        <v>0</v>
      </c>
      <c r="O27" s="15">
        <f t="shared" ca="1" si="44"/>
        <v>0</v>
      </c>
      <c r="P27" s="15">
        <f t="shared" ca="1" si="44"/>
        <v>0</v>
      </c>
      <c r="Q27" s="15">
        <f t="shared" ca="1" si="44"/>
        <v>0</v>
      </c>
      <c r="R27" s="15">
        <f t="shared" ca="1" si="44"/>
        <v>0</v>
      </c>
      <c r="S27" s="15">
        <f t="shared" ca="1" si="44"/>
        <v>0</v>
      </c>
      <c r="T27" s="15">
        <f t="shared" ca="1" si="44"/>
        <v>0</v>
      </c>
      <c r="U27" s="15">
        <f t="shared" ca="1" si="44"/>
        <v>0</v>
      </c>
      <c r="V27" s="15">
        <f t="shared" ca="1" si="44"/>
        <v>0</v>
      </c>
      <c r="W27" s="15">
        <f t="shared" ca="1" si="44"/>
        <v>0</v>
      </c>
      <c r="X27" s="15">
        <f t="shared" ca="1" si="44"/>
        <v>0</v>
      </c>
      <c r="Y27" s="15">
        <f t="shared" ca="1" si="44"/>
        <v>0</v>
      </c>
      <c r="Z27" s="15">
        <f t="shared" ca="1" si="44"/>
        <v>0</v>
      </c>
      <c r="AA27" s="15">
        <f t="shared" ca="1" si="44"/>
        <v>0</v>
      </c>
      <c r="AB27" s="15">
        <f t="shared" ca="1" si="44"/>
        <v>0</v>
      </c>
      <c r="AC27" s="15">
        <f t="shared" ca="1" si="44"/>
        <v>0</v>
      </c>
      <c r="AD27" s="15">
        <f t="shared" ca="1" si="44"/>
        <v>0</v>
      </c>
      <c r="AE27" s="5"/>
      <c r="AG27" s="1" t="s">
        <v>170</v>
      </c>
      <c r="AH27" s="37">
        <f t="shared" ca="1" si="45"/>
        <v>0</v>
      </c>
      <c r="AI27" s="37">
        <f t="shared" ca="1" si="37"/>
        <v>0</v>
      </c>
      <c r="AJ27" s="37">
        <f t="shared" ca="1" si="38"/>
        <v>0</v>
      </c>
      <c r="AK27" s="37">
        <f t="shared" ca="1" si="38"/>
        <v>0</v>
      </c>
      <c r="AL27" s="37">
        <f t="shared" ca="1" si="38"/>
        <v>0</v>
      </c>
      <c r="AM27" s="37">
        <f t="shared" ca="1" si="38"/>
        <v>0</v>
      </c>
      <c r="AN27" s="37">
        <f t="shared" ca="1" si="38"/>
        <v>0</v>
      </c>
      <c r="AO27" s="37">
        <f t="shared" ca="1" si="38"/>
        <v>0</v>
      </c>
      <c r="AP27" s="37">
        <f t="shared" ca="1" si="38"/>
        <v>0</v>
      </c>
      <c r="AQ27" s="37">
        <f t="shared" ca="1" si="38"/>
        <v>0</v>
      </c>
      <c r="AR27" s="37">
        <f t="shared" ca="1" si="38"/>
        <v>0</v>
      </c>
      <c r="AS27" s="37">
        <f t="shared" ca="1" si="38"/>
        <v>0</v>
      </c>
      <c r="AT27" s="37">
        <f t="shared" ca="1" si="39"/>
        <v>0</v>
      </c>
      <c r="AU27" s="37">
        <f t="shared" ca="1" si="39"/>
        <v>0</v>
      </c>
      <c r="AV27" s="37">
        <f t="shared" ca="1" si="39"/>
        <v>0</v>
      </c>
      <c r="AW27" s="37">
        <f t="shared" ca="1" si="39"/>
        <v>0</v>
      </c>
      <c r="AX27" s="37">
        <f t="shared" ca="1" si="39"/>
        <v>0</v>
      </c>
      <c r="AY27" s="37">
        <f t="shared" ca="1" si="39"/>
        <v>0</v>
      </c>
      <c r="AZ27" s="37" t="e">
        <f t="shared" ca="1" si="39"/>
        <v>#N/A</v>
      </c>
      <c r="BA27" s="37" t="e">
        <f t="shared" ca="1" si="39"/>
        <v>#N/A</v>
      </c>
      <c r="BB27" s="37" t="e">
        <f t="shared" ca="1" si="39"/>
        <v>#N/A</v>
      </c>
    </row>
    <row r="28" spans="1:54" x14ac:dyDescent="0.25">
      <c r="B28" s="1" t="s">
        <v>59</v>
      </c>
      <c r="C28" s="14">
        <f ca="1">INDEX(Data_FP!$2:$1048576,MATCH(C$4&amp;$A$24&amp;$B28&amp;$A$1,Data_FP!$A$2:$A$1048576,0),MATCH($A$23,Data_FP!$2:$2,0))</f>
        <v>0.10525900000000001</v>
      </c>
      <c r="D28" s="14">
        <f ca="1">INDEX(Data_FP!$2:$1048576,MATCH(D$4&amp;$A$24&amp;$B28&amp;$A$1,Data_FP!$A$2:$A$1048576,0),MATCH($A$23,Data_FP!$2:$2,0))</f>
        <v>0.1078966</v>
      </c>
      <c r="E28" s="14">
        <f ca="1">IF('User Settings'!$N$7="On",($D28-$C28)/($D$4-$C$4),0)</f>
        <v>5.2751999999999801E-4</v>
      </c>
      <c r="F28" s="14">
        <f t="shared" ca="1" si="40"/>
        <v>0.10947915999999999</v>
      </c>
      <c r="G28" s="14"/>
      <c r="H28" s="14">
        <f t="shared" ca="1" si="41"/>
        <v>0.11106171999999999</v>
      </c>
      <c r="I28" s="14">
        <f t="shared" ca="1" si="46"/>
        <v>5.2751999999999888E-4</v>
      </c>
      <c r="J28" s="14">
        <f t="shared" ca="1" si="42"/>
        <v>0.10895163999999999</v>
      </c>
      <c r="K28" s="14">
        <f t="shared" ca="1" si="43"/>
        <v>0.10947915999999999</v>
      </c>
      <c r="L28" s="15">
        <f t="shared" ca="1" si="44"/>
        <v>0.11000668</v>
      </c>
      <c r="M28" s="15">
        <f t="shared" ca="1" si="44"/>
        <v>0.1105342</v>
      </c>
      <c r="N28" s="15">
        <f t="shared" ca="1" si="44"/>
        <v>0.11106172</v>
      </c>
      <c r="O28" s="15">
        <f t="shared" ca="1" si="44"/>
        <v>0.11158924000000001</v>
      </c>
      <c r="P28" s="15">
        <f t="shared" ca="1" si="44"/>
        <v>0.11211676000000001</v>
      </c>
      <c r="Q28" s="15">
        <f t="shared" ca="1" si="44"/>
        <v>0.11264428000000001</v>
      </c>
      <c r="R28" s="15">
        <f t="shared" ca="1" si="44"/>
        <v>0.11317180000000002</v>
      </c>
      <c r="S28" s="15">
        <f t="shared" ca="1" si="44"/>
        <v>0.11369932000000002</v>
      </c>
      <c r="T28" s="15">
        <f t="shared" ca="1" si="44"/>
        <v>0.11422684000000002</v>
      </c>
      <c r="U28" s="15">
        <f t="shared" ca="1" si="44"/>
        <v>0.11475436000000003</v>
      </c>
      <c r="V28" s="15">
        <f t="shared" ca="1" si="44"/>
        <v>0.11528188000000003</v>
      </c>
      <c r="W28" s="15">
        <f t="shared" ca="1" si="44"/>
        <v>0.11580940000000003</v>
      </c>
      <c r="X28" s="15">
        <f t="shared" ca="1" si="44"/>
        <v>0.11633692000000004</v>
      </c>
      <c r="Y28" s="15">
        <f t="shared" ca="1" si="44"/>
        <v>0.11686444000000004</v>
      </c>
      <c r="Z28" s="15">
        <f t="shared" ca="1" si="44"/>
        <v>0.11739196000000005</v>
      </c>
      <c r="AA28" s="15">
        <f t="shared" ca="1" si="44"/>
        <v>0.11791948000000005</v>
      </c>
      <c r="AB28" s="15">
        <f t="shared" ca="1" si="44"/>
        <v>0.11844700000000005</v>
      </c>
      <c r="AC28" s="15">
        <f t="shared" ca="1" si="44"/>
        <v>0.11897452000000006</v>
      </c>
      <c r="AD28" s="15">
        <f t="shared" ca="1" si="44"/>
        <v>0.11950204000000006</v>
      </c>
      <c r="AE28" s="5"/>
      <c r="AG28" s="1" t="s">
        <v>59</v>
      </c>
      <c r="AH28" s="37">
        <f t="shared" ca="1" si="45"/>
        <v>65672.105230204004</v>
      </c>
      <c r="AI28" s="37">
        <f t="shared" ca="1" si="37"/>
        <v>68527.750827641197</v>
      </c>
      <c r="AJ28" s="37">
        <f t="shared" ca="1" si="38"/>
        <v>71490.228956719424</v>
      </c>
      <c r="AK28" s="37">
        <f t="shared" ca="1" si="38"/>
        <v>74468.419255464803</v>
      </c>
      <c r="AL28" s="37">
        <f t="shared" ca="1" si="38"/>
        <v>77568.646177773</v>
      </c>
      <c r="AM28" s="37">
        <f t="shared" ca="1" si="38"/>
        <v>80782.765447254962</v>
      </c>
      <c r="AN28" s="37">
        <f t="shared" ca="1" si="38"/>
        <v>84101.140742999778</v>
      </c>
      <c r="AO28" s="37">
        <f t="shared" ca="1" si="38"/>
        <v>87519.377348202193</v>
      </c>
      <c r="AP28" s="37">
        <f t="shared" ca="1" si="38"/>
        <v>90976.094120993366</v>
      </c>
      <c r="AQ28" s="37">
        <f t="shared" ca="1" si="38"/>
        <v>94541.488175959399</v>
      </c>
      <c r="AR28" s="37">
        <f t="shared" ca="1" si="38"/>
        <v>98217.97273771686</v>
      </c>
      <c r="AS28" s="37">
        <f t="shared" ca="1" si="38"/>
        <v>102012.34055270127</v>
      </c>
      <c r="AT28" s="37">
        <f t="shared" ca="1" si="39"/>
        <v>105928.17416623807</v>
      </c>
      <c r="AU28" s="37">
        <f t="shared" ca="1" si="39"/>
        <v>109902.22954519767</v>
      </c>
      <c r="AV28" s="37">
        <f t="shared" ca="1" si="39"/>
        <v>114006.0398953141</v>
      </c>
      <c r="AW28" s="37">
        <f t="shared" ca="1" si="39"/>
        <v>118234.01712141898</v>
      </c>
      <c r="AX28" s="37">
        <f t="shared" ca="1" si="39"/>
        <v>122579.50682461313</v>
      </c>
      <c r="AY28" s="37">
        <f t="shared" ca="1" si="39"/>
        <v>127038.33231613159</v>
      </c>
      <c r="AZ28" s="37" t="e">
        <f t="shared" ca="1" si="39"/>
        <v>#N/A</v>
      </c>
      <c r="BA28" s="37" t="e">
        <f t="shared" ca="1" si="39"/>
        <v>#N/A</v>
      </c>
      <c r="BB28" s="37" t="e">
        <f t="shared" ca="1" si="39"/>
        <v>#N/A</v>
      </c>
    </row>
    <row r="29" spans="1:54" x14ac:dyDescent="0.25">
      <c r="B29" s="1" t="s">
        <v>171</v>
      </c>
      <c r="C29" s="14">
        <f ca="1">INDEX(Data_FP!$2:$1048576,MATCH(C$4&amp;$A$24&amp;$B29&amp;$A$1,Data_FP!$A$2:$A$1048576,0),MATCH($A$23,Data_FP!$2:$2,0))</f>
        <v>2.3693999999999998E-3</v>
      </c>
      <c r="D29" s="14">
        <f ca="1">INDEX(Data_FP!$2:$1048576,MATCH(D$4&amp;$A$24&amp;$B29&amp;$A$1,Data_FP!$A$2:$A$1048576,0),MATCH($A$23,Data_FP!$2:$2,0))</f>
        <v>0</v>
      </c>
      <c r="E29" s="14">
        <f ca="1">IF('User Settings'!$N$7="On",($D29-$C29)/($D$4-$C$4),0)</f>
        <v>-4.7387999999999998E-4</v>
      </c>
      <c r="F29" s="14">
        <f t="shared" ca="1" si="40"/>
        <v>0</v>
      </c>
      <c r="G29" s="14"/>
      <c r="H29" s="14">
        <f t="shared" ca="1" si="41"/>
        <v>0</v>
      </c>
      <c r="I29" s="14">
        <f t="shared" ca="1" si="46"/>
        <v>0</v>
      </c>
      <c r="J29" s="14">
        <f t="shared" ca="1" si="42"/>
        <v>4.7387999999999998E-4</v>
      </c>
      <c r="K29" s="14">
        <f t="shared" ca="1" si="43"/>
        <v>0</v>
      </c>
      <c r="L29" s="15">
        <f t="shared" ca="1" si="44"/>
        <v>0</v>
      </c>
      <c r="M29" s="15">
        <f t="shared" ca="1" si="44"/>
        <v>0</v>
      </c>
      <c r="N29" s="15">
        <f t="shared" ca="1" si="44"/>
        <v>0</v>
      </c>
      <c r="O29" s="15">
        <f t="shared" ca="1" si="44"/>
        <v>0</v>
      </c>
      <c r="P29" s="15">
        <f t="shared" ca="1" si="44"/>
        <v>0</v>
      </c>
      <c r="Q29" s="15">
        <f t="shared" ca="1" si="44"/>
        <v>0</v>
      </c>
      <c r="R29" s="15">
        <f t="shared" ca="1" si="44"/>
        <v>0</v>
      </c>
      <c r="S29" s="15">
        <f t="shared" ca="1" si="44"/>
        <v>0</v>
      </c>
      <c r="T29" s="15">
        <f t="shared" ca="1" si="44"/>
        <v>0</v>
      </c>
      <c r="U29" s="15">
        <f t="shared" ca="1" si="44"/>
        <v>0</v>
      </c>
      <c r="V29" s="15">
        <f t="shared" ca="1" si="44"/>
        <v>0</v>
      </c>
      <c r="W29" s="15">
        <f t="shared" ca="1" si="44"/>
        <v>0</v>
      </c>
      <c r="X29" s="15">
        <f t="shared" ca="1" si="44"/>
        <v>0</v>
      </c>
      <c r="Y29" s="15">
        <f t="shared" ca="1" si="44"/>
        <v>0</v>
      </c>
      <c r="Z29" s="15">
        <f t="shared" ca="1" si="44"/>
        <v>0</v>
      </c>
      <c r="AA29" s="15">
        <f t="shared" ca="1" si="44"/>
        <v>0</v>
      </c>
      <c r="AB29" s="15">
        <f t="shared" ca="1" si="44"/>
        <v>0</v>
      </c>
      <c r="AC29" s="15">
        <f t="shared" ca="1" si="44"/>
        <v>0</v>
      </c>
      <c r="AD29" s="15">
        <f t="shared" ca="1" si="44"/>
        <v>0</v>
      </c>
      <c r="AE29" s="5"/>
      <c r="AG29" s="1" t="s">
        <v>171</v>
      </c>
      <c r="AH29" s="37">
        <f t="shared" ca="1" si="45"/>
        <v>285.6377125345619</v>
      </c>
      <c r="AI29" s="37">
        <f t="shared" ca="1" si="37"/>
        <v>0</v>
      </c>
      <c r="AJ29" s="37">
        <f t="shared" ca="1" si="38"/>
        <v>0</v>
      </c>
      <c r="AK29" s="37">
        <f t="shared" ca="1" si="38"/>
        <v>0</v>
      </c>
      <c r="AL29" s="37">
        <f t="shared" ca="1" si="38"/>
        <v>0</v>
      </c>
      <c r="AM29" s="37">
        <f t="shared" ca="1" si="38"/>
        <v>0</v>
      </c>
      <c r="AN29" s="37">
        <f t="shared" ca="1" si="38"/>
        <v>0</v>
      </c>
      <c r="AO29" s="37">
        <f t="shared" ca="1" si="38"/>
        <v>0</v>
      </c>
      <c r="AP29" s="37">
        <f t="shared" ca="1" si="38"/>
        <v>0</v>
      </c>
      <c r="AQ29" s="37">
        <f t="shared" ca="1" si="38"/>
        <v>0</v>
      </c>
      <c r="AR29" s="37">
        <f t="shared" ca="1" si="38"/>
        <v>0</v>
      </c>
      <c r="AS29" s="37">
        <f t="shared" ca="1" si="38"/>
        <v>0</v>
      </c>
      <c r="AT29" s="37">
        <f t="shared" ca="1" si="39"/>
        <v>0</v>
      </c>
      <c r="AU29" s="37">
        <f t="shared" ca="1" si="39"/>
        <v>0</v>
      </c>
      <c r="AV29" s="37">
        <f t="shared" ca="1" si="39"/>
        <v>0</v>
      </c>
      <c r="AW29" s="37">
        <f t="shared" ca="1" si="39"/>
        <v>0</v>
      </c>
      <c r="AX29" s="37">
        <f t="shared" ca="1" si="39"/>
        <v>0</v>
      </c>
      <c r="AY29" s="37">
        <f t="shared" ca="1" si="39"/>
        <v>0</v>
      </c>
      <c r="AZ29" s="37" t="e">
        <f t="shared" ca="1" si="39"/>
        <v>#N/A</v>
      </c>
      <c r="BA29" s="37" t="e">
        <f t="shared" ca="1" si="39"/>
        <v>#N/A</v>
      </c>
      <c r="BB29" s="37" t="e">
        <f t="shared" ca="1" si="39"/>
        <v>#N/A</v>
      </c>
    </row>
    <row r="30" spans="1:54" ht="15.75" customHeight="1" x14ac:dyDescent="0.25">
      <c r="B30" s="1" t="s">
        <v>116</v>
      </c>
      <c r="C30" s="14">
        <f ca="1">INDEX(Data_FP!$2:$1048576,MATCH(C$4&amp;$A$24&amp;$B30&amp;$A$1,Data_FP!$A$2:$A$1048576,0),MATCH($A$23,Data_FP!$2:$2,0))</f>
        <v>0</v>
      </c>
      <c r="D30" s="14">
        <f ca="1">INDEX(Data_FP!$2:$1048576,MATCH(D$4&amp;$A$24&amp;$B30&amp;$A$1,Data_FP!$A$2:$A$1048576,0),MATCH($A$23,Data_FP!$2:$2,0))</f>
        <v>0</v>
      </c>
      <c r="E30" s="14">
        <f ca="1">IF('User Settings'!$N$7="On",($D30-$C30)/($D$4-$C$4),0)</f>
        <v>0</v>
      </c>
      <c r="F30" s="14">
        <f t="shared" ca="1" si="40"/>
        <v>0</v>
      </c>
      <c r="G30" s="14"/>
      <c r="H30" s="14">
        <f t="shared" ca="1" si="41"/>
        <v>0</v>
      </c>
      <c r="I30" s="14">
        <f t="shared" ca="1" si="46"/>
        <v>0</v>
      </c>
      <c r="J30" s="14">
        <f t="shared" ca="1" si="42"/>
        <v>0</v>
      </c>
      <c r="K30" s="14">
        <f t="shared" ca="1" si="43"/>
        <v>0</v>
      </c>
      <c r="L30" s="15">
        <f t="shared" ca="1" si="44"/>
        <v>0</v>
      </c>
      <c r="M30" s="15">
        <f t="shared" ca="1" si="44"/>
        <v>0</v>
      </c>
      <c r="N30" s="15">
        <f t="shared" ca="1" si="44"/>
        <v>0</v>
      </c>
      <c r="O30" s="15">
        <f t="shared" ca="1" si="44"/>
        <v>0</v>
      </c>
      <c r="P30" s="15">
        <f t="shared" ca="1" si="44"/>
        <v>0</v>
      </c>
      <c r="Q30" s="15">
        <f t="shared" ca="1" si="44"/>
        <v>0</v>
      </c>
      <c r="R30" s="15">
        <f t="shared" ca="1" si="44"/>
        <v>0</v>
      </c>
      <c r="S30" s="15">
        <f t="shared" ca="1" si="44"/>
        <v>0</v>
      </c>
      <c r="T30" s="15">
        <f t="shared" ca="1" si="44"/>
        <v>0</v>
      </c>
      <c r="U30" s="15">
        <f t="shared" ca="1" si="44"/>
        <v>0</v>
      </c>
      <c r="V30" s="15">
        <f t="shared" ca="1" si="44"/>
        <v>0</v>
      </c>
      <c r="W30" s="15">
        <f t="shared" ca="1" si="44"/>
        <v>0</v>
      </c>
      <c r="X30" s="15">
        <f t="shared" ca="1" si="44"/>
        <v>0</v>
      </c>
      <c r="Y30" s="15">
        <f t="shared" ca="1" si="44"/>
        <v>0</v>
      </c>
      <c r="Z30" s="15">
        <f t="shared" ca="1" si="44"/>
        <v>0</v>
      </c>
      <c r="AA30" s="15">
        <f t="shared" ca="1" si="44"/>
        <v>0</v>
      </c>
      <c r="AB30" s="15">
        <f t="shared" ca="1" si="44"/>
        <v>0</v>
      </c>
      <c r="AC30" s="15">
        <f t="shared" ca="1" si="44"/>
        <v>0</v>
      </c>
      <c r="AD30" s="15">
        <f t="shared" ca="1" si="44"/>
        <v>0</v>
      </c>
      <c r="AE30" s="5"/>
      <c r="AG30" s="1" t="s">
        <v>116</v>
      </c>
      <c r="AH30" s="37">
        <f t="shared" ca="1" si="45"/>
        <v>0</v>
      </c>
      <c r="AI30" s="37">
        <f t="shared" ca="1" si="37"/>
        <v>0</v>
      </c>
      <c r="AJ30" s="37">
        <f t="shared" ca="1" si="38"/>
        <v>0</v>
      </c>
      <c r="AK30" s="37">
        <f t="shared" ca="1" si="38"/>
        <v>0</v>
      </c>
      <c r="AL30" s="37">
        <f t="shared" ca="1" si="38"/>
        <v>0</v>
      </c>
      <c r="AM30" s="37">
        <f t="shared" ca="1" si="38"/>
        <v>0</v>
      </c>
      <c r="AN30" s="37">
        <f t="shared" ca="1" si="38"/>
        <v>0</v>
      </c>
      <c r="AO30" s="37">
        <f t="shared" ca="1" si="38"/>
        <v>0</v>
      </c>
      <c r="AP30" s="37">
        <f t="shared" ca="1" si="38"/>
        <v>0</v>
      </c>
      <c r="AQ30" s="37">
        <f t="shared" ca="1" si="38"/>
        <v>0</v>
      </c>
      <c r="AR30" s="37">
        <f t="shared" ca="1" si="38"/>
        <v>0</v>
      </c>
      <c r="AS30" s="37">
        <f t="shared" ca="1" si="38"/>
        <v>0</v>
      </c>
      <c r="AT30" s="37">
        <f t="shared" ca="1" si="39"/>
        <v>0</v>
      </c>
      <c r="AU30" s="37">
        <f t="shared" ca="1" si="39"/>
        <v>0</v>
      </c>
      <c r="AV30" s="37">
        <f t="shared" ca="1" si="39"/>
        <v>0</v>
      </c>
      <c r="AW30" s="37">
        <f t="shared" ca="1" si="39"/>
        <v>0</v>
      </c>
      <c r="AX30" s="37">
        <f t="shared" ca="1" si="39"/>
        <v>0</v>
      </c>
      <c r="AY30" s="37">
        <f t="shared" ca="1" si="39"/>
        <v>0</v>
      </c>
      <c r="AZ30" s="37" t="e">
        <f t="shared" ca="1" si="39"/>
        <v>#N/A</v>
      </c>
      <c r="BA30" s="37" t="e">
        <f t="shared" ca="1" si="39"/>
        <v>#N/A</v>
      </c>
      <c r="BB30" s="37" t="e">
        <f t="shared" ca="1" si="39"/>
        <v>#N/A</v>
      </c>
    </row>
    <row r="31" spans="1:54" x14ac:dyDescent="0.25">
      <c r="C31" s="5">
        <f ca="1">SUM(C25:C30)</f>
        <v>0.13160620000000001</v>
      </c>
      <c r="D31" s="5">
        <f ca="1">SUM(D25:D30)</f>
        <v>0.15592339999999999</v>
      </c>
      <c r="E31" s="131"/>
      <c r="F31" s="132">
        <f ca="1">SUM(F25:F30)</f>
        <v>0.17193535999999998</v>
      </c>
      <c r="G31" s="132"/>
      <c r="H31" s="132">
        <f ca="1">SUM(H25:H30)</f>
        <v>0.18794731999999997</v>
      </c>
      <c r="I31" s="132"/>
      <c r="J31" s="132">
        <f ca="1">SUM(J25:J30)</f>
        <v>0.16707191999999998</v>
      </c>
      <c r="K31" s="132">
        <f ca="1">SUM(K25:K30)</f>
        <v>0.17193535999999998</v>
      </c>
      <c r="L31" s="5">
        <f t="shared" ref="L31:AD31" ca="1" si="47">SUM(L25:L30)</f>
        <v>0.17727267999999999</v>
      </c>
      <c r="M31" s="5">
        <f t="shared" ca="1" si="47"/>
        <v>0.18260999999999999</v>
      </c>
      <c r="N31" s="5">
        <f t="shared" ca="1" si="47"/>
        <v>0.18794731999999997</v>
      </c>
      <c r="O31" s="5">
        <f t="shared" ca="1" si="47"/>
        <v>0.19328463999999998</v>
      </c>
      <c r="P31" s="5">
        <f t="shared" ca="1" si="47"/>
        <v>0.19862195999999999</v>
      </c>
      <c r="Q31" s="5">
        <f t="shared" ca="1" si="47"/>
        <v>0.20403339999999998</v>
      </c>
      <c r="R31" s="5">
        <f t="shared" ca="1" si="47"/>
        <v>0.20945159999999996</v>
      </c>
      <c r="S31" s="5">
        <f t="shared" ca="1" si="47"/>
        <v>0.21486979999999997</v>
      </c>
      <c r="T31" s="5">
        <f t="shared" ca="1" si="47"/>
        <v>0.22028799999999998</v>
      </c>
      <c r="U31" s="5">
        <f t="shared" ca="1" si="47"/>
        <v>0.22570619999999997</v>
      </c>
      <c r="V31" s="5">
        <f t="shared" ca="1" si="47"/>
        <v>0.23112439999999995</v>
      </c>
      <c r="W31" s="5">
        <f t="shared" ca="1" si="47"/>
        <v>0.23654259999999996</v>
      </c>
      <c r="X31" s="5">
        <f t="shared" ca="1" si="47"/>
        <v>0.24196079999999998</v>
      </c>
      <c r="Y31" s="5">
        <f t="shared" ca="1" si="47"/>
        <v>0.24737899999999999</v>
      </c>
      <c r="Z31" s="5">
        <f t="shared" ca="1" si="47"/>
        <v>0.2527972</v>
      </c>
      <c r="AA31" s="5">
        <f t="shared" ca="1" si="47"/>
        <v>0.25821539999999998</v>
      </c>
      <c r="AB31" s="5">
        <f t="shared" ca="1" si="47"/>
        <v>0.26363360000000002</v>
      </c>
      <c r="AC31" s="5">
        <f t="shared" ca="1" si="47"/>
        <v>0.26905180000000006</v>
      </c>
      <c r="AD31" s="5">
        <f t="shared" ca="1" si="47"/>
        <v>0.27447000000000005</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G33" s="4"/>
      <c r="H33" s="4" t="s">
        <v>167</v>
      </c>
      <c r="K33" s="205" t="str">
        <f t="shared" ref="K33:AD33" si="48">IF(K34=Yr_Start,"Start Year",IF(K34=Yr_End,"End Year",""))</f>
        <v>Start Year</v>
      </c>
      <c r="L33" s="205" t="str">
        <f t="shared" si="48"/>
        <v/>
      </c>
      <c r="M33" s="205" t="str">
        <f t="shared" si="48"/>
        <v/>
      </c>
      <c r="N33" s="205" t="str">
        <f t="shared" si="48"/>
        <v>End Year</v>
      </c>
      <c r="O33" s="205" t="str">
        <f t="shared" si="48"/>
        <v/>
      </c>
      <c r="P33" s="205" t="str">
        <f t="shared" si="48"/>
        <v/>
      </c>
      <c r="Q33" s="205" t="str">
        <f t="shared" si="48"/>
        <v/>
      </c>
      <c r="R33" s="205" t="str">
        <f t="shared" si="48"/>
        <v/>
      </c>
      <c r="S33" s="205" t="str">
        <f t="shared" si="48"/>
        <v/>
      </c>
      <c r="T33" s="205" t="str">
        <f t="shared" si="48"/>
        <v/>
      </c>
      <c r="U33" s="205" t="str">
        <f t="shared" si="48"/>
        <v/>
      </c>
      <c r="V33" s="205" t="str">
        <f t="shared" si="48"/>
        <v/>
      </c>
      <c r="W33" s="205" t="str">
        <f t="shared" si="48"/>
        <v/>
      </c>
      <c r="X33" s="205" t="str">
        <f t="shared" si="48"/>
        <v/>
      </c>
      <c r="Y33" s="205" t="str">
        <f t="shared" si="48"/>
        <v/>
      </c>
      <c r="Z33" s="205" t="str">
        <f t="shared" si="48"/>
        <v/>
      </c>
      <c r="AA33" s="205" t="str">
        <f t="shared" si="48"/>
        <v/>
      </c>
      <c r="AB33" s="205" t="str">
        <f t="shared" si="48"/>
        <v/>
      </c>
      <c r="AC33" s="205" t="str">
        <f t="shared" si="48"/>
        <v/>
      </c>
      <c r="AD33" s="205" t="str">
        <f t="shared" si="48"/>
        <v/>
      </c>
      <c r="AE33" s="35"/>
      <c r="AF33" s="6" t="str">
        <f>A33</f>
        <v>Richer</v>
      </c>
      <c r="AI33" s="205" t="str">
        <f t="shared" ref="AI33:BB33" si="49">IF(AI34=Yr_Start,"Start Year",IF(AI34=Yr_End,"End Year",""))</f>
        <v>Start Year</v>
      </c>
      <c r="AJ33" s="205" t="str">
        <f t="shared" si="49"/>
        <v/>
      </c>
      <c r="AK33" s="205" t="str">
        <f t="shared" si="49"/>
        <v/>
      </c>
      <c r="AL33" s="205" t="str">
        <f t="shared" si="49"/>
        <v>End Year</v>
      </c>
      <c r="AM33" s="205" t="str">
        <f t="shared" si="49"/>
        <v/>
      </c>
      <c r="AN33" s="205" t="str">
        <f t="shared" si="49"/>
        <v/>
      </c>
      <c r="AO33" s="205" t="str">
        <f t="shared" si="49"/>
        <v/>
      </c>
      <c r="AP33" s="205" t="str">
        <f t="shared" si="49"/>
        <v/>
      </c>
      <c r="AQ33" s="205" t="str">
        <f t="shared" si="49"/>
        <v/>
      </c>
      <c r="AR33" s="205" t="str">
        <f t="shared" si="49"/>
        <v/>
      </c>
      <c r="AS33" s="205" t="str">
        <f t="shared" si="49"/>
        <v/>
      </c>
      <c r="AT33" s="205" t="str">
        <f t="shared" si="49"/>
        <v/>
      </c>
      <c r="AU33" s="205" t="str">
        <f t="shared" si="49"/>
        <v/>
      </c>
      <c r="AV33" s="205" t="str">
        <f t="shared" si="49"/>
        <v/>
      </c>
      <c r="AW33" s="205" t="str">
        <f t="shared" si="49"/>
        <v/>
      </c>
      <c r="AX33" s="205" t="str">
        <f t="shared" si="49"/>
        <v/>
      </c>
      <c r="AY33" s="205" t="str">
        <f t="shared" si="49"/>
        <v/>
      </c>
      <c r="AZ33" s="205" t="str">
        <f t="shared" si="49"/>
        <v/>
      </c>
      <c r="BA33" s="205" t="str">
        <f t="shared" si="49"/>
        <v/>
      </c>
      <c r="BB33" s="205" t="str">
        <f t="shared" si="49"/>
        <v/>
      </c>
    </row>
    <row r="34" spans="1:54" x14ac:dyDescent="0.25">
      <c r="A34" s="6" t="s">
        <v>21</v>
      </c>
      <c r="B34" s="36"/>
      <c r="C34" s="36">
        <f>Yr_DHS1</f>
        <v>2011</v>
      </c>
      <c r="D34" s="36">
        <f>Yr_DHS2</f>
        <v>2016</v>
      </c>
      <c r="E34" s="36" t="s">
        <v>168</v>
      </c>
      <c r="F34" s="36">
        <f>Yr_Start</f>
        <v>2019</v>
      </c>
      <c r="G34" s="36"/>
      <c r="H34" s="36">
        <f>Yr_End</f>
        <v>2022</v>
      </c>
      <c r="I34" s="36" t="s">
        <v>169</v>
      </c>
      <c r="J34" s="130">
        <f>K34-1</f>
        <v>2018</v>
      </c>
      <c r="K34" s="130">
        <f>Yr_Start</f>
        <v>2019</v>
      </c>
      <c r="L34" s="130">
        <f>K34+1</f>
        <v>2020</v>
      </c>
      <c r="M34" s="130">
        <f t="shared" ref="M34:AD34" si="50">L34+1</f>
        <v>2021</v>
      </c>
      <c r="N34" s="130">
        <f t="shared" si="50"/>
        <v>2022</v>
      </c>
      <c r="O34" s="130">
        <f t="shared" si="50"/>
        <v>2023</v>
      </c>
      <c r="P34" s="130">
        <f t="shared" si="50"/>
        <v>2024</v>
      </c>
      <c r="Q34" s="130">
        <f t="shared" si="50"/>
        <v>2025</v>
      </c>
      <c r="R34" s="130">
        <f t="shared" si="50"/>
        <v>2026</v>
      </c>
      <c r="S34" s="130">
        <f t="shared" si="50"/>
        <v>2027</v>
      </c>
      <c r="T34" s="130">
        <f t="shared" si="50"/>
        <v>2028</v>
      </c>
      <c r="U34" s="130">
        <f t="shared" si="50"/>
        <v>2029</v>
      </c>
      <c r="V34" s="130">
        <f t="shared" si="50"/>
        <v>2030</v>
      </c>
      <c r="W34" s="130">
        <f t="shared" si="50"/>
        <v>2031</v>
      </c>
      <c r="X34" s="130">
        <f t="shared" si="50"/>
        <v>2032</v>
      </c>
      <c r="Y34" s="130">
        <f t="shared" si="50"/>
        <v>2033</v>
      </c>
      <c r="Z34" s="130">
        <f t="shared" si="50"/>
        <v>2034</v>
      </c>
      <c r="AA34" s="130">
        <f t="shared" si="50"/>
        <v>2035</v>
      </c>
      <c r="AB34" s="130">
        <f t="shared" si="50"/>
        <v>2036</v>
      </c>
      <c r="AC34" s="130">
        <f t="shared" si="50"/>
        <v>2037</v>
      </c>
      <c r="AD34" s="130">
        <f t="shared" si="50"/>
        <v>2038</v>
      </c>
      <c r="AE34" s="6"/>
      <c r="AF34" s="6" t="str">
        <f>A34</f>
        <v>Rural</v>
      </c>
      <c r="AG34" s="38"/>
      <c r="AH34" s="161">
        <f>AI34-1</f>
        <v>2018</v>
      </c>
      <c r="AI34" s="36">
        <f>Yr_Start</f>
        <v>2019</v>
      </c>
      <c r="AJ34" s="36">
        <f>AI34+1</f>
        <v>2020</v>
      </c>
      <c r="AK34" s="36">
        <f t="shared" ref="AK34:BB34" si="51">AJ34+1</f>
        <v>2021</v>
      </c>
      <c r="AL34" s="36">
        <f t="shared" si="51"/>
        <v>2022</v>
      </c>
      <c r="AM34" s="36">
        <f t="shared" si="51"/>
        <v>2023</v>
      </c>
      <c r="AN34" s="36">
        <f t="shared" si="51"/>
        <v>2024</v>
      </c>
      <c r="AO34" s="36">
        <f t="shared" si="51"/>
        <v>2025</v>
      </c>
      <c r="AP34" s="36">
        <f t="shared" si="51"/>
        <v>2026</v>
      </c>
      <c r="AQ34" s="36">
        <f t="shared" si="51"/>
        <v>2027</v>
      </c>
      <c r="AR34" s="36">
        <f t="shared" si="51"/>
        <v>2028</v>
      </c>
      <c r="AS34" s="36">
        <f t="shared" si="51"/>
        <v>2029</v>
      </c>
      <c r="AT34" s="36">
        <f t="shared" si="51"/>
        <v>2030</v>
      </c>
      <c r="AU34" s="36">
        <f t="shared" si="51"/>
        <v>2031</v>
      </c>
      <c r="AV34" s="36">
        <f t="shared" si="51"/>
        <v>2032</v>
      </c>
      <c r="AW34" s="36">
        <f t="shared" si="51"/>
        <v>2033</v>
      </c>
      <c r="AX34" s="36">
        <f t="shared" si="51"/>
        <v>2034</v>
      </c>
      <c r="AY34" s="36">
        <f t="shared" si="51"/>
        <v>2035</v>
      </c>
      <c r="AZ34" s="36">
        <f t="shared" si="51"/>
        <v>2036</v>
      </c>
      <c r="BA34" s="36">
        <f t="shared" si="51"/>
        <v>2037</v>
      </c>
      <c r="BB34" s="36">
        <f t="shared" si="51"/>
        <v>2038</v>
      </c>
    </row>
    <row r="35" spans="1:54" x14ac:dyDescent="0.25">
      <c r="B35" s="1" t="s">
        <v>52</v>
      </c>
      <c r="C35" s="14">
        <f ca="1">INDEX(Data_FP!$2:$1048576,MATCH(C$4&amp;$A$34&amp;$B35&amp;$A$1,Data_FP!$A$2:$A$1048576,0),MATCH($A$33,Data_FP!$2:$2,0))</f>
        <v>4.8754499999999999E-2</v>
      </c>
      <c r="D35" s="14">
        <f ca="1">INDEX(Data_FP!$2:$1048576,MATCH(D$4&amp;$A$34&amp;$B35&amp;$A$1,Data_FP!$A$2:$A$1048576,0),MATCH($A$33,Data_FP!$2:$2,0))</f>
        <v>9.2343099999999997E-2</v>
      </c>
      <c r="E35" s="14">
        <f ca="1">IF('User Settings'!$N$7="On",($D35-$C35)/($D$4-$C$4),0)</f>
        <v>8.71772E-3</v>
      </c>
      <c r="F35" s="14">
        <f ca="1">MAX(0,MIN(1,($D35+$E35*(F$4-$D$4))))</f>
        <v>0.11849625999999999</v>
      </c>
      <c r="G35" s="14"/>
      <c r="H35" s="14">
        <f ca="1">MAX(0,MIN(1,($D35+$E35*(H$4-$D$4))*$H$1))</f>
        <v>0.14464942</v>
      </c>
      <c r="I35" s="14">
        <f ca="1">($H35-$F35)/($H$4-$F$4)</f>
        <v>8.7177200000000035E-3</v>
      </c>
      <c r="J35" s="14">
        <f ca="1">K35-E35</f>
        <v>0.10977853999999999</v>
      </c>
      <c r="K35" s="14">
        <f ca="1">MAX(0,MIN(1,D35+(K$4-D$4)*E35))</f>
        <v>0.11849625999999999</v>
      </c>
      <c r="L35" s="15">
        <f ca="1">MAX(0,MIN(1,K35+$I35))</f>
        <v>0.12721398</v>
      </c>
      <c r="M35" s="15">
        <f t="shared" ref="M35:AD35" ca="1" si="52">MAX(0,MIN(1,L35+$I35))</f>
        <v>0.13593170000000002</v>
      </c>
      <c r="N35" s="15">
        <f ca="1">MAX(0,MIN(1,M35+$I35))</f>
        <v>0.14464942000000003</v>
      </c>
      <c r="O35" s="15">
        <f t="shared" ca="1" si="52"/>
        <v>0.15336714000000004</v>
      </c>
      <c r="P35" s="15">
        <f t="shared" ca="1" si="52"/>
        <v>0.16208486000000005</v>
      </c>
      <c r="Q35" s="15">
        <f t="shared" ca="1" si="52"/>
        <v>0.17080258000000006</v>
      </c>
      <c r="R35" s="15">
        <f t="shared" ca="1" si="52"/>
        <v>0.17952030000000008</v>
      </c>
      <c r="S35" s="15">
        <f t="shared" ca="1" si="52"/>
        <v>0.18823802000000009</v>
      </c>
      <c r="T35" s="15">
        <f t="shared" ca="1" si="52"/>
        <v>0.1969557400000001</v>
      </c>
      <c r="U35" s="15">
        <f t="shared" ca="1" si="52"/>
        <v>0.20567346000000011</v>
      </c>
      <c r="V35" s="15">
        <f t="shared" ca="1" si="52"/>
        <v>0.21439118000000013</v>
      </c>
      <c r="W35" s="15">
        <f t="shared" ca="1" si="52"/>
        <v>0.22310890000000014</v>
      </c>
      <c r="X35" s="15">
        <f t="shared" ca="1" si="52"/>
        <v>0.23182662000000015</v>
      </c>
      <c r="Y35" s="15">
        <f t="shared" ca="1" si="52"/>
        <v>0.24054434000000016</v>
      </c>
      <c r="Z35" s="15">
        <f t="shared" ca="1" si="52"/>
        <v>0.24926206000000017</v>
      </c>
      <c r="AA35" s="15">
        <f t="shared" ca="1" si="52"/>
        <v>0.25797978000000016</v>
      </c>
      <c r="AB35" s="15">
        <f t="shared" ca="1" si="52"/>
        <v>0.26669750000000014</v>
      </c>
      <c r="AC35" s="15">
        <f t="shared" ca="1" si="52"/>
        <v>0.27541522000000013</v>
      </c>
      <c r="AD35" s="15">
        <f t="shared" ca="1" si="52"/>
        <v>0.28413294000000011</v>
      </c>
      <c r="AE35" s="5"/>
      <c r="AG35" s="1" t="s">
        <v>52</v>
      </c>
      <c r="AH35" s="37">
        <f ca="1">J35*AH$41</f>
        <v>167677.73723358902</v>
      </c>
      <c r="AI35" s="37">
        <f t="shared" ref="AI35:AI40" ca="1" si="53">K35*AI$41</f>
        <v>187953.51500014015</v>
      </c>
      <c r="AJ35" s="37">
        <f t="shared" ref="AJ35:AS40" ca="1" si="54">L35*AJ$41</f>
        <v>209494.80483914257</v>
      </c>
      <c r="AK35" s="37">
        <f t="shared" ca="1" si="54"/>
        <v>232063.58576918786</v>
      </c>
      <c r="AL35" s="37">
        <f t="shared" ca="1" si="54"/>
        <v>256005.50285861202</v>
      </c>
      <c r="AM35" s="37">
        <f t="shared" ca="1" si="54"/>
        <v>281345.1953296084</v>
      </c>
      <c r="AN35" s="37">
        <f t="shared" ca="1" si="54"/>
        <v>308094.95392278465</v>
      </c>
      <c r="AO35" s="37">
        <f t="shared" ca="1" si="54"/>
        <v>336279.41998416942</v>
      </c>
      <c r="AP35" s="37">
        <f t="shared" ca="1" si="54"/>
        <v>365690.27969265025</v>
      </c>
      <c r="AQ35" s="37">
        <f t="shared" ca="1" si="54"/>
        <v>396627.38839931198</v>
      </c>
      <c r="AR35" s="37">
        <f t="shared" ca="1" si="54"/>
        <v>429143.19769088505</v>
      </c>
      <c r="AS35" s="37">
        <f t="shared" ca="1" si="54"/>
        <v>463310.9434652924</v>
      </c>
      <c r="AT35" s="37">
        <f t="shared" ref="AT35:BB40" ca="1" si="55">V35*AT$41</f>
        <v>499192.59952470422</v>
      </c>
      <c r="AU35" s="37">
        <f t="shared" ca="1" si="55"/>
        <v>536525.50709569652</v>
      </c>
      <c r="AV35" s="37">
        <f t="shared" ca="1" si="55"/>
        <v>575684.3048850809</v>
      </c>
      <c r="AW35" s="37">
        <f t="shared" ca="1" si="55"/>
        <v>616688.70325616584</v>
      </c>
      <c r="AX35" s="37">
        <f t="shared" ca="1" si="55"/>
        <v>659548.11466982635</v>
      </c>
      <c r="AY35" s="37">
        <f t="shared" ca="1" si="55"/>
        <v>704280.53268015827</v>
      </c>
      <c r="AZ35" s="37" t="e">
        <f t="shared" ca="1" si="55"/>
        <v>#N/A</v>
      </c>
      <c r="BA35" s="37" t="e">
        <f t="shared" ca="1" si="55"/>
        <v>#N/A</v>
      </c>
      <c r="BB35" s="37" t="e">
        <f t="shared" ca="1" si="55"/>
        <v>#N/A</v>
      </c>
    </row>
    <row r="36" spans="1:54" x14ac:dyDescent="0.25">
      <c r="B36" s="1" t="s">
        <v>54</v>
      </c>
      <c r="C36" s="14">
        <f ca="1">INDEX(Data_FP!$2:$1048576,MATCH(C$4&amp;$A$34&amp;$B36&amp;$A$1,Data_FP!$A$2:$A$1048576,0),MATCH($A$33,Data_FP!$2:$2,0))</f>
        <v>0</v>
      </c>
      <c r="D36" s="14">
        <f ca="1">INDEX(Data_FP!$2:$1048576,MATCH(D$4&amp;$A$34&amp;$B36&amp;$A$1,Data_FP!$A$2:$A$1048576,0),MATCH($A$33,Data_FP!$2:$2,0))</f>
        <v>3.5569E-3</v>
      </c>
      <c r="E36" s="14">
        <f ca="1">IF('User Settings'!$N$7="On",($D36-$C36)/($D$4-$C$4),0)</f>
        <v>7.1137999999999996E-4</v>
      </c>
      <c r="F36" s="14">
        <f t="shared" ref="F36:F40" ca="1" si="56">MAX(0,MIN(1,($D36+$E36*(F$4-$D$4))))</f>
        <v>5.6910399999999996E-3</v>
      </c>
      <c r="G36" s="14"/>
      <c r="H36" s="14">
        <f t="shared" ref="H36:H40" ca="1" si="57">MAX(0,MIN(1,($D36+$E36*(H$4-$D$4))*$H$1))</f>
        <v>7.8251799999999993E-3</v>
      </c>
      <c r="I36" s="14">
        <f ca="1">($H36-$F36)/($H$4-$F$4)</f>
        <v>7.1137999999999985E-4</v>
      </c>
      <c r="J36" s="14">
        <f t="shared" ref="J36:J40" ca="1" si="58">K36-E36</f>
        <v>4.9796599999999995E-3</v>
      </c>
      <c r="K36" s="14">
        <f t="shared" ref="K36:K40" ca="1" si="59">MAX(0,MIN(1,D36+(K$4-D$4)*E36))</f>
        <v>5.6910399999999996E-3</v>
      </c>
      <c r="L36" s="15">
        <f t="shared" ref="L36:AD40" ca="1" si="60">MAX(0,MIN(1,K36+$I36))</f>
        <v>6.4024199999999998E-3</v>
      </c>
      <c r="M36" s="15">
        <f t="shared" ca="1" si="60"/>
        <v>7.1138E-3</v>
      </c>
      <c r="N36" s="15">
        <f t="shared" ca="1" si="60"/>
        <v>7.8251799999999993E-3</v>
      </c>
      <c r="O36" s="15">
        <f t="shared" ca="1" si="60"/>
        <v>8.5365599999999986E-3</v>
      </c>
      <c r="P36" s="15">
        <f t="shared" ca="1" si="60"/>
        <v>9.2479399999999979E-3</v>
      </c>
      <c r="Q36" s="15">
        <f t="shared" ca="1" si="60"/>
        <v>9.9593199999999972E-3</v>
      </c>
      <c r="R36" s="15">
        <f t="shared" ca="1" si="60"/>
        <v>1.0670699999999997E-2</v>
      </c>
      <c r="S36" s="15">
        <f t="shared" ca="1" si="60"/>
        <v>1.1382079999999996E-2</v>
      </c>
      <c r="T36" s="15">
        <f t="shared" ca="1" si="60"/>
        <v>1.2093459999999995E-2</v>
      </c>
      <c r="U36" s="15">
        <f t="shared" ca="1" si="60"/>
        <v>1.2804839999999994E-2</v>
      </c>
      <c r="V36" s="15">
        <f t="shared" ca="1" si="60"/>
        <v>1.3516219999999994E-2</v>
      </c>
      <c r="W36" s="15">
        <f t="shared" ca="1" si="60"/>
        <v>1.4227599999999993E-2</v>
      </c>
      <c r="X36" s="15">
        <f t="shared" ca="1" si="60"/>
        <v>1.4938979999999992E-2</v>
      </c>
      <c r="Y36" s="15">
        <f t="shared" ca="1" si="60"/>
        <v>1.5650359999999992E-2</v>
      </c>
      <c r="Z36" s="15">
        <f t="shared" ca="1" si="60"/>
        <v>1.6361739999999993E-2</v>
      </c>
      <c r="AA36" s="15">
        <f t="shared" ca="1" si="60"/>
        <v>1.7073119999999994E-2</v>
      </c>
      <c r="AB36" s="15">
        <f t="shared" ca="1" si="60"/>
        <v>1.7784499999999995E-2</v>
      </c>
      <c r="AC36" s="15">
        <f t="shared" ca="1" si="60"/>
        <v>1.8495879999999996E-2</v>
      </c>
      <c r="AD36" s="15">
        <f t="shared" ca="1" si="60"/>
        <v>1.9207259999999997E-2</v>
      </c>
      <c r="AE36" s="5"/>
      <c r="AG36" s="1" t="s">
        <v>54</v>
      </c>
      <c r="AH36" s="37">
        <f t="shared" ref="AH36:AH40" ca="1" si="61">J36*AH$41</f>
        <v>7606.0231898931597</v>
      </c>
      <c r="AI36" s="37">
        <f t="shared" ca="1" si="53"/>
        <v>9026.8753799182996</v>
      </c>
      <c r="AJ36" s="37">
        <f t="shared" ca="1" si="54"/>
        <v>10543.445998609768</v>
      </c>
      <c r="AK36" s="37">
        <f t="shared" ca="1" si="54"/>
        <v>12144.731040992267</v>
      </c>
      <c r="AL36" s="37">
        <f t="shared" ca="1" si="54"/>
        <v>13849.271852311285</v>
      </c>
      <c r="AM36" s="37">
        <f t="shared" ca="1" si="54"/>
        <v>15659.939545347986</v>
      </c>
      <c r="AN36" s="37">
        <f t="shared" ca="1" si="54"/>
        <v>17578.715545552346</v>
      </c>
      <c r="AO36" s="37">
        <f t="shared" ca="1" si="54"/>
        <v>19608.101663550606</v>
      </c>
      <c r="AP36" s="37">
        <f t="shared" ca="1" si="54"/>
        <v>21736.657456100285</v>
      </c>
      <c r="AQ36" s="37">
        <f t="shared" ca="1" si="54"/>
        <v>23982.639983952427</v>
      </c>
      <c r="AR36" s="37">
        <f t="shared" ca="1" si="54"/>
        <v>26350.215005395661</v>
      </c>
      <c r="AS36" s="37">
        <f t="shared" ca="1" si="54"/>
        <v>28844.861662375442</v>
      </c>
      <c r="AT36" s="37">
        <f t="shared" ca="1" si="55"/>
        <v>31471.42992331956</v>
      </c>
      <c r="AU36" s="37">
        <f t="shared" ca="1" si="55"/>
        <v>34214.10040009486</v>
      </c>
      <c r="AV36" s="37">
        <f t="shared" ca="1" si="55"/>
        <v>37097.276908890432</v>
      </c>
      <c r="AW36" s="37">
        <f t="shared" ca="1" si="55"/>
        <v>40123.164876347349</v>
      </c>
      <c r="AX36" s="37">
        <f t="shared" ca="1" si="55"/>
        <v>43293.210245144699</v>
      </c>
      <c r="AY36" s="37">
        <f t="shared" ca="1" si="55"/>
        <v>46609.335228180484</v>
      </c>
      <c r="AZ36" s="37" t="e">
        <f t="shared" ca="1" si="55"/>
        <v>#N/A</v>
      </c>
      <c r="BA36" s="37" t="e">
        <f t="shared" ca="1" si="55"/>
        <v>#N/A</v>
      </c>
      <c r="BB36" s="37" t="e">
        <f t="shared" ca="1" si="55"/>
        <v>#N/A</v>
      </c>
    </row>
    <row r="37" spans="1:54" x14ac:dyDescent="0.25">
      <c r="B37" s="1" t="s">
        <v>170</v>
      </c>
      <c r="C37" s="14">
        <f ca="1">INDEX(Data_FP!$2:$1048576,MATCH(C$4&amp;$A$34&amp;$B37&amp;$A$1,Data_FP!$A$2:$A$1048576,0),MATCH($A$33,Data_FP!$2:$2,0))</f>
        <v>9.1430000000000005E-4</v>
      </c>
      <c r="D37" s="14">
        <f ca="1">INDEX(Data_FP!$2:$1048576,MATCH(D$4&amp;$A$34&amp;$B37&amp;$A$1,Data_FP!$A$2:$A$1048576,0),MATCH($A$33,Data_FP!$2:$2,0))</f>
        <v>1.3973E-3</v>
      </c>
      <c r="E37" s="14">
        <f ca="1">IF('User Settings'!$N$7="On",($D37-$C37)/($D$4-$C$4),0)</f>
        <v>9.659999999999999E-5</v>
      </c>
      <c r="F37" s="14">
        <f t="shared" ca="1" si="56"/>
        <v>1.6871E-3</v>
      </c>
      <c r="G37" s="14"/>
      <c r="H37" s="14">
        <f t="shared" ca="1" si="57"/>
        <v>1.9769000000000002E-3</v>
      </c>
      <c r="I37" s="14">
        <f t="shared" ref="I37:I40" ca="1" si="62">($H37-$F37)/($H$4-$F$4)</f>
        <v>9.6600000000000071E-5</v>
      </c>
      <c r="J37" s="14">
        <f t="shared" ca="1" si="58"/>
        <v>1.5904999999999999E-3</v>
      </c>
      <c r="K37" s="14">
        <f t="shared" ca="1" si="59"/>
        <v>1.6871E-3</v>
      </c>
      <c r="L37" s="15">
        <f t="shared" ca="1" si="60"/>
        <v>1.7837E-3</v>
      </c>
      <c r="M37" s="15">
        <f t="shared" ca="1" si="60"/>
        <v>1.8803000000000001E-3</v>
      </c>
      <c r="N37" s="15">
        <f t="shared" ca="1" si="60"/>
        <v>1.9769000000000002E-3</v>
      </c>
      <c r="O37" s="15">
        <f t="shared" ca="1" si="60"/>
        <v>2.0735000000000003E-3</v>
      </c>
      <c r="P37" s="15">
        <f t="shared" ca="1" si="60"/>
        <v>2.1701000000000003E-3</v>
      </c>
      <c r="Q37" s="15">
        <f t="shared" ca="1" si="60"/>
        <v>2.2667000000000004E-3</v>
      </c>
      <c r="R37" s="15">
        <f t="shared" ca="1" si="60"/>
        <v>2.3633000000000005E-3</v>
      </c>
      <c r="S37" s="15">
        <f t="shared" ca="1" si="60"/>
        <v>2.4599000000000005E-3</v>
      </c>
      <c r="T37" s="15">
        <f t="shared" ca="1" si="60"/>
        <v>2.5565000000000006E-3</v>
      </c>
      <c r="U37" s="15">
        <f t="shared" ca="1" si="60"/>
        <v>2.6531000000000007E-3</v>
      </c>
      <c r="V37" s="15">
        <f t="shared" ca="1" si="60"/>
        <v>2.7497000000000008E-3</v>
      </c>
      <c r="W37" s="15">
        <f t="shared" ca="1" si="60"/>
        <v>2.8463000000000008E-3</v>
      </c>
      <c r="X37" s="15">
        <f t="shared" ca="1" si="60"/>
        <v>2.9429000000000009E-3</v>
      </c>
      <c r="Y37" s="15">
        <f t="shared" ca="1" si="60"/>
        <v>3.039500000000001E-3</v>
      </c>
      <c r="Z37" s="15">
        <f t="shared" ca="1" si="60"/>
        <v>3.136100000000001E-3</v>
      </c>
      <c r="AA37" s="15">
        <f t="shared" ca="1" si="60"/>
        <v>3.2327000000000011E-3</v>
      </c>
      <c r="AB37" s="15">
        <f t="shared" ca="1" si="60"/>
        <v>3.3293000000000012E-3</v>
      </c>
      <c r="AC37" s="15">
        <f t="shared" ca="1" si="60"/>
        <v>3.4259000000000013E-3</v>
      </c>
      <c r="AD37" s="15">
        <f t="shared" ca="1" si="60"/>
        <v>3.5225000000000013E-3</v>
      </c>
      <c r="AE37" s="5"/>
      <c r="AG37" s="1" t="s">
        <v>170</v>
      </c>
      <c r="AH37" s="37">
        <f t="shared" ca="1" si="61"/>
        <v>2429.3586075204075</v>
      </c>
      <c r="AI37" s="37">
        <f t="shared" ca="1" si="53"/>
        <v>2676.0032355176145</v>
      </c>
      <c r="AJ37" s="37">
        <f t="shared" ca="1" si="54"/>
        <v>2937.38065102262</v>
      </c>
      <c r="AK37" s="37">
        <f t="shared" ca="1" si="54"/>
        <v>3210.0618201773677</v>
      </c>
      <c r="AL37" s="37">
        <f t="shared" ca="1" si="54"/>
        <v>3498.7853985255529</v>
      </c>
      <c r="AM37" s="37">
        <f t="shared" ca="1" si="54"/>
        <v>3803.7435040905302</v>
      </c>
      <c r="AN37" s="37">
        <f t="shared" ca="1" si="54"/>
        <v>4124.9803313389966</v>
      </c>
      <c r="AO37" s="37">
        <f t="shared" ca="1" si="54"/>
        <v>4462.7227602657795</v>
      </c>
      <c r="AP37" s="37">
        <f t="shared" ca="1" si="54"/>
        <v>4814.139893915285</v>
      </c>
      <c r="AQ37" s="37">
        <f t="shared" ca="1" si="54"/>
        <v>5183.1384155202395</v>
      </c>
      <c r="AR37" s="37">
        <f t="shared" ca="1" si="54"/>
        <v>5570.3102884777427</v>
      </c>
      <c r="AS37" s="37">
        <f t="shared" ca="1" si="54"/>
        <v>5976.513761706381</v>
      </c>
      <c r="AT37" s="37">
        <f t="shared" ca="1" si="55"/>
        <v>6402.4550399558357</v>
      </c>
      <c r="AU37" s="37">
        <f t="shared" ca="1" si="55"/>
        <v>6844.6958003310519</v>
      </c>
      <c r="AV37" s="37">
        <f t="shared" ca="1" si="55"/>
        <v>7307.9672250162821</v>
      </c>
      <c r="AW37" s="37">
        <f t="shared" ca="1" si="55"/>
        <v>7792.4315889000563</v>
      </c>
      <c r="AX37" s="37">
        <f t="shared" ca="1" si="55"/>
        <v>8298.1294562679996</v>
      </c>
      <c r="AY37" s="37">
        <f t="shared" ca="1" si="55"/>
        <v>8825.2175344716816</v>
      </c>
      <c r="AZ37" s="37" t="e">
        <f t="shared" ca="1" si="55"/>
        <v>#N/A</v>
      </c>
      <c r="BA37" s="37" t="e">
        <f t="shared" ca="1" si="55"/>
        <v>#N/A</v>
      </c>
      <c r="BB37" s="37" t="e">
        <f t="shared" ca="1" si="55"/>
        <v>#N/A</v>
      </c>
    </row>
    <row r="38" spans="1:54" x14ac:dyDescent="0.25">
      <c r="B38" s="1" t="s">
        <v>59</v>
      </c>
      <c r="C38" s="14">
        <f ca="1">INDEX(Data_FP!$2:$1048576,MATCH(C$4&amp;$A$34&amp;$B38&amp;$A$1,Data_FP!$A$2:$A$1048576,0),MATCH($A$33,Data_FP!$2:$2,0))</f>
        <v>6.7130599999999999E-2</v>
      </c>
      <c r="D38" s="14">
        <f ca="1">INDEX(Data_FP!$2:$1048576,MATCH(D$4&amp;$A$34&amp;$B38&amp;$A$1,Data_FP!$A$2:$A$1048576,0),MATCH($A$33,Data_FP!$2:$2,0))</f>
        <v>6.9600300000000004E-2</v>
      </c>
      <c r="E38" s="14">
        <f ca="1">IF('User Settings'!$N$7="On",($D38-$C38)/($D$4-$C$4),0)</f>
        <v>4.9394000000000109E-4</v>
      </c>
      <c r="F38" s="14">
        <f t="shared" ca="1" si="56"/>
        <v>7.1082120000000013E-2</v>
      </c>
      <c r="G38" s="14"/>
      <c r="H38" s="14">
        <f t="shared" ca="1" si="57"/>
        <v>7.2563940000000007E-2</v>
      </c>
      <c r="I38" s="14">
        <f t="shared" ca="1" si="62"/>
        <v>4.9393999999999827E-4</v>
      </c>
      <c r="J38" s="14">
        <f t="shared" ca="1" si="58"/>
        <v>7.0588180000000014E-2</v>
      </c>
      <c r="K38" s="14">
        <f t="shared" ca="1" si="59"/>
        <v>7.1082120000000013E-2</v>
      </c>
      <c r="L38" s="15">
        <f t="shared" ca="1" si="60"/>
        <v>7.1576060000000011E-2</v>
      </c>
      <c r="M38" s="15">
        <f t="shared" ca="1" si="60"/>
        <v>7.2070000000000009E-2</v>
      </c>
      <c r="N38" s="15">
        <f t="shared" ca="1" si="60"/>
        <v>7.2563940000000007E-2</v>
      </c>
      <c r="O38" s="15">
        <f t="shared" ca="1" si="60"/>
        <v>7.3057880000000006E-2</v>
      </c>
      <c r="P38" s="15">
        <f t="shared" ca="1" si="60"/>
        <v>7.3551820000000004E-2</v>
      </c>
      <c r="Q38" s="15">
        <f t="shared" ca="1" si="60"/>
        <v>7.4045760000000002E-2</v>
      </c>
      <c r="R38" s="15">
        <f t="shared" ca="1" si="60"/>
        <v>7.45397E-2</v>
      </c>
      <c r="S38" s="15">
        <f t="shared" ca="1" si="60"/>
        <v>7.5033639999999999E-2</v>
      </c>
      <c r="T38" s="15">
        <f t="shared" ca="1" si="60"/>
        <v>7.5527579999999997E-2</v>
      </c>
      <c r="U38" s="15">
        <f t="shared" ca="1" si="60"/>
        <v>7.6021519999999995E-2</v>
      </c>
      <c r="V38" s="15">
        <f t="shared" ca="1" si="60"/>
        <v>7.6515459999999993E-2</v>
      </c>
      <c r="W38" s="15">
        <f t="shared" ca="1" si="60"/>
        <v>7.7009399999999992E-2</v>
      </c>
      <c r="X38" s="15">
        <f t="shared" ca="1" si="60"/>
        <v>7.750333999999999E-2</v>
      </c>
      <c r="Y38" s="15">
        <f t="shared" ca="1" si="60"/>
        <v>7.7997279999999988E-2</v>
      </c>
      <c r="Z38" s="15">
        <f t="shared" ca="1" si="60"/>
        <v>7.8491219999999987E-2</v>
      </c>
      <c r="AA38" s="15">
        <f t="shared" ca="1" si="60"/>
        <v>7.8985159999999985E-2</v>
      </c>
      <c r="AB38" s="15">
        <f t="shared" ca="1" si="60"/>
        <v>7.9479099999999983E-2</v>
      </c>
      <c r="AC38" s="15">
        <f t="shared" ca="1" si="60"/>
        <v>7.9973039999999981E-2</v>
      </c>
      <c r="AD38" s="15">
        <f t="shared" ca="1" si="60"/>
        <v>8.046697999999998E-2</v>
      </c>
      <c r="AE38" s="5"/>
      <c r="AG38" s="1" t="s">
        <v>59</v>
      </c>
      <c r="AH38" s="37">
        <f t="shared" ca="1" si="61"/>
        <v>107817.66908028917</v>
      </c>
      <c r="AI38" s="37">
        <f t="shared" ca="1" si="53"/>
        <v>112747.3078699848</v>
      </c>
      <c r="AJ38" s="37">
        <f t="shared" ca="1" si="54"/>
        <v>117870.7931381029</v>
      </c>
      <c r="AK38" s="37">
        <f t="shared" ca="1" si="54"/>
        <v>123038.42758080248</v>
      </c>
      <c r="AL38" s="37">
        <f t="shared" ca="1" si="54"/>
        <v>128426.14888536815</v>
      </c>
      <c r="AM38" s="37">
        <f t="shared" ca="1" si="54"/>
        <v>134021.43065957341</v>
      </c>
      <c r="AN38" s="37">
        <f t="shared" ca="1" si="54"/>
        <v>139809.13821214979</v>
      </c>
      <c r="AO38" s="37">
        <f t="shared" ca="1" si="54"/>
        <v>145782.72310106206</v>
      </c>
      <c r="AP38" s="37">
        <f t="shared" ca="1" si="54"/>
        <v>151840.45337048918</v>
      </c>
      <c r="AQ38" s="37">
        <f t="shared" ca="1" si="54"/>
        <v>158099.81785451277</v>
      </c>
      <c r="AR38" s="37">
        <f t="shared" ca="1" si="54"/>
        <v>164565.63893519487</v>
      </c>
      <c r="AS38" s="37">
        <f t="shared" ca="1" si="54"/>
        <v>171250.10759708897</v>
      </c>
      <c r="AT38" s="37">
        <f t="shared" ca="1" si="55"/>
        <v>178160.08746828343</v>
      </c>
      <c r="AU38" s="37">
        <f t="shared" ca="1" si="55"/>
        <v>185189.86641113512</v>
      </c>
      <c r="AV38" s="37">
        <f t="shared" ca="1" si="55"/>
        <v>192460.45348101979</v>
      </c>
      <c r="AW38" s="37">
        <f t="shared" ca="1" si="55"/>
        <v>199963.30597804979</v>
      </c>
      <c r="AX38" s="37">
        <f t="shared" ca="1" si="55"/>
        <v>207687.98977724297</v>
      </c>
      <c r="AY38" s="37">
        <f t="shared" ca="1" si="55"/>
        <v>215628.18046680823</v>
      </c>
      <c r="AZ38" s="37" t="e">
        <f t="shared" ca="1" si="55"/>
        <v>#N/A</v>
      </c>
      <c r="BA38" s="37" t="e">
        <f t="shared" ca="1" si="55"/>
        <v>#N/A</v>
      </c>
      <c r="BB38" s="37" t="e">
        <f t="shared" ca="1" si="55"/>
        <v>#N/A</v>
      </c>
    </row>
    <row r="39" spans="1:54" x14ac:dyDescent="0.25">
      <c r="B39" s="1" t="s">
        <v>171</v>
      </c>
      <c r="C39" s="14">
        <f ca="1">INDEX(Data_FP!$2:$1048576,MATCH(C$4&amp;$A$34&amp;$B39&amp;$A$1,Data_FP!$A$2:$A$1048576,0),MATCH($A$33,Data_FP!$2:$2,0))</f>
        <v>0</v>
      </c>
      <c r="D39" s="14">
        <f ca="1">INDEX(Data_FP!$2:$1048576,MATCH(D$4&amp;$A$34&amp;$B39&amp;$A$1,Data_FP!$A$2:$A$1048576,0),MATCH($A$33,Data_FP!$2:$2,0))</f>
        <v>0</v>
      </c>
      <c r="E39" s="14">
        <f ca="1">IF('User Settings'!$N$7="On",($D39-$C39)/($D$4-$C$4),0)</f>
        <v>0</v>
      </c>
      <c r="F39" s="14">
        <f t="shared" ca="1" si="56"/>
        <v>0</v>
      </c>
      <c r="G39" s="14"/>
      <c r="H39" s="14">
        <f t="shared" ca="1" si="57"/>
        <v>0</v>
      </c>
      <c r="I39" s="14">
        <f t="shared" ca="1" si="62"/>
        <v>0</v>
      </c>
      <c r="J39" s="14">
        <f t="shared" ca="1" si="58"/>
        <v>0</v>
      </c>
      <c r="K39" s="14">
        <f t="shared" ca="1" si="59"/>
        <v>0</v>
      </c>
      <c r="L39" s="15">
        <f t="shared" ca="1" si="60"/>
        <v>0</v>
      </c>
      <c r="M39" s="15">
        <f t="shared" ca="1" si="60"/>
        <v>0</v>
      </c>
      <c r="N39" s="15">
        <f t="shared" ca="1" si="60"/>
        <v>0</v>
      </c>
      <c r="O39" s="15">
        <f t="shared" ca="1" si="60"/>
        <v>0</v>
      </c>
      <c r="P39" s="15">
        <f t="shared" ca="1" si="60"/>
        <v>0</v>
      </c>
      <c r="Q39" s="15">
        <f t="shared" ca="1" si="60"/>
        <v>0</v>
      </c>
      <c r="R39" s="15">
        <f t="shared" ca="1" si="60"/>
        <v>0</v>
      </c>
      <c r="S39" s="15">
        <f t="shared" ca="1" si="60"/>
        <v>0</v>
      </c>
      <c r="T39" s="15">
        <f t="shared" ca="1" si="60"/>
        <v>0</v>
      </c>
      <c r="U39" s="15">
        <f t="shared" ca="1" si="60"/>
        <v>0</v>
      </c>
      <c r="V39" s="15">
        <f t="shared" ca="1" si="60"/>
        <v>0</v>
      </c>
      <c r="W39" s="15">
        <f t="shared" ca="1" si="60"/>
        <v>0</v>
      </c>
      <c r="X39" s="15">
        <f t="shared" ca="1" si="60"/>
        <v>0</v>
      </c>
      <c r="Y39" s="15">
        <f t="shared" ca="1" si="60"/>
        <v>0</v>
      </c>
      <c r="Z39" s="15">
        <f t="shared" ca="1" si="60"/>
        <v>0</v>
      </c>
      <c r="AA39" s="15">
        <f t="shared" ca="1" si="60"/>
        <v>0</v>
      </c>
      <c r="AB39" s="15">
        <f t="shared" ca="1" si="60"/>
        <v>0</v>
      </c>
      <c r="AC39" s="15">
        <f t="shared" ca="1" si="60"/>
        <v>0</v>
      </c>
      <c r="AD39" s="15">
        <f t="shared" ca="1" si="60"/>
        <v>0</v>
      </c>
      <c r="AE39" s="5"/>
      <c r="AG39" s="1" t="s">
        <v>171</v>
      </c>
      <c r="AH39" s="37">
        <f t="shared" ca="1" si="61"/>
        <v>0</v>
      </c>
      <c r="AI39" s="37">
        <f t="shared" ca="1" si="53"/>
        <v>0</v>
      </c>
      <c r="AJ39" s="37">
        <f t="shared" ca="1" si="54"/>
        <v>0</v>
      </c>
      <c r="AK39" s="37">
        <f t="shared" ca="1" si="54"/>
        <v>0</v>
      </c>
      <c r="AL39" s="37">
        <f t="shared" ca="1" si="54"/>
        <v>0</v>
      </c>
      <c r="AM39" s="37">
        <f t="shared" ca="1" si="54"/>
        <v>0</v>
      </c>
      <c r="AN39" s="37">
        <f t="shared" ca="1" si="54"/>
        <v>0</v>
      </c>
      <c r="AO39" s="37">
        <f t="shared" ca="1" si="54"/>
        <v>0</v>
      </c>
      <c r="AP39" s="37">
        <f t="shared" ca="1" si="54"/>
        <v>0</v>
      </c>
      <c r="AQ39" s="37">
        <f t="shared" ca="1" si="54"/>
        <v>0</v>
      </c>
      <c r="AR39" s="37">
        <f t="shared" ca="1" si="54"/>
        <v>0</v>
      </c>
      <c r="AS39" s="37">
        <f t="shared" ca="1" si="54"/>
        <v>0</v>
      </c>
      <c r="AT39" s="37">
        <f t="shared" ca="1" si="55"/>
        <v>0</v>
      </c>
      <c r="AU39" s="37">
        <f t="shared" ca="1" si="55"/>
        <v>0</v>
      </c>
      <c r="AV39" s="37">
        <f t="shared" ca="1" si="55"/>
        <v>0</v>
      </c>
      <c r="AW39" s="37">
        <f t="shared" ca="1" si="55"/>
        <v>0</v>
      </c>
      <c r="AX39" s="37">
        <f t="shared" ca="1" si="55"/>
        <v>0</v>
      </c>
      <c r="AY39" s="37">
        <f t="shared" ca="1" si="55"/>
        <v>0</v>
      </c>
      <c r="AZ39" s="37" t="e">
        <f t="shared" ca="1" si="55"/>
        <v>#N/A</v>
      </c>
      <c r="BA39" s="37" t="e">
        <f t="shared" ca="1" si="55"/>
        <v>#N/A</v>
      </c>
      <c r="BB39" s="37" t="e">
        <f t="shared" ca="1" si="55"/>
        <v>#N/A</v>
      </c>
    </row>
    <row r="40" spans="1:54" x14ac:dyDescent="0.25">
      <c r="B40" s="1" t="s">
        <v>116</v>
      </c>
      <c r="C40" s="14">
        <f ca="1">INDEX(Data_FP!$2:$1048576,MATCH(C$4&amp;$A$34&amp;$B40&amp;$A$1,Data_FP!$A$2:$A$1048576,0),MATCH($A$33,Data_FP!$2:$2,0))</f>
        <v>4.191E-4</v>
      </c>
      <c r="D40" s="14">
        <f ca="1">INDEX(Data_FP!$2:$1048576,MATCH(D$4&amp;$A$34&amp;$B40&amp;$A$1,Data_FP!$A$2:$A$1048576,0),MATCH($A$33,Data_FP!$2:$2,0))</f>
        <v>3.414E-4</v>
      </c>
      <c r="E40" s="14">
        <f ca="1">IF('User Settings'!$N$7="On",($D40-$C40)/($D$4-$C$4),0)</f>
        <v>-1.5539999999999997E-5</v>
      </c>
      <c r="F40" s="14">
        <f t="shared" ca="1" si="56"/>
        <v>2.9478000000000002E-4</v>
      </c>
      <c r="G40" s="14"/>
      <c r="H40" s="14">
        <f t="shared" ca="1" si="57"/>
        <v>2.4816000000000004E-4</v>
      </c>
      <c r="I40" s="14">
        <f t="shared" ca="1" si="62"/>
        <v>-1.5539999999999994E-5</v>
      </c>
      <c r="J40" s="14">
        <f t="shared" ca="1" si="58"/>
        <v>3.1032E-4</v>
      </c>
      <c r="K40" s="14">
        <f t="shared" ca="1" si="59"/>
        <v>2.9478000000000002E-4</v>
      </c>
      <c r="L40" s="15">
        <f t="shared" ca="1" si="60"/>
        <v>2.7924000000000004E-4</v>
      </c>
      <c r="M40" s="15">
        <f t="shared" ca="1" si="60"/>
        <v>2.6370000000000007E-4</v>
      </c>
      <c r="N40" s="15">
        <f t="shared" ca="1" si="60"/>
        <v>2.4816000000000009E-4</v>
      </c>
      <c r="O40" s="15">
        <f t="shared" ca="1" si="60"/>
        <v>2.3262000000000009E-4</v>
      </c>
      <c r="P40" s="15">
        <f t="shared" ca="1" si="60"/>
        <v>2.1708000000000008E-4</v>
      </c>
      <c r="Q40" s="15">
        <f t="shared" ca="1" si="60"/>
        <v>2.0154000000000008E-4</v>
      </c>
      <c r="R40" s="15">
        <f t="shared" ca="1" si="60"/>
        <v>1.8600000000000008E-4</v>
      </c>
      <c r="S40" s="15">
        <f t="shared" ca="1" si="60"/>
        <v>1.7046000000000007E-4</v>
      </c>
      <c r="T40" s="15">
        <f t="shared" ca="1" si="60"/>
        <v>1.5492000000000007E-4</v>
      </c>
      <c r="U40" s="15">
        <f t="shared" ca="1" si="60"/>
        <v>1.3938000000000006E-4</v>
      </c>
      <c r="V40" s="15">
        <f t="shared" ca="1" si="60"/>
        <v>1.2384000000000006E-4</v>
      </c>
      <c r="W40" s="15">
        <f t="shared" ca="1" si="60"/>
        <v>1.0830000000000007E-4</v>
      </c>
      <c r="X40" s="15">
        <f t="shared" ca="1" si="60"/>
        <v>9.2760000000000081E-5</v>
      </c>
      <c r="Y40" s="15">
        <f t="shared" ca="1" si="60"/>
        <v>7.7220000000000091E-5</v>
      </c>
      <c r="Z40" s="15">
        <f t="shared" ca="1" si="60"/>
        <v>6.1680000000000101E-5</v>
      </c>
      <c r="AA40" s="15">
        <f t="shared" ca="1" si="60"/>
        <v>4.6140000000000111E-5</v>
      </c>
      <c r="AB40" s="15">
        <f t="shared" ca="1" si="60"/>
        <v>3.060000000000012E-5</v>
      </c>
      <c r="AC40" s="15">
        <f t="shared" ca="1" si="60"/>
        <v>1.5060000000000127E-5</v>
      </c>
      <c r="AD40" s="15">
        <f t="shared" ca="1" si="60"/>
        <v>0</v>
      </c>
      <c r="AE40" s="5"/>
      <c r="AG40" s="1" t="s">
        <v>116</v>
      </c>
      <c r="AH40" s="37">
        <f t="shared" ca="1" si="61"/>
        <v>473.98840810168679</v>
      </c>
      <c r="AI40" s="37">
        <f t="shared" ca="1" si="53"/>
        <v>467.56696921692986</v>
      </c>
      <c r="AJ40" s="37">
        <f t="shared" ca="1" si="54"/>
        <v>459.84984750325538</v>
      </c>
      <c r="AK40" s="37">
        <f t="shared" ca="1" si="54"/>
        <v>450.19055575215236</v>
      </c>
      <c r="AL40" s="37">
        <f t="shared" ca="1" si="54"/>
        <v>439.20207622950147</v>
      </c>
      <c r="AM40" s="37">
        <f t="shared" ca="1" si="54"/>
        <v>426.73104119678777</v>
      </c>
      <c r="AN40" s="37">
        <f t="shared" ca="1" si="54"/>
        <v>412.63109088386233</v>
      </c>
      <c r="AO40" s="37">
        <f t="shared" ca="1" si="54"/>
        <v>396.79584643047838</v>
      </c>
      <c r="AP40" s="37">
        <f t="shared" ca="1" si="54"/>
        <v>378.88969672417517</v>
      </c>
      <c r="AQ40" s="37">
        <f t="shared" ca="1" si="54"/>
        <v>359.16816712450924</v>
      </c>
      <c r="AR40" s="37">
        <f t="shared" ca="1" si="54"/>
        <v>337.55230584430751</v>
      </c>
      <c r="AS40" s="37">
        <f t="shared" ca="1" si="54"/>
        <v>313.97477973187426</v>
      </c>
      <c r="AT40" s="37">
        <f t="shared" ca="1" si="55"/>
        <v>288.35146821403458</v>
      </c>
      <c r="AU40" s="37">
        <f t="shared" ca="1" si="55"/>
        <v>260.43655102267968</v>
      </c>
      <c r="AV40" s="37">
        <f t="shared" ca="1" si="55"/>
        <v>230.34661041575001</v>
      </c>
      <c r="AW40" s="37">
        <f t="shared" ca="1" si="55"/>
        <v>197.97057650760416</v>
      </c>
      <c r="AX40" s="37">
        <f t="shared" ca="1" si="55"/>
        <v>163.20545418277828</v>
      </c>
      <c r="AY40" s="37">
        <f t="shared" ca="1" si="55"/>
        <v>125.96143689192448</v>
      </c>
      <c r="AZ40" s="37" t="e">
        <f t="shared" ca="1" si="55"/>
        <v>#N/A</v>
      </c>
      <c r="BA40" s="37" t="e">
        <f t="shared" ca="1" si="55"/>
        <v>#N/A</v>
      </c>
      <c r="BB40" s="37" t="e">
        <f t="shared" ca="1" si="55"/>
        <v>#N/A</v>
      </c>
    </row>
    <row r="41" spans="1:54" x14ac:dyDescent="0.25">
      <c r="C41" s="5">
        <f ca="1">SUM(C35:C40)</f>
        <v>0.1172185</v>
      </c>
      <c r="D41" s="5">
        <f ca="1">SUM(D35:D40)</f>
        <v>0.167239</v>
      </c>
      <c r="E41" s="131"/>
      <c r="F41" s="132">
        <f ca="1">SUM(F35:F40)</f>
        <v>0.19725130000000002</v>
      </c>
      <c r="G41" s="132"/>
      <c r="H41" s="132">
        <f ca="1">SUM(H35:H40)</f>
        <v>0.22726360000000001</v>
      </c>
      <c r="I41" s="132"/>
      <c r="J41" s="132">
        <f ca="1">SUM(J35:J40)</f>
        <v>0.1872472</v>
      </c>
      <c r="K41" s="132">
        <f ca="1">SUM(K35:K40)</f>
        <v>0.19725130000000002</v>
      </c>
      <c r="L41" s="5">
        <f t="shared" ref="L41:AD41" ca="1" si="63">SUM(L35:L40)</f>
        <v>0.20725540000000003</v>
      </c>
      <c r="M41" s="5">
        <f t="shared" ca="1" si="63"/>
        <v>0.21725950000000002</v>
      </c>
      <c r="N41" s="5">
        <f t="shared" ca="1" si="63"/>
        <v>0.22726360000000001</v>
      </c>
      <c r="O41" s="5">
        <f t="shared" ca="1" si="63"/>
        <v>0.23726770000000005</v>
      </c>
      <c r="P41" s="5">
        <f t="shared" ca="1" si="63"/>
        <v>0.24727180000000007</v>
      </c>
      <c r="Q41" s="5">
        <f t="shared" ca="1" si="63"/>
        <v>0.25727590000000006</v>
      </c>
      <c r="R41" s="5">
        <f t="shared" ca="1" si="63"/>
        <v>0.26728000000000013</v>
      </c>
      <c r="S41" s="5">
        <f t="shared" ca="1" si="63"/>
        <v>0.27728410000000003</v>
      </c>
      <c r="T41" s="5">
        <f t="shared" ca="1" si="63"/>
        <v>0.2872882000000001</v>
      </c>
      <c r="U41" s="5">
        <f t="shared" ca="1" si="63"/>
        <v>0.29729230000000012</v>
      </c>
      <c r="V41" s="5">
        <f t="shared" ca="1" si="63"/>
        <v>0.30729640000000008</v>
      </c>
      <c r="W41" s="5">
        <f t="shared" ca="1" si="63"/>
        <v>0.3173005000000001</v>
      </c>
      <c r="X41" s="5">
        <f t="shared" ca="1" si="63"/>
        <v>0.32730460000000017</v>
      </c>
      <c r="Y41" s="5">
        <f t="shared" ca="1" si="63"/>
        <v>0.33730870000000018</v>
      </c>
      <c r="Z41" s="5">
        <f t="shared" ca="1" si="63"/>
        <v>0.34731280000000014</v>
      </c>
      <c r="AA41" s="5">
        <f t="shared" ca="1" si="63"/>
        <v>0.35731690000000016</v>
      </c>
      <c r="AB41" s="5">
        <f t="shared" ca="1" si="63"/>
        <v>0.36732100000000006</v>
      </c>
      <c r="AC41" s="5">
        <f t="shared" ca="1" si="63"/>
        <v>0.37732510000000014</v>
      </c>
      <c r="AD41" s="5">
        <f t="shared" ca="1" si="63"/>
        <v>0.38732968000000007</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64">IF(K44=Yr_Start,"Start Year",IF(K44=Yr_End,"End Year",""))</f>
        <v>Start Year</v>
      </c>
      <c r="L43" s="205" t="str">
        <f t="shared" si="64"/>
        <v/>
      </c>
      <c r="M43" s="205" t="str">
        <f t="shared" si="64"/>
        <v/>
      </c>
      <c r="N43" s="205" t="str">
        <f t="shared" si="64"/>
        <v>End Year</v>
      </c>
      <c r="O43" s="205" t="str">
        <f t="shared" si="64"/>
        <v/>
      </c>
      <c r="P43" s="205" t="str">
        <f t="shared" si="64"/>
        <v/>
      </c>
      <c r="Q43" s="205" t="str">
        <f t="shared" si="64"/>
        <v/>
      </c>
      <c r="R43" s="205" t="str">
        <f t="shared" si="64"/>
        <v/>
      </c>
      <c r="S43" s="205" t="str">
        <f t="shared" si="64"/>
        <v/>
      </c>
      <c r="T43" s="205" t="str">
        <f t="shared" si="64"/>
        <v/>
      </c>
      <c r="U43" s="205" t="str">
        <f t="shared" si="64"/>
        <v/>
      </c>
      <c r="V43" s="205" t="str">
        <f t="shared" si="64"/>
        <v/>
      </c>
      <c r="W43" s="205" t="str">
        <f t="shared" si="64"/>
        <v/>
      </c>
      <c r="X43" s="205" t="str">
        <f t="shared" si="64"/>
        <v/>
      </c>
      <c r="Y43" s="205" t="str">
        <f t="shared" si="64"/>
        <v/>
      </c>
      <c r="Z43" s="205" t="str">
        <f t="shared" si="64"/>
        <v/>
      </c>
      <c r="AA43" s="205" t="str">
        <f t="shared" si="64"/>
        <v/>
      </c>
      <c r="AB43" s="205" t="str">
        <f t="shared" si="64"/>
        <v/>
      </c>
      <c r="AC43" s="205" t="str">
        <f t="shared" si="64"/>
        <v/>
      </c>
      <c r="AD43" s="205" t="str">
        <f t="shared" si="64"/>
        <v/>
      </c>
      <c r="AE43" s="35"/>
      <c r="AF43" s="6" t="str">
        <f>A43</f>
        <v>Other</v>
      </c>
      <c r="AI43" s="205" t="str">
        <f t="shared" ref="AI43:BB43" si="65">IF(AI44=Yr_Start,"Start Year",IF(AI44=Yr_End,"End Year",""))</f>
        <v>Start Year</v>
      </c>
      <c r="AJ43" s="205" t="str">
        <f t="shared" si="65"/>
        <v/>
      </c>
      <c r="AK43" s="205" t="str">
        <f t="shared" si="65"/>
        <v/>
      </c>
      <c r="AL43" s="205" t="str">
        <f t="shared" si="65"/>
        <v>End Year</v>
      </c>
      <c r="AM43" s="205" t="str">
        <f t="shared" si="65"/>
        <v/>
      </c>
      <c r="AN43" s="205" t="str">
        <f t="shared" si="65"/>
        <v/>
      </c>
      <c r="AO43" s="205" t="str">
        <f t="shared" si="65"/>
        <v/>
      </c>
      <c r="AP43" s="205" t="str">
        <f t="shared" si="65"/>
        <v/>
      </c>
      <c r="AQ43" s="205" t="str">
        <f t="shared" si="65"/>
        <v/>
      </c>
      <c r="AR43" s="205" t="str">
        <f t="shared" si="65"/>
        <v/>
      </c>
      <c r="AS43" s="205" t="str">
        <f t="shared" si="65"/>
        <v/>
      </c>
      <c r="AT43" s="205" t="str">
        <f t="shared" si="65"/>
        <v/>
      </c>
      <c r="AU43" s="205" t="str">
        <f t="shared" si="65"/>
        <v/>
      </c>
      <c r="AV43" s="205" t="str">
        <f t="shared" si="65"/>
        <v/>
      </c>
      <c r="AW43" s="205" t="str">
        <f t="shared" si="65"/>
        <v/>
      </c>
      <c r="AX43" s="205" t="str">
        <f t="shared" si="65"/>
        <v/>
      </c>
      <c r="AY43" s="205" t="str">
        <f t="shared" si="65"/>
        <v/>
      </c>
      <c r="AZ43" s="205" t="str">
        <f t="shared" si="65"/>
        <v/>
      </c>
      <c r="BA43" s="205" t="str">
        <f t="shared" si="65"/>
        <v/>
      </c>
      <c r="BB43" s="205" t="str">
        <f t="shared" si="65"/>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66">L44+1</f>
        <v>2021</v>
      </c>
      <c r="N44" s="130">
        <f t="shared" si="66"/>
        <v>2022</v>
      </c>
      <c r="O44" s="130">
        <f t="shared" si="66"/>
        <v>2023</v>
      </c>
      <c r="P44" s="130">
        <f t="shared" si="66"/>
        <v>2024</v>
      </c>
      <c r="Q44" s="130">
        <f t="shared" si="66"/>
        <v>2025</v>
      </c>
      <c r="R44" s="130">
        <f t="shared" si="66"/>
        <v>2026</v>
      </c>
      <c r="S44" s="130">
        <f t="shared" si="66"/>
        <v>2027</v>
      </c>
      <c r="T44" s="130">
        <f t="shared" si="66"/>
        <v>2028</v>
      </c>
      <c r="U44" s="130">
        <f t="shared" si="66"/>
        <v>2029</v>
      </c>
      <c r="V44" s="130">
        <f t="shared" si="66"/>
        <v>2030</v>
      </c>
      <c r="W44" s="130">
        <f t="shared" si="66"/>
        <v>2031</v>
      </c>
      <c r="X44" s="130">
        <f t="shared" si="66"/>
        <v>2032</v>
      </c>
      <c r="Y44" s="130">
        <f t="shared" si="66"/>
        <v>2033</v>
      </c>
      <c r="Z44" s="130">
        <f t="shared" si="66"/>
        <v>2034</v>
      </c>
      <c r="AA44" s="130">
        <f t="shared" si="66"/>
        <v>2035</v>
      </c>
      <c r="AB44" s="130">
        <f t="shared" si="66"/>
        <v>2036</v>
      </c>
      <c r="AC44" s="130">
        <f t="shared" si="66"/>
        <v>2037</v>
      </c>
      <c r="AD44" s="130">
        <f t="shared" si="66"/>
        <v>2038</v>
      </c>
      <c r="AE44" s="6"/>
      <c r="AF44" s="6" t="str">
        <f>A44</f>
        <v>Urban</v>
      </c>
      <c r="AG44" s="38"/>
      <c r="AH44" s="161">
        <f>AI44-1</f>
        <v>2018</v>
      </c>
      <c r="AI44" s="36">
        <f>Yr_Start</f>
        <v>2019</v>
      </c>
      <c r="AJ44" s="36">
        <f>AI44+1</f>
        <v>2020</v>
      </c>
      <c r="AK44" s="36">
        <f t="shared" ref="AK44:BB44" si="67">AJ44+1</f>
        <v>2021</v>
      </c>
      <c r="AL44" s="36">
        <f t="shared" si="67"/>
        <v>2022</v>
      </c>
      <c r="AM44" s="36">
        <f t="shared" si="67"/>
        <v>2023</v>
      </c>
      <c r="AN44" s="36">
        <f t="shared" si="67"/>
        <v>2024</v>
      </c>
      <c r="AO44" s="36">
        <f t="shared" si="67"/>
        <v>2025</v>
      </c>
      <c r="AP44" s="36">
        <f t="shared" si="67"/>
        <v>2026</v>
      </c>
      <c r="AQ44" s="36">
        <f t="shared" si="67"/>
        <v>2027</v>
      </c>
      <c r="AR44" s="36">
        <f t="shared" si="67"/>
        <v>2028</v>
      </c>
      <c r="AS44" s="36">
        <f t="shared" si="67"/>
        <v>2029</v>
      </c>
      <c r="AT44" s="36">
        <f t="shared" si="67"/>
        <v>2030</v>
      </c>
      <c r="AU44" s="36">
        <f t="shared" si="67"/>
        <v>2031</v>
      </c>
      <c r="AV44" s="36">
        <f t="shared" si="67"/>
        <v>2032</v>
      </c>
      <c r="AW44" s="36">
        <f t="shared" si="67"/>
        <v>2033</v>
      </c>
      <c r="AX44" s="36">
        <f t="shared" si="67"/>
        <v>2034</v>
      </c>
      <c r="AY44" s="36">
        <f t="shared" si="67"/>
        <v>2035</v>
      </c>
      <c r="AZ44" s="36">
        <f t="shared" si="67"/>
        <v>2036</v>
      </c>
      <c r="BA44" s="36">
        <f t="shared" si="67"/>
        <v>2037</v>
      </c>
      <c r="BB44" s="36">
        <f t="shared" si="67"/>
        <v>2038</v>
      </c>
    </row>
    <row r="45" spans="1:54" x14ac:dyDescent="0.25">
      <c r="B45" s="1" t="s">
        <v>52</v>
      </c>
      <c r="C45" s="14">
        <f ca="1">INDEX(Data_FP!$2:$1048576,MATCH(C$4&amp;$A$44&amp;$B45&amp;$A$1,Data_FP!$A$2:$A$1048576,0),MATCH($A$43,Data_FP!$2:$2,0))</f>
        <v>4.6597899999999998E-2</v>
      </c>
      <c r="D45" s="14">
        <f ca="1">INDEX(Data_FP!$2:$1048576,MATCH(D$4&amp;$A$44&amp;$B45&amp;$A$1,Data_FP!$A$2:$A$1048576,0),MATCH($A$43,Data_FP!$2:$2,0))</f>
        <v>6.76374E-2</v>
      </c>
      <c r="E45" s="14">
        <f ca="1">IF('User Settings'!$N$7="On",($D45-$C45)/($D$4-$C$4),0)</f>
        <v>4.2079000000000005E-3</v>
      </c>
      <c r="F45" s="14">
        <f ca="1">MAX(0,MIN(1,($D45+$E45*(F$4-$D$4))))</f>
        <v>8.0261100000000002E-2</v>
      </c>
      <c r="G45" s="14"/>
      <c r="H45" s="14">
        <f ca="1">MAX(0,MIN(1,($D45+$E45*(H$4-$D$4))*$H$1))</f>
        <v>9.2884800000000003E-2</v>
      </c>
      <c r="I45" s="14">
        <f ca="1">($H45-$F45)/($H$4-$F$4)</f>
        <v>4.2079000000000005E-3</v>
      </c>
      <c r="J45" s="14">
        <f ca="1">K45-E45</f>
        <v>7.6053200000000001E-2</v>
      </c>
      <c r="K45" s="14">
        <f ca="1">MAX(0,MIN(1,D45+(K$4-D$4)*E45))</f>
        <v>8.0261100000000002E-2</v>
      </c>
      <c r="L45" s="15">
        <f ca="1">MAX(0,MIN(1,K45+$I45))</f>
        <v>8.4469000000000002E-2</v>
      </c>
      <c r="M45" s="15">
        <f t="shared" ref="M45:AD45" ca="1" si="68">MAX(0,MIN(1,L45+$I45))</f>
        <v>8.8676900000000003E-2</v>
      </c>
      <c r="N45" s="15">
        <f ca="1">MAX(0,MIN(1,M45+$I45))</f>
        <v>9.2884800000000003E-2</v>
      </c>
      <c r="O45" s="15">
        <f t="shared" ca="1" si="68"/>
        <v>9.7092700000000004E-2</v>
      </c>
      <c r="P45" s="15">
        <f t="shared" ca="1" si="68"/>
        <v>0.1013006</v>
      </c>
      <c r="Q45" s="15">
        <f t="shared" ca="1" si="68"/>
        <v>0.10550850000000001</v>
      </c>
      <c r="R45" s="15">
        <f t="shared" ca="1" si="68"/>
        <v>0.10971640000000001</v>
      </c>
      <c r="S45" s="15">
        <f t="shared" ca="1" si="68"/>
        <v>0.11392430000000001</v>
      </c>
      <c r="T45" s="15">
        <f t="shared" ca="1" si="68"/>
        <v>0.11813220000000001</v>
      </c>
      <c r="U45" s="15">
        <f t="shared" ca="1" si="68"/>
        <v>0.12234010000000001</v>
      </c>
      <c r="V45" s="15">
        <f t="shared" ca="1" si="68"/>
        <v>0.12654799999999999</v>
      </c>
      <c r="W45" s="15">
        <f t="shared" ca="1" si="68"/>
        <v>0.13075589999999998</v>
      </c>
      <c r="X45" s="15">
        <f t="shared" ca="1" si="68"/>
        <v>0.13496379999999997</v>
      </c>
      <c r="Y45" s="15">
        <f t="shared" ca="1" si="68"/>
        <v>0.13917169999999995</v>
      </c>
      <c r="Z45" s="15">
        <f t="shared" ca="1" si="68"/>
        <v>0.14337959999999994</v>
      </c>
      <c r="AA45" s="15">
        <f t="shared" ca="1" si="68"/>
        <v>0.14758749999999993</v>
      </c>
      <c r="AB45" s="15">
        <f t="shared" ca="1" si="68"/>
        <v>0.15179539999999991</v>
      </c>
      <c r="AC45" s="15">
        <f t="shared" ca="1" si="68"/>
        <v>0.1560032999999999</v>
      </c>
      <c r="AD45" s="15">
        <f t="shared" ca="1" si="68"/>
        <v>0.16021119999999989</v>
      </c>
      <c r="AE45" s="5"/>
      <c r="AG45" s="1" t="s">
        <v>52</v>
      </c>
      <c r="AH45" s="37">
        <f ca="1">J45*AH$51</f>
        <v>111503.85188572285</v>
      </c>
      <c r="AI45" s="37">
        <f t="shared" ref="AI45:AI50" ca="1" si="69">K45*AI$51</f>
        <v>122198.34962290093</v>
      </c>
      <c r="AJ45" s="37">
        <f t="shared" ref="AJ45:AS50" ca="1" si="70">L45*AJ$51</f>
        <v>133521.19001530245</v>
      </c>
      <c r="AK45" s="37">
        <f t="shared" ca="1" si="70"/>
        <v>145315.24445388935</v>
      </c>
      <c r="AL45" s="37">
        <f t="shared" ca="1" si="70"/>
        <v>157794.43346080568</v>
      </c>
      <c r="AM45" s="37">
        <f t="shared" ca="1" si="70"/>
        <v>170965.38415761598</v>
      </c>
      <c r="AN45" s="37">
        <f t="shared" ca="1" si="70"/>
        <v>184828.34594509087</v>
      </c>
      <c r="AO45" s="37">
        <f t="shared" ca="1" si="70"/>
        <v>199392.00300050355</v>
      </c>
      <c r="AP45" s="37">
        <f t="shared" ca="1" si="70"/>
        <v>214528.90923240405</v>
      </c>
      <c r="AQ45" s="37">
        <f t="shared" ca="1" si="70"/>
        <v>230412.55896528621</v>
      </c>
      <c r="AR45" s="37">
        <f t="shared" ca="1" si="70"/>
        <v>247067.89031974506</v>
      </c>
      <c r="AS45" s="37">
        <f t="shared" ca="1" si="70"/>
        <v>264531.60049570078</v>
      </c>
      <c r="AT45" s="37">
        <f t="shared" ref="AT45:BB50" ca="1" si="71">V45*AT$51</f>
        <v>282833.55592186126</v>
      </c>
      <c r="AU45" s="37">
        <f t="shared" ca="1" si="71"/>
        <v>301820.82173254795</v>
      </c>
      <c r="AV45" s="37">
        <f t="shared" ca="1" si="71"/>
        <v>321701.29395188828</v>
      </c>
      <c r="AW45" s="37">
        <f t="shared" ca="1" si="71"/>
        <v>342480.7823266419</v>
      </c>
      <c r="AX45" s="37">
        <f t="shared" ca="1" si="71"/>
        <v>364159.87555495522</v>
      </c>
      <c r="AY45" s="37">
        <f t="shared" ca="1" si="71"/>
        <v>386744.38439530885</v>
      </c>
      <c r="AZ45" s="37" t="e">
        <f t="shared" ca="1" si="71"/>
        <v>#N/A</v>
      </c>
      <c r="BA45" s="37" t="e">
        <f t="shared" ca="1" si="71"/>
        <v>#N/A</v>
      </c>
      <c r="BB45" s="37" t="e">
        <f t="shared" ca="1" si="71"/>
        <v>#N/A</v>
      </c>
    </row>
    <row r="46" spans="1:54" x14ac:dyDescent="0.25">
      <c r="B46" s="1" t="s">
        <v>54</v>
      </c>
      <c r="C46" s="14">
        <f ca="1">INDEX(Data_FP!$2:$1048576,MATCH(C$4&amp;$A$44&amp;$B46&amp;$A$1,Data_FP!$A$2:$A$1048576,0),MATCH($A$43,Data_FP!$2:$2,0))</f>
        <v>0</v>
      </c>
      <c r="D46" s="14">
        <f ca="1">INDEX(Data_FP!$2:$1048576,MATCH(D$4&amp;$A$44&amp;$B46&amp;$A$1,Data_FP!$A$2:$A$1048576,0),MATCH($A$43,Data_FP!$2:$2,0))</f>
        <v>5.396E-4</v>
      </c>
      <c r="E46" s="14">
        <f ca="1">IF('User Settings'!$N$7="On",($D46-$C46)/($D$4-$C$4),0)</f>
        <v>1.0792E-4</v>
      </c>
      <c r="F46" s="14">
        <f t="shared" ref="F46:F50" ca="1" si="72">MAX(0,MIN(1,($D46+$E46*(F$4-$D$4))))</f>
        <v>8.6335999999999997E-4</v>
      </c>
      <c r="G46" s="14"/>
      <c r="H46" s="14">
        <f t="shared" ref="H46:H50" ca="1" si="73">MAX(0,MIN(1,($D46+$E46*(H$4-$D$4))*$H$1))</f>
        <v>1.1871199999999998E-3</v>
      </c>
      <c r="I46" s="14">
        <f ca="1">($H46-$F46)/($H$4-$F$4)</f>
        <v>1.0791999999999996E-4</v>
      </c>
      <c r="J46" s="14">
        <f t="shared" ref="J46:J50" ca="1" si="74">K46-E46</f>
        <v>7.5544000000000002E-4</v>
      </c>
      <c r="K46" s="14">
        <f t="shared" ref="K46:K50" ca="1" si="75">MAX(0,MIN(1,D46+(K$4-D$4)*E46))</f>
        <v>8.6335999999999997E-4</v>
      </c>
      <c r="L46" s="15">
        <f t="shared" ref="L46:AD50" ca="1" si="76">MAX(0,MIN(1,K46+$I46))</f>
        <v>9.7127999999999993E-4</v>
      </c>
      <c r="M46" s="15">
        <f t="shared" ca="1" si="76"/>
        <v>1.0791999999999998E-3</v>
      </c>
      <c r="N46" s="15">
        <f t="shared" ca="1" si="76"/>
        <v>1.1871199999999998E-3</v>
      </c>
      <c r="O46" s="15">
        <f t="shared" ca="1" si="76"/>
        <v>1.2950399999999999E-3</v>
      </c>
      <c r="P46" s="15">
        <f t="shared" ca="1" si="76"/>
        <v>1.40296E-3</v>
      </c>
      <c r="Q46" s="15">
        <f t="shared" ca="1" si="76"/>
        <v>1.51088E-3</v>
      </c>
      <c r="R46" s="15">
        <f t="shared" ca="1" si="76"/>
        <v>1.6188000000000001E-3</v>
      </c>
      <c r="S46" s="15">
        <f t="shared" ca="1" si="76"/>
        <v>1.7267200000000002E-3</v>
      </c>
      <c r="T46" s="15">
        <f t="shared" ca="1" si="76"/>
        <v>1.8346400000000002E-3</v>
      </c>
      <c r="U46" s="15">
        <f t="shared" ca="1" si="76"/>
        <v>1.9425600000000003E-3</v>
      </c>
      <c r="V46" s="15">
        <f t="shared" ca="1" si="76"/>
        <v>2.0504800000000004E-3</v>
      </c>
      <c r="W46" s="15">
        <f t="shared" ca="1" si="76"/>
        <v>2.1584000000000004E-3</v>
      </c>
      <c r="X46" s="15">
        <f t="shared" ca="1" si="76"/>
        <v>2.2663200000000005E-3</v>
      </c>
      <c r="Y46" s="15">
        <f t="shared" ca="1" si="76"/>
        <v>2.3742400000000006E-3</v>
      </c>
      <c r="Z46" s="15">
        <f t="shared" ca="1" si="76"/>
        <v>2.4821600000000006E-3</v>
      </c>
      <c r="AA46" s="15">
        <f t="shared" ca="1" si="76"/>
        <v>2.5900800000000007E-3</v>
      </c>
      <c r="AB46" s="15">
        <f t="shared" ca="1" si="76"/>
        <v>2.6980000000000007E-3</v>
      </c>
      <c r="AC46" s="15">
        <f t="shared" ca="1" si="76"/>
        <v>2.8059200000000008E-3</v>
      </c>
      <c r="AD46" s="15">
        <f t="shared" ca="1" si="76"/>
        <v>2.9138400000000009E-3</v>
      </c>
      <c r="AE46" s="5"/>
      <c r="AG46" s="1" t="s">
        <v>54</v>
      </c>
      <c r="AH46" s="37">
        <f t="shared" ref="AH46:AH50" ca="1" si="77">J46*AH$51</f>
        <v>1107.5729866534277</v>
      </c>
      <c r="AI46" s="37">
        <f t="shared" ca="1" si="69"/>
        <v>1314.4744730688683</v>
      </c>
      <c r="AJ46" s="37">
        <f t="shared" ca="1" si="70"/>
        <v>1535.3142743262374</v>
      </c>
      <c r="AK46" s="37">
        <f t="shared" ca="1" si="70"/>
        <v>1768.4900105285294</v>
      </c>
      <c r="AL46" s="37">
        <f t="shared" ca="1" si="70"/>
        <v>2016.7016330981132</v>
      </c>
      <c r="AM46" s="37">
        <f t="shared" ca="1" si="70"/>
        <v>2280.3672273969</v>
      </c>
      <c r="AN46" s="37">
        <f t="shared" ca="1" si="70"/>
        <v>2559.7753244020732</v>
      </c>
      <c r="AO46" s="37">
        <f t="shared" ca="1" si="70"/>
        <v>2855.2902324779598</v>
      </c>
      <c r="AP46" s="37">
        <f t="shared" ca="1" si="70"/>
        <v>3165.2460185115046</v>
      </c>
      <c r="AQ46" s="37">
        <f t="shared" ca="1" si="70"/>
        <v>3492.301237019135</v>
      </c>
      <c r="AR46" s="37">
        <f t="shared" ca="1" si="70"/>
        <v>3837.0624968993816</v>
      </c>
      <c r="AS46" s="37">
        <f t="shared" ca="1" si="70"/>
        <v>4200.3276591970134</v>
      </c>
      <c r="AT46" s="37">
        <f t="shared" ca="1" si="71"/>
        <v>4582.8029660418042</v>
      </c>
      <c r="AU46" s="37">
        <f t="shared" ca="1" si="71"/>
        <v>4982.1848316407277</v>
      </c>
      <c r="AV46" s="37">
        <f t="shared" ca="1" si="71"/>
        <v>5402.0268880177036</v>
      </c>
      <c r="AW46" s="37">
        <f t="shared" ca="1" si="71"/>
        <v>5842.6502847289112</v>
      </c>
      <c r="AX46" s="37">
        <f t="shared" ca="1" si="71"/>
        <v>6304.2655768846344</v>
      </c>
      <c r="AY46" s="37">
        <f t="shared" ca="1" si="71"/>
        <v>6787.1526730556607</v>
      </c>
      <c r="AZ46" s="37" t="e">
        <f t="shared" ca="1" si="71"/>
        <v>#N/A</v>
      </c>
      <c r="BA46" s="37" t="e">
        <f t="shared" ca="1" si="71"/>
        <v>#N/A</v>
      </c>
      <c r="BB46" s="37" t="e">
        <f t="shared" ca="1" si="71"/>
        <v>#N/A</v>
      </c>
    </row>
    <row r="47" spans="1:54" x14ac:dyDescent="0.25">
      <c r="B47" s="1" t="s">
        <v>170</v>
      </c>
      <c r="C47" s="14">
        <f ca="1">INDEX(Data_FP!$2:$1048576,MATCH(C$4&amp;$A$44&amp;$B47&amp;$A$1,Data_FP!$A$2:$A$1048576,0),MATCH($A$43,Data_FP!$2:$2,0))</f>
        <v>0</v>
      </c>
      <c r="D47" s="14">
        <f ca="1">INDEX(Data_FP!$2:$1048576,MATCH(D$4&amp;$A$44&amp;$B47&amp;$A$1,Data_FP!$A$2:$A$1048576,0),MATCH($A$43,Data_FP!$2:$2,0))</f>
        <v>1.0761E-3</v>
      </c>
      <c r="E47" s="14">
        <f ca="1">IF('User Settings'!$N$7="On",($D47-$C47)/($D$4-$C$4),0)</f>
        <v>2.1521999999999999E-4</v>
      </c>
      <c r="F47" s="14">
        <f t="shared" ca="1" si="72"/>
        <v>1.7217599999999999E-3</v>
      </c>
      <c r="G47" s="14"/>
      <c r="H47" s="14">
        <f t="shared" ca="1" si="73"/>
        <v>2.3674199999999999E-3</v>
      </c>
      <c r="I47" s="14">
        <f t="shared" ref="I47:I50" ca="1" si="78">($H47-$F47)/($H$4-$F$4)</f>
        <v>2.1521999999999999E-4</v>
      </c>
      <c r="J47" s="14">
        <f t="shared" ca="1" si="74"/>
        <v>1.50654E-3</v>
      </c>
      <c r="K47" s="14">
        <f t="shared" ca="1" si="75"/>
        <v>1.7217599999999999E-3</v>
      </c>
      <c r="L47" s="15">
        <f t="shared" ca="1" si="76"/>
        <v>1.9369799999999998E-3</v>
      </c>
      <c r="M47" s="15">
        <f t="shared" ca="1" si="76"/>
        <v>2.1521999999999999E-3</v>
      </c>
      <c r="N47" s="15">
        <f t="shared" ca="1" si="76"/>
        <v>2.3674199999999999E-3</v>
      </c>
      <c r="O47" s="15">
        <f t="shared" ca="1" si="76"/>
        <v>2.5826399999999998E-3</v>
      </c>
      <c r="P47" s="15">
        <f t="shared" ca="1" si="76"/>
        <v>2.7978599999999997E-3</v>
      </c>
      <c r="Q47" s="15">
        <f t="shared" ca="1" si="76"/>
        <v>3.0130799999999996E-3</v>
      </c>
      <c r="R47" s="15">
        <f t="shared" ca="1" si="76"/>
        <v>3.2282999999999995E-3</v>
      </c>
      <c r="S47" s="15">
        <f t="shared" ca="1" si="76"/>
        <v>3.4435199999999994E-3</v>
      </c>
      <c r="T47" s="15">
        <f t="shared" ca="1" si="76"/>
        <v>3.6587399999999993E-3</v>
      </c>
      <c r="U47" s="15">
        <f t="shared" ca="1" si="76"/>
        <v>3.8739599999999992E-3</v>
      </c>
      <c r="V47" s="15">
        <f t="shared" ca="1" si="76"/>
        <v>4.0891799999999996E-3</v>
      </c>
      <c r="W47" s="15">
        <f t="shared" ca="1" si="76"/>
        <v>4.3043999999999999E-3</v>
      </c>
      <c r="X47" s="15">
        <f t="shared" ca="1" si="76"/>
        <v>4.5196200000000002E-3</v>
      </c>
      <c r="Y47" s="15">
        <f t="shared" ca="1" si="76"/>
        <v>4.7348400000000006E-3</v>
      </c>
      <c r="Z47" s="15">
        <f t="shared" ca="1" si="76"/>
        <v>4.9500600000000009E-3</v>
      </c>
      <c r="AA47" s="15">
        <f t="shared" ca="1" si="76"/>
        <v>5.1652800000000013E-3</v>
      </c>
      <c r="AB47" s="15">
        <f t="shared" ca="1" si="76"/>
        <v>5.3805000000000016E-3</v>
      </c>
      <c r="AC47" s="15">
        <f t="shared" ca="1" si="76"/>
        <v>5.5957200000000019E-3</v>
      </c>
      <c r="AD47" s="15">
        <f t="shared" ca="1" si="76"/>
        <v>5.8109400000000023E-3</v>
      </c>
      <c r="AE47" s="5"/>
      <c r="AG47" s="1" t="s">
        <v>170</v>
      </c>
      <c r="AH47" s="37">
        <f t="shared" ca="1" si="77"/>
        <v>2208.7829706036946</v>
      </c>
      <c r="AI47" s="37">
        <f t="shared" ca="1" si="69"/>
        <v>2621.3972951619885</v>
      </c>
      <c r="AJ47" s="37">
        <f t="shared" ca="1" si="70"/>
        <v>3061.8081738370352</v>
      </c>
      <c r="AK47" s="37">
        <f t="shared" ca="1" si="70"/>
        <v>3526.8200525013913</v>
      </c>
      <c r="AL47" s="37">
        <f t="shared" ca="1" si="70"/>
        <v>4021.8173227888801</v>
      </c>
      <c r="AM47" s="37">
        <f t="shared" ca="1" si="70"/>
        <v>4547.6337535244702</v>
      </c>
      <c r="AN47" s="37">
        <f t="shared" ca="1" si="70"/>
        <v>5104.8447490531335</v>
      </c>
      <c r="AO47" s="37">
        <f t="shared" ca="1" si="70"/>
        <v>5694.1768331533212</v>
      </c>
      <c r="AP47" s="37">
        <f t="shared" ca="1" si="70"/>
        <v>6312.3077103784835</v>
      </c>
      <c r="AQ47" s="37">
        <f t="shared" ca="1" si="70"/>
        <v>6964.5392163756305</v>
      </c>
      <c r="AR47" s="37">
        <f t="shared" ca="1" si="70"/>
        <v>7652.0810839759506</v>
      </c>
      <c r="AS47" s="37">
        <f t="shared" ca="1" si="70"/>
        <v>8376.5244515602371</v>
      </c>
      <c r="AT47" s="37">
        <f t="shared" ca="1" si="71"/>
        <v>9139.277746029622</v>
      </c>
      <c r="AU47" s="37">
        <f t="shared" ca="1" si="71"/>
        <v>9935.7470298898916</v>
      </c>
      <c r="AV47" s="37">
        <f t="shared" ca="1" si="71"/>
        <v>10773.019151586082</v>
      </c>
      <c r="AW47" s="37">
        <f t="shared" ca="1" si="71"/>
        <v>11651.734565227542</v>
      </c>
      <c r="AX47" s="37">
        <f t="shared" ca="1" si="71"/>
        <v>12572.313171396507</v>
      </c>
      <c r="AY47" s="37">
        <f t="shared" ca="1" si="71"/>
        <v>13535.313179160854</v>
      </c>
      <c r="AZ47" s="37" t="e">
        <f t="shared" ca="1" si="71"/>
        <v>#N/A</v>
      </c>
      <c r="BA47" s="37" t="e">
        <f t="shared" ca="1" si="71"/>
        <v>#N/A</v>
      </c>
      <c r="BB47" s="37" t="e">
        <f t="shared" ca="1" si="71"/>
        <v>#N/A</v>
      </c>
    </row>
    <row r="48" spans="1:54" x14ac:dyDescent="0.25">
      <c r="B48" s="1" t="s">
        <v>59</v>
      </c>
      <c r="C48" s="14">
        <f ca="1">INDEX(Data_FP!$2:$1048576,MATCH(C$4&amp;$A$44&amp;$B48&amp;$A$1,Data_FP!$A$2:$A$1048576,0),MATCH($A$43,Data_FP!$2:$2,0))</f>
        <v>0.1127876</v>
      </c>
      <c r="D48" s="14">
        <f ca="1">INDEX(Data_FP!$2:$1048576,MATCH(D$4&amp;$A$44&amp;$B48&amp;$A$1,Data_FP!$A$2:$A$1048576,0),MATCH($A$43,Data_FP!$2:$2,0))</f>
        <v>6.7006399999999994E-2</v>
      </c>
      <c r="E48" s="14">
        <f ca="1">IF('User Settings'!$N$7="On",($D48-$C48)/($D$4-$C$4),0)</f>
        <v>-9.1562400000000013E-3</v>
      </c>
      <c r="F48" s="14">
        <f t="shared" ca="1" si="72"/>
        <v>3.9537679999999992E-2</v>
      </c>
      <c r="G48" s="14"/>
      <c r="H48" s="14">
        <f t="shared" ca="1" si="73"/>
        <v>1.206895999999999E-2</v>
      </c>
      <c r="I48" s="14">
        <f t="shared" ca="1" si="78"/>
        <v>-9.1562400000000013E-3</v>
      </c>
      <c r="J48" s="14">
        <f t="shared" ca="1" si="74"/>
        <v>4.8693919999999995E-2</v>
      </c>
      <c r="K48" s="14">
        <f t="shared" ca="1" si="75"/>
        <v>3.9537679999999992E-2</v>
      </c>
      <c r="L48" s="15">
        <f t="shared" ca="1" si="76"/>
        <v>3.0381439999999989E-2</v>
      </c>
      <c r="M48" s="15">
        <f t="shared" ca="1" si="76"/>
        <v>2.1225199999999986E-2</v>
      </c>
      <c r="N48" s="15">
        <f t="shared" ca="1" si="76"/>
        <v>1.2068959999999984E-2</v>
      </c>
      <c r="O48" s="15">
        <f t="shared" ca="1" si="76"/>
        <v>2.9127199999999832E-3</v>
      </c>
      <c r="P48" s="15">
        <f t="shared" ca="1" si="76"/>
        <v>0</v>
      </c>
      <c r="Q48" s="15">
        <f t="shared" ca="1" si="76"/>
        <v>0</v>
      </c>
      <c r="R48" s="15">
        <f t="shared" ca="1" si="76"/>
        <v>0</v>
      </c>
      <c r="S48" s="15">
        <f t="shared" ca="1" si="76"/>
        <v>0</v>
      </c>
      <c r="T48" s="15">
        <f t="shared" ca="1" si="76"/>
        <v>0</v>
      </c>
      <c r="U48" s="15">
        <f t="shared" ca="1" si="76"/>
        <v>0</v>
      </c>
      <c r="V48" s="15">
        <f t="shared" ca="1" si="76"/>
        <v>0</v>
      </c>
      <c r="W48" s="15">
        <f t="shared" ca="1" si="76"/>
        <v>0</v>
      </c>
      <c r="X48" s="15">
        <f t="shared" ca="1" si="76"/>
        <v>0</v>
      </c>
      <c r="Y48" s="15">
        <f t="shared" ca="1" si="76"/>
        <v>0</v>
      </c>
      <c r="Z48" s="15">
        <f t="shared" ca="1" si="76"/>
        <v>0</v>
      </c>
      <c r="AA48" s="15">
        <f t="shared" ca="1" si="76"/>
        <v>0</v>
      </c>
      <c r="AB48" s="15">
        <f t="shared" ca="1" si="76"/>
        <v>0</v>
      </c>
      <c r="AC48" s="15">
        <f t="shared" ca="1" si="76"/>
        <v>0</v>
      </c>
      <c r="AD48" s="15">
        <f t="shared" ca="1" si="76"/>
        <v>0</v>
      </c>
      <c r="AE48" s="5"/>
      <c r="AG48" s="1" t="s">
        <v>59</v>
      </c>
      <c r="AH48" s="37">
        <f t="shared" ca="1" si="77"/>
        <v>71391.600135368877</v>
      </c>
      <c r="AI48" s="37">
        <f t="shared" ca="1" si="69"/>
        <v>60196.52414330699</v>
      </c>
      <c r="AJ48" s="37">
        <f t="shared" ca="1" si="70"/>
        <v>48024.316887597925</v>
      </c>
      <c r="AK48" s="37">
        <f t="shared" ca="1" si="70"/>
        <v>34781.832998026432</v>
      </c>
      <c r="AL48" s="37">
        <f t="shared" ca="1" si="70"/>
        <v>20502.974713420528</v>
      </c>
      <c r="AM48" s="37">
        <f t="shared" ca="1" si="70"/>
        <v>5128.8541130648173</v>
      </c>
      <c r="AN48" s="37">
        <f t="shared" ca="1" si="70"/>
        <v>0</v>
      </c>
      <c r="AO48" s="37">
        <f t="shared" ca="1" si="70"/>
        <v>0</v>
      </c>
      <c r="AP48" s="37">
        <f t="shared" ca="1" si="70"/>
        <v>0</v>
      </c>
      <c r="AQ48" s="37">
        <f t="shared" ca="1" si="70"/>
        <v>0</v>
      </c>
      <c r="AR48" s="37">
        <f t="shared" ca="1" si="70"/>
        <v>0</v>
      </c>
      <c r="AS48" s="37">
        <f t="shared" ca="1" si="70"/>
        <v>0</v>
      </c>
      <c r="AT48" s="37">
        <f t="shared" ca="1" si="71"/>
        <v>0</v>
      </c>
      <c r="AU48" s="37">
        <f t="shared" ca="1" si="71"/>
        <v>0</v>
      </c>
      <c r="AV48" s="37">
        <f t="shared" ca="1" si="71"/>
        <v>0</v>
      </c>
      <c r="AW48" s="37">
        <f t="shared" ca="1" si="71"/>
        <v>0</v>
      </c>
      <c r="AX48" s="37">
        <f t="shared" ca="1" si="71"/>
        <v>0</v>
      </c>
      <c r="AY48" s="37">
        <f t="shared" ca="1" si="71"/>
        <v>0</v>
      </c>
      <c r="AZ48" s="37" t="e">
        <f t="shared" ca="1" si="71"/>
        <v>#N/A</v>
      </c>
      <c r="BA48" s="37" t="e">
        <f t="shared" ca="1" si="71"/>
        <v>#N/A</v>
      </c>
      <c r="BB48" s="37" t="e">
        <f t="shared" ca="1" si="71"/>
        <v>#N/A</v>
      </c>
    </row>
    <row r="49" spans="1:54" x14ac:dyDescent="0.25">
      <c r="B49" s="1" t="s">
        <v>171</v>
      </c>
      <c r="C49" s="14">
        <f ca="1">INDEX(Data_FP!$2:$1048576,MATCH(C$4&amp;$A$44&amp;$B49&amp;$A$1,Data_FP!$A$2:$A$1048576,0),MATCH($A$43,Data_FP!$2:$2,0))</f>
        <v>0</v>
      </c>
      <c r="D49" s="14">
        <f ca="1">INDEX(Data_FP!$2:$1048576,MATCH(D$4&amp;$A$44&amp;$B49&amp;$A$1,Data_FP!$A$2:$A$1048576,0),MATCH($A$43,Data_FP!$2:$2,0))</f>
        <v>0</v>
      </c>
      <c r="E49" s="14">
        <f ca="1">IF('User Settings'!$N$7="On",($D49-$C49)/($D$4-$C$4),0)</f>
        <v>0</v>
      </c>
      <c r="F49" s="14">
        <f t="shared" ca="1" si="72"/>
        <v>0</v>
      </c>
      <c r="G49" s="14"/>
      <c r="H49" s="14">
        <f t="shared" ca="1" si="73"/>
        <v>0</v>
      </c>
      <c r="I49" s="14">
        <f t="shared" ca="1" si="78"/>
        <v>0</v>
      </c>
      <c r="J49" s="14">
        <f t="shared" ca="1" si="74"/>
        <v>0</v>
      </c>
      <c r="K49" s="14">
        <f t="shared" ca="1" si="75"/>
        <v>0</v>
      </c>
      <c r="L49" s="15">
        <f t="shared" ca="1" si="76"/>
        <v>0</v>
      </c>
      <c r="M49" s="15">
        <f t="shared" ca="1" si="76"/>
        <v>0</v>
      </c>
      <c r="N49" s="15">
        <f t="shared" ca="1" si="76"/>
        <v>0</v>
      </c>
      <c r="O49" s="15">
        <f t="shared" ca="1" si="76"/>
        <v>0</v>
      </c>
      <c r="P49" s="15">
        <f t="shared" ca="1" si="76"/>
        <v>0</v>
      </c>
      <c r="Q49" s="15">
        <f t="shared" ca="1" si="76"/>
        <v>0</v>
      </c>
      <c r="R49" s="15">
        <f t="shared" ca="1" si="76"/>
        <v>0</v>
      </c>
      <c r="S49" s="15">
        <f t="shared" ca="1" si="76"/>
        <v>0</v>
      </c>
      <c r="T49" s="15">
        <f t="shared" ca="1" si="76"/>
        <v>0</v>
      </c>
      <c r="U49" s="15">
        <f t="shared" ca="1" si="76"/>
        <v>0</v>
      </c>
      <c r="V49" s="15">
        <f t="shared" ca="1" si="76"/>
        <v>0</v>
      </c>
      <c r="W49" s="15">
        <f t="shared" ca="1" si="76"/>
        <v>0</v>
      </c>
      <c r="X49" s="15">
        <f t="shared" ca="1" si="76"/>
        <v>0</v>
      </c>
      <c r="Y49" s="15">
        <f t="shared" ca="1" si="76"/>
        <v>0</v>
      </c>
      <c r="Z49" s="15">
        <f t="shared" ca="1" si="76"/>
        <v>0</v>
      </c>
      <c r="AA49" s="15">
        <f t="shared" ca="1" si="76"/>
        <v>0</v>
      </c>
      <c r="AB49" s="15">
        <f t="shared" ca="1" si="76"/>
        <v>0</v>
      </c>
      <c r="AC49" s="15">
        <f t="shared" ca="1" si="76"/>
        <v>0</v>
      </c>
      <c r="AD49" s="15">
        <f t="shared" ca="1" si="76"/>
        <v>0</v>
      </c>
      <c r="AE49" s="5"/>
      <c r="AG49" s="1" t="s">
        <v>171</v>
      </c>
      <c r="AH49" s="37">
        <f t="shared" ca="1" si="77"/>
        <v>0</v>
      </c>
      <c r="AI49" s="37">
        <f t="shared" ca="1" si="69"/>
        <v>0</v>
      </c>
      <c r="AJ49" s="37">
        <f t="shared" ca="1" si="70"/>
        <v>0</v>
      </c>
      <c r="AK49" s="37">
        <f t="shared" ca="1" si="70"/>
        <v>0</v>
      </c>
      <c r="AL49" s="37">
        <f t="shared" ca="1" si="70"/>
        <v>0</v>
      </c>
      <c r="AM49" s="37">
        <f t="shared" ca="1" si="70"/>
        <v>0</v>
      </c>
      <c r="AN49" s="37">
        <f t="shared" ca="1" si="70"/>
        <v>0</v>
      </c>
      <c r="AO49" s="37">
        <f t="shared" ca="1" si="70"/>
        <v>0</v>
      </c>
      <c r="AP49" s="37">
        <f t="shared" ca="1" si="70"/>
        <v>0</v>
      </c>
      <c r="AQ49" s="37">
        <f t="shared" ca="1" si="70"/>
        <v>0</v>
      </c>
      <c r="AR49" s="37">
        <f t="shared" ca="1" si="70"/>
        <v>0</v>
      </c>
      <c r="AS49" s="37">
        <f t="shared" ca="1" si="70"/>
        <v>0</v>
      </c>
      <c r="AT49" s="37">
        <f t="shared" ca="1" si="71"/>
        <v>0</v>
      </c>
      <c r="AU49" s="37">
        <f t="shared" ca="1" si="71"/>
        <v>0</v>
      </c>
      <c r="AV49" s="37">
        <f t="shared" ca="1" si="71"/>
        <v>0</v>
      </c>
      <c r="AW49" s="37">
        <f t="shared" ca="1" si="71"/>
        <v>0</v>
      </c>
      <c r="AX49" s="37">
        <f t="shared" ca="1" si="71"/>
        <v>0</v>
      </c>
      <c r="AY49" s="37">
        <f t="shared" ca="1" si="71"/>
        <v>0</v>
      </c>
      <c r="AZ49" s="37" t="e">
        <f t="shared" ca="1" si="71"/>
        <v>#N/A</v>
      </c>
      <c r="BA49" s="37" t="e">
        <f t="shared" ca="1" si="71"/>
        <v>#N/A</v>
      </c>
      <c r="BB49" s="37" t="e">
        <f t="shared" ca="1" si="71"/>
        <v>#N/A</v>
      </c>
    </row>
    <row r="50" spans="1:54" x14ac:dyDescent="0.25">
      <c r="B50" s="1" t="s">
        <v>116</v>
      </c>
      <c r="C50" s="14">
        <f ca="1">INDEX(Data_FP!$2:$1048576,MATCH(C$4&amp;$A$44&amp;$B50&amp;$A$1,Data_FP!$A$2:$A$1048576,0),MATCH($A$43,Data_FP!$2:$2,0))</f>
        <v>0</v>
      </c>
      <c r="D50" s="14">
        <f ca="1">INDEX(Data_FP!$2:$1048576,MATCH(D$4&amp;$A$44&amp;$B50&amp;$A$1,Data_FP!$A$2:$A$1048576,0),MATCH($A$43,Data_FP!$2:$2,0))</f>
        <v>0</v>
      </c>
      <c r="E50" s="14">
        <f ca="1">IF('User Settings'!$N$7="On",($D50-$C50)/($D$4-$C$4),0)</f>
        <v>0</v>
      </c>
      <c r="F50" s="14">
        <f t="shared" ca="1" si="72"/>
        <v>0</v>
      </c>
      <c r="G50" s="14"/>
      <c r="H50" s="14">
        <f t="shared" ca="1" si="73"/>
        <v>0</v>
      </c>
      <c r="I50" s="14">
        <f t="shared" ca="1" si="78"/>
        <v>0</v>
      </c>
      <c r="J50" s="14">
        <f t="shared" ca="1" si="74"/>
        <v>0</v>
      </c>
      <c r="K50" s="14">
        <f t="shared" ca="1" si="75"/>
        <v>0</v>
      </c>
      <c r="L50" s="15">
        <f t="shared" ca="1" si="76"/>
        <v>0</v>
      </c>
      <c r="M50" s="15">
        <f t="shared" ca="1" si="76"/>
        <v>0</v>
      </c>
      <c r="N50" s="15">
        <f t="shared" ca="1" si="76"/>
        <v>0</v>
      </c>
      <c r="O50" s="15">
        <f t="shared" ca="1" si="76"/>
        <v>0</v>
      </c>
      <c r="P50" s="15">
        <f t="shared" ca="1" si="76"/>
        <v>0</v>
      </c>
      <c r="Q50" s="15">
        <f t="shared" ca="1" si="76"/>
        <v>0</v>
      </c>
      <c r="R50" s="15">
        <f t="shared" ca="1" si="76"/>
        <v>0</v>
      </c>
      <c r="S50" s="15">
        <f t="shared" ca="1" si="76"/>
        <v>0</v>
      </c>
      <c r="T50" s="15">
        <f t="shared" ca="1" si="76"/>
        <v>0</v>
      </c>
      <c r="U50" s="15">
        <f t="shared" ca="1" si="76"/>
        <v>0</v>
      </c>
      <c r="V50" s="15">
        <f t="shared" ca="1" si="76"/>
        <v>0</v>
      </c>
      <c r="W50" s="15">
        <f t="shared" ca="1" si="76"/>
        <v>0</v>
      </c>
      <c r="X50" s="15">
        <f t="shared" ca="1" si="76"/>
        <v>0</v>
      </c>
      <c r="Y50" s="15">
        <f t="shared" ca="1" si="76"/>
        <v>0</v>
      </c>
      <c r="Z50" s="15">
        <f t="shared" ca="1" si="76"/>
        <v>0</v>
      </c>
      <c r="AA50" s="15">
        <f t="shared" ca="1" si="76"/>
        <v>0</v>
      </c>
      <c r="AB50" s="15">
        <f t="shared" ca="1" si="76"/>
        <v>0</v>
      </c>
      <c r="AC50" s="15">
        <f t="shared" ca="1" si="76"/>
        <v>0</v>
      </c>
      <c r="AD50" s="15">
        <f t="shared" ca="1" si="76"/>
        <v>0</v>
      </c>
      <c r="AE50" s="5"/>
      <c r="AG50" s="1" t="s">
        <v>116</v>
      </c>
      <c r="AH50" s="37">
        <f t="shared" ca="1" si="77"/>
        <v>0</v>
      </c>
      <c r="AI50" s="37">
        <f t="shared" ca="1" si="69"/>
        <v>0</v>
      </c>
      <c r="AJ50" s="37">
        <f t="shared" ca="1" si="70"/>
        <v>0</v>
      </c>
      <c r="AK50" s="37">
        <f t="shared" ca="1" si="70"/>
        <v>0</v>
      </c>
      <c r="AL50" s="37">
        <f t="shared" ca="1" si="70"/>
        <v>0</v>
      </c>
      <c r="AM50" s="37">
        <f t="shared" ca="1" si="70"/>
        <v>0</v>
      </c>
      <c r="AN50" s="37">
        <f t="shared" ca="1" si="70"/>
        <v>0</v>
      </c>
      <c r="AO50" s="37">
        <f t="shared" ca="1" si="70"/>
        <v>0</v>
      </c>
      <c r="AP50" s="37">
        <f t="shared" ca="1" si="70"/>
        <v>0</v>
      </c>
      <c r="AQ50" s="37">
        <f t="shared" ca="1" si="70"/>
        <v>0</v>
      </c>
      <c r="AR50" s="37">
        <f t="shared" ca="1" si="70"/>
        <v>0</v>
      </c>
      <c r="AS50" s="37">
        <f t="shared" ca="1" si="70"/>
        <v>0</v>
      </c>
      <c r="AT50" s="37">
        <f t="shared" ca="1" si="71"/>
        <v>0</v>
      </c>
      <c r="AU50" s="37">
        <f t="shared" ca="1" si="71"/>
        <v>0</v>
      </c>
      <c r="AV50" s="37">
        <f t="shared" ca="1" si="71"/>
        <v>0</v>
      </c>
      <c r="AW50" s="37">
        <f t="shared" ca="1" si="71"/>
        <v>0</v>
      </c>
      <c r="AX50" s="37">
        <f t="shared" ca="1" si="71"/>
        <v>0</v>
      </c>
      <c r="AY50" s="37">
        <f t="shared" ca="1" si="71"/>
        <v>0</v>
      </c>
      <c r="AZ50" s="37" t="e">
        <f t="shared" ca="1" si="71"/>
        <v>#N/A</v>
      </c>
      <c r="BA50" s="37" t="e">
        <f t="shared" ca="1" si="71"/>
        <v>#N/A</v>
      </c>
      <c r="BB50" s="37" t="e">
        <f t="shared" ca="1" si="71"/>
        <v>#N/A</v>
      </c>
    </row>
    <row r="51" spans="1:54" x14ac:dyDescent="0.25">
      <c r="C51" s="5">
        <f ca="1">SUM(C45:C50)</f>
        <v>0.15938550000000001</v>
      </c>
      <c r="D51" s="5">
        <f ca="1">SUM(D45:D50)</f>
        <v>0.13625949999999998</v>
      </c>
      <c r="F51" s="132">
        <f ca="1">SUM(F45:F50)</f>
        <v>0.12238389999999999</v>
      </c>
      <c r="G51" s="132"/>
      <c r="H51" s="132">
        <f ca="1">SUM(H45:H50)</f>
        <v>0.10850829999999999</v>
      </c>
      <c r="I51" s="132"/>
      <c r="J51" s="132">
        <f ca="1">SUM(J45:J50)</f>
        <v>0.12700909999999999</v>
      </c>
      <c r="K51" s="132">
        <f ca="1">SUM(K45:K50)</f>
        <v>0.12238389999999999</v>
      </c>
      <c r="L51" s="5">
        <f t="shared" ref="L51:AD51" ca="1" si="79">SUM(L45:L50)</f>
        <v>0.11775869999999999</v>
      </c>
      <c r="M51" s="5">
        <f t="shared" ca="1" si="79"/>
        <v>0.11313349999999998</v>
      </c>
      <c r="N51" s="5">
        <f t="shared" ca="1" si="79"/>
        <v>0.10850829999999999</v>
      </c>
      <c r="O51" s="5">
        <f t="shared" ca="1" si="79"/>
        <v>0.10388309999999998</v>
      </c>
      <c r="P51" s="5">
        <f t="shared" ca="1" si="79"/>
        <v>0.10550142</v>
      </c>
      <c r="Q51" s="5">
        <f t="shared" ca="1" si="79"/>
        <v>0.11003246000000001</v>
      </c>
      <c r="R51" s="5">
        <f t="shared" ca="1" si="79"/>
        <v>0.11456350000000001</v>
      </c>
      <c r="S51" s="5">
        <f t="shared" ca="1" si="79"/>
        <v>0.11909454000000001</v>
      </c>
      <c r="T51" s="5">
        <f t="shared" ca="1" si="79"/>
        <v>0.12362558</v>
      </c>
      <c r="U51" s="5">
        <f t="shared" ca="1" si="79"/>
        <v>0.12815662</v>
      </c>
      <c r="V51" s="5">
        <f t="shared" ca="1" si="79"/>
        <v>0.13268765999999999</v>
      </c>
      <c r="W51" s="5">
        <f t="shared" ca="1" si="79"/>
        <v>0.13721869999999997</v>
      </c>
      <c r="X51" s="5">
        <f t="shared" ca="1" si="79"/>
        <v>0.14174973999999996</v>
      </c>
      <c r="Y51" s="5">
        <f t="shared" ca="1" si="79"/>
        <v>0.14628077999999994</v>
      </c>
      <c r="Z51" s="5">
        <f t="shared" ca="1" si="79"/>
        <v>0.15081181999999996</v>
      </c>
      <c r="AA51" s="5">
        <f t="shared" ca="1" si="79"/>
        <v>0.15534285999999992</v>
      </c>
      <c r="AB51" s="5">
        <f t="shared" ca="1" si="79"/>
        <v>0.15987389999999993</v>
      </c>
      <c r="AC51" s="5">
        <f t="shared" ca="1" si="79"/>
        <v>0.16440493999999989</v>
      </c>
      <c r="AD51" s="5">
        <f t="shared" ca="1" si="79"/>
        <v>0.1689359799999999</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80">IF(K54=Yr_Start,"Start Year",IF(K54=Yr_End,"End Year",""))</f>
        <v>Start Year</v>
      </c>
      <c r="L53" s="205" t="str">
        <f t="shared" si="80"/>
        <v/>
      </c>
      <c r="M53" s="205" t="str">
        <f t="shared" si="80"/>
        <v/>
      </c>
      <c r="N53" s="205" t="str">
        <f t="shared" si="80"/>
        <v>End Year</v>
      </c>
      <c r="O53" s="205" t="str">
        <f t="shared" si="80"/>
        <v/>
      </c>
      <c r="P53" s="205" t="str">
        <f t="shared" si="80"/>
        <v/>
      </c>
      <c r="Q53" s="205" t="str">
        <f t="shared" si="80"/>
        <v/>
      </c>
      <c r="R53" s="205" t="str">
        <f t="shared" si="80"/>
        <v/>
      </c>
      <c r="S53" s="205" t="str">
        <f t="shared" si="80"/>
        <v/>
      </c>
      <c r="T53" s="205" t="str">
        <f t="shared" si="80"/>
        <v/>
      </c>
      <c r="U53" s="205" t="str">
        <f t="shared" si="80"/>
        <v/>
      </c>
      <c r="V53" s="205" t="str">
        <f t="shared" si="80"/>
        <v/>
      </c>
      <c r="W53" s="205" t="str">
        <f t="shared" si="80"/>
        <v/>
      </c>
      <c r="X53" s="205" t="str">
        <f t="shared" si="80"/>
        <v/>
      </c>
      <c r="Y53" s="205" t="str">
        <f t="shared" si="80"/>
        <v/>
      </c>
      <c r="Z53" s="205" t="str">
        <f t="shared" si="80"/>
        <v/>
      </c>
      <c r="AA53" s="205" t="str">
        <f t="shared" si="80"/>
        <v/>
      </c>
      <c r="AB53" s="205" t="str">
        <f t="shared" si="80"/>
        <v/>
      </c>
      <c r="AC53" s="205" t="str">
        <f t="shared" si="80"/>
        <v/>
      </c>
      <c r="AD53" s="205" t="str">
        <f t="shared" si="80"/>
        <v/>
      </c>
      <c r="AE53" s="35"/>
      <c r="AF53" s="6" t="str">
        <f>A53</f>
        <v>Other</v>
      </c>
      <c r="AI53" s="205" t="str">
        <f t="shared" ref="AI53:BB53" si="81">IF(AI54=Yr_Start,"Start Year",IF(AI54=Yr_End,"End Year",""))</f>
        <v>Start Year</v>
      </c>
      <c r="AJ53" s="205" t="str">
        <f t="shared" si="81"/>
        <v/>
      </c>
      <c r="AK53" s="205" t="str">
        <f t="shared" si="81"/>
        <v/>
      </c>
      <c r="AL53" s="205" t="str">
        <f t="shared" si="81"/>
        <v>End Year</v>
      </c>
      <c r="AM53" s="205" t="str">
        <f t="shared" si="81"/>
        <v/>
      </c>
      <c r="AN53" s="205" t="str">
        <f t="shared" si="81"/>
        <v/>
      </c>
      <c r="AO53" s="205" t="str">
        <f t="shared" si="81"/>
        <v/>
      </c>
      <c r="AP53" s="205" t="str">
        <f t="shared" si="81"/>
        <v/>
      </c>
      <c r="AQ53" s="205" t="str">
        <f t="shared" si="81"/>
        <v/>
      </c>
      <c r="AR53" s="205" t="str">
        <f t="shared" si="81"/>
        <v/>
      </c>
      <c r="AS53" s="205" t="str">
        <f t="shared" si="81"/>
        <v/>
      </c>
      <c r="AT53" s="205" t="str">
        <f t="shared" si="81"/>
        <v/>
      </c>
      <c r="AU53" s="205" t="str">
        <f t="shared" si="81"/>
        <v/>
      </c>
      <c r="AV53" s="205" t="str">
        <f t="shared" si="81"/>
        <v/>
      </c>
      <c r="AW53" s="205" t="str">
        <f t="shared" si="81"/>
        <v/>
      </c>
      <c r="AX53" s="205" t="str">
        <f t="shared" si="81"/>
        <v/>
      </c>
      <c r="AY53" s="205" t="str">
        <f t="shared" si="81"/>
        <v/>
      </c>
      <c r="AZ53" s="205" t="str">
        <f t="shared" si="81"/>
        <v/>
      </c>
      <c r="BA53" s="205" t="str">
        <f t="shared" si="81"/>
        <v/>
      </c>
      <c r="BB53" s="205" t="str">
        <f t="shared" si="81"/>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82">L54+1</f>
        <v>2021</v>
      </c>
      <c r="N54" s="130">
        <f t="shared" si="82"/>
        <v>2022</v>
      </c>
      <c r="O54" s="130">
        <f t="shared" si="82"/>
        <v>2023</v>
      </c>
      <c r="P54" s="130">
        <f t="shared" si="82"/>
        <v>2024</v>
      </c>
      <c r="Q54" s="130">
        <f t="shared" si="82"/>
        <v>2025</v>
      </c>
      <c r="R54" s="130">
        <f t="shared" si="82"/>
        <v>2026</v>
      </c>
      <c r="S54" s="130">
        <f t="shared" si="82"/>
        <v>2027</v>
      </c>
      <c r="T54" s="130">
        <f t="shared" si="82"/>
        <v>2028</v>
      </c>
      <c r="U54" s="130">
        <f t="shared" si="82"/>
        <v>2029</v>
      </c>
      <c r="V54" s="130">
        <f t="shared" si="82"/>
        <v>2030</v>
      </c>
      <c r="W54" s="130">
        <f t="shared" si="82"/>
        <v>2031</v>
      </c>
      <c r="X54" s="130">
        <f t="shared" si="82"/>
        <v>2032</v>
      </c>
      <c r="Y54" s="130">
        <f t="shared" si="82"/>
        <v>2033</v>
      </c>
      <c r="Z54" s="130">
        <f t="shared" si="82"/>
        <v>2034</v>
      </c>
      <c r="AA54" s="130">
        <f t="shared" si="82"/>
        <v>2035</v>
      </c>
      <c r="AB54" s="130">
        <f t="shared" si="82"/>
        <v>2036</v>
      </c>
      <c r="AC54" s="130">
        <f t="shared" si="82"/>
        <v>2037</v>
      </c>
      <c r="AD54" s="130">
        <f t="shared" si="82"/>
        <v>2038</v>
      </c>
      <c r="AE54" s="6"/>
      <c r="AF54" s="6" t="str">
        <f>A54</f>
        <v>Rural</v>
      </c>
      <c r="AG54" s="38"/>
      <c r="AH54" s="161">
        <f>AI54-1</f>
        <v>2018</v>
      </c>
      <c r="AI54" s="36">
        <f>Yr_Start</f>
        <v>2019</v>
      </c>
      <c r="AJ54" s="36">
        <f>AI54+1</f>
        <v>2020</v>
      </c>
      <c r="AK54" s="36">
        <f t="shared" ref="AK54:BB54" si="83">AJ54+1</f>
        <v>2021</v>
      </c>
      <c r="AL54" s="36">
        <f t="shared" si="83"/>
        <v>2022</v>
      </c>
      <c r="AM54" s="36">
        <f t="shared" si="83"/>
        <v>2023</v>
      </c>
      <c r="AN54" s="36">
        <f t="shared" si="83"/>
        <v>2024</v>
      </c>
      <c r="AO54" s="36">
        <f t="shared" si="83"/>
        <v>2025</v>
      </c>
      <c r="AP54" s="36">
        <f t="shared" si="83"/>
        <v>2026</v>
      </c>
      <c r="AQ54" s="36">
        <f t="shared" si="83"/>
        <v>2027</v>
      </c>
      <c r="AR54" s="36">
        <f t="shared" si="83"/>
        <v>2028</v>
      </c>
      <c r="AS54" s="36">
        <f t="shared" si="83"/>
        <v>2029</v>
      </c>
      <c r="AT54" s="36">
        <f t="shared" si="83"/>
        <v>2030</v>
      </c>
      <c r="AU54" s="36">
        <f t="shared" si="83"/>
        <v>2031</v>
      </c>
      <c r="AV54" s="36">
        <f t="shared" si="83"/>
        <v>2032</v>
      </c>
      <c r="AW54" s="36">
        <f t="shared" si="83"/>
        <v>2033</v>
      </c>
      <c r="AX54" s="36">
        <f t="shared" si="83"/>
        <v>2034</v>
      </c>
      <c r="AY54" s="36">
        <f t="shared" si="83"/>
        <v>2035</v>
      </c>
      <c r="AZ54" s="36">
        <f t="shared" si="83"/>
        <v>2036</v>
      </c>
      <c r="BA54" s="36">
        <f t="shared" si="83"/>
        <v>2037</v>
      </c>
      <c r="BB54" s="36">
        <f t="shared" si="83"/>
        <v>2038</v>
      </c>
    </row>
    <row r="55" spans="1:54" x14ac:dyDescent="0.25">
      <c r="B55" s="1" t="s">
        <v>52</v>
      </c>
      <c r="C55" s="14">
        <f ca="1">INDEX(Data_FP!$2:$1048576,MATCH(C$4&amp;$A$54&amp;$B55&amp;$A$1,Data_FP!$A$2:$A$1048576,0),MATCH($A$53,Data_FP!$2:$2,0))</f>
        <v>4.2379899999999998E-2</v>
      </c>
      <c r="D55" s="14">
        <f ca="1">INDEX(Data_FP!$2:$1048576,MATCH(D$4&amp;$A$54&amp;$B55&amp;$A$1,Data_FP!$A$2:$A$1048576,0),MATCH($A$53,Data_FP!$2:$2,0))</f>
        <v>7.94879E-2</v>
      </c>
      <c r="E55" s="14">
        <f ca="1">IF('User Settings'!$N$7="On",($D55-$C55)/($D$4-$C$4),0)</f>
        <v>7.4216000000000004E-3</v>
      </c>
      <c r="F55" s="14">
        <f ca="1">MAX(0,MIN(1,($D55+$E55*(F$4-$D$4))))</f>
        <v>0.1017527</v>
      </c>
      <c r="G55" s="14"/>
      <c r="H55" s="14">
        <f ca="1">MAX(0,MIN(1,($D55+$E55*(H$4-$D$4))*$H$1))</f>
        <v>0.1240175</v>
      </c>
      <c r="I55" s="14">
        <f ca="1">($H55-$F55)/($H$4-$F$4)</f>
        <v>7.4216000000000004E-3</v>
      </c>
      <c r="J55" s="14">
        <f ca="1">K55-E55</f>
        <v>9.4331100000000001E-2</v>
      </c>
      <c r="K55" s="14">
        <f ca="1">MAX(0,MIN(1,D55+(K$4-D$4)*E55))</f>
        <v>0.1017527</v>
      </c>
      <c r="L55" s="15">
        <f ca="1">MAX(0,MIN(1,K55+$I55))</f>
        <v>0.1091743</v>
      </c>
      <c r="M55" s="15">
        <f t="shared" ref="M55:AD55" ca="1" si="84">MAX(0,MIN(1,L55+$I55))</f>
        <v>0.1165959</v>
      </c>
      <c r="N55" s="15">
        <f ca="1">MAX(0,MIN(1,M55+$I55))</f>
        <v>0.1240175</v>
      </c>
      <c r="O55" s="15">
        <f t="shared" ca="1" si="84"/>
        <v>0.1314391</v>
      </c>
      <c r="P55" s="15">
        <f t="shared" ca="1" si="84"/>
        <v>0.1388607</v>
      </c>
      <c r="Q55" s="15">
        <f t="shared" ca="1" si="84"/>
        <v>0.1462823</v>
      </c>
      <c r="R55" s="15">
        <f t="shared" ca="1" si="84"/>
        <v>0.1537039</v>
      </c>
      <c r="S55" s="15">
        <f t="shared" ca="1" si="84"/>
        <v>0.1611255</v>
      </c>
      <c r="T55" s="15">
        <f t="shared" ca="1" si="84"/>
        <v>0.16854710000000001</v>
      </c>
      <c r="U55" s="15">
        <f t="shared" ca="1" si="84"/>
        <v>0.17596870000000001</v>
      </c>
      <c r="V55" s="15">
        <f t="shared" ca="1" si="84"/>
        <v>0.18339030000000001</v>
      </c>
      <c r="W55" s="15">
        <f t="shared" ca="1" si="84"/>
        <v>0.19081190000000001</v>
      </c>
      <c r="X55" s="15">
        <f t="shared" ca="1" si="84"/>
        <v>0.19823350000000001</v>
      </c>
      <c r="Y55" s="15">
        <f t="shared" ca="1" si="84"/>
        <v>0.20565510000000001</v>
      </c>
      <c r="Z55" s="15">
        <f t="shared" ca="1" si="84"/>
        <v>0.21307670000000001</v>
      </c>
      <c r="AA55" s="15">
        <f t="shared" ca="1" si="84"/>
        <v>0.22049830000000001</v>
      </c>
      <c r="AB55" s="15">
        <f t="shared" ca="1" si="84"/>
        <v>0.22791990000000001</v>
      </c>
      <c r="AC55" s="15">
        <f t="shared" ca="1" si="84"/>
        <v>0.23534150000000001</v>
      </c>
      <c r="AD55" s="15">
        <f t="shared" ca="1" si="84"/>
        <v>0.24276310000000001</v>
      </c>
      <c r="AE55" s="5"/>
      <c r="AG55" s="1" t="s">
        <v>52</v>
      </c>
      <c r="AH55" s="37">
        <f t="shared" ref="AH55:BB55" ca="1" si="85">J55*AH$61</f>
        <v>401211.29716942285</v>
      </c>
      <c r="AI55" s="37">
        <f t="shared" ca="1" si="85"/>
        <v>449419.64376730495</v>
      </c>
      <c r="AJ55" s="37">
        <f t="shared" ca="1" si="85"/>
        <v>500632.60855731257</v>
      </c>
      <c r="AK55" s="37">
        <f t="shared" ca="1" si="85"/>
        <v>554280.7930036966</v>
      </c>
      <c r="AL55" s="37">
        <f t="shared" ca="1" si="85"/>
        <v>611189.48895107757</v>
      </c>
      <c r="AM55" s="37">
        <f t="shared" ca="1" si="85"/>
        <v>671416.57926037977</v>
      </c>
      <c r="AN55" s="37">
        <f t="shared" ca="1" si="85"/>
        <v>734990.6015393507</v>
      </c>
      <c r="AO55" s="37">
        <f t="shared" ca="1" si="85"/>
        <v>801969.6697144697</v>
      </c>
      <c r="AP55" s="37">
        <f t="shared" ca="1" si="85"/>
        <v>871856.55849944754</v>
      </c>
      <c r="AQ55" s="37">
        <f t="shared" ca="1" si="85"/>
        <v>945365.8995317989</v>
      </c>
      <c r="AR55" s="37">
        <f t="shared" ca="1" si="85"/>
        <v>1022622.1035539368</v>
      </c>
      <c r="AS55" s="37">
        <f t="shared" ca="1" si="85"/>
        <v>1103799.0863063596</v>
      </c>
      <c r="AT55" s="37">
        <f t="shared" ca="1" si="85"/>
        <v>1189043.8885036288</v>
      </c>
      <c r="AU55" s="37">
        <f t="shared" ca="1" si="85"/>
        <v>1277730.4216404099</v>
      </c>
      <c r="AV55" s="37">
        <f t="shared" ca="1" si="85"/>
        <v>1370750.5702999027</v>
      </c>
      <c r="AW55" s="37">
        <f t="shared" ca="1" si="85"/>
        <v>1468150.6942692681</v>
      </c>
      <c r="AX55" s="37">
        <f t="shared" ca="1" si="85"/>
        <v>1569952.6918608926</v>
      </c>
      <c r="AY55" s="37">
        <f t="shared" ca="1" si="85"/>
        <v>1676198.9405803238</v>
      </c>
      <c r="AZ55" s="37" t="e">
        <f t="shared" ca="1" si="85"/>
        <v>#N/A</v>
      </c>
      <c r="BA55" s="37" t="e">
        <f t="shared" ca="1" si="85"/>
        <v>#N/A</v>
      </c>
      <c r="BB55" s="37" t="e">
        <f t="shared" ca="1" si="85"/>
        <v>#N/A</v>
      </c>
    </row>
    <row r="56" spans="1:54" x14ac:dyDescent="0.25">
      <c r="B56" s="1" t="s">
        <v>54</v>
      </c>
      <c r="C56" s="14">
        <f ca="1">INDEX(Data_FP!$2:$1048576,MATCH(C$4&amp;$A$54&amp;$B56&amp;$A$1,Data_FP!$A$2:$A$1048576,0),MATCH($A$53,Data_FP!$2:$2,0))</f>
        <v>2.2580000000000001E-4</v>
      </c>
      <c r="D56" s="14">
        <f ca="1">INDEX(Data_FP!$2:$1048576,MATCH(D$4&amp;$A$54&amp;$B56&amp;$A$1,Data_FP!$A$2:$A$1048576,0),MATCH($A$53,Data_FP!$2:$2,0))</f>
        <v>3.6278999999999999E-3</v>
      </c>
      <c r="E56" s="14">
        <f ca="1">IF('User Settings'!$N$7="On",($D56-$C56)/($D$4-$C$4),0)</f>
        <v>6.8041999999999994E-4</v>
      </c>
      <c r="F56" s="14">
        <f t="shared" ref="F56:F60" ca="1" si="86">MAX(0,MIN(1,($D56+$E56*(F$4-$D$4))))</f>
        <v>5.6691599999999995E-3</v>
      </c>
      <c r="G56" s="14"/>
      <c r="H56" s="14">
        <f t="shared" ref="H56:H60" ca="1" si="87">MAX(0,MIN(1,($D56+$E56*(H$4-$D$4))*$H$1))</f>
        <v>7.7104199999999991E-3</v>
      </c>
      <c r="I56" s="14">
        <f ca="1">($H56-$F56)/($H$4-$F$4)</f>
        <v>6.8041999999999983E-4</v>
      </c>
      <c r="J56" s="14">
        <f t="shared" ref="J56:J60" ca="1" si="88">K56-E56</f>
        <v>4.9887399999999993E-3</v>
      </c>
      <c r="K56" s="14">
        <f t="shared" ref="K56:K60" ca="1" si="89">MAX(0,MIN(1,D56+(K$4-D$4)*E56))</f>
        <v>5.6691599999999995E-3</v>
      </c>
      <c r="L56" s="15">
        <f t="shared" ref="L56:AD60" ca="1" si="90">MAX(0,MIN(1,K56+$I56))</f>
        <v>6.3495799999999996E-3</v>
      </c>
      <c r="M56" s="15">
        <f t="shared" ca="1" si="90"/>
        <v>7.0299999999999998E-3</v>
      </c>
      <c r="N56" s="15">
        <f t="shared" ca="1" si="90"/>
        <v>7.7104199999999999E-3</v>
      </c>
      <c r="O56" s="15">
        <f t="shared" ca="1" si="90"/>
        <v>8.3908400000000001E-3</v>
      </c>
      <c r="P56" s="15">
        <f t="shared" ca="1" si="90"/>
        <v>9.0712599999999994E-3</v>
      </c>
      <c r="Q56" s="15">
        <f t="shared" ca="1" si="90"/>
        <v>9.7516799999999987E-3</v>
      </c>
      <c r="R56" s="15">
        <f t="shared" ca="1" si="90"/>
        <v>1.0432099999999998E-2</v>
      </c>
      <c r="S56" s="15">
        <f t="shared" ca="1" si="90"/>
        <v>1.1112519999999997E-2</v>
      </c>
      <c r="T56" s="15">
        <f t="shared" ca="1" si="90"/>
        <v>1.1792939999999997E-2</v>
      </c>
      <c r="U56" s="15">
        <f t="shared" ca="1" si="90"/>
        <v>1.2473359999999996E-2</v>
      </c>
      <c r="V56" s="15">
        <f t="shared" ca="1" si="90"/>
        <v>1.3153779999999995E-2</v>
      </c>
      <c r="W56" s="15">
        <f t="shared" ca="1" si="90"/>
        <v>1.3834199999999994E-2</v>
      </c>
      <c r="X56" s="15">
        <f t="shared" ca="1" si="90"/>
        <v>1.4514619999999994E-2</v>
      </c>
      <c r="Y56" s="15">
        <f t="shared" ca="1" si="90"/>
        <v>1.5195039999999993E-2</v>
      </c>
      <c r="Z56" s="15">
        <f t="shared" ca="1" si="90"/>
        <v>1.5875459999999994E-2</v>
      </c>
      <c r="AA56" s="15">
        <f t="shared" ca="1" si="90"/>
        <v>1.6555879999999995E-2</v>
      </c>
      <c r="AB56" s="15">
        <f t="shared" ca="1" si="90"/>
        <v>1.7236299999999996E-2</v>
      </c>
      <c r="AC56" s="15">
        <f t="shared" ca="1" si="90"/>
        <v>1.7916719999999997E-2</v>
      </c>
      <c r="AD56" s="15">
        <f t="shared" ca="1" si="90"/>
        <v>1.8597139999999998E-2</v>
      </c>
      <c r="AE56" s="5"/>
      <c r="AG56" s="1" t="s">
        <v>54</v>
      </c>
      <c r="AH56" s="37">
        <f t="shared" ref="AH56:AH60" ca="1" si="91">J56*AH$61</f>
        <v>21218.228629168814</v>
      </c>
      <c r="AI56" s="37">
        <f t="shared" ref="AI56:AR59" ca="1" si="92">K56*AI$61</f>
        <v>25039.452197925504</v>
      </c>
      <c r="AJ56" s="37">
        <f t="shared" ca="1" si="92"/>
        <v>29116.804949913494</v>
      </c>
      <c r="AK56" s="37">
        <f t="shared" ca="1" si="92"/>
        <v>33419.648330824559</v>
      </c>
      <c r="AL56" s="37">
        <f t="shared" ca="1" si="92"/>
        <v>37998.892570791766</v>
      </c>
      <c r="AM56" s="37">
        <f t="shared" ca="1" si="92"/>
        <v>42862.048583116935</v>
      </c>
      <c r="AN56" s="37">
        <f t="shared" ca="1" si="92"/>
        <v>48014.239047620023</v>
      </c>
      <c r="AO56" s="37">
        <f t="shared" ca="1" si="92"/>
        <v>53462.049672183159</v>
      </c>
      <c r="AP56" s="37">
        <f t="shared" ca="1" si="92"/>
        <v>59174.13158626479</v>
      </c>
      <c r="AQ56" s="37">
        <f t="shared" ca="1" si="92"/>
        <v>65200.092262646838</v>
      </c>
      <c r="AR56" s="37">
        <f t="shared" ca="1" si="92"/>
        <v>71551.044840791437</v>
      </c>
      <c r="AS56" s="37">
        <f t="shared" ref="AS56:BB59" ca="1" si="93">U56*AS$61</f>
        <v>78241.660995224083</v>
      </c>
      <c r="AT56" s="37">
        <f t="shared" ca="1" si="93"/>
        <v>85284.890856938757</v>
      </c>
      <c r="AU56" s="37">
        <f t="shared" ca="1" si="93"/>
        <v>92637.713890264451</v>
      </c>
      <c r="AV56" s="37">
        <f t="shared" ca="1" si="93"/>
        <v>100366.10180764786</v>
      </c>
      <c r="AW56" s="37">
        <f t="shared" ca="1" si="93"/>
        <v>108475.83417794787</v>
      </c>
      <c r="AX56" s="37">
        <f t="shared" ca="1" si="93"/>
        <v>116970.65498728822</v>
      </c>
      <c r="AY56" s="37">
        <f t="shared" ca="1" si="93"/>
        <v>125855.6121129957</v>
      </c>
      <c r="AZ56" s="37" t="e">
        <f t="shared" ca="1" si="93"/>
        <v>#N/A</v>
      </c>
      <c r="BA56" s="37" t="e">
        <f t="shared" ca="1" si="93"/>
        <v>#N/A</v>
      </c>
      <c r="BB56" s="37" t="e">
        <f t="shared" ca="1" si="93"/>
        <v>#N/A</v>
      </c>
    </row>
    <row r="57" spans="1:54" x14ac:dyDescent="0.25">
      <c r="B57" s="1" t="s">
        <v>170</v>
      </c>
      <c r="C57" s="14">
        <f ca="1">INDEX(Data_FP!$2:$1048576,MATCH(C$4&amp;$A$54&amp;$B57&amp;$A$1,Data_FP!$A$2:$A$1048576,0),MATCH($A$53,Data_FP!$2:$2,0))</f>
        <v>4.3649999999999998E-4</v>
      </c>
      <c r="D57" s="14">
        <f ca="1">INDEX(Data_FP!$2:$1048576,MATCH(D$4&amp;$A$54&amp;$B57&amp;$A$1,Data_FP!$A$2:$A$1048576,0),MATCH($A$53,Data_FP!$2:$2,0))</f>
        <v>8.3299999999999997E-4</v>
      </c>
      <c r="E57" s="14">
        <f ca="1">IF('User Settings'!$N$7="On",($D57-$C57)/($D$4-$C$4),0)</f>
        <v>7.9300000000000003E-5</v>
      </c>
      <c r="F57" s="14">
        <f t="shared" ca="1" si="86"/>
        <v>1.0709000000000001E-3</v>
      </c>
      <c r="G57" s="14"/>
      <c r="H57" s="14">
        <f t="shared" ca="1" si="87"/>
        <v>1.3087999999999999E-3</v>
      </c>
      <c r="I57" s="14">
        <f t="shared" ref="I57:I60" ca="1" si="94">($H57-$F57)/($H$4-$F$4)</f>
        <v>7.9299999999999962E-5</v>
      </c>
      <c r="J57" s="14">
        <f t="shared" ca="1" si="88"/>
        <v>9.9160000000000003E-4</v>
      </c>
      <c r="K57" s="14">
        <f t="shared" ca="1" si="89"/>
        <v>1.0709000000000001E-3</v>
      </c>
      <c r="L57" s="15">
        <f t="shared" ca="1" si="90"/>
        <v>1.1502000000000001E-3</v>
      </c>
      <c r="M57" s="15">
        <f t="shared" ca="1" si="90"/>
        <v>1.2295000000000001E-3</v>
      </c>
      <c r="N57" s="15">
        <f t="shared" ca="1" si="90"/>
        <v>1.3088000000000002E-3</v>
      </c>
      <c r="O57" s="15">
        <f t="shared" ca="1" si="90"/>
        <v>1.3881000000000002E-3</v>
      </c>
      <c r="P57" s="15">
        <f t="shared" ca="1" si="90"/>
        <v>1.4674000000000002E-3</v>
      </c>
      <c r="Q57" s="15">
        <f t="shared" ca="1" si="90"/>
        <v>1.5467000000000002E-3</v>
      </c>
      <c r="R57" s="15">
        <f t="shared" ca="1" si="90"/>
        <v>1.6260000000000003E-3</v>
      </c>
      <c r="S57" s="15">
        <f t="shared" ca="1" si="90"/>
        <v>1.7053000000000003E-3</v>
      </c>
      <c r="T57" s="15">
        <f t="shared" ca="1" si="90"/>
        <v>1.7846000000000003E-3</v>
      </c>
      <c r="U57" s="15">
        <f t="shared" ca="1" si="90"/>
        <v>1.8639000000000004E-3</v>
      </c>
      <c r="V57" s="15">
        <f t="shared" ca="1" si="90"/>
        <v>1.9432000000000004E-3</v>
      </c>
      <c r="W57" s="15">
        <f t="shared" ca="1" si="90"/>
        <v>2.0225000000000004E-3</v>
      </c>
      <c r="X57" s="15">
        <f t="shared" ca="1" si="90"/>
        <v>2.1018000000000005E-3</v>
      </c>
      <c r="Y57" s="15">
        <f t="shared" ca="1" si="90"/>
        <v>2.1811000000000005E-3</v>
      </c>
      <c r="Z57" s="15">
        <f t="shared" ca="1" si="90"/>
        <v>2.2604000000000005E-3</v>
      </c>
      <c r="AA57" s="15">
        <f t="shared" ca="1" si="90"/>
        <v>2.3397000000000005E-3</v>
      </c>
      <c r="AB57" s="15">
        <f t="shared" ca="1" si="90"/>
        <v>2.4190000000000006E-3</v>
      </c>
      <c r="AC57" s="15">
        <f t="shared" ca="1" si="90"/>
        <v>2.4983000000000006E-3</v>
      </c>
      <c r="AD57" s="15">
        <f t="shared" ca="1" si="90"/>
        <v>2.5776000000000006E-3</v>
      </c>
      <c r="AE57" s="5"/>
      <c r="AG57" s="1" t="s">
        <v>170</v>
      </c>
      <c r="AH57" s="37">
        <f t="shared" ca="1" si="91"/>
        <v>4217.4969047662935</v>
      </c>
      <c r="AI57" s="37">
        <f t="shared" ca="1" si="92"/>
        <v>4729.9334220163882</v>
      </c>
      <c r="AJ57" s="37">
        <f t="shared" ca="1" si="92"/>
        <v>5274.3880781706039</v>
      </c>
      <c r="AK57" s="37">
        <f t="shared" ca="1" si="92"/>
        <v>5844.8730615574386</v>
      </c>
      <c r="AL57" s="37">
        <f t="shared" ca="1" si="92"/>
        <v>6450.0961810967847</v>
      </c>
      <c r="AM57" s="37">
        <f t="shared" ca="1" si="92"/>
        <v>7090.6857523471581</v>
      </c>
      <c r="AN57" s="37">
        <f t="shared" ca="1" si="92"/>
        <v>7766.9578844038906</v>
      </c>
      <c r="AO57" s="37">
        <f t="shared" ca="1" si="92"/>
        <v>8479.5391386884839</v>
      </c>
      <c r="AP57" s="37">
        <f t="shared" ca="1" si="92"/>
        <v>9223.1801803344097</v>
      </c>
      <c r="AQ57" s="37">
        <f t="shared" ca="1" si="92"/>
        <v>10005.44586965798</v>
      </c>
      <c r="AR57" s="37">
        <f t="shared" ca="1" si="92"/>
        <v>10827.664231555191</v>
      </c>
      <c r="AS57" s="37">
        <f t="shared" ca="1" si="93"/>
        <v>11691.68787952871</v>
      </c>
      <c r="AT57" s="37">
        <f t="shared" ca="1" si="93"/>
        <v>12599.085579445869</v>
      </c>
      <c r="AU57" s="37">
        <f t="shared" ca="1" si="93"/>
        <v>13543.231725944395</v>
      </c>
      <c r="AV57" s="37">
        <f t="shared" ca="1" si="93"/>
        <v>14533.58563843314</v>
      </c>
      <c r="AW57" s="37">
        <f t="shared" ca="1" si="93"/>
        <v>15570.649496514801</v>
      </c>
      <c r="AX57" s="37">
        <f t="shared" ca="1" si="93"/>
        <v>16654.665032274115</v>
      </c>
      <c r="AY57" s="37">
        <f t="shared" ca="1" si="93"/>
        <v>17786.090238681132</v>
      </c>
      <c r="AZ57" s="37" t="e">
        <f t="shared" ca="1" si="93"/>
        <v>#N/A</v>
      </c>
      <c r="BA57" s="37" t="e">
        <f t="shared" ca="1" si="93"/>
        <v>#N/A</v>
      </c>
      <c r="BB57" s="37" t="e">
        <f t="shared" ca="1" si="93"/>
        <v>#N/A</v>
      </c>
    </row>
    <row r="58" spans="1:54" x14ac:dyDescent="0.25">
      <c r="B58" s="1" t="s">
        <v>59</v>
      </c>
      <c r="C58" s="14">
        <f ca="1">INDEX(Data_FP!$2:$1048576,MATCH(C$4&amp;$A$54&amp;$B58&amp;$A$1,Data_FP!$A$2:$A$1048576,0),MATCH($A$53,Data_FP!$2:$2,0))</f>
        <v>4.2891400000000003E-2</v>
      </c>
      <c r="D58" s="14">
        <f ca="1">INDEX(Data_FP!$2:$1048576,MATCH(D$4&amp;$A$54&amp;$B58&amp;$A$1,Data_FP!$A$2:$A$1048576,0),MATCH($A$53,Data_FP!$2:$2,0))</f>
        <v>4.5521800000000001E-2</v>
      </c>
      <c r="E58" s="14">
        <f ca="1">IF('User Settings'!$N$7="On",($D58-$C58)/($D$4-$C$4),0)</f>
        <v>5.2607999999999963E-4</v>
      </c>
      <c r="F58" s="14">
        <f t="shared" ca="1" si="86"/>
        <v>4.7100040000000003E-2</v>
      </c>
      <c r="G58" s="14"/>
      <c r="H58" s="14">
        <f t="shared" ca="1" si="87"/>
        <v>4.8678279999999997E-2</v>
      </c>
      <c r="I58" s="14">
        <f t="shared" ca="1" si="94"/>
        <v>5.2607999999999822E-4</v>
      </c>
      <c r="J58" s="14">
        <f t="shared" ca="1" si="88"/>
        <v>4.6573960000000005E-2</v>
      </c>
      <c r="K58" s="14">
        <f t="shared" ca="1" si="89"/>
        <v>4.7100040000000003E-2</v>
      </c>
      <c r="L58" s="15">
        <f t="shared" ca="1" si="90"/>
        <v>4.7626120000000001E-2</v>
      </c>
      <c r="M58" s="15">
        <f t="shared" ca="1" si="90"/>
        <v>4.8152199999999999E-2</v>
      </c>
      <c r="N58" s="15">
        <f t="shared" ca="1" si="90"/>
        <v>4.8678279999999997E-2</v>
      </c>
      <c r="O58" s="15">
        <f t="shared" ca="1" si="90"/>
        <v>4.9204359999999996E-2</v>
      </c>
      <c r="P58" s="15">
        <f t="shared" ca="1" si="90"/>
        <v>4.9730439999999994E-2</v>
      </c>
      <c r="Q58" s="15">
        <f t="shared" ca="1" si="90"/>
        <v>5.0256519999999992E-2</v>
      </c>
      <c r="R58" s="15">
        <f t="shared" ca="1" si="90"/>
        <v>5.078259999999999E-2</v>
      </c>
      <c r="S58" s="15">
        <f t="shared" ca="1" si="90"/>
        <v>5.1308679999999988E-2</v>
      </c>
      <c r="T58" s="15">
        <f t="shared" ca="1" si="90"/>
        <v>5.1834759999999987E-2</v>
      </c>
      <c r="U58" s="15">
        <f t="shared" ca="1" si="90"/>
        <v>5.2360839999999985E-2</v>
      </c>
      <c r="V58" s="15">
        <f t="shared" ca="1" si="90"/>
        <v>5.2886919999999983E-2</v>
      </c>
      <c r="W58" s="15">
        <f t="shared" ca="1" si="90"/>
        <v>5.3412999999999981E-2</v>
      </c>
      <c r="X58" s="15">
        <f t="shared" ca="1" si="90"/>
        <v>5.393907999999998E-2</v>
      </c>
      <c r="Y58" s="15">
        <f t="shared" ca="1" si="90"/>
        <v>5.4465159999999978E-2</v>
      </c>
      <c r="Z58" s="15">
        <f t="shared" ca="1" si="90"/>
        <v>5.4991239999999976E-2</v>
      </c>
      <c r="AA58" s="15">
        <f t="shared" ca="1" si="90"/>
        <v>5.5517319999999974E-2</v>
      </c>
      <c r="AB58" s="15">
        <f t="shared" ca="1" si="90"/>
        <v>5.6043399999999972E-2</v>
      </c>
      <c r="AC58" s="15">
        <f t="shared" ca="1" si="90"/>
        <v>5.6569479999999971E-2</v>
      </c>
      <c r="AD58" s="15">
        <f t="shared" ca="1" si="90"/>
        <v>5.7095559999999969E-2</v>
      </c>
      <c r="AE58" s="5"/>
      <c r="AG58" s="1" t="s">
        <v>59</v>
      </c>
      <c r="AH58" s="37">
        <f t="shared" ca="1" si="91"/>
        <v>198089.48380668534</v>
      </c>
      <c r="AI58" s="37">
        <f t="shared" ca="1" si="92"/>
        <v>208030.67828397494</v>
      </c>
      <c r="AJ58" s="37">
        <f t="shared" ca="1" si="92"/>
        <v>218395.61775128025</v>
      </c>
      <c r="AK58" s="37">
        <f t="shared" ca="1" si="92"/>
        <v>228908.90332226604</v>
      </c>
      <c r="AL58" s="37">
        <f t="shared" ca="1" si="92"/>
        <v>239898.82940889359</v>
      </c>
      <c r="AM58" s="37">
        <f t="shared" ca="1" si="92"/>
        <v>251345.4754018877</v>
      </c>
      <c r="AN58" s="37">
        <f t="shared" ca="1" si="92"/>
        <v>263223.54712612409</v>
      </c>
      <c r="AO58" s="37">
        <f t="shared" ca="1" si="92"/>
        <v>275523.45530114468</v>
      </c>
      <c r="AP58" s="37">
        <f t="shared" ca="1" si="92"/>
        <v>288054.77849068266</v>
      </c>
      <c r="AQ58" s="37">
        <f t="shared" ca="1" si="92"/>
        <v>301041.58821533032</v>
      </c>
      <c r="AR58" s="37">
        <f t="shared" ca="1" si="92"/>
        <v>314495.8964492029</v>
      </c>
      <c r="AS58" s="37">
        <f t="shared" ca="1" si="93"/>
        <v>328443.90707116359</v>
      </c>
      <c r="AT58" s="37">
        <f t="shared" ca="1" si="93"/>
        <v>342901.82745641575</v>
      </c>
      <c r="AU58" s="37">
        <f t="shared" ca="1" si="93"/>
        <v>357668.54693590489</v>
      </c>
      <c r="AV58" s="37">
        <f t="shared" ca="1" si="93"/>
        <v>372979.46447725559</v>
      </c>
      <c r="AW58" s="37">
        <f t="shared" ca="1" si="93"/>
        <v>388821.19853816769</v>
      </c>
      <c r="AX58" s="37">
        <f t="shared" ca="1" si="93"/>
        <v>405176.37670739385</v>
      </c>
      <c r="AY58" s="37">
        <f t="shared" ca="1" si="93"/>
        <v>422035.33073887089</v>
      </c>
      <c r="AZ58" s="37" t="e">
        <f t="shared" ca="1" si="93"/>
        <v>#N/A</v>
      </c>
      <c r="BA58" s="37" t="e">
        <f t="shared" ca="1" si="93"/>
        <v>#N/A</v>
      </c>
      <c r="BB58" s="37" t="e">
        <f t="shared" ca="1" si="93"/>
        <v>#N/A</v>
      </c>
    </row>
    <row r="59" spans="1:54" x14ac:dyDescent="0.25">
      <c r="B59" s="1" t="s">
        <v>171</v>
      </c>
      <c r="C59" s="14">
        <f ca="1">INDEX(Data_FP!$2:$1048576,MATCH(C$4&amp;$A$54&amp;$B59&amp;$A$1,Data_FP!$A$2:$A$1048576,0),MATCH($A$53,Data_FP!$2:$2,0))</f>
        <v>6.6549999999999997E-4</v>
      </c>
      <c r="D59" s="14">
        <f ca="1">INDEX(Data_FP!$2:$1048576,MATCH(D$4&amp;$A$54&amp;$B59&amp;$A$1,Data_FP!$A$2:$A$1048576,0),MATCH($A$53,Data_FP!$2:$2,0))</f>
        <v>0</v>
      </c>
      <c r="E59" s="14">
        <f ca="1">IF('User Settings'!$N$7="On",($D59-$C59)/($D$4-$C$4),0)</f>
        <v>-1.3309999999999998E-4</v>
      </c>
      <c r="F59" s="14">
        <f t="shared" ca="1" si="86"/>
        <v>0</v>
      </c>
      <c r="G59" s="14"/>
      <c r="H59" s="14">
        <f t="shared" ca="1" si="87"/>
        <v>0</v>
      </c>
      <c r="I59" s="14">
        <f t="shared" ca="1" si="94"/>
        <v>0</v>
      </c>
      <c r="J59" s="14">
        <f t="shared" ca="1" si="88"/>
        <v>1.3309999999999998E-4</v>
      </c>
      <c r="K59" s="14">
        <f t="shared" ca="1" si="89"/>
        <v>0</v>
      </c>
      <c r="L59" s="15">
        <f t="shared" ca="1" si="90"/>
        <v>0</v>
      </c>
      <c r="M59" s="15">
        <f t="shared" ca="1" si="90"/>
        <v>0</v>
      </c>
      <c r="N59" s="15">
        <f t="shared" ca="1" si="90"/>
        <v>0</v>
      </c>
      <c r="O59" s="15">
        <f t="shared" ca="1" si="90"/>
        <v>0</v>
      </c>
      <c r="P59" s="15">
        <f t="shared" ca="1" si="90"/>
        <v>0</v>
      </c>
      <c r="Q59" s="15">
        <f t="shared" ca="1" si="90"/>
        <v>0</v>
      </c>
      <c r="R59" s="15">
        <f t="shared" ca="1" si="90"/>
        <v>0</v>
      </c>
      <c r="S59" s="15">
        <f t="shared" ca="1" si="90"/>
        <v>0</v>
      </c>
      <c r="T59" s="15">
        <f t="shared" ca="1" si="90"/>
        <v>0</v>
      </c>
      <c r="U59" s="15">
        <f t="shared" ca="1" si="90"/>
        <v>0</v>
      </c>
      <c r="V59" s="15">
        <f t="shared" ca="1" si="90"/>
        <v>0</v>
      </c>
      <c r="W59" s="15">
        <f t="shared" ca="1" si="90"/>
        <v>0</v>
      </c>
      <c r="X59" s="15">
        <f t="shared" ca="1" si="90"/>
        <v>0</v>
      </c>
      <c r="Y59" s="15">
        <f t="shared" ca="1" si="90"/>
        <v>0</v>
      </c>
      <c r="Z59" s="15">
        <f t="shared" ca="1" si="90"/>
        <v>0</v>
      </c>
      <c r="AA59" s="15">
        <f t="shared" ca="1" si="90"/>
        <v>0</v>
      </c>
      <c r="AB59" s="15">
        <f t="shared" ca="1" si="90"/>
        <v>0</v>
      </c>
      <c r="AC59" s="15">
        <f t="shared" ca="1" si="90"/>
        <v>0</v>
      </c>
      <c r="AD59" s="15">
        <f t="shared" ca="1" si="90"/>
        <v>0</v>
      </c>
      <c r="AE59" s="5"/>
      <c r="AG59" s="1" t="s">
        <v>171</v>
      </c>
      <c r="AH59" s="37">
        <f t="shared" ca="1" si="91"/>
        <v>566.10411256998145</v>
      </c>
      <c r="AI59" s="37">
        <f t="shared" ca="1" si="92"/>
        <v>0</v>
      </c>
      <c r="AJ59" s="37">
        <f t="shared" ca="1" si="92"/>
        <v>0</v>
      </c>
      <c r="AK59" s="37">
        <f t="shared" ca="1" si="92"/>
        <v>0</v>
      </c>
      <c r="AL59" s="37">
        <f t="shared" ca="1" si="92"/>
        <v>0</v>
      </c>
      <c r="AM59" s="37">
        <f t="shared" ca="1" si="92"/>
        <v>0</v>
      </c>
      <c r="AN59" s="37">
        <f t="shared" ca="1" si="92"/>
        <v>0</v>
      </c>
      <c r="AO59" s="37">
        <f t="shared" ca="1" si="92"/>
        <v>0</v>
      </c>
      <c r="AP59" s="37">
        <f t="shared" ca="1" si="92"/>
        <v>0</v>
      </c>
      <c r="AQ59" s="37">
        <f t="shared" ca="1" si="92"/>
        <v>0</v>
      </c>
      <c r="AR59" s="37">
        <f t="shared" ca="1" si="92"/>
        <v>0</v>
      </c>
      <c r="AS59" s="37">
        <f t="shared" ca="1" si="93"/>
        <v>0</v>
      </c>
      <c r="AT59" s="37">
        <f t="shared" ca="1" si="93"/>
        <v>0</v>
      </c>
      <c r="AU59" s="37">
        <f t="shared" ca="1" si="93"/>
        <v>0</v>
      </c>
      <c r="AV59" s="37">
        <f t="shared" ca="1" si="93"/>
        <v>0</v>
      </c>
      <c r="AW59" s="37">
        <f t="shared" ca="1" si="93"/>
        <v>0</v>
      </c>
      <c r="AX59" s="37">
        <f t="shared" ca="1" si="93"/>
        <v>0</v>
      </c>
      <c r="AY59" s="37">
        <f t="shared" ca="1" si="93"/>
        <v>0</v>
      </c>
      <c r="AZ59" s="37" t="e">
        <f t="shared" ca="1" si="93"/>
        <v>#N/A</v>
      </c>
      <c r="BA59" s="37" t="e">
        <f t="shared" ca="1" si="93"/>
        <v>#N/A</v>
      </c>
      <c r="BB59" s="37" t="e">
        <f t="shared" ca="1" si="93"/>
        <v>#N/A</v>
      </c>
    </row>
    <row r="60" spans="1:54" x14ac:dyDescent="0.25">
      <c r="B60" s="1" t="s">
        <v>116</v>
      </c>
      <c r="C60" s="14">
        <f ca="1">INDEX(Data_FP!$2:$1048576,MATCH(C$4&amp;$A$54&amp;$B60&amp;$A$1,Data_FP!$A$2:$A$1048576,0),MATCH($A$53,Data_FP!$2:$2,0))</f>
        <v>2.898E-4</v>
      </c>
      <c r="D60" s="14">
        <f ca="1">INDEX(Data_FP!$2:$1048576,MATCH(D$4&amp;$A$54&amp;$B60&amp;$A$1,Data_FP!$A$2:$A$1048576,0),MATCH($A$53,Data_FP!$2:$2,0))</f>
        <v>3.2279999999999999E-4</v>
      </c>
      <c r="E60" s="14">
        <f ca="1">IF('User Settings'!$N$7="On",($D60-$C60)/($D$4-$C$4),0)</f>
        <v>6.5999999999999978E-6</v>
      </c>
      <c r="F60" s="14">
        <f t="shared" ca="1" si="86"/>
        <v>3.4259999999999998E-4</v>
      </c>
      <c r="G60" s="14"/>
      <c r="H60" s="14">
        <f t="shared" ca="1" si="87"/>
        <v>3.6239999999999997E-4</v>
      </c>
      <c r="I60" s="14">
        <f t="shared" ca="1" si="94"/>
        <v>6.5999999999999978E-6</v>
      </c>
      <c r="J60" s="14">
        <f t="shared" ca="1" si="88"/>
        <v>3.3599999999999998E-4</v>
      </c>
      <c r="K60" s="14">
        <f t="shared" ca="1" si="89"/>
        <v>3.4259999999999998E-4</v>
      </c>
      <c r="L60" s="15">
        <f t="shared" ca="1" si="90"/>
        <v>3.4919999999999998E-4</v>
      </c>
      <c r="M60" s="15">
        <f t="shared" ca="1" si="90"/>
        <v>3.5579999999999997E-4</v>
      </c>
      <c r="N60" s="15">
        <f t="shared" ca="1" si="90"/>
        <v>3.6239999999999997E-4</v>
      </c>
      <c r="O60" s="15">
        <f t="shared" ca="1" si="90"/>
        <v>3.6899999999999997E-4</v>
      </c>
      <c r="P60" s="15">
        <f t="shared" ca="1" si="90"/>
        <v>3.7559999999999997E-4</v>
      </c>
      <c r="Q60" s="15">
        <f t="shared" ca="1" si="90"/>
        <v>3.8219999999999997E-4</v>
      </c>
      <c r="R60" s="15">
        <f t="shared" ca="1" si="90"/>
        <v>3.8879999999999996E-4</v>
      </c>
      <c r="S60" s="15">
        <f t="shared" ca="1" si="90"/>
        <v>3.9539999999999996E-4</v>
      </c>
      <c r="T60" s="15">
        <f t="shared" ca="1" si="90"/>
        <v>4.0199999999999996E-4</v>
      </c>
      <c r="U60" s="15">
        <f t="shared" ca="1" si="90"/>
        <v>4.0859999999999996E-4</v>
      </c>
      <c r="V60" s="15">
        <f t="shared" ca="1" si="90"/>
        <v>4.1519999999999995E-4</v>
      </c>
      <c r="W60" s="15">
        <f t="shared" ca="1" si="90"/>
        <v>4.2179999999999995E-4</v>
      </c>
      <c r="X60" s="15">
        <f t="shared" ca="1" si="90"/>
        <v>4.2839999999999995E-4</v>
      </c>
      <c r="Y60" s="15">
        <f t="shared" ca="1" si="90"/>
        <v>4.3499999999999995E-4</v>
      </c>
      <c r="Z60" s="15">
        <f t="shared" ca="1" si="90"/>
        <v>4.4159999999999995E-4</v>
      </c>
      <c r="AA60" s="15">
        <f t="shared" ca="1" si="90"/>
        <v>4.4819999999999994E-4</v>
      </c>
      <c r="AB60" s="15">
        <f t="shared" ca="1" si="90"/>
        <v>4.5479999999999994E-4</v>
      </c>
      <c r="AC60" s="15">
        <f t="shared" ca="1" si="90"/>
        <v>4.6139999999999994E-4</v>
      </c>
      <c r="AD60" s="15">
        <f t="shared" ca="1" si="90"/>
        <v>4.6799999999999994E-4</v>
      </c>
      <c r="AE60" s="5"/>
      <c r="AG60" s="1" t="s">
        <v>116</v>
      </c>
      <c r="AH60" s="37">
        <f t="shared" ca="1" si="91"/>
        <v>1429.0832593802688</v>
      </c>
      <c r="AI60" s="37">
        <f t="shared" ref="AI60" ca="1" si="95">D60*AI$61</f>
        <v>1425.7377053197215</v>
      </c>
      <c r="AJ60" s="37">
        <f t="shared" ref="AJ60" ca="1" si="96">E60*AJ$61</f>
        <v>30.265137642084831</v>
      </c>
      <c r="AK60" s="37">
        <f t="shared" ref="AK60" ca="1" si="97">F60*AK$61</f>
        <v>1628.6730466771683</v>
      </c>
      <c r="AL60" s="37">
        <f t="shared" ref="AL60" ca="1" si="98">G60*AL$61</f>
        <v>0</v>
      </c>
      <c r="AM60" s="37">
        <f t="shared" ref="AM60" ca="1" si="99">H60*AM$61</f>
        <v>1851.2099392339237</v>
      </c>
      <c r="AN60" s="37">
        <f t="shared" ref="AN60" ca="1" si="100">I60*AN$61</f>
        <v>34.933843558038475</v>
      </c>
      <c r="AO60" s="37">
        <f t="shared" ref="AO60" ca="1" si="101">K60*AO$61</f>
        <v>1878.2505391573507</v>
      </c>
      <c r="AP60" s="37">
        <f t="shared" ref="AP60" ca="1" si="102">L60*AP$61</f>
        <v>1980.7715368836255</v>
      </c>
      <c r="AQ60" s="37">
        <f t="shared" ref="AQ60" ca="1" si="103">M60*AQ$61</f>
        <v>2087.5726502224293</v>
      </c>
      <c r="AR60" s="37">
        <f t="shared" ref="AR60" ca="1" si="104">N60*AR$61</f>
        <v>2198.7815294831335</v>
      </c>
      <c r="AS60" s="37">
        <f t="shared" ref="AS60" ca="1" si="105">O60*AS$61</f>
        <v>2314.6267651408834</v>
      </c>
      <c r="AT60" s="37">
        <f t="shared" ref="AT60" ca="1" si="106">P60*AT$61</f>
        <v>2435.2699380608624</v>
      </c>
      <c r="AU60" s="37">
        <f t="shared" ref="AU60" ca="1" si="107">Q60*AU$61</f>
        <v>2559.3192413626434</v>
      </c>
      <c r="AV60" s="37">
        <f t="shared" ref="AV60" ca="1" si="108">R60*AV$61</f>
        <v>2688.4851537838058</v>
      </c>
      <c r="AW60" s="37">
        <f t="shared" ref="AW60" ca="1" si="109">S60*AW$61</f>
        <v>2822.7201003722666</v>
      </c>
      <c r="AX60" s="37">
        <f t="shared" ref="AX60" ca="1" si="110">T60*AX$61</f>
        <v>2961.9427282667639</v>
      </c>
      <c r="AY60" s="37">
        <f t="shared" ref="AY60" ca="1" si="111">U60*AY$61</f>
        <v>3106.1232087554426</v>
      </c>
      <c r="AZ60" s="37" t="e">
        <f t="shared" ref="AZ60" ca="1" si="112">V60*AZ$61</f>
        <v>#N/A</v>
      </c>
      <c r="BA60" s="37" t="e">
        <f t="shared" ref="BA60" ca="1" si="113">W60*BA$61</f>
        <v>#N/A</v>
      </c>
      <c r="BB60" s="37" t="e">
        <f t="shared" ref="BB60" ca="1" si="114">X60*BB$61</f>
        <v>#N/A</v>
      </c>
    </row>
    <row r="61" spans="1:54" x14ac:dyDescent="0.25">
      <c r="C61" s="5">
        <f ca="1">SUM(C55:C60)</f>
        <v>8.6888900000000005E-2</v>
      </c>
      <c r="D61" s="5">
        <f ca="1">SUM(D55:D60)</f>
        <v>0.1297934</v>
      </c>
      <c r="F61" s="132">
        <f ca="1">SUM(F55:F60)</f>
        <v>0.1559354</v>
      </c>
      <c r="G61" s="132"/>
      <c r="H61" s="132">
        <f ca="1">SUM(H55:H60)</f>
        <v>0.1820774</v>
      </c>
      <c r="I61" s="132"/>
      <c r="J61" s="132">
        <f ca="1">SUM(J55:J60)</f>
        <v>0.1473545</v>
      </c>
      <c r="K61" s="132">
        <f ca="1">SUM(K55:K60)</f>
        <v>0.1559354</v>
      </c>
      <c r="L61" s="5">
        <f t="shared" ref="L61:AD61" ca="1" si="115">SUM(L55:L60)</f>
        <v>0.1646494</v>
      </c>
      <c r="M61" s="5">
        <f t="shared" ca="1" si="115"/>
        <v>0.17336339999999997</v>
      </c>
      <c r="N61" s="5">
        <f t="shared" ca="1" si="115"/>
        <v>0.1820774</v>
      </c>
      <c r="O61" s="5">
        <f t="shared" ca="1" si="115"/>
        <v>0.19079140000000003</v>
      </c>
      <c r="P61" s="5">
        <f t="shared" ca="1" si="115"/>
        <v>0.1995054</v>
      </c>
      <c r="Q61" s="5">
        <f t="shared" ca="1" si="115"/>
        <v>0.20821940000000003</v>
      </c>
      <c r="R61" s="5">
        <f t="shared" ca="1" si="115"/>
        <v>0.21693339999999997</v>
      </c>
      <c r="S61" s="5">
        <f t="shared" ca="1" si="115"/>
        <v>0.22564739999999997</v>
      </c>
      <c r="T61" s="5">
        <f t="shared" ca="1" si="115"/>
        <v>0.2343614</v>
      </c>
      <c r="U61" s="5">
        <f t="shared" ca="1" si="115"/>
        <v>0.2430754</v>
      </c>
      <c r="V61" s="5">
        <f t="shared" ca="1" si="115"/>
        <v>0.2517894</v>
      </c>
      <c r="W61" s="5">
        <f t="shared" ca="1" si="115"/>
        <v>0.26050339999999994</v>
      </c>
      <c r="X61" s="5">
        <f t="shared" ca="1" si="115"/>
        <v>0.2692174</v>
      </c>
      <c r="Y61" s="5">
        <f t="shared" ca="1" si="115"/>
        <v>0.2779314</v>
      </c>
      <c r="Z61" s="5">
        <f t="shared" ca="1" si="115"/>
        <v>0.28664539999999999</v>
      </c>
      <c r="AA61" s="5">
        <f t="shared" ca="1" si="115"/>
        <v>0.29535939999999999</v>
      </c>
      <c r="AB61" s="5">
        <f t="shared" ca="1" si="115"/>
        <v>0.30407339999999994</v>
      </c>
      <c r="AC61" s="5">
        <f t="shared" ca="1" si="115"/>
        <v>0.31278739999999994</v>
      </c>
      <c r="AD61" s="5">
        <f t="shared" ca="1" si="115"/>
        <v>0.32150140000000005</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116">AJ66+1</f>
        <v>2021</v>
      </c>
      <c r="AL66" s="36">
        <f t="shared" si="116"/>
        <v>2022</v>
      </c>
      <c r="AM66" s="36">
        <f t="shared" si="116"/>
        <v>2023</v>
      </c>
      <c r="AN66" s="36">
        <f t="shared" si="116"/>
        <v>2024</v>
      </c>
      <c r="AO66" s="36">
        <f t="shared" si="116"/>
        <v>2025</v>
      </c>
      <c r="AP66" s="36">
        <f t="shared" si="116"/>
        <v>2026</v>
      </c>
      <c r="AQ66" s="36">
        <f t="shared" si="116"/>
        <v>2027</v>
      </c>
      <c r="AR66" s="36">
        <f t="shared" si="116"/>
        <v>2028</v>
      </c>
      <c r="AS66" s="36">
        <f t="shared" si="116"/>
        <v>2029</v>
      </c>
      <c r="AT66" s="36">
        <f t="shared" si="116"/>
        <v>2030</v>
      </c>
      <c r="AU66" s="36">
        <f t="shared" si="116"/>
        <v>2031</v>
      </c>
      <c r="AV66" s="36">
        <f t="shared" si="116"/>
        <v>2032</v>
      </c>
      <c r="AW66" s="36">
        <f t="shared" si="116"/>
        <v>2033</v>
      </c>
      <c r="AX66" s="36">
        <f t="shared" si="116"/>
        <v>2034</v>
      </c>
      <c r="AY66" s="36">
        <f t="shared" si="116"/>
        <v>2035</v>
      </c>
      <c r="AZ66" s="36">
        <f t="shared" si="116"/>
        <v>2036</v>
      </c>
      <c r="BA66" s="36">
        <f t="shared" si="116"/>
        <v>2037</v>
      </c>
      <c r="BB66" s="36">
        <f t="shared" si="116"/>
        <v>2038</v>
      </c>
    </row>
    <row r="67" spans="1:54" x14ac:dyDescent="0.25">
      <c r="A67"/>
      <c r="AF67"/>
      <c r="AH67" s="128">
        <f>1-INDEX(Dashboard!$U$4:$V$9,MATCH($A$1,Dashboard!$U$4:$U$9,0),2)</f>
        <v>1</v>
      </c>
      <c r="AI67" s="128">
        <f>1-INDEX(Dashboard!$U$4:$V$9,MATCH($A$1,Dashboard!$U$4:$U$9,0),2)</f>
        <v>1</v>
      </c>
      <c r="AJ67" s="128">
        <f>1-INDEX(Dashboard!$U$4:$V$9,MATCH($A$1,Dashboard!$U$4:$U$9,0),2)</f>
        <v>1</v>
      </c>
      <c r="AK67" s="128">
        <f>1-INDEX(Dashboard!$U$4:$V$9,MATCH($A$1,Dashboard!$U$4:$U$9,0),2)</f>
        <v>1</v>
      </c>
      <c r="AL67" s="128">
        <f>1-INDEX(Dashboard!$U$4:$V$9,MATCH($A$1,Dashboard!$U$4:$U$9,0),2)</f>
        <v>1</v>
      </c>
      <c r="AM67" s="128">
        <f>1-INDEX(Dashboard!$U$4:$V$9,MATCH($A$1,Dashboard!$U$4:$U$9,0),2)</f>
        <v>1</v>
      </c>
      <c r="AN67" s="128">
        <f>1-INDEX(Dashboard!$U$4:$V$9,MATCH($A$1,Dashboard!$U$4:$U$9,0),2)</f>
        <v>1</v>
      </c>
      <c r="AO67" s="128">
        <f>1-INDEX(Dashboard!$U$4:$V$9,MATCH($A$1,Dashboard!$U$4:$U$9,0),2)</f>
        <v>1</v>
      </c>
      <c r="AP67" s="128">
        <f>1-INDEX(Dashboard!$U$4:$V$9,MATCH($A$1,Dashboard!$U$4:$U$9,0),2)</f>
        <v>1</v>
      </c>
      <c r="AQ67" s="128">
        <f>1-INDEX(Dashboard!$U$4:$V$9,MATCH($A$1,Dashboard!$U$4:$U$9,0),2)</f>
        <v>1</v>
      </c>
      <c r="AR67" s="128">
        <f>1-INDEX(Dashboard!$U$4:$V$9,MATCH($A$1,Dashboard!$U$4:$U$9,0),2)</f>
        <v>1</v>
      </c>
      <c r="AS67" s="128">
        <f>1-INDEX(Dashboard!$U$4:$V$9,MATCH($A$1,Dashboard!$U$4:$U$9,0),2)</f>
        <v>1</v>
      </c>
      <c r="AT67" s="128">
        <f>1-INDEX(Dashboard!$U$4:$V$9,MATCH($A$1,Dashboard!$U$4:$U$9,0),2)</f>
        <v>1</v>
      </c>
      <c r="AU67" s="128">
        <f>1-INDEX(Dashboard!$U$4:$V$9,MATCH($A$1,Dashboard!$U$4:$U$9,0),2)</f>
        <v>1</v>
      </c>
      <c r="AV67" s="128">
        <f>1-INDEX(Dashboard!$U$4:$V$9,MATCH($A$1,Dashboard!$U$4:$U$9,0),2)</f>
        <v>1</v>
      </c>
      <c r="AW67" s="128">
        <f>1-INDEX(Dashboard!$U$4:$V$9,MATCH($A$1,Dashboard!$U$4:$U$9,0),2)</f>
        <v>1</v>
      </c>
      <c r="AX67" s="128">
        <f>1-INDEX(Dashboard!$U$4:$V$9,MATCH($A$1,Dashboard!$U$4:$U$9,0),2)</f>
        <v>1</v>
      </c>
      <c r="AY67" s="128">
        <f>1-INDEX(Dashboard!$U$4:$V$9,MATCH($A$1,Dashboard!$U$4:$U$9,0),2)</f>
        <v>1</v>
      </c>
      <c r="AZ67" s="128">
        <f>1-INDEX(Dashboard!$U$4:$V$9,MATCH($A$1,Dashboard!$U$4:$U$9,0),2)</f>
        <v>1</v>
      </c>
      <c r="BA67" s="128">
        <f>1-INDEX(Dashboard!$U$4:$V$9,MATCH($A$1,Dashboard!$U$4:$U$9,0),2)</f>
        <v>1</v>
      </c>
      <c r="BB67" s="128">
        <f>1-INDEX(Dashboard!$U$4:$V$9,MATCH($A$1,Dashboard!$U$4:$U$9,0),2)</f>
        <v>1</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117">AJ70+1</f>
        <v>2021</v>
      </c>
      <c r="AL70" s="36">
        <f t="shared" si="117"/>
        <v>2022</v>
      </c>
      <c r="AM70" s="36">
        <f t="shared" si="117"/>
        <v>2023</v>
      </c>
      <c r="AN70" s="36">
        <f t="shared" si="117"/>
        <v>2024</v>
      </c>
      <c r="AO70" s="36">
        <f t="shared" si="117"/>
        <v>2025</v>
      </c>
      <c r="AP70" s="36">
        <f t="shared" si="117"/>
        <v>2026</v>
      </c>
      <c r="AQ70" s="36">
        <f t="shared" si="117"/>
        <v>2027</v>
      </c>
      <c r="AR70" s="36">
        <f t="shared" si="117"/>
        <v>2028</v>
      </c>
      <c r="AS70" s="36">
        <f t="shared" si="117"/>
        <v>2029</v>
      </c>
      <c r="AT70" s="36">
        <f t="shared" si="117"/>
        <v>2030</v>
      </c>
      <c r="AU70" s="36">
        <f t="shared" si="117"/>
        <v>2031</v>
      </c>
      <c r="AV70" s="36">
        <f t="shared" si="117"/>
        <v>2032</v>
      </c>
      <c r="AW70" s="36">
        <f t="shared" si="117"/>
        <v>2033</v>
      </c>
      <c r="AX70" s="36">
        <f t="shared" si="117"/>
        <v>2034</v>
      </c>
      <c r="AY70" s="36">
        <f t="shared" si="117"/>
        <v>2035</v>
      </c>
      <c r="AZ70" s="36">
        <f t="shared" si="117"/>
        <v>2036</v>
      </c>
      <c r="BA70" s="36">
        <f t="shared" si="117"/>
        <v>2037</v>
      </c>
      <c r="BB70" s="36">
        <f t="shared" si="117"/>
        <v>2038</v>
      </c>
    </row>
    <row r="71" spans="1:54" x14ac:dyDescent="0.25">
      <c r="A71"/>
      <c r="AF71" s="6" t="s">
        <v>179</v>
      </c>
      <c r="AG71" s="1" t="s">
        <v>52</v>
      </c>
      <c r="AH71" s="37">
        <f ca="1">SUM(AH35,AH25,AH15,AH5)</f>
        <v>351100.55398908409</v>
      </c>
      <c r="AI71" s="37">
        <f ca="1">SUM(AI35,AI25,AI15,AI5)</f>
        <v>392193.09137986804</v>
      </c>
      <c r="AJ71" s="37">
        <f t="shared" ref="AJ71:BB71" ca="1" si="118">SUM(AJ35,AJ25,AJ15,AJ5)</f>
        <v>435831.28217098134</v>
      </c>
      <c r="AK71" s="37">
        <f t="shared" ca="1" si="118"/>
        <v>481517.29741251259</v>
      </c>
      <c r="AL71" s="37">
        <f t="shared" ca="1" si="118"/>
        <v>529967.09817234834</v>
      </c>
      <c r="AM71" s="37">
        <f t="shared" ca="1" si="118"/>
        <v>581227.50758143689</v>
      </c>
      <c r="AN71" s="37">
        <f t="shared" ca="1" si="118"/>
        <v>635320.38856402854</v>
      </c>
      <c r="AO71" s="37">
        <f t="shared" ca="1" si="118"/>
        <v>692293.5733698227</v>
      </c>
      <c r="AP71" s="37">
        <f t="shared" ca="1" si="118"/>
        <v>751716.28888648131</v>
      </c>
      <c r="AQ71" s="37">
        <f t="shared" ca="1" si="118"/>
        <v>814203.74113796907</v>
      </c>
      <c r="AR71" s="37">
        <f t="shared" ca="1" si="118"/>
        <v>879860.89970096992</v>
      </c>
      <c r="AS71" s="37">
        <f ca="1">SUM(AS35,AS25,AS15,AS5)</f>
        <v>948835.24653370888</v>
      </c>
      <c r="AT71" s="37">
        <f t="shared" ca="1" si="118"/>
        <v>1021251.0036673497</v>
      </c>
      <c r="AU71" s="37">
        <f t="shared" ca="1" si="118"/>
        <v>1096568.8101219884</v>
      </c>
      <c r="AV71" s="37">
        <f t="shared" ca="1" si="118"/>
        <v>1175552.9692716505</v>
      </c>
      <c r="AW71" s="37">
        <f t="shared" ca="1" si="118"/>
        <v>1258241.1861298976</v>
      </c>
      <c r="AX71" s="37">
        <f t="shared" ca="1" si="118"/>
        <v>1344650.3980732884</v>
      </c>
      <c r="AY71" s="37">
        <f t="shared" ca="1" si="118"/>
        <v>1434815.273754209</v>
      </c>
      <c r="AZ71" s="37" t="e">
        <f t="shared" ca="1" si="118"/>
        <v>#N/A</v>
      </c>
      <c r="BA71" s="37" t="e">
        <f t="shared" ca="1" si="118"/>
        <v>#N/A</v>
      </c>
      <c r="BB71" s="37" t="e">
        <f t="shared" ca="1" si="118"/>
        <v>#N/A</v>
      </c>
    </row>
    <row r="72" spans="1:54" x14ac:dyDescent="0.25">
      <c r="B72" s="6"/>
      <c r="AG72" s="1" t="s">
        <v>54</v>
      </c>
      <c r="AH72" s="37">
        <f ca="1">SUM(AH36,AH26,AH16,AH6)+SUM(AH40,AH30,AH20,AH10)</f>
        <v>19502.661157884933</v>
      </c>
      <c r="AI72" s="37">
        <f ca="1">SUM(AI36,AI26,AI16,AI6)+SUM(AI40,AI30,AI20,AI10)</f>
        <v>22720.312007238903</v>
      </c>
      <c r="AJ72" s="37">
        <f t="shared" ref="AJ72:BB72" ca="1" si="119">SUM(AJ36,AJ26,AJ16,AJ6)+SUM(AJ40,AJ30,AJ20,AJ10)</f>
        <v>26365.231223774139</v>
      </c>
      <c r="AK72" s="37">
        <f t="shared" ca="1" si="119"/>
        <v>30210.735942076262</v>
      </c>
      <c r="AL72" s="37">
        <f t="shared" ca="1" si="119"/>
        <v>34302.800474273376</v>
      </c>
      <c r="AM72" s="37">
        <f t="shared" ca="1" si="119"/>
        <v>38648.048222097103</v>
      </c>
      <c r="AN72" s="37">
        <f t="shared" ca="1" si="119"/>
        <v>43250.969269252753</v>
      </c>
      <c r="AO72" s="37">
        <f t="shared" ca="1" si="119"/>
        <v>48174.977295642573</v>
      </c>
      <c r="AP72" s="37">
        <f t="shared" ca="1" si="119"/>
        <v>53343.627530956292</v>
      </c>
      <c r="AQ72" s="37">
        <f t="shared" ca="1" si="119"/>
        <v>58796.590842998165</v>
      </c>
      <c r="AR72" s="37">
        <f t="shared" ca="1" si="119"/>
        <v>64543.938796272851</v>
      </c>
      <c r="AS72" s="37">
        <f t="shared" ca="1" si="119"/>
        <v>70598.954836941615</v>
      </c>
      <c r="AT72" s="37">
        <f t="shared" ca="1" si="119"/>
        <v>76973.372544866623</v>
      </c>
      <c r="AU72" s="37">
        <f t="shared" ca="1" si="119"/>
        <v>83628.399706579148</v>
      </c>
      <c r="AV72" s="37">
        <f t="shared" ca="1" si="119"/>
        <v>90623.61658817259</v>
      </c>
      <c r="AW72" s="37">
        <f t="shared" ca="1" si="119"/>
        <v>97964.285983893555</v>
      </c>
      <c r="AX72" s="37">
        <f t="shared" ca="1" si="119"/>
        <v>105653.82816226882</v>
      </c>
      <c r="AY72" s="37">
        <f t="shared" ca="1" si="119"/>
        <v>113696.83708666224</v>
      </c>
      <c r="AZ72" s="37" t="e">
        <f t="shared" ca="1" si="119"/>
        <v>#N/A</v>
      </c>
      <c r="BA72" s="37" t="e">
        <f t="shared" ca="1" si="119"/>
        <v>#N/A</v>
      </c>
      <c r="BB72" s="37" t="e">
        <f t="shared" ca="1" si="119"/>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353933.91576617153</v>
      </c>
      <c r="AI73" s="39">
        <f ca="1">SUM(AI37,AI27,AI17,AI7)+SUM(AI38,AI28,AI18,AI8)*AI67</f>
        <v>370854.83391392021</v>
      </c>
      <c r="AJ73" s="39">
        <f t="shared" ref="AJ73:BB73" ca="1" si="120">SUM(AJ37,AJ27,AJ17,AJ7)+SUM(AJ38,AJ28,AJ18,AJ8)*AJ67</f>
        <v>388468.54456069384</v>
      </c>
      <c r="AK73" s="39">
        <f t="shared" ca="1" si="120"/>
        <v>406283.32997579669</v>
      </c>
      <c r="AL73" s="39">
        <f t="shared" ca="1" si="120"/>
        <v>424880.9598755638</v>
      </c>
      <c r="AM73" s="39">
        <f t="shared" ca="1" si="120"/>
        <v>444222.89730728505</v>
      </c>
      <c r="AN73" s="39">
        <f t="shared" ca="1" si="120"/>
        <v>464261.55747872632</v>
      </c>
      <c r="AO73" s="39">
        <f t="shared" ca="1" si="120"/>
        <v>484977.48303088534</v>
      </c>
      <c r="AP73" s="39">
        <f t="shared" ca="1" si="120"/>
        <v>506033.78394428367</v>
      </c>
      <c r="AQ73" s="39">
        <f t="shared" ca="1" si="120"/>
        <v>527823.00090075098</v>
      </c>
      <c r="AR73" s="39">
        <f t="shared" ca="1" si="120"/>
        <v>550363.59660195839</v>
      </c>
      <c r="AS73" s="39">
        <f ca="1">SUM(AS37,AS27,AS17,AS7)+SUM(AS38,AS28,AS18,AS8)*AS67</f>
        <v>573698.76874165423</v>
      </c>
      <c r="AT73" s="39">
        <f t="shared" ca="1" si="120"/>
        <v>597854.05253477546</v>
      </c>
      <c r="AU73" s="39">
        <f t="shared" ca="1" si="120"/>
        <v>622476.6723915675</v>
      </c>
      <c r="AV73" s="39">
        <f t="shared" ca="1" si="120"/>
        <v>647974.78334037308</v>
      </c>
      <c r="AW73" s="39">
        <f t="shared" ca="1" si="120"/>
        <v>674322.27432562714</v>
      </c>
      <c r="AX73" s="39">
        <f t="shared" ca="1" si="120"/>
        <v>701486.39453143568</v>
      </c>
      <c r="AY73" s="39">
        <f ca="1">SUM(AY37,AY27,AY17,AY7)+SUM(AY38,AY28,AY18,AY8)*AY67</f>
        <v>729448.01235024247</v>
      </c>
      <c r="AZ73" s="39" t="e">
        <f t="shared" ca="1" si="120"/>
        <v>#N/A</v>
      </c>
      <c r="BA73" s="39" t="e">
        <f t="shared" ca="1" si="120"/>
        <v>#N/A</v>
      </c>
      <c r="BB73" s="39" t="e">
        <f t="shared" ca="1" si="120"/>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285.6377125345619</v>
      </c>
      <c r="AI74" s="37">
        <f ca="1">SUM(AI39,AI29,AI19,AI9)</f>
        <v>0</v>
      </c>
      <c r="AJ74" s="37">
        <f t="shared" ref="AJ74:BB74" ca="1" si="121">SUM(AJ39,AJ29,AJ19,AJ9)</f>
        <v>0</v>
      </c>
      <c r="AK74" s="37">
        <f t="shared" ca="1" si="121"/>
        <v>0</v>
      </c>
      <c r="AL74" s="37">
        <f t="shared" ca="1" si="121"/>
        <v>0</v>
      </c>
      <c r="AM74" s="37">
        <f t="shared" ca="1" si="121"/>
        <v>0</v>
      </c>
      <c r="AN74" s="37">
        <f t="shared" ca="1" si="121"/>
        <v>0</v>
      </c>
      <c r="AO74" s="37">
        <f t="shared" ca="1" si="121"/>
        <v>0</v>
      </c>
      <c r="AP74" s="37">
        <f t="shared" ca="1" si="121"/>
        <v>0</v>
      </c>
      <c r="AQ74" s="37">
        <f t="shared" ca="1" si="121"/>
        <v>0</v>
      </c>
      <c r="AR74" s="37">
        <f t="shared" ca="1" si="121"/>
        <v>0</v>
      </c>
      <c r="AS74" s="37">
        <f t="shared" ca="1" si="121"/>
        <v>0</v>
      </c>
      <c r="AT74" s="37">
        <f t="shared" ca="1" si="121"/>
        <v>0</v>
      </c>
      <c r="AU74" s="37">
        <f t="shared" ca="1" si="121"/>
        <v>0</v>
      </c>
      <c r="AV74" s="37">
        <f t="shared" ca="1" si="121"/>
        <v>0</v>
      </c>
      <c r="AW74" s="37">
        <f t="shared" ca="1" si="121"/>
        <v>0</v>
      </c>
      <c r="AX74" s="37">
        <f t="shared" ca="1" si="121"/>
        <v>0</v>
      </c>
      <c r="AY74" s="37">
        <f t="shared" ca="1" si="121"/>
        <v>0</v>
      </c>
      <c r="AZ74" s="37" t="e">
        <f t="shared" ca="1" si="121"/>
        <v>#N/A</v>
      </c>
      <c r="BA74" s="37" t="e">
        <f t="shared" ca="1" si="121"/>
        <v>#N/A</v>
      </c>
      <c r="BB74" s="37" t="e">
        <f t="shared" ca="1" si="121"/>
        <v>#N/A</v>
      </c>
    </row>
    <row r="75" spans="1:54" x14ac:dyDescent="0.25">
      <c r="AG75" s="1" t="s">
        <v>59</v>
      </c>
      <c r="AH75" s="37">
        <f ca="1">+SUM(AH38,AH28,AH18,AH8)*(1-AH67)</f>
        <v>0</v>
      </c>
      <c r="AI75" s="37">
        <f ca="1">+SUM(AI38,AI28,AI18,AI8)*(1-AI67)</f>
        <v>0</v>
      </c>
      <c r="AJ75" s="37">
        <f t="shared" ref="AJ75:BB75" ca="1" si="122">+SUM(AJ38,AJ28,AJ18,AJ8)*(1-AJ67)</f>
        <v>0</v>
      </c>
      <c r="AK75" s="37">
        <f t="shared" ca="1" si="122"/>
        <v>0</v>
      </c>
      <c r="AL75" s="37">
        <f t="shared" ca="1" si="122"/>
        <v>0</v>
      </c>
      <c r="AM75" s="37">
        <f t="shared" ca="1" si="122"/>
        <v>0</v>
      </c>
      <c r="AN75" s="37">
        <f t="shared" ca="1" si="122"/>
        <v>0</v>
      </c>
      <c r="AO75" s="37">
        <f t="shared" ca="1" si="122"/>
        <v>0</v>
      </c>
      <c r="AP75" s="37">
        <f t="shared" ca="1" si="122"/>
        <v>0</v>
      </c>
      <c r="AQ75" s="37">
        <f t="shared" ca="1" si="122"/>
        <v>0</v>
      </c>
      <c r="AR75" s="37">
        <f t="shared" ca="1" si="122"/>
        <v>0</v>
      </c>
      <c r="AS75" s="37">
        <f ca="1">+SUM(AS38,AS28,AS18,AS8)*(1-AS67)</f>
        <v>0</v>
      </c>
      <c r="AT75" s="37">
        <f t="shared" ca="1" si="122"/>
        <v>0</v>
      </c>
      <c r="AU75" s="37">
        <f t="shared" ca="1" si="122"/>
        <v>0</v>
      </c>
      <c r="AV75" s="37">
        <f t="shared" ca="1" si="122"/>
        <v>0</v>
      </c>
      <c r="AW75" s="37">
        <f t="shared" ca="1" si="122"/>
        <v>0</v>
      </c>
      <c r="AX75" s="37">
        <f t="shared" ca="1" si="122"/>
        <v>0</v>
      </c>
      <c r="AY75" s="37">
        <f t="shared" ca="1" si="122"/>
        <v>0</v>
      </c>
      <c r="AZ75" s="37" t="e">
        <f t="shared" ca="1" si="122"/>
        <v>#N/A</v>
      </c>
      <c r="BA75" s="37" t="e">
        <f t="shared" ca="1" si="122"/>
        <v>#N/A</v>
      </c>
      <c r="BB75" s="37" t="e">
        <f t="shared" ca="1" si="122"/>
        <v>#N/A</v>
      </c>
    </row>
    <row r="76" spans="1:54" x14ac:dyDescent="0.25">
      <c r="AG76" s="12" t="s">
        <v>60</v>
      </c>
      <c r="AH76" s="45">
        <f ca="1">SUM(AH71:AH75)</f>
        <v>724822.768625675</v>
      </c>
      <c r="AI76" s="45">
        <f ca="1">SUM(AI71:AI75)</f>
        <v>785768.23730102717</v>
      </c>
      <c r="AJ76" s="45">
        <f t="shared" ref="AJ76:BB76" ca="1" si="123">SUM(AJ71:AJ75)</f>
        <v>850665.05795544933</v>
      </c>
      <c r="AK76" s="45">
        <f t="shared" ca="1" si="123"/>
        <v>918011.36333038553</v>
      </c>
      <c r="AL76" s="45">
        <f t="shared" ca="1" si="123"/>
        <v>989150.85852218559</v>
      </c>
      <c r="AM76" s="45">
        <f t="shared" ca="1" si="123"/>
        <v>1064098.453110819</v>
      </c>
      <c r="AN76" s="45">
        <f t="shared" ca="1" si="123"/>
        <v>1142832.9153120075</v>
      </c>
      <c r="AO76" s="45">
        <f t="shared" ca="1" si="123"/>
        <v>1225446.0336963506</v>
      </c>
      <c r="AP76" s="45">
        <f t="shared" ca="1" si="123"/>
        <v>1311093.7003617212</v>
      </c>
      <c r="AQ76" s="45">
        <f t="shared" ca="1" si="123"/>
        <v>1400823.3328817182</v>
      </c>
      <c r="AR76" s="45">
        <f t="shared" ca="1" si="123"/>
        <v>1494768.4350992013</v>
      </c>
      <c r="AS76" s="45">
        <f ca="1">SUM(AS71:AS75)</f>
        <v>1593132.9701123047</v>
      </c>
      <c r="AT76" s="45">
        <f t="shared" ca="1" si="123"/>
        <v>1696078.4287469918</v>
      </c>
      <c r="AU76" s="45">
        <f t="shared" ca="1" si="123"/>
        <v>1802673.8822201351</v>
      </c>
      <c r="AV76" s="45">
        <f t="shared" ca="1" si="123"/>
        <v>1914151.3692001961</v>
      </c>
      <c r="AW76" s="45">
        <f t="shared" ca="1" si="123"/>
        <v>2030527.7464394183</v>
      </c>
      <c r="AX76" s="45">
        <f t="shared" ca="1" si="123"/>
        <v>2151790.6207669927</v>
      </c>
      <c r="AY76" s="45">
        <f t="shared" ca="1" si="123"/>
        <v>2277960.1231911136</v>
      </c>
      <c r="AZ76" s="45" t="e">
        <f t="shared" ca="1" si="123"/>
        <v>#N/A</v>
      </c>
      <c r="BA76" s="45" t="e">
        <f t="shared" ca="1" si="123"/>
        <v>#N/A</v>
      </c>
      <c r="BB76" s="45" t="e">
        <f t="shared" ca="1" si="123"/>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124">AJ79+1</f>
        <v>2021</v>
      </c>
      <c r="AL79" s="36">
        <f t="shared" si="124"/>
        <v>2022</v>
      </c>
      <c r="AM79" s="36">
        <f t="shared" si="124"/>
        <v>2023</v>
      </c>
      <c r="AN79" s="36">
        <f t="shared" si="124"/>
        <v>2024</v>
      </c>
      <c r="AO79" s="36">
        <f t="shared" si="124"/>
        <v>2025</v>
      </c>
      <c r="AP79" s="36">
        <f t="shared" si="124"/>
        <v>2026</v>
      </c>
      <c r="AQ79" s="36">
        <f t="shared" si="124"/>
        <v>2027</v>
      </c>
      <c r="AR79" s="36">
        <f t="shared" si="124"/>
        <v>2028</v>
      </c>
      <c r="AS79" s="36">
        <f t="shared" si="124"/>
        <v>2029</v>
      </c>
      <c r="AT79" s="36">
        <f t="shared" si="124"/>
        <v>2030</v>
      </c>
      <c r="AU79" s="36">
        <f t="shared" si="124"/>
        <v>2031</v>
      </c>
      <c r="AV79" s="36">
        <f t="shared" si="124"/>
        <v>2032</v>
      </c>
      <c r="AW79" s="36">
        <f t="shared" si="124"/>
        <v>2033</v>
      </c>
      <c r="AX79" s="36">
        <f t="shared" si="124"/>
        <v>2034</v>
      </c>
      <c r="AY79" s="36">
        <f t="shared" si="124"/>
        <v>2035</v>
      </c>
      <c r="AZ79" s="36">
        <f t="shared" si="124"/>
        <v>2036</v>
      </c>
      <c r="BA79" s="36">
        <f t="shared" si="124"/>
        <v>2037</v>
      </c>
      <c r="BB79" s="36">
        <f t="shared" si="124"/>
        <v>2038</v>
      </c>
    </row>
    <row r="80" spans="1:54" x14ac:dyDescent="0.25">
      <c r="AG80" s="1" t="s">
        <v>52</v>
      </c>
      <c r="AH80" s="37">
        <f ca="1">SUM(AH55,AH45)</f>
        <v>512715.14905514568</v>
      </c>
      <c r="AI80" s="37">
        <f ca="1">SUM(AI55,AI45)</f>
        <v>571617.9933902059</v>
      </c>
      <c r="AJ80" s="37">
        <f t="shared" ref="AJ80:BB80" ca="1" si="125">SUM(AJ55,AJ45)</f>
        <v>634153.79857261502</v>
      </c>
      <c r="AK80" s="37">
        <f t="shared" ca="1" si="125"/>
        <v>699596.03745758592</v>
      </c>
      <c r="AL80" s="37">
        <f t="shared" ca="1" si="125"/>
        <v>768983.92241188325</v>
      </c>
      <c r="AM80" s="37">
        <f t="shared" ca="1" si="125"/>
        <v>842381.96341799572</v>
      </c>
      <c r="AN80" s="37">
        <f t="shared" ca="1" si="125"/>
        <v>919818.94748444157</v>
      </c>
      <c r="AO80" s="37">
        <f t="shared" ca="1" si="125"/>
        <v>1001361.6727149732</v>
      </c>
      <c r="AP80" s="37">
        <f t="shared" ca="1" si="125"/>
        <v>1086385.4677318516</v>
      </c>
      <c r="AQ80" s="37">
        <f t="shared" ca="1" si="125"/>
        <v>1175778.4584970851</v>
      </c>
      <c r="AR80" s="37">
        <f t="shared" ca="1" si="125"/>
        <v>1269689.9938736819</v>
      </c>
      <c r="AS80" s="37">
        <f t="shared" ca="1" si="125"/>
        <v>1368330.6868020603</v>
      </c>
      <c r="AT80" s="37">
        <f t="shared" ca="1" si="125"/>
        <v>1471877.44442549</v>
      </c>
      <c r="AU80" s="37">
        <f t="shared" ca="1" si="125"/>
        <v>1579551.2433729577</v>
      </c>
      <c r="AV80" s="37">
        <f t="shared" ca="1" si="125"/>
        <v>1692451.864251791</v>
      </c>
      <c r="AW80" s="37">
        <f t="shared" ca="1" si="125"/>
        <v>1810631.47659591</v>
      </c>
      <c r="AX80" s="37">
        <f t="shared" ca="1" si="125"/>
        <v>1934112.5674158479</v>
      </c>
      <c r="AY80" s="37">
        <f t="shared" ca="1" si="125"/>
        <v>2062943.3249756326</v>
      </c>
      <c r="AZ80" s="37" t="e">
        <f t="shared" ca="1" si="125"/>
        <v>#N/A</v>
      </c>
      <c r="BA80" s="37" t="e">
        <f t="shared" ca="1" si="125"/>
        <v>#N/A</v>
      </c>
      <c r="BB80" s="37" t="e">
        <f t="shared" ca="1" si="125"/>
        <v>#N/A</v>
      </c>
    </row>
    <row r="81" spans="12:54" x14ac:dyDescent="0.25">
      <c r="AG81" s="1" t="s">
        <v>54</v>
      </c>
      <c r="AH81" s="37">
        <f ca="1">SUM(AH56,AH46,AH50,AH60)</f>
        <v>23754.884875202511</v>
      </c>
      <c r="AI81" s="37">
        <f ca="1">SUM(AI56,AI46,AI50,AI60)</f>
        <v>27779.664376314096</v>
      </c>
      <c r="AJ81" s="37">
        <f t="shared" ref="AJ81:BB81" ca="1" si="126">SUM(AJ56,AJ46,AJ50,AJ60)</f>
        <v>30682.384361881814</v>
      </c>
      <c r="AK81" s="37">
        <f t="shared" ca="1" si="126"/>
        <v>36816.811388030255</v>
      </c>
      <c r="AL81" s="37">
        <f t="shared" ca="1" si="126"/>
        <v>40015.594203889879</v>
      </c>
      <c r="AM81" s="37">
        <f t="shared" ca="1" si="126"/>
        <v>46993.625749747756</v>
      </c>
      <c r="AN81" s="37">
        <f t="shared" ca="1" si="126"/>
        <v>50608.948215580131</v>
      </c>
      <c r="AO81" s="37">
        <f t="shared" ca="1" si="126"/>
        <v>58195.590443818466</v>
      </c>
      <c r="AP81" s="37">
        <f t="shared" ca="1" si="126"/>
        <v>64320.149141659924</v>
      </c>
      <c r="AQ81" s="37">
        <f t="shared" ca="1" si="126"/>
        <v>70779.966149888394</v>
      </c>
      <c r="AR81" s="37">
        <f t="shared" ca="1" si="126"/>
        <v>77586.888867173955</v>
      </c>
      <c r="AS81" s="37">
        <f t="shared" ca="1" si="126"/>
        <v>84756.615419561975</v>
      </c>
      <c r="AT81" s="37">
        <f t="shared" ca="1" si="126"/>
        <v>92302.963761041436</v>
      </c>
      <c r="AU81" s="37">
        <f t="shared" ca="1" si="126"/>
        <v>100179.21796326782</v>
      </c>
      <c r="AV81" s="37">
        <f t="shared" ca="1" si="126"/>
        <v>108456.61384944938</v>
      </c>
      <c r="AW81" s="37">
        <f t="shared" ca="1" si="126"/>
        <v>117141.20456304905</v>
      </c>
      <c r="AX81" s="37">
        <f t="shared" ca="1" si="126"/>
        <v>126236.86329243961</v>
      </c>
      <c r="AY81" s="37">
        <f t="shared" ca="1" si="126"/>
        <v>135748.88799480681</v>
      </c>
      <c r="AZ81" s="37" t="e">
        <f t="shared" ca="1" si="126"/>
        <v>#N/A</v>
      </c>
      <c r="BA81" s="37" t="e">
        <f t="shared" ca="1" si="126"/>
        <v>#N/A</v>
      </c>
      <c r="BB81" s="37" t="e">
        <f t="shared" ca="1" si="126"/>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275907.36381742416</v>
      </c>
      <c r="AI82" s="39">
        <f ca="1">SUM(AI57,AI47)+SUM(AI48,AI58)*AI67</f>
        <v>275578.53314446029</v>
      </c>
      <c r="AJ82" s="39">
        <f t="shared" ref="AJ82:BB82" ca="1" si="127">SUM(AJ57,AJ47)+SUM(AJ48,AJ58)*AJ67</f>
        <v>274756.13089088578</v>
      </c>
      <c r="AK82" s="39">
        <f t="shared" ca="1" si="127"/>
        <v>273062.42943435127</v>
      </c>
      <c r="AL82" s="39">
        <f t="shared" ca="1" si="127"/>
        <v>270873.71762619977</v>
      </c>
      <c r="AM82" s="39">
        <f t="shared" ca="1" si="127"/>
        <v>268112.64902082417</v>
      </c>
      <c r="AN82" s="39">
        <f t="shared" ca="1" si="127"/>
        <v>276095.34975958109</v>
      </c>
      <c r="AO82" s="39">
        <f t="shared" ca="1" si="127"/>
        <v>289697.17127298651</v>
      </c>
      <c r="AP82" s="39">
        <f t="shared" ca="1" si="127"/>
        <v>303590.26638139557</v>
      </c>
      <c r="AQ82" s="39">
        <f t="shared" ca="1" si="127"/>
        <v>318011.57330136391</v>
      </c>
      <c r="AR82" s="39">
        <f t="shared" ca="1" si="127"/>
        <v>332975.64176473406</v>
      </c>
      <c r="AS82" s="39">
        <f t="shared" ca="1" si="127"/>
        <v>348512.11940225255</v>
      </c>
      <c r="AT82" s="39">
        <f t="shared" ca="1" si="127"/>
        <v>364640.19078189123</v>
      </c>
      <c r="AU82" s="39">
        <f t="shared" ca="1" si="127"/>
        <v>381147.52569173917</v>
      </c>
      <c r="AV82" s="39">
        <f t="shared" ca="1" si="127"/>
        <v>398286.06926727481</v>
      </c>
      <c r="AW82" s="39">
        <f t="shared" ca="1" si="127"/>
        <v>416043.58259991003</v>
      </c>
      <c r="AX82" s="39">
        <f t="shared" ca="1" si="127"/>
        <v>434403.3549110645</v>
      </c>
      <c r="AY82" s="39">
        <f t="shared" ca="1" si="127"/>
        <v>453356.73415671289</v>
      </c>
      <c r="AZ82" s="39" t="e">
        <f t="shared" ca="1" si="127"/>
        <v>#N/A</v>
      </c>
      <c r="BA82" s="39" t="e">
        <f t="shared" ca="1" si="127"/>
        <v>#N/A</v>
      </c>
      <c r="BB82" s="39" t="e">
        <f t="shared" ca="1" si="127"/>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566.10411256998145</v>
      </c>
      <c r="AI83" s="37">
        <f ca="1">SUM(AI59,AI49)</f>
        <v>0</v>
      </c>
      <c r="AJ83" s="37">
        <f t="shared" ref="AJ83:BB83" ca="1" si="128">SUM(AJ59,AJ49)</f>
        <v>0</v>
      </c>
      <c r="AK83" s="37">
        <f t="shared" ca="1" si="128"/>
        <v>0</v>
      </c>
      <c r="AL83" s="37">
        <f t="shared" ca="1" si="128"/>
        <v>0</v>
      </c>
      <c r="AM83" s="37">
        <f t="shared" ca="1" si="128"/>
        <v>0</v>
      </c>
      <c r="AN83" s="37">
        <f t="shared" ca="1" si="128"/>
        <v>0</v>
      </c>
      <c r="AO83" s="37">
        <f t="shared" ca="1" si="128"/>
        <v>0</v>
      </c>
      <c r="AP83" s="37">
        <f t="shared" ca="1" si="128"/>
        <v>0</v>
      </c>
      <c r="AQ83" s="37">
        <f t="shared" ca="1" si="128"/>
        <v>0</v>
      </c>
      <c r="AR83" s="37">
        <f t="shared" ca="1" si="128"/>
        <v>0</v>
      </c>
      <c r="AS83" s="37">
        <f t="shared" ca="1" si="128"/>
        <v>0</v>
      </c>
      <c r="AT83" s="37">
        <f t="shared" ca="1" si="128"/>
        <v>0</v>
      </c>
      <c r="AU83" s="37">
        <f t="shared" ca="1" si="128"/>
        <v>0</v>
      </c>
      <c r="AV83" s="37">
        <f t="shared" ca="1" si="128"/>
        <v>0</v>
      </c>
      <c r="AW83" s="37">
        <f t="shared" ca="1" si="128"/>
        <v>0</v>
      </c>
      <c r="AX83" s="37">
        <f t="shared" ca="1" si="128"/>
        <v>0</v>
      </c>
      <c r="AY83" s="37">
        <f t="shared" ca="1" si="128"/>
        <v>0</v>
      </c>
      <c r="AZ83" s="37" t="e">
        <f t="shared" ca="1" si="128"/>
        <v>#N/A</v>
      </c>
      <c r="BA83" s="37" t="e">
        <f t="shared" ca="1" si="128"/>
        <v>#N/A</v>
      </c>
      <c r="BB83" s="37" t="e">
        <f t="shared" ca="1" si="128"/>
        <v>#N/A</v>
      </c>
    </row>
    <row r="84" spans="12:54" x14ac:dyDescent="0.25">
      <c r="AG84" s="1" t="s">
        <v>59</v>
      </c>
      <c r="AH84" s="37">
        <f ca="1">SUM(AH48,AH58)*(1-AH67)</f>
        <v>0</v>
      </c>
      <c r="AI84" s="37">
        <f ca="1">SUM(AI48,AI58)*(1-AI67)</f>
        <v>0</v>
      </c>
      <c r="AJ84" s="37">
        <f t="shared" ref="AJ84:BB84" ca="1" si="129">SUM(AJ48,AJ58)*(1-AJ67)</f>
        <v>0</v>
      </c>
      <c r="AK84" s="37">
        <f t="shared" ca="1" si="129"/>
        <v>0</v>
      </c>
      <c r="AL84" s="37">
        <f t="shared" ca="1" si="129"/>
        <v>0</v>
      </c>
      <c r="AM84" s="37">
        <f t="shared" ca="1" si="129"/>
        <v>0</v>
      </c>
      <c r="AN84" s="37">
        <f t="shared" ca="1" si="129"/>
        <v>0</v>
      </c>
      <c r="AO84" s="37">
        <f t="shared" ca="1" si="129"/>
        <v>0</v>
      </c>
      <c r="AP84" s="37">
        <f t="shared" ca="1" si="129"/>
        <v>0</v>
      </c>
      <c r="AQ84" s="37">
        <f t="shared" ca="1" si="129"/>
        <v>0</v>
      </c>
      <c r="AR84" s="37">
        <f t="shared" ca="1" si="129"/>
        <v>0</v>
      </c>
      <c r="AS84" s="37">
        <f t="shared" ca="1" si="129"/>
        <v>0</v>
      </c>
      <c r="AT84" s="37">
        <f t="shared" ca="1" si="129"/>
        <v>0</v>
      </c>
      <c r="AU84" s="37">
        <f t="shared" ca="1" si="129"/>
        <v>0</v>
      </c>
      <c r="AV84" s="37">
        <f t="shared" ca="1" si="129"/>
        <v>0</v>
      </c>
      <c r="AW84" s="37">
        <f t="shared" ca="1" si="129"/>
        <v>0</v>
      </c>
      <c r="AX84" s="37">
        <f t="shared" ca="1" si="129"/>
        <v>0</v>
      </c>
      <c r="AY84" s="37">
        <f t="shared" ca="1" si="129"/>
        <v>0</v>
      </c>
      <c r="AZ84" s="37" t="e">
        <f t="shared" ca="1" si="129"/>
        <v>#N/A</v>
      </c>
      <c r="BA84" s="37" t="e">
        <f t="shared" ca="1" si="129"/>
        <v>#N/A</v>
      </c>
      <c r="BB84" s="37" t="e">
        <f t="shared" ca="1" si="129"/>
        <v>#N/A</v>
      </c>
    </row>
    <row r="85" spans="12:54" x14ac:dyDescent="0.25">
      <c r="AG85" s="12" t="s">
        <v>60</v>
      </c>
      <c r="AH85" s="45">
        <f ca="1">SUM(AH80:AH84)</f>
        <v>812943.50186034234</v>
      </c>
      <c r="AI85" s="45">
        <f ca="1">SUM(AI80:AI84)</f>
        <v>874976.19091098034</v>
      </c>
      <c r="AJ85" s="45">
        <f t="shared" ref="AJ85:BB85" ca="1" si="130">SUM(AJ80:AJ84)</f>
        <v>939592.31382538262</v>
      </c>
      <c r="AK85" s="45">
        <f t="shared" ca="1" si="130"/>
        <v>1009475.2782799675</v>
      </c>
      <c r="AL85" s="45">
        <f t="shared" ca="1" si="130"/>
        <v>1079873.2342419729</v>
      </c>
      <c r="AM85" s="45">
        <f t="shared" ca="1" si="130"/>
        <v>1157488.2381885676</v>
      </c>
      <c r="AN85" s="45">
        <f t="shared" ca="1" si="130"/>
        <v>1246523.2454596027</v>
      </c>
      <c r="AO85" s="45">
        <f t="shared" ca="1" si="130"/>
        <v>1349254.4344317783</v>
      </c>
      <c r="AP85" s="45">
        <f t="shared" ca="1" si="130"/>
        <v>1454295.8832549071</v>
      </c>
      <c r="AQ85" s="45">
        <f t="shared" ca="1" si="130"/>
        <v>1564569.9979483376</v>
      </c>
      <c r="AR85" s="45">
        <f t="shared" ca="1" si="130"/>
        <v>1680252.5245055901</v>
      </c>
      <c r="AS85" s="45">
        <f t="shared" ca="1" si="130"/>
        <v>1801599.4216238749</v>
      </c>
      <c r="AT85" s="45">
        <f t="shared" ca="1" si="130"/>
        <v>1928820.5989684225</v>
      </c>
      <c r="AU85" s="45">
        <f t="shared" ca="1" si="130"/>
        <v>2060877.9870279646</v>
      </c>
      <c r="AV85" s="45">
        <f t="shared" ca="1" si="130"/>
        <v>2199194.5473685153</v>
      </c>
      <c r="AW85" s="45">
        <f t="shared" ca="1" si="130"/>
        <v>2343816.2637588694</v>
      </c>
      <c r="AX85" s="45">
        <f t="shared" ca="1" si="130"/>
        <v>2494752.785619352</v>
      </c>
      <c r="AY85" s="45">
        <f t="shared" ca="1" si="130"/>
        <v>2652048.9471271522</v>
      </c>
      <c r="AZ85" s="45" t="e">
        <f t="shared" ca="1" si="130"/>
        <v>#N/A</v>
      </c>
      <c r="BA85" s="45" t="e">
        <f t="shared" ca="1" si="130"/>
        <v>#N/A</v>
      </c>
      <c r="BB85" s="45" t="e">
        <f t="shared" ca="1" si="130"/>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183</v>
      </c>
      <c r="AH87" s="6"/>
    </row>
    <row r="88" spans="12:54" x14ac:dyDescent="0.25">
      <c r="AF88" s="6" t="s">
        <v>178</v>
      </c>
      <c r="AG88" s="38"/>
      <c r="AH88" s="36">
        <f>AI88-1</f>
        <v>2018</v>
      </c>
      <c r="AI88" s="36">
        <f>Yr_Start</f>
        <v>2019</v>
      </c>
      <c r="AJ88" s="36">
        <f>AI88+1</f>
        <v>2020</v>
      </c>
      <c r="AK88" s="36">
        <f t="shared" ref="AK88:BB88" si="131">AJ88+1</f>
        <v>2021</v>
      </c>
      <c r="AL88" s="36">
        <f t="shared" si="131"/>
        <v>2022</v>
      </c>
      <c r="AM88" s="36">
        <f t="shared" si="131"/>
        <v>2023</v>
      </c>
      <c r="AN88" s="36">
        <f t="shared" si="131"/>
        <v>2024</v>
      </c>
      <c r="AO88" s="36">
        <f t="shared" si="131"/>
        <v>2025</v>
      </c>
      <c r="AP88" s="36">
        <f t="shared" si="131"/>
        <v>2026</v>
      </c>
      <c r="AQ88" s="36">
        <f t="shared" si="131"/>
        <v>2027</v>
      </c>
      <c r="AR88" s="36">
        <f t="shared" si="131"/>
        <v>2028</v>
      </c>
      <c r="AS88" s="36">
        <f t="shared" si="131"/>
        <v>2029</v>
      </c>
      <c r="AT88" s="36">
        <f t="shared" si="131"/>
        <v>2030</v>
      </c>
      <c r="AU88" s="36">
        <f t="shared" si="131"/>
        <v>2031</v>
      </c>
      <c r="AV88" s="36">
        <f t="shared" si="131"/>
        <v>2032</v>
      </c>
      <c r="AW88" s="36">
        <f t="shared" si="131"/>
        <v>2033</v>
      </c>
      <c r="AX88" s="36">
        <f t="shared" si="131"/>
        <v>2034</v>
      </c>
      <c r="AY88" s="36">
        <f t="shared" si="131"/>
        <v>2035</v>
      </c>
      <c r="AZ88" s="36">
        <f t="shared" si="131"/>
        <v>2036</v>
      </c>
      <c r="BA88" s="36">
        <f t="shared" si="131"/>
        <v>2037</v>
      </c>
      <c r="BB88" s="36">
        <f t="shared" si="131"/>
        <v>2038</v>
      </c>
    </row>
    <row r="89" spans="12:54" x14ac:dyDescent="0.25">
      <c r="AG89" s="1" t="s">
        <v>52</v>
      </c>
      <c r="AH89" s="1"/>
      <c r="AI89" s="39">
        <f ca="1">AI71*4</f>
        <v>1568772.3655194722</v>
      </c>
      <c r="AJ89" s="39">
        <f t="shared" ref="AJ89:BB93" ca="1" si="132">AJ71*4</f>
        <v>1743325.1286839254</v>
      </c>
      <c r="AK89" s="39">
        <f t="shared" ca="1" si="132"/>
        <v>1926069.1896500504</v>
      </c>
      <c r="AL89" s="39">
        <f t="shared" ca="1" si="132"/>
        <v>2119868.3926893934</v>
      </c>
      <c r="AM89" s="39">
        <f t="shared" ca="1" si="132"/>
        <v>2324910.0303257476</v>
      </c>
      <c r="AN89" s="39">
        <f t="shared" ca="1" si="132"/>
        <v>2541281.5542561142</v>
      </c>
      <c r="AO89" s="39">
        <f t="shared" ca="1" si="132"/>
        <v>2769174.2934792908</v>
      </c>
      <c r="AP89" s="39">
        <f t="shared" ca="1" si="132"/>
        <v>3006865.1555459253</v>
      </c>
      <c r="AQ89" s="39">
        <f t="shared" ca="1" si="132"/>
        <v>3256814.9645518763</v>
      </c>
      <c r="AR89" s="39">
        <f t="shared" ca="1" si="132"/>
        <v>3519443.5988038797</v>
      </c>
      <c r="AS89" s="39">
        <f t="shared" ca="1" si="132"/>
        <v>3795340.9861348355</v>
      </c>
      <c r="AT89" s="39">
        <f t="shared" ca="1" si="132"/>
        <v>4085004.0146693988</v>
      </c>
      <c r="AU89" s="39">
        <f t="shared" ca="1" si="132"/>
        <v>4386275.2404879536</v>
      </c>
      <c r="AV89" s="39">
        <f t="shared" ca="1" si="132"/>
        <v>4702211.8770866022</v>
      </c>
      <c r="AW89" s="39">
        <f t="shared" ca="1" si="132"/>
        <v>5032964.7445195904</v>
      </c>
      <c r="AX89" s="39">
        <f t="shared" ca="1" si="132"/>
        <v>5378601.5922931535</v>
      </c>
      <c r="AY89" s="39">
        <f t="shared" ca="1" si="132"/>
        <v>5739261.0950168362</v>
      </c>
      <c r="AZ89" s="39" t="e">
        <f t="shared" ca="1" si="132"/>
        <v>#N/A</v>
      </c>
      <c r="BA89" s="39" t="e">
        <f t="shared" ca="1" si="132"/>
        <v>#N/A</v>
      </c>
      <c r="BB89" s="39" t="e">
        <f t="shared" ca="1" si="132"/>
        <v>#N/A</v>
      </c>
    </row>
    <row r="90" spans="12:54" x14ac:dyDescent="0.25">
      <c r="AG90" s="1" t="s">
        <v>54</v>
      </c>
      <c r="AH90" s="1"/>
      <c r="AI90" s="39">
        <f t="shared" ref="AI90:AX93" ca="1" si="133">AI72*4</f>
        <v>90881.248028955612</v>
      </c>
      <c r="AJ90" s="39">
        <f t="shared" ca="1" si="133"/>
        <v>105460.92489509656</v>
      </c>
      <c r="AK90" s="39">
        <f t="shared" ca="1" si="133"/>
        <v>120842.94376830505</v>
      </c>
      <c r="AL90" s="39">
        <f t="shared" ca="1" si="133"/>
        <v>137211.2018970935</v>
      </c>
      <c r="AM90" s="39">
        <f t="shared" ca="1" si="133"/>
        <v>154592.19288838841</v>
      </c>
      <c r="AN90" s="39">
        <f t="shared" ca="1" si="133"/>
        <v>173003.87707701101</v>
      </c>
      <c r="AO90" s="39">
        <f t="shared" ca="1" si="133"/>
        <v>192699.90918257029</v>
      </c>
      <c r="AP90" s="39">
        <f t="shared" ca="1" si="133"/>
        <v>213374.51012382517</v>
      </c>
      <c r="AQ90" s="39">
        <f t="shared" ca="1" si="133"/>
        <v>235186.36337199266</v>
      </c>
      <c r="AR90" s="39">
        <f t="shared" ca="1" si="133"/>
        <v>258175.7551850914</v>
      </c>
      <c r="AS90" s="39">
        <f t="shared" ca="1" si="133"/>
        <v>282395.81934776646</v>
      </c>
      <c r="AT90" s="39">
        <f t="shared" ca="1" si="133"/>
        <v>307893.49017946649</v>
      </c>
      <c r="AU90" s="39">
        <f t="shared" ca="1" si="133"/>
        <v>334513.59882631659</v>
      </c>
      <c r="AV90" s="39">
        <f t="shared" ca="1" si="133"/>
        <v>362494.46635269036</v>
      </c>
      <c r="AW90" s="39">
        <f t="shared" ca="1" si="133"/>
        <v>391857.14393557422</v>
      </c>
      <c r="AX90" s="39">
        <f t="shared" ca="1" si="133"/>
        <v>422615.31264907529</v>
      </c>
      <c r="AY90" s="39">
        <f t="shared" ca="1" si="132"/>
        <v>454787.34834664897</v>
      </c>
      <c r="AZ90" s="39" t="e">
        <f t="shared" ca="1" si="132"/>
        <v>#N/A</v>
      </c>
      <c r="BA90" s="39" t="e">
        <f t="shared" ca="1" si="132"/>
        <v>#N/A</v>
      </c>
      <c r="BB90" s="39" t="e">
        <f t="shared" ca="1" si="132"/>
        <v>#N/A</v>
      </c>
    </row>
    <row r="91" spans="12:54" x14ac:dyDescent="0.25">
      <c r="AG91" s="1" t="s">
        <v>56</v>
      </c>
      <c r="AH91" s="1"/>
      <c r="AI91" s="39">
        <f t="shared" ca="1" si="133"/>
        <v>1483419.3356556809</v>
      </c>
      <c r="AJ91" s="39">
        <f t="shared" ca="1" si="132"/>
        <v>1553874.1782427754</v>
      </c>
      <c r="AK91" s="39">
        <f t="shared" ca="1" si="132"/>
        <v>1625133.3199031868</v>
      </c>
      <c r="AL91" s="39">
        <f t="shared" ca="1" si="132"/>
        <v>1699523.8395022552</v>
      </c>
      <c r="AM91" s="39">
        <f t="shared" ca="1" si="132"/>
        <v>1776891.5892291402</v>
      </c>
      <c r="AN91" s="39">
        <f t="shared" ca="1" si="132"/>
        <v>1857046.2299149053</v>
      </c>
      <c r="AO91" s="39">
        <f t="shared" ca="1" si="132"/>
        <v>1939909.9321235414</v>
      </c>
      <c r="AP91" s="39">
        <f t="shared" ca="1" si="132"/>
        <v>2024135.1357771347</v>
      </c>
      <c r="AQ91" s="39">
        <f t="shared" ca="1" si="132"/>
        <v>2111292.0036030039</v>
      </c>
      <c r="AR91" s="39">
        <f t="shared" ca="1" si="132"/>
        <v>2201454.3864078335</v>
      </c>
      <c r="AS91" s="39">
        <f t="shared" ca="1" si="132"/>
        <v>2294795.0749666169</v>
      </c>
      <c r="AT91" s="39">
        <f t="shared" ca="1" si="132"/>
        <v>2391416.2101391018</v>
      </c>
      <c r="AU91" s="39">
        <f t="shared" ca="1" si="132"/>
        <v>2489906.68956627</v>
      </c>
      <c r="AV91" s="39">
        <f t="shared" ca="1" si="132"/>
        <v>2591899.1333614923</v>
      </c>
      <c r="AW91" s="39">
        <f t="shared" ca="1" si="132"/>
        <v>2697289.0973025085</v>
      </c>
      <c r="AX91" s="39">
        <f t="shared" ca="1" si="132"/>
        <v>2805945.5781257427</v>
      </c>
      <c r="AY91" s="39">
        <f t="shared" ca="1" si="132"/>
        <v>2917792.0494009699</v>
      </c>
      <c r="AZ91" s="39" t="e">
        <f t="shared" ca="1" si="132"/>
        <v>#N/A</v>
      </c>
      <c r="BA91" s="39" t="e">
        <f t="shared" ca="1" si="132"/>
        <v>#N/A</v>
      </c>
      <c r="BB91" s="39" t="e">
        <f t="shared" ca="1" si="132"/>
        <v>#N/A</v>
      </c>
    </row>
    <row r="92" spans="12:54" x14ac:dyDescent="0.25">
      <c r="AG92" s="1" t="s">
        <v>57</v>
      </c>
      <c r="AH92" s="1"/>
      <c r="AI92" s="39">
        <f t="shared" ca="1" si="133"/>
        <v>0</v>
      </c>
      <c r="AJ92" s="39">
        <f t="shared" ca="1" si="132"/>
        <v>0</v>
      </c>
      <c r="AK92" s="39">
        <f t="shared" ca="1" si="132"/>
        <v>0</v>
      </c>
      <c r="AL92" s="39">
        <f t="shared" ca="1" si="132"/>
        <v>0</v>
      </c>
      <c r="AM92" s="39">
        <f t="shared" ca="1" si="132"/>
        <v>0</v>
      </c>
      <c r="AN92" s="39">
        <f t="shared" ca="1" si="132"/>
        <v>0</v>
      </c>
      <c r="AO92" s="39">
        <f t="shared" ca="1" si="132"/>
        <v>0</v>
      </c>
      <c r="AP92" s="39">
        <f t="shared" ca="1" si="132"/>
        <v>0</v>
      </c>
      <c r="AQ92" s="39">
        <f t="shared" ca="1" si="132"/>
        <v>0</v>
      </c>
      <c r="AR92" s="39">
        <f t="shared" ca="1" si="132"/>
        <v>0</v>
      </c>
      <c r="AS92" s="39">
        <f t="shared" ca="1" si="132"/>
        <v>0</v>
      </c>
      <c r="AT92" s="39">
        <f t="shared" ca="1" si="132"/>
        <v>0</v>
      </c>
      <c r="AU92" s="39">
        <f t="shared" ca="1" si="132"/>
        <v>0</v>
      </c>
      <c r="AV92" s="39">
        <f t="shared" ca="1" si="132"/>
        <v>0</v>
      </c>
      <c r="AW92" s="39">
        <f t="shared" ca="1" si="132"/>
        <v>0</v>
      </c>
      <c r="AX92" s="39">
        <f t="shared" ca="1" si="132"/>
        <v>0</v>
      </c>
      <c r="AY92" s="39">
        <f t="shared" ca="1" si="132"/>
        <v>0</v>
      </c>
      <c r="AZ92" s="39" t="e">
        <f t="shared" ca="1" si="132"/>
        <v>#N/A</v>
      </c>
      <c r="BA92" s="39" t="e">
        <f t="shared" ca="1" si="132"/>
        <v>#N/A</v>
      </c>
      <c r="BB92" s="39" t="e">
        <f t="shared" ca="1" si="132"/>
        <v>#N/A</v>
      </c>
    </row>
    <row r="93" spans="12:54" x14ac:dyDescent="0.25">
      <c r="AG93" s="1" t="s">
        <v>59</v>
      </c>
      <c r="AH93" s="1"/>
      <c r="AI93" s="39">
        <f t="shared" ca="1" si="133"/>
        <v>0</v>
      </c>
      <c r="AJ93" s="39">
        <f t="shared" ca="1" si="132"/>
        <v>0</v>
      </c>
      <c r="AK93" s="39">
        <f t="shared" ca="1" si="132"/>
        <v>0</v>
      </c>
      <c r="AL93" s="39">
        <f t="shared" ca="1" si="132"/>
        <v>0</v>
      </c>
      <c r="AM93" s="39">
        <f t="shared" ca="1" si="132"/>
        <v>0</v>
      </c>
      <c r="AN93" s="39">
        <f t="shared" ca="1" si="132"/>
        <v>0</v>
      </c>
      <c r="AO93" s="39">
        <f t="shared" ca="1" si="132"/>
        <v>0</v>
      </c>
      <c r="AP93" s="39">
        <f t="shared" ca="1" si="132"/>
        <v>0</v>
      </c>
      <c r="AQ93" s="39">
        <f t="shared" ca="1" si="132"/>
        <v>0</v>
      </c>
      <c r="AR93" s="39">
        <f t="shared" ca="1" si="132"/>
        <v>0</v>
      </c>
      <c r="AS93" s="39">
        <f t="shared" ca="1" si="132"/>
        <v>0</v>
      </c>
      <c r="AT93" s="39">
        <f t="shared" ca="1" si="132"/>
        <v>0</v>
      </c>
      <c r="AU93" s="39">
        <f t="shared" ca="1" si="132"/>
        <v>0</v>
      </c>
      <c r="AV93" s="39">
        <f t="shared" ca="1" si="132"/>
        <v>0</v>
      </c>
      <c r="AW93" s="39">
        <f t="shared" ca="1" si="132"/>
        <v>0</v>
      </c>
      <c r="AX93" s="39">
        <f t="shared" ca="1" si="132"/>
        <v>0</v>
      </c>
      <c r="AY93" s="39">
        <f t="shared" ca="1" si="132"/>
        <v>0</v>
      </c>
      <c r="AZ93" s="39" t="e">
        <f t="shared" ca="1" si="132"/>
        <v>#N/A</v>
      </c>
      <c r="BA93" s="39" t="e">
        <f t="shared" ca="1" si="132"/>
        <v>#N/A</v>
      </c>
      <c r="BB93" s="39" t="e">
        <f t="shared" ca="1" si="132"/>
        <v>#N/A</v>
      </c>
    </row>
    <row r="94" spans="12:54" x14ac:dyDescent="0.25">
      <c r="AG94" s="12" t="s">
        <v>60</v>
      </c>
      <c r="AH94" s="12"/>
      <c r="AI94" s="45">
        <f ca="1">SUM(AI89:AI93)</f>
        <v>3143072.9492041087</v>
      </c>
      <c r="AJ94" s="45">
        <f ca="1">SUM(AJ89:AJ93)</f>
        <v>3402660.2318217973</v>
      </c>
      <c r="AK94" s="45">
        <f t="shared" ref="AK94:BB94" ca="1" si="134">SUM(AK89:AK93)</f>
        <v>3672045.4533215421</v>
      </c>
      <c r="AL94" s="45">
        <f t="shared" ca="1" si="134"/>
        <v>3956603.4340887424</v>
      </c>
      <c r="AM94" s="45">
        <f t="shared" ca="1" si="134"/>
        <v>4256393.8124432759</v>
      </c>
      <c r="AN94" s="45">
        <f t="shared" ca="1" si="134"/>
        <v>4571331.6612480301</v>
      </c>
      <c r="AO94" s="45">
        <f t="shared" ca="1" si="134"/>
        <v>4901784.1347854026</v>
      </c>
      <c r="AP94" s="45">
        <f t="shared" ca="1" si="134"/>
        <v>5244374.8014468849</v>
      </c>
      <c r="AQ94" s="45">
        <f t="shared" ca="1" si="134"/>
        <v>5603293.3315268727</v>
      </c>
      <c r="AR94" s="45">
        <f t="shared" ca="1" si="134"/>
        <v>5979073.7403968051</v>
      </c>
      <c r="AS94" s="45">
        <f t="shared" ca="1" si="134"/>
        <v>6372531.8804492187</v>
      </c>
      <c r="AT94" s="45">
        <f t="shared" ca="1" si="134"/>
        <v>6784313.7149879672</v>
      </c>
      <c r="AU94" s="45">
        <f t="shared" ca="1" si="134"/>
        <v>7210695.5288805403</v>
      </c>
      <c r="AV94" s="45">
        <f t="shared" ca="1" si="134"/>
        <v>7656605.4768007845</v>
      </c>
      <c r="AW94" s="45">
        <f t="shared" ca="1" si="134"/>
        <v>8122110.9857576732</v>
      </c>
      <c r="AX94" s="45">
        <f t="shared" ca="1" si="134"/>
        <v>8607162.4830679707</v>
      </c>
      <c r="AY94" s="45">
        <f t="shared" ca="1" si="134"/>
        <v>9111840.4927644543</v>
      </c>
      <c r="AZ94" s="45" t="e">
        <f t="shared" ca="1" si="134"/>
        <v>#N/A</v>
      </c>
      <c r="BA94" s="45" t="e">
        <f t="shared" ca="1" si="134"/>
        <v>#N/A</v>
      </c>
      <c r="BB94" s="45" t="e">
        <f t="shared" ca="1" si="134"/>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184</v>
      </c>
      <c r="AH96" s="6"/>
      <c r="AS96" s="142"/>
    </row>
    <row r="97" spans="32:54" x14ac:dyDescent="0.25">
      <c r="AF97" s="6" t="s">
        <v>178</v>
      </c>
      <c r="AG97" s="38"/>
      <c r="AH97" s="36">
        <f>AI97-1</f>
        <v>2018</v>
      </c>
      <c r="AI97" s="36">
        <f>Yr_Start</f>
        <v>2019</v>
      </c>
      <c r="AJ97" s="36">
        <f>AI97+1</f>
        <v>2020</v>
      </c>
      <c r="AK97" s="36">
        <f t="shared" ref="AK97:BB97" si="135">AJ97+1</f>
        <v>2021</v>
      </c>
      <c r="AL97" s="36">
        <f t="shared" si="135"/>
        <v>2022</v>
      </c>
      <c r="AM97" s="36">
        <f t="shared" si="135"/>
        <v>2023</v>
      </c>
      <c r="AN97" s="36">
        <f t="shared" si="135"/>
        <v>2024</v>
      </c>
      <c r="AO97" s="36">
        <f t="shared" si="135"/>
        <v>2025</v>
      </c>
      <c r="AP97" s="36">
        <f t="shared" si="135"/>
        <v>2026</v>
      </c>
      <c r="AQ97" s="36">
        <f t="shared" si="135"/>
        <v>2027</v>
      </c>
      <c r="AR97" s="36">
        <f t="shared" si="135"/>
        <v>2028</v>
      </c>
      <c r="AS97" s="36">
        <f t="shared" si="135"/>
        <v>2029</v>
      </c>
      <c r="AT97" s="36">
        <f t="shared" si="135"/>
        <v>2030</v>
      </c>
      <c r="AU97" s="36">
        <f t="shared" si="135"/>
        <v>2031</v>
      </c>
      <c r="AV97" s="36">
        <f t="shared" si="135"/>
        <v>2032</v>
      </c>
      <c r="AW97" s="36">
        <f t="shared" si="135"/>
        <v>2033</v>
      </c>
      <c r="AX97" s="36">
        <f t="shared" si="135"/>
        <v>2034</v>
      </c>
      <c r="AY97" s="36">
        <f t="shared" si="135"/>
        <v>2035</v>
      </c>
      <c r="AZ97" s="36">
        <f t="shared" si="135"/>
        <v>2036</v>
      </c>
      <c r="BA97" s="36">
        <f t="shared" si="135"/>
        <v>2037</v>
      </c>
      <c r="BB97" s="36">
        <f t="shared" si="135"/>
        <v>2038</v>
      </c>
    </row>
    <row r="98" spans="32:54" x14ac:dyDescent="0.25">
      <c r="AG98" s="1" t="s">
        <v>52</v>
      </c>
      <c r="AH98" s="1"/>
      <c r="AI98" s="39">
        <f ca="1">AI80*4</f>
        <v>2286471.9735608236</v>
      </c>
      <c r="AJ98" s="39">
        <f t="shared" ref="AJ98:BB98" ca="1" si="136">AJ80*4</f>
        <v>2536615.1942904601</v>
      </c>
      <c r="AK98" s="39">
        <f t="shared" ca="1" si="136"/>
        <v>2798384.1498303437</v>
      </c>
      <c r="AL98" s="39">
        <f t="shared" ca="1" si="136"/>
        <v>3075935.689647533</v>
      </c>
      <c r="AM98" s="39">
        <f t="shared" ca="1" si="136"/>
        <v>3369527.8536719829</v>
      </c>
      <c r="AN98" s="39">
        <f t="shared" ca="1" si="136"/>
        <v>3679275.7899377663</v>
      </c>
      <c r="AO98" s="39">
        <f t="shared" ca="1" si="136"/>
        <v>4005446.6908598929</v>
      </c>
      <c r="AP98" s="39">
        <f t="shared" ca="1" si="136"/>
        <v>4345541.8709274065</v>
      </c>
      <c r="AQ98" s="39">
        <f t="shared" ca="1" si="136"/>
        <v>4703113.8339883406</v>
      </c>
      <c r="AR98" s="39">
        <f t="shared" ca="1" si="136"/>
        <v>5078759.9754947275</v>
      </c>
      <c r="AS98" s="39">
        <f t="shared" ca="1" si="136"/>
        <v>5473322.7472082414</v>
      </c>
      <c r="AT98" s="39">
        <f t="shared" ca="1" si="136"/>
        <v>5887509.7777019599</v>
      </c>
      <c r="AU98" s="39">
        <f t="shared" ca="1" si="136"/>
        <v>6318204.9734918308</v>
      </c>
      <c r="AV98" s="39">
        <f t="shared" ca="1" si="136"/>
        <v>6769807.4570071641</v>
      </c>
      <c r="AW98" s="39">
        <f t="shared" ca="1" si="136"/>
        <v>7242525.9063836401</v>
      </c>
      <c r="AX98" s="39">
        <f t="shared" ca="1" si="136"/>
        <v>7736450.2696633916</v>
      </c>
      <c r="AY98" s="39">
        <f t="shared" ca="1" si="136"/>
        <v>8251773.2999025304</v>
      </c>
      <c r="AZ98" s="39" t="e">
        <f t="shared" ca="1" si="136"/>
        <v>#N/A</v>
      </c>
      <c r="BA98" s="39" t="e">
        <f t="shared" ca="1" si="136"/>
        <v>#N/A</v>
      </c>
      <c r="BB98" s="39" t="e">
        <f t="shared" ca="1" si="136"/>
        <v>#N/A</v>
      </c>
    </row>
    <row r="99" spans="32:54" x14ac:dyDescent="0.25">
      <c r="AG99" s="1" t="s">
        <v>54</v>
      </c>
      <c r="AH99" s="1"/>
      <c r="AI99" s="39">
        <f t="shared" ref="AI99:BB99" ca="1" si="137">AI81*4</f>
        <v>111118.65750525639</v>
      </c>
      <c r="AJ99" s="39">
        <f t="shared" ca="1" si="137"/>
        <v>122729.53744752725</v>
      </c>
      <c r="AK99" s="39">
        <f t="shared" ca="1" si="137"/>
        <v>147267.24555212102</v>
      </c>
      <c r="AL99" s="39">
        <f t="shared" ca="1" si="137"/>
        <v>160062.37681555952</v>
      </c>
      <c r="AM99" s="39">
        <f t="shared" ca="1" si="137"/>
        <v>187974.50299899103</v>
      </c>
      <c r="AN99" s="39">
        <f t="shared" ca="1" si="137"/>
        <v>202435.79286232052</v>
      </c>
      <c r="AO99" s="39">
        <f t="shared" ca="1" si="137"/>
        <v>232782.36177527386</v>
      </c>
      <c r="AP99" s="39">
        <f t="shared" ca="1" si="137"/>
        <v>257280.5965666397</v>
      </c>
      <c r="AQ99" s="39">
        <f t="shared" ca="1" si="137"/>
        <v>283119.86459955358</v>
      </c>
      <c r="AR99" s="39">
        <f t="shared" ca="1" si="137"/>
        <v>310347.55546869582</v>
      </c>
      <c r="AS99" s="39">
        <f t="shared" ca="1" si="137"/>
        <v>339026.4616782479</v>
      </c>
      <c r="AT99" s="39">
        <f t="shared" ca="1" si="137"/>
        <v>369211.85504416574</v>
      </c>
      <c r="AU99" s="39">
        <f t="shared" ca="1" si="137"/>
        <v>400716.87185307126</v>
      </c>
      <c r="AV99" s="39">
        <f t="shared" ca="1" si="137"/>
        <v>433826.45539779752</v>
      </c>
      <c r="AW99" s="39">
        <f t="shared" ca="1" si="137"/>
        <v>468564.81825219619</v>
      </c>
      <c r="AX99" s="39">
        <f t="shared" ca="1" si="137"/>
        <v>504947.45316975843</v>
      </c>
      <c r="AY99" s="39">
        <f t="shared" ca="1" si="137"/>
        <v>542995.55197922722</v>
      </c>
      <c r="AZ99" s="39" t="e">
        <f t="shared" ca="1" si="137"/>
        <v>#N/A</v>
      </c>
      <c r="BA99" s="39" t="e">
        <f t="shared" ca="1" si="137"/>
        <v>#N/A</v>
      </c>
      <c r="BB99" s="39" t="e">
        <f t="shared" ca="1" si="137"/>
        <v>#N/A</v>
      </c>
    </row>
    <row r="100" spans="32:54" x14ac:dyDescent="0.25">
      <c r="AG100" s="1" t="s">
        <v>56</v>
      </c>
      <c r="AH100" s="1"/>
      <c r="AI100" s="39">
        <f t="shared" ref="AI100:BB100" ca="1" si="138">AI82*4</f>
        <v>1102314.1325778412</v>
      </c>
      <c r="AJ100" s="39">
        <f t="shared" ca="1" si="138"/>
        <v>1099024.5235635431</v>
      </c>
      <c r="AK100" s="39">
        <f t="shared" ca="1" si="138"/>
        <v>1092249.7177374051</v>
      </c>
      <c r="AL100" s="39">
        <f t="shared" ca="1" si="138"/>
        <v>1083494.8705047991</v>
      </c>
      <c r="AM100" s="39">
        <f t="shared" ca="1" si="138"/>
        <v>1072450.5960832967</v>
      </c>
      <c r="AN100" s="39">
        <f t="shared" ca="1" si="138"/>
        <v>1104381.3990383244</v>
      </c>
      <c r="AO100" s="39">
        <f t="shared" ca="1" si="138"/>
        <v>1158788.685091946</v>
      </c>
      <c r="AP100" s="39">
        <f t="shared" ca="1" si="138"/>
        <v>1214361.0655255823</v>
      </c>
      <c r="AQ100" s="39">
        <f t="shared" ca="1" si="138"/>
        <v>1272046.2932054556</v>
      </c>
      <c r="AR100" s="39">
        <f t="shared" ca="1" si="138"/>
        <v>1331902.5670589362</v>
      </c>
      <c r="AS100" s="39">
        <f t="shared" ca="1" si="138"/>
        <v>1394048.4776090102</v>
      </c>
      <c r="AT100" s="39">
        <f t="shared" ca="1" si="138"/>
        <v>1458560.7631275649</v>
      </c>
      <c r="AU100" s="39">
        <f t="shared" ca="1" si="138"/>
        <v>1524590.1027669567</v>
      </c>
      <c r="AV100" s="39">
        <f t="shared" ca="1" si="138"/>
        <v>1593144.2770690992</v>
      </c>
      <c r="AW100" s="39">
        <f t="shared" ca="1" si="138"/>
        <v>1664174.3303996401</v>
      </c>
      <c r="AX100" s="39">
        <f t="shared" ca="1" si="138"/>
        <v>1737613.419644258</v>
      </c>
      <c r="AY100" s="39">
        <f t="shared" ca="1" si="138"/>
        <v>1813426.9366268516</v>
      </c>
      <c r="AZ100" s="39" t="e">
        <f t="shared" ca="1" si="138"/>
        <v>#N/A</v>
      </c>
      <c r="BA100" s="39" t="e">
        <f t="shared" ca="1" si="138"/>
        <v>#N/A</v>
      </c>
      <c r="BB100" s="39" t="e">
        <f t="shared" ca="1" si="138"/>
        <v>#N/A</v>
      </c>
    </row>
    <row r="101" spans="32:54" x14ac:dyDescent="0.25">
      <c r="AG101" s="1" t="s">
        <v>57</v>
      </c>
      <c r="AH101" s="1"/>
      <c r="AI101" s="39">
        <f t="shared" ref="AI101:BB101" ca="1" si="139">AI83*4</f>
        <v>0</v>
      </c>
      <c r="AJ101" s="39">
        <f t="shared" ca="1" si="139"/>
        <v>0</v>
      </c>
      <c r="AK101" s="39">
        <f t="shared" ca="1" si="139"/>
        <v>0</v>
      </c>
      <c r="AL101" s="39">
        <f t="shared" ca="1" si="139"/>
        <v>0</v>
      </c>
      <c r="AM101" s="39">
        <f t="shared" ca="1" si="139"/>
        <v>0</v>
      </c>
      <c r="AN101" s="39">
        <f t="shared" ca="1" si="139"/>
        <v>0</v>
      </c>
      <c r="AO101" s="39">
        <f t="shared" ca="1" si="139"/>
        <v>0</v>
      </c>
      <c r="AP101" s="39">
        <f t="shared" ca="1" si="139"/>
        <v>0</v>
      </c>
      <c r="AQ101" s="39">
        <f t="shared" ca="1" si="139"/>
        <v>0</v>
      </c>
      <c r="AR101" s="39">
        <f t="shared" ca="1" si="139"/>
        <v>0</v>
      </c>
      <c r="AS101" s="39">
        <f t="shared" ca="1" si="139"/>
        <v>0</v>
      </c>
      <c r="AT101" s="39">
        <f t="shared" ca="1" si="139"/>
        <v>0</v>
      </c>
      <c r="AU101" s="39">
        <f t="shared" ca="1" si="139"/>
        <v>0</v>
      </c>
      <c r="AV101" s="39">
        <f t="shared" ca="1" si="139"/>
        <v>0</v>
      </c>
      <c r="AW101" s="39">
        <f t="shared" ca="1" si="139"/>
        <v>0</v>
      </c>
      <c r="AX101" s="39">
        <f t="shared" ca="1" si="139"/>
        <v>0</v>
      </c>
      <c r="AY101" s="39">
        <f t="shared" ca="1" si="139"/>
        <v>0</v>
      </c>
      <c r="AZ101" s="39" t="e">
        <f t="shared" ca="1" si="139"/>
        <v>#N/A</v>
      </c>
      <c r="BA101" s="39" t="e">
        <f t="shared" ca="1" si="139"/>
        <v>#N/A</v>
      </c>
      <c r="BB101" s="39" t="e">
        <f t="shared" ca="1" si="139"/>
        <v>#N/A</v>
      </c>
    </row>
    <row r="102" spans="32:54" x14ac:dyDescent="0.25">
      <c r="AG102" s="1" t="s">
        <v>59</v>
      </c>
      <c r="AH102" s="1"/>
      <c r="AI102" s="39">
        <f t="shared" ref="AI102:BB102" ca="1" si="140">AI84*4</f>
        <v>0</v>
      </c>
      <c r="AJ102" s="39">
        <f t="shared" ca="1" si="140"/>
        <v>0</v>
      </c>
      <c r="AK102" s="39">
        <f t="shared" ca="1" si="140"/>
        <v>0</v>
      </c>
      <c r="AL102" s="39">
        <f t="shared" ca="1" si="140"/>
        <v>0</v>
      </c>
      <c r="AM102" s="39">
        <f t="shared" ca="1" si="140"/>
        <v>0</v>
      </c>
      <c r="AN102" s="39">
        <f t="shared" ca="1" si="140"/>
        <v>0</v>
      </c>
      <c r="AO102" s="39">
        <f t="shared" ca="1" si="140"/>
        <v>0</v>
      </c>
      <c r="AP102" s="39">
        <f t="shared" ca="1" si="140"/>
        <v>0</v>
      </c>
      <c r="AQ102" s="39">
        <f t="shared" ca="1" si="140"/>
        <v>0</v>
      </c>
      <c r="AR102" s="39">
        <f t="shared" ca="1" si="140"/>
        <v>0</v>
      </c>
      <c r="AS102" s="39">
        <f t="shared" ca="1" si="140"/>
        <v>0</v>
      </c>
      <c r="AT102" s="39">
        <f t="shared" ca="1" si="140"/>
        <v>0</v>
      </c>
      <c r="AU102" s="39">
        <f t="shared" ca="1" si="140"/>
        <v>0</v>
      </c>
      <c r="AV102" s="39">
        <f t="shared" ca="1" si="140"/>
        <v>0</v>
      </c>
      <c r="AW102" s="39">
        <f t="shared" ca="1" si="140"/>
        <v>0</v>
      </c>
      <c r="AX102" s="39">
        <f t="shared" ca="1" si="140"/>
        <v>0</v>
      </c>
      <c r="AY102" s="39">
        <f t="shared" ca="1" si="140"/>
        <v>0</v>
      </c>
      <c r="AZ102" s="39" t="e">
        <f t="shared" ca="1" si="140"/>
        <v>#N/A</v>
      </c>
      <c r="BA102" s="39" t="e">
        <f t="shared" ca="1" si="140"/>
        <v>#N/A</v>
      </c>
      <c r="BB102" s="39" t="e">
        <f t="shared" ca="1" si="140"/>
        <v>#N/A</v>
      </c>
    </row>
    <row r="103" spans="32:54" x14ac:dyDescent="0.25">
      <c r="AG103" s="12" t="s">
        <v>60</v>
      </c>
      <c r="AH103" s="12"/>
      <c r="AI103" s="45">
        <f ca="1">SUM(AI98:AI102)</f>
        <v>3499904.7636439214</v>
      </c>
      <c r="AJ103" s="45">
        <f ca="1">SUM(AJ98:AJ102)</f>
        <v>3758369.2553015305</v>
      </c>
      <c r="AK103" s="45">
        <f t="shared" ref="AK103:BB103" ca="1" si="141">SUM(AK98:AK102)</f>
        <v>4037901.11311987</v>
      </c>
      <c r="AL103" s="45">
        <f t="shared" ca="1" si="141"/>
        <v>4319492.9369678916</v>
      </c>
      <c r="AM103" s="45">
        <f t="shared" ca="1" si="141"/>
        <v>4629952.9527542703</v>
      </c>
      <c r="AN103" s="45">
        <f t="shared" ca="1" si="141"/>
        <v>4986092.9818384107</v>
      </c>
      <c r="AO103" s="45">
        <f t="shared" ca="1" si="141"/>
        <v>5397017.7377271131</v>
      </c>
      <c r="AP103" s="45">
        <f t="shared" ca="1" si="141"/>
        <v>5817183.5330196284</v>
      </c>
      <c r="AQ103" s="45">
        <f t="shared" ca="1" si="141"/>
        <v>6258279.9917933503</v>
      </c>
      <c r="AR103" s="45">
        <f t="shared" ca="1" si="141"/>
        <v>6721010.0980223604</v>
      </c>
      <c r="AS103" s="45">
        <f t="shared" ca="1" si="141"/>
        <v>7206397.6864954997</v>
      </c>
      <c r="AT103" s="45">
        <f t="shared" ca="1" si="141"/>
        <v>7715282.39587369</v>
      </c>
      <c r="AU103" s="45">
        <f t="shared" ca="1" si="141"/>
        <v>8243511.9481118582</v>
      </c>
      <c r="AV103" s="45">
        <f t="shared" ca="1" si="141"/>
        <v>8796778.1894740611</v>
      </c>
      <c r="AW103" s="45">
        <f t="shared" ca="1" si="141"/>
        <v>9375265.0550354775</v>
      </c>
      <c r="AX103" s="45">
        <f t="shared" ca="1" si="141"/>
        <v>9979011.1424774081</v>
      </c>
      <c r="AY103" s="45">
        <f t="shared" ca="1" si="141"/>
        <v>10608195.788508609</v>
      </c>
      <c r="AZ103" s="45" t="e">
        <f t="shared" ca="1" si="141"/>
        <v>#N/A</v>
      </c>
      <c r="BA103" s="45" t="e">
        <f t="shared" ca="1" si="141"/>
        <v>#N/A</v>
      </c>
      <c r="BB103" s="45" t="e">
        <f t="shared" ca="1" si="141"/>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42">AJ107+1</f>
        <v>2021</v>
      </c>
      <c r="AL107" s="36">
        <f t="shared" si="142"/>
        <v>2022</v>
      </c>
      <c r="AM107" s="36">
        <f t="shared" si="142"/>
        <v>2023</v>
      </c>
      <c r="AN107" s="36">
        <f t="shared" si="142"/>
        <v>2024</v>
      </c>
      <c r="AO107" s="36">
        <f t="shared" si="142"/>
        <v>2025</v>
      </c>
      <c r="AP107" s="36">
        <f t="shared" si="142"/>
        <v>2026</v>
      </c>
      <c r="AQ107" s="36">
        <f t="shared" si="142"/>
        <v>2027</v>
      </c>
      <c r="AR107" s="36">
        <f t="shared" si="142"/>
        <v>2028</v>
      </c>
      <c r="AS107" s="36">
        <f t="shared" si="142"/>
        <v>2029</v>
      </c>
      <c r="AT107" s="36">
        <f t="shared" si="142"/>
        <v>2030</v>
      </c>
      <c r="AU107" s="36">
        <f t="shared" si="142"/>
        <v>2031</v>
      </c>
      <c r="AV107" s="36">
        <f t="shared" si="142"/>
        <v>2032</v>
      </c>
      <c r="AW107" s="36">
        <f t="shared" si="142"/>
        <v>2033</v>
      </c>
      <c r="AX107" s="36">
        <f t="shared" si="142"/>
        <v>2034</v>
      </c>
      <c r="AY107" s="36">
        <f t="shared" si="142"/>
        <v>2035</v>
      </c>
      <c r="AZ107" s="36">
        <f t="shared" si="142"/>
        <v>2036</v>
      </c>
      <c r="BA107" s="36">
        <f t="shared" si="142"/>
        <v>2037</v>
      </c>
      <c r="BB107" s="36">
        <f t="shared" si="142"/>
        <v>2038</v>
      </c>
    </row>
    <row r="108" spans="32:54" x14ac:dyDescent="0.25">
      <c r="AF108"/>
      <c r="AG108" s="1" t="s">
        <v>52</v>
      </c>
      <c r="AH108" s="1"/>
      <c r="AI108" s="37">
        <f ca="1">AI89+AI98</f>
        <v>3855244.3390802955</v>
      </c>
      <c r="AJ108" s="37">
        <f ca="1">AJ89+AJ98</f>
        <v>4279940.3229743857</v>
      </c>
      <c r="AK108" s="37">
        <f t="shared" ref="AK108:BB108" ca="1" si="143">AK89+AK98</f>
        <v>4724453.3394803945</v>
      </c>
      <c r="AL108" s="37">
        <f t="shared" ca="1" si="143"/>
        <v>5195804.0823369268</v>
      </c>
      <c r="AM108" s="37">
        <f t="shared" ca="1" si="143"/>
        <v>5694437.8839977309</v>
      </c>
      <c r="AN108" s="37">
        <f t="shared" ca="1" si="143"/>
        <v>6220557.3441938804</v>
      </c>
      <c r="AO108" s="37">
        <f t="shared" ca="1" si="143"/>
        <v>6774620.9843391832</v>
      </c>
      <c r="AP108" s="37">
        <f t="shared" ca="1" si="143"/>
        <v>7352407.0264733322</v>
      </c>
      <c r="AQ108" s="37">
        <f t="shared" ca="1" si="143"/>
        <v>7959928.7985402169</v>
      </c>
      <c r="AR108" s="37">
        <f t="shared" ca="1" si="143"/>
        <v>8598203.5742986072</v>
      </c>
      <c r="AS108" s="37">
        <f t="shared" ca="1" si="143"/>
        <v>9268663.733343076</v>
      </c>
      <c r="AT108" s="37">
        <f t="shared" ca="1" si="143"/>
        <v>9972513.7923713587</v>
      </c>
      <c r="AU108" s="37">
        <f t="shared" ca="1" si="143"/>
        <v>10704480.213979784</v>
      </c>
      <c r="AV108" s="37">
        <f t="shared" ca="1" si="143"/>
        <v>11472019.334093766</v>
      </c>
      <c r="AW108" s="37">
        <f t="shared" ca="1" si="143"/>
        <v>12275490.650903231</v>
      </c>
      <c r="AX108" s="37">
        <f t="shared" ca="1" si="143"/>
        <v>13115051.861956544</v>
      </c>
      <c r="AY108" s="37">
        <f t="shared" ca="1" si="143"/>
        <v>13991034.394919366</v>
      </c>
      <c r="AZ108" s="37" t="e">
        <f t="shared" ca="1" si="143"/>
        <v>#N/A</v>
      </c>
      <c r="BA108" s="37" t="e">
        <f t="shared" ca="1" si="143"/>
        <v>#N/A</v>
      </c>
      <c r="BB108" s="37" t="e">
        <f t="shared" ca="1" si="143"/>
        <v>#N/A</v>
      </c>
    </row>
    <row r="109" spans="32:54" x14ac:dyDescent="0.25">
      <c r="AF109"/>
      <c r="AG109" s="1" t="s">
        <v>54</v>
      </c>
      <c r="AH109" s="1"/>
      <c r="AI109" s="37">
        <f t="shared" ref="AI109:BB112" ca="1" si="144">AI90+AI99</f>
        <v>201999.90553421201</v>
      </c>
      <c r="AJ109" s="37">
        <f t="shared" ca="1" si="144"/>
        <v>228190.4623426238</v>
      </c>
      <c r="AK109" s="37">
        <f t="shared" ca="1" si="144"/>
        <v>268110.18932042609</v>
      </c>
      <c r="AL109" s="37">
        <f t="shared" ca="1" si="144"/>
        <v>297273.57871265302</v>
      </c>
      <c r="AM109" s="37">
        <f t="shared" ca="1" si="144"/>
        <v>342566.69588737946</v>
      </c>
      <c r="AN109" s="37">
        <f t="shared" ca="1" si="144"/>
        <v>375439.66993933154</v>
      </c>
      <c r="AO109" s="37">
        <f t="shared" ca="1" si="144"/>
        <v>425482.27095784416</v>
      </c>
      <c r="AP109" s="37">
        <f t="shared" ca="1" si="144"/>
        <v>470655.10669046489</v>
      </c>
      <c r="AQ109" s="37">
        <f t="shared" ca="1" si="144"/>
        <v>518306.22797154624</v>
      </c>
      <c r="AR109" s="37">
        <f t="shared" ca="1" si="144"/>
        <v>568523.31065378722</v>
      </c>
      <c r="AS109" s="37">
        <f t="shared" ca="1" si="144"/>
        <v>621422.28102601436</v>
      </c>
      <c r="AT109" s="37">
        <f t="shared" ca="1" si="144"/>
        <v>677105.34522363218</v>
      </c>
      <c r="AU109" s="37">
        <f t="shared" ca="1" si="144"/>
        <v>735230.47067938792</v>
      </c>
      <c r="AV109" s="37">
        <f t="shared" ca="1" si="144"/>
        <v>796320.92175048788</v>
      </c>
      <c r="AW109" s="37">
        <f t="shared" ca="1" si="144"/>
        <v>860421.9621877704</v>
      </c>
      <c r="AX109" s="37">
        <f t="shared" ca="1" si="144"/>
        <v>927562.76581883372</v>
      </c>
      <c r="AY109" s="37">
        <f t="shared" ca="1" si="144"/>
        <v>997782.90032587619</v>
      </c>
      <c r="AZ109" s="37" t="e">
        <f t="shared" ca="1" si="144"/>
        <v>#N/A</v>
      </c>
      <c r="BA109" s="37" t="e">
        <f t="shared" ca="1" si="144"/>
        <v>#N/A</v>
      </c>
      <c r="BB109" s="37" t="e">
        <f t="shared" ca="1" si="144"/>
        <v>#N/A</v>
      </c>
    </row>
    <row r="110" spans="32:54" x14ac:dyDescent="0.25">
      <c r="AF110"/>
      <c r="AG110" s="1" t="s">
        <v>56</v>
      </c>
      <c r="AH110" s="1"/>
      <c r="AI110" s="37">
        <f t="shared" ca="1" si="144"/>
        <v>2585733.468233522</v>
      </c>
      <c r="AJ110" s="37">
        <f t="shared" ca="1" si="144"/>
        <v>2652898.7018063185</v>
      </c>
      <c r="AK110" s="37">
        <f t="shared" ca="1" si="144"/>
        <v>2717383.0376405921</v>
      </c>
      <c r="AL110" s="37">
        <f t="shared" ca="1" si="144"/>
        <v>2783018.7100070543</v>
      </c>
      <c r="AM110" s="37">
        <f t="shared" ca="1" si="144"/>
        <v>2849342.1853124369</v>
      </c>
      <c r="AN110" s="37">
        <f t="shared" ca="1" si="144"/>
        <v>2961427.6289532296</v>
      </c>
      <c r="AO110" s="37">
        <f t="shared" ca="1" si="144"/>
        <v>3098698.6172154872</v>
      </c>
      <c r="AP110" s="37">
        <f t="shared" ca="1" si="144"/>
        <v>3238496.201302717</v>
      </c>
      <c r="AQ110" s="37">
        <f t="shared" ca="1" si="144"/>
        <v>3383338.2968084598</v>
      </c>
      <c r="AR110" s="37">
        <f t="shared" ca="1" si="144"/>
        <v>3533356.9534667698</v>
      </c>
      <c r="AS110" s="37">
        <f t="shared" ca="1" si="144"/>
        <v>3688843.5525756273</v>
      </c>
      <c r="AT110" s="37">
        <f t="shared" ca="1" si="144"/>
        <v>3849976.9732666668</v>
      </c>
      <c r="AU110" s="37">
        <f t="shared" ca="1" si="144"/>
        <v>4014496.7923332267</v>
      </c>
      <c r="AV110" s="37">
        <f t="shared" ca="1" si="144"/>
        <v>4185043.4104305916</v>
      </c>
      <c r="AW110" s="37">
        <f t="shared" ca="1" si="144"/>
        <v>4361463.4277021484</v>
      </c>
      <c r="AX110" s="37">
        <f t="shared" ca="1" si="144"/>
        <v>4543558.9977700002</v>
      </c>
      <c r="AY110" s="37">
        <f t="shared" ca="1" si="144"/>
        <v>4731218.9860278219</v>
      </c>
      <c r="AZ110" s="37" t="e">
        <f t="shared" ca="1" si="144"/>
        <v>#N/A</v>
      </c>
      <c r="BA110" s="37" t="e">
        <f t="shared" ca="1" si="144"/>
        <v>#N/A</v>
      </c>
      <c r="BB110" s="37" t="e">
        <f t="shared" ca="1" si="144"/>
        <v>#N/A</v>
      </c>
    </row>
    <row r="111" spans="32:54" x14ac:dyDescent="0.25">
      <c r="AF111"/>
      <c r="AG111" s="1" t="s">
        <v>57</v>
      </c>
      <c r="AH111" s="1"/>
      <c r="AI111" s="37">
        <f t="shared" ca="1" si="144"/>
        <v>0</v>
      </c>
      <c r="AJ111" s="37">
        <f t="shared" ca="1" si="144"/>
        <v>0</v>
      </c>
      <c r="AK111" s="37">
        <f t="shared" ca="1" si="144"/>
        <v>0</v>
      </c>
      <c r="AL111" s="37">
        <f t="shared" ca="1" si="144"/>
        <v>0</v>
      </c>
      <c r="AM111" s="37">
        <f t="shared" ca="1" si="144"/>
        <v>0</v>
      </c>
      <c r="AN111" s="37">
        <f t="shared" ca="1" si="144"/>
        <v>0</v>
      </c>
      <c r="AO111" s="37">
        <f t="shared" ca="1" si="144"/>
        <v>0</v>
      </c>
      <c r="AP111" s="37">
        <f t="shared" ca="1" si="144"/>
        <v>0</v>
      </c>
      <c r="AQ111" s="37">
        <f t="shared" ca="1" si="144"/>
        <v>0</v>
      </c>
      <c r="AR111" s="37">
        <f t="shared" ca="1" si="144"/>
        <v>0</v>
      </c>
      <c r="AS111" s="37">
        <f t="shared" ca="1" si="144"/>
        <v>0</v>
      </c>
      <c r="AT111" s="37">
        <f t="shared" ca="1" si="144"/>
        <v>0</v>
      </c>
      <c r="AU111" s="37">
        <f t="shared" ca="1" si="144"/>
        <v>0</v>
      </c>
      <c r="AV111" s="37">
        <f t="shared" ca="1" si="144"/>
        <v>0</v>
      </c>
      <c r="AW111" s="37">
        <f t="shared" ca="1" si="144"/>
        <v>0</v>
      </c>
      <c r="AX111" s="37">
        <f t="shared" ca="1" si="144"/>
        <v>0</v>
      </c>
      <c r="AY111" s="37">
        <f t="shared" ca="1" si="144"/>
        <v>0</v>
      </c>
      <c r="AZ111" s="37" t="e">
        <f t="shared" ca="1" si="144"/>
        <v>#N/A</v>
      </c>
      <c r="BA111" s="37" t="e">
        <f t="shared" ca="1" si="144"/>
        <v>#N/A</v>
      </c>
      <c r="BB111" s="37" t="e">
        <f t="shared" ca="1" si="144"/>
        <v>#N/A</v>
      </c>
    </row>
    <row r="112" spans="32:54" x14ac:dyDescent="0.25">
      <c r="AF112"/>
      <c r="AG112" s="1" t="s">
        <v>59</v>
      </c>
      <c r="AH112" s="1"/>
      <c r="AI112" s="37">
        <f t="shared" ca="1" si="144"/>
        <v>0</v>
      </c>
      <c r="AJ112" s="37">
        <f ca="1">AJ93+AJ102</f>
        <v>0</v>
      </c>
      <c r="AK112" s="37">
        <f t="shared" ca="1" si="144"/>
        <v>0</v>
      </c>
      <c r="AL112" s="37">
        <f t="shared" ca="1" si="144"/>
        <v>0</v>
      </c>
      <c r="AM112" s="37">
        <f t="shared" ca="1" si="144"/>
        <v>0</v>
      </c>
      <c r="AN112" s="37">
        <f t="shared" ca="1" si="144"/>
        <v>0</v>
      </c>
      <c r="AO112" s="37">
        <f t="shared" ca="1" si="144"/>
        <v>0</v>
      </c>
      <c r="AP112" s="37">
        <f t="shared" ca="1" si="144"/>
        <v>0</v>
      </c>
      <c r="AQ112" s="37">
        <f t="shared" ca="1" si="144"/>
        <v>0</v>
      </c>
      <c r="AR112" s="37">
        <f t="shared" ca="1" si="144"/>
        <v>0</v>
      </c>
      <c r="AS112" s="37">
        <f t="shared" ca="1" si="144"/>
        <v>0</v>
      </c>
      <c r="AT112" s="37">
        <f t="shared" ca="1" si="144"/>
        <v>0</v>
      </c>
      <c r="AU112" s="37">
        <f t="shared" ca="1" si="144"/>
        <v>0</v>
      </c>
      <c r="AV112" s="37">
        <f t="shared" ca="1" si="144"/>
        <v>0</v>
      </c>
      <c r="AW112" s="37">
        <f t="shared" ca="1" si="144"/>
        <v>0</v>
      </c>
      <c r="AX112" s="37">
        <f t="shared" ca="1" si="144"/>
        <v>0</v>
      </c>
      <c r="AY112" s="37">
        <f t="shared" ca="1" si="144"/>
        <v>0</v>
      </c>
      <c r="AZ112" s="37" t="e">
        <f t="shared" ca="1" si="144"/>
        <v>#N/A</v>
      </c>
      <c r="BA112" s="37" t="e">
        <f t="shared" ca="1" si="144"/>
        <v>#N/A</v>
      </c>
      <c r="BB112" s="37" t="e">
        <f t="shared" ca="1" si="144"/>
        <v>#N/A</v>
      </c>
    </row>
    <row r="113" spans="32:54" x14ac:dyDescent="0.25">
      <c r="AF113"/>
      <c r="AG113" s="12" t="s">
        <v>60</v>
      </c>
      <c r="AH113" s="12"/>
      <c r="AI113" s="45">
        <f ca="1">SUM(AI108:AI112)</f>
        <v>6642977.71284803</v>
      </c>
      <c r="AJ113" s="45">
        <f ca="1">SUM(AJ108:AJ112)</f>
        <v>7161029.4871233273</v>
      </c>
      <c r="AK113" s="45">
        <f t="shared" ref="AK113:BB113" ca="1" si="145">SUM(AK108:AK112)</f>
        <v>7709946.566441413</v>
      </c>
      <c r="AL113" s="45">
        <f t="shared" ca="1" si="145"/>
        <v>8276096.3710566349</v>
      </c>
      <c r="AM113" s="45">
        <f t="shared" ca="1" si="145"/>
        <v>8886346.7651975472</v>
      </c>
      <c r="AN113" s="45">
        <f t="shared" ca="1" si="145"/>
        <v>9557424.6430864409</v>
      </c>
      <c r="AO113" s="45">
        <f t="shared" ca="1" si="145"/>
        <v>10298801.872512516</v>
      </c>
      <c r="AP113" s="45">
        <f t="shared" ca="1" si="145"/>
        <v>11061558.334466513</v>
      </c>
      <c r="AQ113" s="45">
        <f t="shared" ca="1" si="145"/>
        <v>11861573.323320221</v>
      </c>
      <c r="AR113" s="45">
        <f t="shared" ca="1" si="145"/>
        <v>12700083.838419164</v>
      </c>
      <c r="AS113" s="45">
        <f t="shared" ca="1" si="145"/>
        <v>13578929.566944718</v>
      </c>
      <c r="AT113" s="45">
        <f t="shared" ca="1" si="145"/>
        <v>14499596.110861657</v>
      </c>
      <c r="AU113" s="45">
        <f t="shared" ca="1" si="145"/>
        <v>15454207.476992399</v>
      </c>
      <c r="AV113" s="45">
        <f t="shared" ca="1" si="145"/>
        <v>16453383.666274846</v>
      </c>
      <c r="AW113" s="45">
        <f t="shared" ca="1" si="145"/>
        <v>17497376.040793151</v>
      </c>
      <c r="AX113" s="45">
        <f t="shared" ca="1" si="145"/>
        <v>18586173.625545379</v>
      </c>
      <c r="AY113" s="45">
        <f t="shared" ca="1" si="145"/>
        <v>19720036.281273063</v>
      </c>
      <c r="AZ113" s="45" t="e">
        <f t="shared" ca="1" si="145"/>
        <v>#N/A</v>
      </c>
      <c r="BA113" s="45" t="e">
        <f t="shared" ca="1" si="145"/>
        <v>#N/A</v>
      </c>
      <c r="BB113" s="45" t="e">
        <f t="shared" ca="1" si="145"/>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46">AJ116+1</f>
        <v>2021</v>
      </c>
      <c r="AL116" s="36">
        <f t="shared" si="146"/>
        <v>2022</v>
      </c>
      <c r="AM116" s="36">
        <f t="shared" si="146"/>
        <v>2023</v>
      </c>
      <c r="AN116" s="36">
        <f t="shared" si="146"/>
        <v>2024</v>
      </c>
      <c r="AO116" s="36">
        <f t="shared" si="146"/>
        <v>2025</v>
      </c>
      <c r="AP116" s="36">
        <f t="shared" si="146"/>
        <v>2026</v>
      </c>
      <c r="AQ116" s="36">
        <f t="shared" si="146"/>
        <v>2027</v>
      </c>
      <c r="AR116" s="36">
        <f t="shared" si="146"/>
        <v>2028</v>
      </c>
      <c r="AS116" s="36">
        <f t="shared" si="146"/>
        <v>2029</v>
      </c>
      <c r="AT116" s="36">
        <f t="shared" si="146"/>
        <v>2030</v>
      </c>
      <c r="AU116" s="36">
        <f t="shared" si="146"/>
        <v>2031</v>
      </c>
      <c r="AV116" s="36">
        <f t="shared" si="146"/>
        <v>2032</v>
      </c>
      <c r="AW116" s="36">
        <f t="shared" si="146"/>
        <v>2033</v>
      </c>
      <c r="AX116" s="36">
        <f t="shared" si="146"/>
        <v>2034</v>
      </c>
      <c r="AY116" s="36">
        <f t="shared" si="146"/>
        <v>2035</v>
      </c>
      <c r="AZ116" s="36">
        <f t="shared" si="146"/>
        <v>2036</v>
      </c>
      <c r="BA116" s="36">
        <f t="shared" si="146"/>
        <v>2037</v>
      </c>
      <c r="BB116" s="36">
        <f t="shared" si="146"/>
        <v>2038</v>
      </c>
    </row>
    <row r="117" spans="32:54" x14ac:dyDescent="0.25">
      <c r="AF117"/>
      <c r="AG117" s="1" t="s">
        <v>52</v>
      </c>
      <c r="AH117" s="1"/>
      <c r="AI117" s="37">
        <f ca="1">AI71+AI80</f>
        <v>963811.08477007388</v>
      </c>
      <c r="AJ117" s="37">
        <f t="shared" ref="AJ117:BB117" ca="1" si="147">AJ71+AJ80</f>
        <v>1069985.0807435964</v>
      </c>
      <c r="AK117" s="37">
        <f t="shared" ca="1" si="147"/>
        <v>1181113.3348700986</v>
      </c>
      <c r="AL117" s="37">
        <f t="shared" ca="1" si="147"/>
        <v>1298951.0205842317</v>
      </c>
      <c r="AM117" s="37">
        <f t="shared" ca="1" si="147"/>
        <v>1423609.4709994327</v>
      </c>
      <c r="AN117" s="37">
        <f t="shared" ca="1" si="147"/>
        <v>1555139.3360484701</v>
      </c>
      <c r="AO117" s="37">
        <f t="shared" ca="1" si="147"/>
        <v>1693655.2460847958</v>
      </c>
      <c r="AP117" s="37">
        <f t="shared" ca="1" si="147"/>
        <v>1838101.756618333</v>
      </c>
      <c r="AQ117" s="37">
        <f t="shared" ca="1" si="147"/>
        <v>1989982.1996350542</v>
      </c>
      <c r="AR117" s="37">
        <f t="shared" ca="1" si="147"/>
        <v>2149550.8935746518</v>
      </c>
      <c r="AS117" s="37">
        <f t="shared" ca="1" si="147"/>
        <v>2317165.933335769</v>
      </c>
      <c r="AT117" s="37">
        <f t="shared" ca="1" si="147"/>
        <v>2493128.4480928397</v>
      </c>
      <c r="AU117" s="37">
        <f t="shared" ca="1" si="147"/>
        <v>2676120.0534949461</v>
      </c>
      <c r="AV117" s="37">
        <f t="shared" ca="1" si="147"/>
        <v>2868004.8335234416</v>
      </c>
      <c r="AW117" s="37">
        <f t="shared" ca="1" si="147"/>
        <v>3068872.6627258076</v>
      </c>
      <c r="AX117" s="37">
        <f t="shared" ca="1" si="147"/>
        <v>3278762.9654891361</v>
      </c>
      <c r="AY117" s="37">
        <f t="shared" ca="1" si="147"/>
        <v>3497758.5987298414</v>
      </c>
      <c r="AZ117" s="37" t="e">
        <f t="shared" ca="1" si="147"/>
        <v>#N/A</v>
      </c>
      <c r="BA117" s="37" t="e">
        <f t="shared" ca="1" si="147"/>
        <v>#N/A</v>
      </c>
      <c r="BB117" s="37" t="e">
        <f t="shared" ca="1" si="147"/>
        <v>#N/A</v>
      </c>
    </row>
    <row r="118" spans="32:54" x14ac:dyDescent="0.25">
      <c r="AF118"/>
      <c r="AG118" s="1" t="s">
        <v>54</v>
      </c>
      <c r="AH118" s="1"/>
      <c r="AI118" s="37">
        <f t="shared" ref="AI118:BB121" ca="1" si="148">AI72+AI81</f>
        <v>50499.976383553003</v>
      </c>
      <c r="AJ118" s="37">
        <f t="shared" ca="1" si="148"/>
        <v>57047.615585655949</v>
      </c>
      <c r="AK118" s="37">
        <f t="shared" ca="1" si="148"/>
        <v>67027.547330106521</v>
      </c>
      <c r="AL118" s="37">
        <f t="shared" ca="1" si="148"/>
        <v>74318.394678163255</v>
      </c>
      <c r="AM118" s="37">
        <f t="shared" ca="1" si="148"/>
        <v>85641.673971844866</v>
      </c>
      <c r="AN118" s="37">
        <f t="shared" ca="1" si="148"/>
        <v>93859.917484832884</v>
      </c>
      <c r="AO118" s="37">
        <f t="shared" ca="1" si="148"/>
        <v>106370.56773946104</v>
      </c>
      <c r="AP118" s="37">
        <f t="shared" ca="1" si="148"/>
        <v>117663.77667261622</v>
      </c>
      <c r="AQ118" s="37">
        <f t="shared" ca="1" si="148"/>
        <v>129576.55699288656</v>
      </c>
      <c r="AR118" s="37">
        <f t="shared" ca="1" si="148"/>
        <v>142130.82766344681</v>
      </c>
      <c r="AS118" s="37">
        <f t="shared" ca="1" si="148"/>
        <v>155355.57025650359</v>
      </c>
      <c r="AT118" s="37">
        <f t="shared" ca="1" si="148"/>
        <v>169276.33630590804</v>
      </c>
      <c r="AU118" s="37">
        <f t="shared" ca="1" si="148"/>
        <v>183807.61766984698</v>
      </c>
      <c r="AV118" s="37">
        <f t="shared" ca="1" si="148"/>
        <v>199080.23043762197</v>
      </c>
      <c r="AW118" s="37">
        <f t="shared" ca="1" si="148"/>
        <v>215105.4905469426</v>
      </c>
      <c r="AX118" s="37">
        <f t="shared" ca="1" si="148"/>
        <v>231890.69145470843</v>
      </c>
      <c r="AY118" s="37">
        <f t="shared" ca="1" si="148"/>
        <v>249445.72508146905</v>
      </c>
      <c r="AZ118" s="37" t="e">
        <f t="shared" ca="1" si="148"/>
        <v>#N/A</v>
      </c>
      <c r="BA118" s="37" t="e">
        <f t="shared" ca="1" si="148"/>
        <v>#N/A</v>
      </c>
      <c r="BB118" s="37" t="e">
        <f t="shared" ca="1" si="148"/>
        <v>#N/A</v>
      </c>
    </row>
    <row r="119" spans="32:54" x14ac:dyDescent="0.25">
      <c r="AF119"/>
      <c r="AG119" s="1" t="s">
        <v>56</v>
      </c>
      <c r="AH119" s="1"/>
      <c r="AI119" s="37">
        <f t="shared" ca="1" si="148"/>
        <v>646433.36705838051</v>
      </c>
      <c r="AJ119" s="37">
        <f t="shared" ca="1" si="148"/>
        <v>663224.67545157962</v>
      </c>
      <c r="AK119" s="37">
        <f t="shared" ca="1" si="148"/>
        <v>679345.75941014802</v>
      </c>
      <c r="AL119" s="37">
        <f t="shared" ca="1" si="148"/>
        <v>695754.67750176357</v>
      </c>
      <c r="AM119" s="37">
        <f t="shared" ca="1" si="148"/>
        <v>712335.54632810922</v>
      </c>
      <c r="AN119" s="37">
        <f t="shared" ca="1" si="148"/>
        <v>740356.90723830741</v>
      </c>
      <c r="AO119" s="37">
        <f t="shared" ca="1" si="148"/>
        <v>774674.65430387179</v>
      </c>
      <c r="AP119" s="37">
        <f t="shared" ca="1" si="148"/>
        <v>809624.05032567924</v>
      </c>
      <c r="AQ119" s="37">
        <f t="shared" ca="1" si="148"/>
        <v>845834.57420211495</v>
      </c>
      <c r="AR119" s="37">
        <f t="shared" ca="1" si="148"/>
        <v>883339.23836669244</v>
      </c>
      <c r="AS119" s="37">
        <f t="shared" ca="1" si="148"/>
        <v>922210.88814390684</v>
      </c>
      <c r="AT119" s="37">
        <f t="shared" ca="1" si="148"/>
        <v>962494.24331666669</v>
      </c>
      <c r="AU119" s="37">
        <f t="shared" ca="1" si="148"/>
        <v>1003624.1980833067</v>
      </c>
      <c r="AV119" s="37">
        <f t="shared" ca="1" si="148"/>
        <v>1046260.8526076479</v>
      </c>
      <c r="AW119" s="37">
        <f t="shared" ca="1" si="148"/>
        <v>1090365.8569255371</v>
      </c>
      <c r="AX119" s="37">
        <f t="shared" ca="1" si="148"/>
        <v>1135889.7494425001</v>
      </c>
      <c r="AY119" s="37">
        <f t="shared" ca="1" si="148"/>
        <v>1182804.7465069555</v>
      </c>
      <c r="AZ119" s="37" t="e">
        <f t="shared" ca="1" si="148"/>
        <v>#N/A</v>
      </c>
      <c r="BA119" s="37" t="e">
        <f t="shared" ca="1" si="148"/>
        <v>#N/A</v>
      </c>
      <c r="BB119" s="37" t="e">
        <f t="shared" ca="1" si="148"/>
        <v>#N/A</v>
      </c>
    </row>
    <row r="120" spans="32:54" x14ac:dyDescent="0.25">
      <c r="AF120"/>
      <c r="AG120" s="1" t="s">
        <v>57</v>
      </c>
      <c r="AH120" s="1"/>
      <c r="AI120" s="37">
        <f t="shared" ca="1" si="148"/>
        <v>0</v>
      </c>
      <c r="AJ120" s="37">
        <f t="shared" ca="1" si="148"/>
        <v>0</v>
      </c>
      <c r="AK120" s="37">
        <f t="shared" ca="1" si="148"/>
        <v>0</v>
      </c>
      <c r="AL120" s="37">
        <f t="shared" ca="1" si="148"/>
        <v>0</v>
      </c>
      <c r="AM120" s="37">
        <f t="shared" ca="1" si="148"/>
        <v>0</v>
      </c>
      <c r="AN120" s="37">
        <f t="shared" ca="1" si="148"/>
        <v>0</v>
      </c>
      <c r="AO120" s="37">
        <f t="shared" ca="1" si="148"/>
        <v>0</v>
      </c>
      <c r="AP120" s="37">
        <f t="shared" ca="1" si="148"/>
        <v>0</v>
      </c>
      <c r="AQ120" s="37">
        <f t="shared" ca="1" si="148"/>
        <v>0</v>
      </c>
      <c r="AR120" s="37">
        <f t="shared" ca="1" si="148"/>
        <v>0</v>
      </c>
      <c r="AS120" s="37">
        <f t="shared" ca="1" si="148"/>
        <v>0</v>
      </c>
      <c r="AT120" s="37">
        <f t="shared" ca="1" si="148"/>
        <v>0</v>
      </c>
      <c r="AU120" s="37">
        <f t="shared" ca="1" si="148"/>
        <v>0</v>
      </c>
      <c r="AV120" s="37">
        <f t="shared" ca="1" si="148"/>
        <v>0</v>
      </c>
      <c r="AW120" s="37">
        <f t="shared" ca="1" si="148"/>
        <v>0</v>
      </c>
      <c r="AX120" s="37">
        <f t="shared" ca="1" si="148"/>
        <v>0</v>
      </c>
      <c r="AY120" s="37">
        <f t="shared" ca="1" si="148"/>
        <v>0</v>
      </c>
      <c r="AZ120" s="37" t="e">
        <f t="shared" ca="1" si="148"/>
        <v>#N/A</v>
      </c>
      <c r="BA120" s="37" t="e">
        <f t="shared" ca="1" si="148"/>
        <v>#N/A</v>
      </c>
      <c r="BB120" s="37" t="e">
        <f t="shared" ca="1" si="148"/>
        <v>#N/A</v>
      </c>
    </row>
    <row r="121" spans="32:54" x14ac:dyDescent="0.25">
      <c r="AF121"/>
      <c r="AG121" s="1" t="s">
        <v>59</v>
      </c>
      <c r="AH121" s="1"/>
      <c r="AI121" s="37">
        <f t="shared" ca="1" si="148"/>
        <v>0</v>
      </c>
      <c r="AJ121" s="37">
        <f t="shared" ca="1" si="148"/>
        <v>0</v>
      </c>
      <c r="AK121" s="37">
        <f t="shared" ca="1" si="148"/>
        <v>0</v>
      </c>
      <c r="AL121" s="37">
        <f t="shared" ca="1" si="148"/>
        <v>0</v>
      </c>
      <c r="AM121" s="37">
        <f t="shared" ca="1" si="148"/>
        <v>0</v>
      </c>
      <c r="AN121" s="37">
        <f t="shared" ca="1" si="148"/>
        <v>0</v>
      </c>
      <c r="AO121" s="37">
        <f t="shared" ca="1" si="148"/>
        <v>0</v>
      </c>
      <c r="AP121" s="37">
        <f t="shared" ca="1" si="148"/>
        <v>0</v>
      </c>
      <c r="AQ121" s="37">
        <f t="shared" ca="1" si="148"/>
        <v>0</v>
      </c>
      <c r="AR121" s="37">
        <f t="shared" ca="1" si="148"/>
        <v>0</v>
      </c>
      <c r="AS121" s="37">
        <f t="shared" ca="1" si="148"/>
        <v>0</v>
      </c>
      <c r="AT121" s="37">
        <f t="shared" ca="1" si="148"/>
        <v>0</v>
      </c>
      <c r="AU121" s="37">
        <f t="shared" ca="1" si="148"/>
        <v>0</v>
      </c>
      <c r="AV121" s="37">
        <f t="shared" ca="1" si="148"/>
        <v>0</v>
      </c>
      <c r="AW121" s="37">
        <f t="shared" ca="1" si="148"/>
        <v>0</v>
      </c>
      <c r="AX121" s="37">
        <f t="shared" ca="1" si="148"/>
        <v>0</v>
      </c>
      <c r="AY121" s="37">
        <f t="shared" ca="1" si="148"/>
        <v>0</v>
      </c>
      <c r="AZ121" s="37" t="e">
        <f t="shared" ca="1" si="148"/>
        <v>#N/A</v>
      </c>
      <c r="BA121" s="37" t="e">
        <f t="shared" ca="1" si="148"/>
        <v>#N/A</v>
      </c>
      <c r="BB121" s="37" t="e">
        <f t="shared" ca="1" si="148"/>
        <v>#N/A</v>
      </c>
    </row>
    <row r="122" spans="32:54" x14ac:dyDescent="0.25">
      <c r="AF122"/>
      <c r="AG122" s="12" t="s">
        <v>60</v>
      </c>
      <c r="AH122" s="12"/>
      <c r="AI122" s="45">
        <f ca="1">SUM(AI117:AI121)</f>
        <v>1660744.4282120075</v>
      </c>
      <c r="AJ122" s="45">
        <f ca="1">SUM(AJ117:AJ121)</f>
        <v>1790257.3717808318</v>
      </c>
      <c r="AK122" s="45">
        <f t="shared" ref="AK122:BB122" ca="1" si="149">SUM(AK117:AK121)</f>
        <v>1927486.6416103533</v>
      </c>
      <c r="AL122" s="45">
        <f t="shared" ca="1" si="149"/>
        <v>2069024.0927641587</v>
      </c>
      <c r="AM122" s="45">
        <f t="shared" ca="1" si="149"/>
        <v>2221586.6912993868</v>
      </c>
      <c r="AN122" s="45">
        <f t="shared" ca="1" si="149"/>
        <v>2389356.1607716102</v>
      </c>
      <c r="AO122" s="45">
        <f t="shared" ca="1" si="149"/>
        <v>2574700.4681281289</v>
      </c>
      <c r="AP122" s="45">
        <f t="shared" ca="1" si="149"/>
        <v>2765389.5836166283</v>
      </c>
      <c r="AQ122" s="45">
        <f t="shared" ca="1" si="149"/>
        <v>2965393.3308300553</v>
      </c>
      <c r="AR122" s="45">
        <f t="shared" ca="1" si="149"/>
        <v>3175020.9596047909</v>
      </c>
      <c r="AS122" s="45">
        <f t="shared" ca="1" si="149"/>
        <v>3394732.3917361796</v>
      </c>
      <c r="AT122" s="45">
        <f t="shared" ca="1" si="149"/>
        <v>3624899.0277154143</v>
      </c>
      <c r="AU122" s="45">
        <f t="shared" ca="1" si="149"/>
        <v>3863551.8692480996</v>
      </c>
      <c r="AV122" s="45">
        <f t="shared" ca="1" si="149"/>
        <v>4113345.9165687114</v>
      </c>
      <c r="AW122" s="45">
        <f t="shared" ca="1" si="149"/>
        <v>4374344.0101982877</v>
      </c>
      <c r="AX122" s="45">
        <f t="shared" ca="1" si="149"/>
        <v>4646543.4063863447</v>
      </c>
      <c r="AY122" s="45">
        <f t="shared" ca="1" si="149"/>
        <v>4930009.0703182658</v>
      </c>
      <c r="AZ122" s="45" t="e">
        <f t="shared" ca="1" si="149"/>
        <v>#N/A</v>
      </c>
      <c r="BA122" s="45" t="e">
        <f t="shared" ca="1" si="149"/>
        <v>#N/A</v>
      </c>
      <c r="BB122" s="45" t="e">
        <f t="shared" ca="1" si="149"/>
        <v>#N/A</v>
      </c>
    </row>
    <row r="123" spans="32:54" x14ac:dyDescent="0.25">
      <c r="AF123"/>
    </row>
  </sheetData>
  <conditionalFormatting sqref="AJ77">
    <cfRule type="cellIs" dxfId="58" priority="10" operator="equal">
      <formula>"Check"</formula>
    </cfRule>
  </conditionalFormatting>
  <conditionalFormatting sqref="AK77:BB77">
    <cfRule type="cellIs" dxfId="57" priority="14" operator="equal">
      <formula>"Check"</formula>
    </cfRule>
  </conditionalFormatting>
  <conditionalFormatting sqref="AK86:BB86">
    <cfRule type="cellIs" dxfId="56" priority="13" operator="equal">
      <formula>"Check"</formula>
    </cfRule>
  </conditionalFormatting>
  <conditionalFormatting sqref="AK95:BB95">
    <cfRule type="cellIs" dxfId="55" priority="12" operator="equal">
      <formula>"Check"</formula>
    </cfRule>
  </conditionalFormatting>
  <conditionalFormatting sqref="AK104:BB104">
    <cfRule type="cellIs" dxfId="54" priority="11" operator="equal">
      <formula>"Check"</formula>
    </cfRule>
  </conditionalFormatting>
  <conditionalFormatting sqref="AI77">
    <cfRule type="cellIs" dxfId="53" priority="9" operator="equal">
      <formula>"Check"</formula>
    </cfRule>
  </conditionalFormatting>
  <conditionalFormatting sqref="AI86:AJ86">
    <cfRule type="cellIs" dxfId="52" priority="8" operator="equal">
      <formula>"Check"</formula>
    </cfRule>
  </conditionalFormatting>
  <conditionalFormatting sqref="K11:AE11 K21:AE21 K31:AE31 K41:AE41 K51:AE51 K61:AE61">
    <cfRule type="expression" dxfId="51" priority="7">
      <formula>K11&gt;1</formula>
    </cfRule>
  </conditionalFormatting>
  <conditionalFormatting sqref="J11">
    <cfRule type="expression" dxfId="50" priority="6">
      <formula>J11&gt;1</formula>
    </cfRule>
  </conditionalFormatting>
  <conditionalFormatting sqref="J21">
    <cfRule type="expression" dxfId="49" priority="5">
      <formula>J21&gt;1</formula>
    </cfRule>
  </conditionalFormatting>
  <conditionalFormatting sqref="J31">
    <cfRule type="expression" dxfId="48" priority="4">
      <formula>J31&gt;1</formula>
    </cfRule>
  </conditionalFormatting>
  <conditionalFormatting sqref="J41">
    <cfRule type="expression" dxfId="47" priority="3">
      <formula>J41&gt;1</formula>
    </cfRule>
  </conditionalFormatting>
  <conditionalFormatting sqref="J51">
    <cfRule type="expression" dxfId="46" priority="2">
      <formula>J51&gt;1</formula>
    </cfRule>
  </conditionalFormatting>
  <conditionalFormatting sqref="J61">
    <cfRule type="expression" dxfId="45" priority="1">
      <formula>J61&gt;1</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M13" zoomScale="70" zoomScaleNormal="70" workbookViewId="0">
      <selection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5.28515625" bestFit="1"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 min="33" max="33" width="16.28515625" customWidth="1"/>
  </cols>
  <sheetData>
    <row r="1" spans="1:54" x14ac:dyDescent="0.25">
      <c r="A1" s="6" t="s">
        <v>22</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127"/>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Injectable_Base!C5</f>
        <v>9.9697999999999991E-3</v>
      </c>
      <c r="D5" s="14">
        <f ca="1">Injectable_Base!D5</f>
        <v>3.09257E-2</v>
      </c>
      <c r="E5" s="14">
        <f ca="1">IF('User Settings'!$N$7="On",($D5-$C5)/($D$4-$C$4),0)</f>
        <v>4.1911800000000001E-3</v>
      </c>
      <c r="F5" s="14">
        <f ca="1">Injectable_Base!F5</f>
        <v>4.3499240000000002E-2</v>
      </c>
      <c r="G5" s="1" t="str">
        <f>"Shift_UrbQ1"&amp;IF(Dashboard!$Q$4="Yes",$A$1,"")</f>
        <v>Shift_UrbQ1</v>
      </c>
      <c r="H5" s="14">
        <f ca="1">Injectable_Base!H5*(1-INDIRECT($G5))</f>
        <v>2.8036390000000001E-2</v>
      </c>
      <c r="I5" s="14">
        <f t="shared" ref="I5:I10" ca="1" si="4">($H5-$F5)/($H$4-$F$4)</f>
        <v>-5.1542833333333331E-3</v>
      </c>
      <c r="J5" s="14">
        <f ca="1">K5-E5</f>
        <v>3.9308059999999999E-2</v>
      </c>
      <c r="K5" s="14">
        <f ca="1">MAX(0,MIN(1,D5+(K$4-D$4)*E5))</f>
        <v>4.3499240000000002E-2</v>
      </c>
      <c r="L5" s="15">
        <f ca="1">MAX(0,MIN(1,K5+$I5))</f>
        <v>3.8344956666666666E-2</v>
      </c>
      <c r="M5" s="15">
        <f t="shared" ref="M5:AD5" ca="1" si="5">MAX(0,MIN(1,L5+$I5))</f>
        <v>3.319067333333333E-2</v>
      </c>
      <c r="N5" s="15">
        <f ca="1">MAX(0,MIN(1,M5+$I5))</f>
        <v>2.8036389999999998E-2</v>
      </c>
      <c r="O5" s="15">
        <f t="shared" ca="1" si="5"/>
        <v>2.2882106666666666E-2</v>
      </c>
      <c r="P5" s="15">
        <f t="shared" ca="1" si="5"/>
        <v>1.7727823333333333E-2</v>
      </c>
      <c r="Q5" s="15">
        <f t="shared" ca="1" si="5"/>
        <v>1.2573540000000001E-2</v>
      </c>
      <c r="R5" s="15">
        <f t="shared" ca="1" si="5"/>
        <v>7.419256666666668E-3</v>
      </c>
      <c r="S5" s="15">
        <f t="shared" ca="1" si="5"/>
        <v>2.2649733333333349E-3</v>
      </c>
      <c r="T5" s="15">
        <f t="shared" ca="1" si="5"/>
        <v>0</v>
      </c>
      <c r="U5" s="15">
        <f t="shared" ca="1" si="5"/>
        <v>0</v>
      </c>
      <c r="V5" s="15">
        <f t="shared" ca="1" si="5"/>
        <v>0</v>
      </c>
      <c r="W5" s="15">
        <f t="shared" ca="1" si="5"/>
        <v>0</v>
      </c>
      <c r="X5" s="15">
        <f t="shared" ca="1" si="5"/>
        <v>0</v>
      </c>
      <c r="Y5" s="15">
        <f t="shared" ca="1" si="5"/>
        <v>0</v>
      </c>
      <c r="Z5" s="15">
        <f t="shared" ca="1" si="5"/>
        <v>0</v>
      </c>
      <c r="AA5" s="15">
        <f t="shared" ca="1" si="5"/>
        <v>0</v>
      </c>
      <c r="AB5" s="15">
        <f t="shared" ca="1" si="5"/>
        <v>0</v>
      </c>
      <c r="AC5" s="15">
        <f t="shared" ca="1" si="5"/>
        <v>0</v>
      </c>
      <c r="AD5" s="15">
        <f t="shared" ca="1" si="5"/>
        <v>0</v>
      </c>
      <c r="AE5" s="5"/>
      <c r="AG5" s="1" t="s">
        <v>52</v>
      </c>
      <c r="AH5" s="37">
        <f ca="1">J5*AH$11</f>
        <v>25226.767084536827</v>
      </c>
      <c r="AI5" s="37">
        <f t="shared" ref="AI5:AI10" ca="1" si="6">K5*AI$11</f>
        <v>28990.086490916889</v>
      </c>
      <c r="AJ5" s="37">
        <f t="shared" ref="AJ5:AS10" ca="1" si="7">L5*AJ$11</f>
        <v>26531.921388150822</v>
      </c>
      <c r="AK5" s="37">
        <f t="shared" ca="1" si="7"/>
        <v>23808.078521600291</v>
      </c>
      <c r="AL5" s="37">
        <f t="shared" ca="1" si="7"/>
        <v>20848.591964481664</v>
      </c>
      <c r="AM5" s="37">
        <f t="shared" ca="1" si="7"/>
        <v>17637.020627161914</v>
      </c>
      <c r="AN5" s="37">
        <f t="shared" ca="1" si="7"/>
        <v>14158.576227291993</v>
      </c>
      <c r="AO5" s="37">
        <f t="shared" ca="1" si="7"/>
        <v>10401.248299130657</v>
      </c>
      <c r="AP5" s="37">
        <f t="shared" ca="1" si="7"/>
        <v>6350.1250829427254</v>
      </c>
      <c r="AQ5" s="37">
        <f t="shared" ca="1" si="7"/>
        <v>2005.2128572119211</v>
      </c>
      <c r="AR5" s="37">
        <f t="shared" ca="1" si="7"/>
        <v>0</v>
      </c>
      <c r="AS5" s="37">
        <f t="shared" ca="1" si="7"/>
        <v>0</v>
      </c>
      <c r="AT5" s="37">
        <f t="shared" ref="AT5:BB10" ca="1" si="8">V5*AT$11</f>
        <v>0</v>
      </c>
      <c r="AU5" s="37">
        <f t="shared" ca="1" si="8"/>
        <v>0</v>
      </c>
      <c r="AV5" s="37">
        <f t="shared" ca="1" si="8"/>
        <v>0</v>
      </c>
      <c r="AW5" s="37">
        <f t="shared" ca="1" si="8"/>
        <v>0</v>
      </c>
      <c r="AX5" s="37">
        <f t="shared" ca="1" si="8"/>
        <v>0</v>
      </c>
      <c r="AY5" s="37">
        <f t="shared" ca="1" si="8"/>
        <v>0</v>
      </c>
      <c r="AZ5" s="37" t="e">
        <f t="shared" ca="1" si="8"/>
        <v>#N/A</v>
      </c>
      <c r="BA5" s="37" t="e">
        <f t="shared" ca="1" si="8"/>
        <v>#N/A</v>
      </c>
      <c r="BB5" s="37" t="e">
        <f t="shared" ca="1" si="8"/>
        <v>#N/A</v>
      </c>
    </row>
    <row r="6" spans="1:54" x14ac:dyDescent="0.25">
      <c r="B6" s="1" t="s">
        <v>54</v>
      </c>
      <c r="C6" s="14">
        <f ca="1">Injectable_Base!C6</f>
        <v>0</v>
      </c>
      <c r="D6" s="14">
        <f ca="1">Injectable_Base!D6</f>
        <v>2.2753000000000001E-3</v>
      </c>
      <c r="E6" s="14">
        <f ca="1">IF('User Settings'!$N$7="On",($D6-$C6)/($D$4-$C$4),0)</f>
        <v>4.5506000000000002E-4</v>
      </c>
      <c r="F6" s="14">
        <f ca="1">Injectable_Base!F6</f>
        <v>3.6404800000000002E-3</v>
      </c>
      <c r="G6" s="1" t="str">
        <f>"Shift_UrbQ1"&amp;IF(Dashboard!$Q$4="Yes",$A$1,"")</f>
        <v>Shift_UrbQ1</v>
      </c>
      <c r="H6" s="14">
        <f ca="1">Injectable_Base!H6*(1-INDIRECT($G6))</f>
        <v>2.5028300000000002E-3</v>
      </c>
      <c r="I6" s="14">
        <f t="shared" ca="1" si="4"/>
        <v>-3.7921666666666668E-4</v>
      </c>
      <c r="J6" s="14">
        <f t="shared" ref="J6:J10" ca="1" si="9">K6-E6</f>
        <v>3.18542E-3</v>
      </c>
      <c r="K6" s="14">
        <f t="shared" ref="K6:K10" ca="1" si="10">MAX(0,MIN(1,D6+(K$4-D$4)*E6))</f>
        <v>3.6404800000000002E-3</v>
      </c>
      <c r="L6" s="15">
        <f t="shared" ref="L6:AD10" ca="1" si="11">MAX(0,MIN(1,K6+$I6))</f>
        <v>3.2612633333333335E-3</v>
      </c>
      <c r="M6" s="15">
        <f t="shared" ca="1" si="11"/>
        <v>2.8820466666666668E-3</v>
      </c>
      <c r="N6" s="15">
        <f t="shared" ca="1" si="11"/>
        <v>2.5028300000000002E-3</v>
      </c>
      <c r="O6" s="15">
        <f t="shared" ca="1" si="11"/>
        <v>2.1236133333333335E-3</v>
      </c>
      <c r="P6" s="15">
        <f t="shared" ca="1" si="11"/>
        <v>1.7443966666666668E-3</v>
      </c>
      <c r="Q6" s="15">
        <f t="shared" ca="1" si="11"/>
        <v>1.3651800000000001E-3</v>
      </c>
      <c r="R6" s="15">
        <f t="shared" ca="1" si="11"/>
        <v>9.8596333333333345E-4</v>
      </c>
      <c r="S6" s="15">
        <f t="shared" ca="1" si="11"/>
        <v>6.0674666666666677E-4</v>
      </c>
      <c r="T6" s="15">
        <f t="shared" ca="1" si="11"/>
        <v>2.2753000000000009E-4</v>
      </c>
      <c r="U6" s="15">
        <f t="shared" ca="1" si="11"/>
        <v>0</v>
      </c>
      <c r="V6" s="15">
        <f t="shared" ca="1" si="11"/>
        <v>0</v>
      </c>
      <c r="W6" s="15">
        <f t="shared" ca="1" si="11"/>
        <v>0</v>
      </c>
      <c r="X6" s="15">
        <f t="shared" ca="1" si="11"/>
        <v>0</v>
      </c>
      <c r="Y6" s="15">
        <f t="shared" ca="1" si="11"/>
        <v>0</v>
      </c>
      <c r="Z6" s="15">
        <f t="shared" ca="1" si="11"/>
        <v>0</v>
      </c>
      <c r="AA6" s="15">
        <f t="shared" ca="1" si="11"/>
        <v>0</v>
      </c>
      <c r="AB6" s="15">
        <f t="shared" ca="1" si="11"/>
        <v>0</v>
      </c>
      <c r="AC6" s="15">
        <f t="shared" ca="1" si="11"/>
        <v>0</v>
      </c>
      <c r="AD6" s="15">
        <f t="shared" ca="1" si="11"/>
        <v>0</v>
      </c>
      <c r="AE6" s="5"/>
      <c r="AG6" s="1" t="s">
        <v>54</v>
      </c>
      <c r="AH6" s="37">
        <f t="shared" ref="AH6:AH10" ca="1" si="12">J6*AH$11</f>
        <v>2044.3097015325941</v>
      </c>
      <c r="AI6" s="37">
        <f t="shared" ca="1" si="6"/>
        <v>2426.199401839046</v>
      </c>
      <c r="AJ6" s="37">
        <f t="shared" ca="1" si="7"/>
        <v>2256.5570522935882</v>
      </c>
      <c r="AK6" s="37">
        <f t="shared" ca="1" si="7"/>
        <v>2067.3275487305486</v>
      </c>
      <c r="AL6" s="37">
        <f t="shared" ca="1" si="7"/>
        <v>1861.1697663808948</v>
      </c>
      <c r="AM6" s="37">
        <f t="shared" ca="1" si="7"/>
        <v>1636.8340865518824</v>
      </c>
      <c r="AN6" s="37">
        <f t="shared" ca="1" si="7"/>
        <v>1393.1870095520692</v>
      </c>
      <c r="AO6" s="37">
        <f t="shared" ca="1" si="7"/>
        <v>1129.3220646697102</v>
      </c>
      <c r="AP6" s="37">
        <f t="shared" ca="1" si="7"/>
        <v>843.88379795394849</v>
      </c>
      <c r="AQ6" s="37">
        <f t="shared" ca="1" si="7"/>
        <v>537.16138692014408</v>
      </c>
      <c r="AR6" s="37">
        <f t="shared" ca="1" si="7"/>
        <v>208.3024080665424</v>
      </c>
      <c r="AS6" s="37">
        <f t="shared" ca="1" si="7"/>
        <v>0</v>
      </c>
      <c r="AT6" s="37">
        <f t="shared" ca="1" si="8"/>
        <v>0</v>
      </c>
      <c r="AU6" s="37">
        <f t="shared" ca="1" si="8"/>
        <v>0</v>
      </c>
      <c r="AV6" s="37">
        <f t="shared" ca="1" si="8"/>
        <v>0</v>
      </c>
      <c r="AW6" s="37">
        <f t="shared" ca="1" si="8"/>
        <v>0</v>
      </c>
      <c r="AX6" s="37">
        <f t="shared" ca="1" si="8"/>
        <v>0</v>
      </c>
      <c r="AY6" s="37">
        <f t="shared" ca="1" si="8"/>
        <v>0</v>
      </c>
      <c r="AZ6" s="37" t="e">
        <f t="shared" ca="1" si="8"/>
        <v>#N/A</v>
      </c>
      <c r="BA6" s="37" t="e">
        <f t="shared" ca="1" si="8"/>
        <v>#N/A</v>
      </c>
      <c r="BB6" s="37" t="e">
        <f t="shared" ca="1" si="8"/>
        <v>#N/A</v>
      </c>
    </row>
    <row r="7" spans="1:54" x14ac:dyDescent="0.25">
      <c r="B7" s="1" t="s">
        <v>170</v>
      </c>
      <c r="C7" s="14">
        <f ca="1">Injectable_Base!C7</f>
        <v>0</v>
      </c>
      <c r="D7" s="14">
        <f ca="1">Injectable_Base!D7</f>
        <v>0</v>
      </c>
      <c r="E7" s="14">
        <f ca="1">IF('User Settings'!$N$7="On",($D7-$C7)/($D$4-$C$4),0)</f>
        <v>0</v>
      </c>
      <c r="F7" s="14">
        <f ca="1">Injectable_Base!F7</f>
        <v>0</v>
      </c>
      <c r="G7" s="1" t="str">
        <f>"Shift_UrbQ1"&amp;IF(Dashboard!$Q$4="Yes",$A$1,"")</f>
        <v>Shift_UrbQ1</v>
      </c>
      <c r="H7" s="14">
        <f ca="1">Injectable_Base!H7*(1-INDIRECT($G7))</f>
        <v>0</v>
      </c>
      <c r="I7" s="14">
        <f t="shared" ca="1" si="4"/>
        <v>0</v>
      </c>
      <c r="J7" s="14">
        <f t="shared" ca="1" si="9"/>
        <v>0</v>
      </c>
      <c r="K7" s="14">
        <f t="shared" ca="1" si="10"/>
        <v>0</v>
      </c>
      <c r="L7" s="15">
        <f t="shared" ca="1" si="11"/>
        <v>0</v>
      </c>
      <c r="M7" s="15">
        <f t="shared" ca="1" si="11"/>
        <v>0</v>
      </c>
      <c r="N7" s="15">
        <f t="shared" ca="1" si="11"/>
        <v>0</v>
      </c>
      <c r="O7" s="15">
        <f t="shared" ca="1" si="11"/>
        <v>0</v>
      </c>
      <c r="P7" s="15">
        <f t="shared" ca="1" si="11"/>
        <v>0</v>
      </c>
      <c r="Q7" s="15">
        <f t="shared" ca="1" si="11"/>
        <v>0</v>
      </c>
      <c r="R7" s="15">
        <f t="shared" ca="1" si="11"/>
        <v>0</v>
      </c>
      <c r="S7" s="15">
        <f t="shared" ca="1" si="11"/>
        <v>0</v>
      </c>
      <c r="T7" s="15">
        <f t="shared" ca="1" si="11"/>
        <v>0</v>
      </c>
      <c r="U7" s="15">
        <f t="shared" ca="1" si="11"/>
        <v>0</v>
      </c>
      <c r="V7" s="15">
        <f t="shared" ca="1" si="11"/>
        <v>0</v>
      </c>
      <c r="W7" s="15">
        <f t="shared" ca="1" si="11"/>
        <v>0</v>
      </c>
      <c r="X7" s="15">
        <f t="shared" ca="1" si="11"/>
        <v>0</v>
      </c>
      <c r="Y7" s="15">
        <f t="shared" ca="1" si="11"/>
        <v>0</v>
      </c>
      <c r="Z7" s="15">
        <f t="shared" ca="1" si="11"/>
        <v>0</v>
      </c>
      <c r="AA7" s="15">
        <f t="shared" ca="1" si="11"/>
        <v>0</v>
      </c>
      <c r="AB7" s="15">
        <f t="shared" ca="1" si="11"/>
        <v>0</v>
      </c>
      <c r="AC7" s="15">
        <f t="shared" ca="1" si="11"/>
        <v>0</v>
      </c>
      <c r="AD7" s="15">
        <f t="shared" ca="1" si="11"/>
        <v>0</v>
      </c>
      <c r="AE7" s="5"/>
      <c r="AG7" s="1" t="s">
        <v>170</v>
      </c>
      <c r="AH7" s="37">
        <f t="shared" ca="1" si="12"/>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Injectable_Base!C8</f>
        <v>5.0159299999999997E-2</v>
      </c>
      <c r="D8" s="14">
        <f ca="1">Injectable_Base!D8</f>
        <v>7.0752300000000004E-2</v>
      </c>
      <c r="E8" s="14">
        <f ca="1">IF('User Settings'!$N$7="On",($D8-$C8)/($D$4-$C$4),0)</f>
        <v>4.1186000000000018E-3</v>
      </c>
      <c r="F8" s="14">
        <f ca="1">Injectable_Base!F8</f>
        <v>8.3108100000000004E-2</v>
      </c>
      <c r="H8" s="14">
        <f ca="1">H11-SUM($H5:$H7,$H9:$H10)</f>
        <v>0.12600312000000002</v>
      </c>
      <c r="I8" s="14">
        <f t="shared" ca="1" si="4"/>
        <v>1.4298340000000007E-2</v>
      </c>
      <c r="J8" s="14">
        <f t="shared" ca="1" si="9"/>
        <v>7.8989500000000004E-2</v>
      </c>
      <c r="K8" s="14">
        <f t="shared" ca="1" si="10"/>
        <v>8.3108100000000004E-2</v>
      </c>
      <c r="L8" s="15">
        <f t="shared" ca="1" si="11"/>
        <v>9.7406440000000011E-2</v>
      </c>
      <c r="M8" s="15">
        <f t="shared" ca="1" si="11"/>
        <v>0.11170478000000002</v>
      </c>
      <c r="N8" s="15">
        <f t="shared" ca="1" si="11"/>
        <v>0.12600312000000002</v>
      </c>
      <c r="O8" s="15">
        <f t="shared" ca="1" si="11"/>
        <v>0.14030146000000004</v>
      </c>
      <c r="P8" s="15">
        <f t="shared" ca="1" si="11"/>
        <v>0.15459980000000006</v>
      </c>
      <c r="Q8" s="15">
        <f t="shared" ca="1" si="11"/>
        <v>0.16889814000000009</v>
      </c>
      <c r="R8" s="15">
        <f t="shared" ca="1" si="11"/>
        <v>0.18319648000000011</v>
      </c>
      <c r="S8" s="15">
        <f t="shared" ca="1" si="11"/>
        <v>0.19749482000000013</v>
      </c>
      <c r="T8" s="15">
        <f t="shared" ca="1" si="11"/>
        <v>0.21179316000000015</v>
      </c>
      <c r="U8" s="15">
        <f t="shared" ca="1" si="11"/>
        <v>0.22609150000000017</v>
      </c>
      <c r="V8" s="15">
        <f t="shared" ca="1" si="11"/>
        <v>0.24038984000000019</v>
      </c>
      <c r="W8" s="15">
        <f t="shared" ca="1" si="11"/>
        <v>0.25468818000000021</v>
      </c>
      <c r="X8" s="15">
        <f t="shared" ca="1" si="11"/>
        <v>0.26898652000000023</v>
      </c>
      <c r="Y8" s="15">
        <f t="shared" ca="1" si="11"/>
        <v>0.28328486000000025</v>
      </c>
      <c r="Z8" s="15">
        <f t="shared" ca="1" si="11"/>
        <v>0.29758320000000027</v>
      </c>
      <c r="AA8" s="15">
        <f t="shared" ca="1" si="11"/>
        <v>0.31188154000000029</v>
      </c>
      <c r="AB8" s="15">
        <f t="shared" ca="1" si="11"/>
        <v>0.32617988000000031</v>
      </c>
      <c r="AC8" s="15">
        <f t="shared" ca="1" si="11"/>
        <v>0.34047822000000033</v>
      </c>
      <c r="AD8" s="15">
        <f t="shared" ca="1" si="11"/>
        <v>0.35477656000000035</v>
      </c>
      <c r="AE8" s="5"/>
      <c r="AG8" s="1" t="s">
        <v>59</v>
      </c>
      <c r="AH8" s="37">
        <f t="shared" ca="1" si="12"/>
        <v>50693.158569108266</v>
      </c>
      <c r="AI8" s="37">
        <f t="shared" ca="1" si="6"/>
        <v>55387.427621626717</v>
      </c>
      <c r="AJ8" s="37">
        <f t="shared" ca="1" si="7"/>
        <v>67398.172626603482</v>
      </c>
      <c r="AK8" s="37">
        <f t="shared" ca="1" si="7"/>
        <v>80127.213653336148</v>
      </c>
      <c r="AL8" s="37">
        <f t="shared" ca="1" si="7"/>
        <v>93699.211458094986</v>
      </c>
      <c r="AM8" s="37">
        <f t="shared" ca="1" si="7"/>
        <v>108141.2555272125</v>
      </c>
      <c r="AN8" s="37">
        <f t="shared" ca="1" si="7"/>
        <v>123473.31152089724</v>
      </c>
      <c r="AO8" s="37">
        <f t="shared" ca="1" si="7"/>
        <v>139718.12961197342</v>
      </c>
      <c r="AP8" s="37">
        <f t="shared" ca="1" si="7"/>
        <v>156797.45492313235</v>
      </c>
      <c r="AQ8" s="37">
        <f t="shared" ca="1" si="7"/>
        <v>174844.95135928932</v>
      </c>
      <c r="AR8" s="37">
        <f t="shared" ca="1" si="7"/>
        <v>193895.42143903009</v>
      </c>
      <c r="AS8" s="37">
        <f t="shared" ca="1" si="7"/>
        <v>213993.49533778385</v>
      </c>
      <c r="AT8" s="37">
        <f t="shared" ca="1" si="8"/>
        <v>235179.44720181075</v>
      </c>
      <c r="AU8" s="37">
        <f t="shared" ca="1" si="8"/>
        <v>257338.2253905102</v>
      </c>
      <c r="AV8" s="37">
        <f t="shared" ca="1" si="8"/>
        <v>280655.55029944709</v>
      </c>
      <c r="AW8" s="37">
        <f t="shared" ca="1" si="8"/>
        <v>305152.01923255355</v>
      </c>
      <c r="AX8" s="37">
        <f t="shared" ca="1" si="8"/>
        <v>330842.08260659891</v>
      </c>
      <c r="AY8" s="37">
        <f t="shared" ca="1" si="8"/>
        <v>357743.47317548358</v>
      </c>
      <c r="AZ8" s="37" t="e">
        <f t="shared" ca="1" si="8"/>
        <v>#N/A</v>
      </c>
      <c r="BA8" s="37" t="e">
        <f t="shared" ca="1" si="8"/>
        <v>#N/A</v>
      </c>
      <c r="BB8" s="37" t="e">
        <f t="shared" ca="1" si="8"/>
        <v>#N/A</v>
      </c>
    </row>
    <row r="9" spans="1:54" x14ac:dyDescent="0.25">
      <c r="B9" s="1" t="s">
        <v>171</v>
      </c>
      <c r="C9" s="14">
        <f ca="1">Injectable_Base!C9</f>
        <v>0</v>
      </c>
      <c r="D9" s="14">
        <f ca="1">Injectable_Base!D9</f>
        <v>0</v>
      </c>
      <c r="E9" s="14">
        <f ca="1">IF('User Settings'!$N$7="On",($D9-$C9)/($D$4-$C$4),0)</f>
        <v>0</v>
      </c>
      <c r="F9" s="14">
        <f ca="1">Injectable_Base!F9</f>
        <v>0</v>
      </c>
      <c r="G9" s="1"/>
      <c r="H9" s="14">
        <f ca="1">Injectable_Base!H9</f>
        <v>0</v>
      </c>
      <c r="I9" s="14">
        <f t="shared" ca="1" si="4"/>
        <v>0</v>
      </c>
      <c r="J9" s="14">
        <f t="shared" ca="1" si="9"/>
        <v>0</v>
      </c>
      <c r="K9" s="14">
        <f t="shared" ca="1" si="10"/>
        <v>0</v>
      </c>
      <c r="L9" s="15">
        <f t="shared" ca="1" si="11"/>
        <v>0</v>
      </c>
      <c r="M9" s="15">
        <f t="shared" ca="1" si="11"/>
        <v>0</v>
      </c>
      <c r="N9" s="15">
        <f t="shared" ca="1" si="11"/>
        <v>0</v>
      </c>
      <c r="O9" s="15">
        <f t="shared" ca="1" si="11"/>
        <v>0</v>
      </c>
      <c r="P9" s="15">
        <f t="shared" ca="1" si="11"/>
        <v>0</v>
      </c>
      <c r="Q9" s="15">
        <f t="shared" ca="1" si="11"/>
        <v>0</v>
      </c>
      <c r="R9" s="15">
        <f t="shared" ca="1" si="11"/>
        <v>0</v>
      </c>
      <c r="S9" s="15">
        <f t="shared" ca="1" si="11"/>
        <v>0</v>
      </c>
      <c r="T9" s="15">
        <f t="shared" ca="1" si="11"/>
        <v>0</v>
      </c>
      <c r="U9" s="15">
        <f t="shared" ca="1" si="11"/>
        <v>0</v>
      </c>
      <c r="V9" s="15">
        <f t="shared" ca="1" si="11"/>
        <v>0</v>
      </c>
      <c r="W9" s="15">
        <f t="shared" ca="1" si="11"/>
        <v>0</v>
      </c>
      <c r="X9" s="15">
        <f t="shared" ca="1" si="11"/>
        <v>0</v>
      </c>
      <c r="Y9" s="15">
        <f t="shared" ca="1" si="11"/>
        <v>0</v>
      </c>
      <c r="Z9" s="15">
        <f t="shared" ca="1" si="11"/>
        <v>0</v>
      </c>
      <c r="AA9" s="15">
        <f t="shared" ca="1" si="11"/>
        <v>0</v>
      </c>
      <c r="AB9" s="15">
        <f t="shared" ca="1" si="11"/>
        <v>0</v>
      </c>
      <c r="AC9" s="15">
        <f t="shared" ca="1" si="11"/>
        <v>0</v>
      </c>
      <c r="AD9" s="15">
        <f t="shared" ca="1" si="11"/>
        <v>0</v>
      </c>
      <c r="AE9" s="5"/>
      <c r="AG9" s="1" t="s">
        <v>171</v>
      </c>
      <c r="AH9" s="37">
        <f t="shared" ca="1" si="12"/>
        <v>0</v>
      </c>
      <c r="AI9" s="37">
        <f t="shared" ca="1" si="6"/>
        <v>0</v>
      </c>
      <c r="AJ9" s="37">
        <f t="shared" ca="1" si="7"/>
        <v>0</v>
      </c>
      <c r="AK9" s="37">
        <f t="shared" ca="1" si="7"/>
        <v>0</v>
      </c>
      <c r="AL9" s="37">
        <f t="shared" ca="1" si="7"/>
        <v>0</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Injectable_Base!C10</f>
        <v>1.5491000000000001E-3</v>
      </c>
      <c r="D10" s="14">
        <f ca="1">Injectable_Base!D10</f>
        <v>0</v>
      </c>
      <c r="E10" s="14">
        <f ca="1">IF('User Settings'!$N$7="On",($D10-$C10)/($D$4-$C$4),0)</f>
        <v>-3.0982000000000004E-4</v>
      </c>
      <c r="F10" s="14">
        <f ca="1">Injectable_Base!F10</f>
        <v>0</v>
      </c>
      <c r="G10" s="1" t="str">
        <f>"Shift_UrbQ1"&amp;IF(Dashboard!$Q$4="Yes",$A$1,"")</f>
        <v>Shift_UrbQ1</v>
      </c>
      <c r="H10" s="14">
        <f ca="1">Injectable_Base!H10*(1-INDIRECT($G10))</f>
        <v>0</v>
      </c>
      <c r="I10" s="14">
        <f t="shared" ca="1" si="4"/>
        <v>0</v>
      </c>
      <c r="J10" s="14">
        <f t="shared" ca="1" si="9"/>
        <v>3.0982000000000004E-4</v>
      </c>
      <c r="K10" s="14">
        <f t="shared" ca="1" si="10"/>
        <v>0</v>
      </c>
      <c r="L10" s="15">
        <f t="shared" ca="1" si="11"/>
        <v>0</v>
      </c>
      <c r="M10" s="15">
        <f t="shared" ca="1" si="11"/>
        <v>0</v>
      </c>
      <c r="N10" s="15">
        <f t="shared" ca="1" si="11"/>
        <v>0</v>
      </c>
      <c r="O10" s="15">
        <f t="shared" ca="1" si="11"/>
        <v>0</v>
      </c>
      <c r="P10" s="15">
        <f t="shared" ca="1" si="11"/>
        <v>0</v>
      </c>
      <c r="Q10" s="15">
        <f t="shared" ca="1" si="11"/>
        <v>0</v>
      </c>
      <c r="R10" s="15">
        <f t="shared" ca="1" si="11"/>
        <v>0</v>
      </c>
      <c r="S10" s="15">
        <f t="shared" ca="1" si="11"/>
        <v>0</v>
      </c>
      <c r="T10" s="15">
        <f t="shared" ca="1" si="11"/>
        <v>0</v>
      </c>
      <c r="U10" s="15">
        <f t="shared" ca="1" si="11"/>
        <v>0</v>
      </c>
      <c r="V10" s="15">
        <f t="shared" ca="1" si="11"/>
        <v>0</v>
      </c>
      <c r="W10" s="15">
        <f t="shared" ca="1" si="11"/>
        <v>0</v>
      </c>
      <c r="X10" s="15">
        <f t="shared" ca="1" si="11"/>
        <v>0</v>
      </c>
      <c r="Y10" s="15">
        <f t="shared" ca="1" si="11"/>
        <v>0</v>
      </c>
      <c r="Z10" s="15">
        <f t="shared" ca="1" si="11"/>
        <v>0</v>
      </c>
      <c r="AA10" s="15">
        <f t="shared" ca="1" si="11"/>
        <v>0</v>
      </c>
      <c r="AB10" s="15">
        <f t="shared" ca="1" si="11"/>
        <v>0</v>
      </c>
      <c r="AC10" s="15">
        <f t="shared" ca="1" si="11"/>
        <v>0</v>
      </c>
      <c r="AD10" s="15">
        <f t="shared" ca="1" si="11"/>
        <v>0</v>
      </c>
      <c r="AE10" s="5"/>
      <c r="AG10" s="1" t="s">
        <v>116</v>
      </c>
      <c r="AH10" s="37">
        <f t="shared" ca="1" si="12"/>
        <v>198.8334447981203</v>
      </c>
      <c r="AI10" s="37">
        <f t="shared" ca="1" si="6"/>
        <v>0</v>
      </c>
      <c r="AJ10" s="37">
        <f t="shared" ca="1" si="7"/>
        <v>0</v>
      </c>
      <c r="AK10" s="37">
        <f t="shared" ca="1" si="7"/>
        <v>0</v>
      </c>
      <c r="AL10" s="37">
        <f t="shared" ca="1" si="7"/>
        <v>0</v>
      </c>
      <c r="AM10" s="37">
        <f t="shared" ca="1" si="7"/>
        <v>0</v>
      </c>
      <c r="AN10" s="37">
        <f t="shared" ca="1" si="7"/>
        <v>0</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6.1678199999999996E-2</v>
      </c>
      <c r="D11" s="5">
        <f ca="1">SUM(D5:D10)</f>
        <v>0.1039533</v>
      </c>
      <c r="E11" s="143"/>
      <c r="F11" s="132">
        <f ca="1">SUM(F5:F10)</f>
        <v>0.13024782000000001</v>
      </c>
      <c r="H11" s="132">
        <f ca="1">Injectable_Base!H11</f>
        <v>0.15654234000000003</v>
      </c>
      <c r="I11" s="132"/>
      <c r="J11" s="132">
        <f ca="1">SUM(J5:J10)</f>
        <v>0.12179280000000001</v>
      </c>
      <c r="K11" s="132">
        <f ca="1">SUM(K5:K10)</f>
        <v>0.13024782000000001</v>
      </c>
      <c r="L11" s="5">
        <f t="shared" ref="L11:AD11" ca="1" si="13">SUM(L5:L10)</f>
        <v>0.13901266000000001</v>
      </c>
      <c r="M11" s="5">
        <f t="shared" ca="1" si="13"/>
        <v>0.14777750000000001</v>
      </c>
      <c r="N11" s="5">
        <f t="shared" ca="1" si="13"/>
        <v>0.15654234000000003</v>
      </c>
      <c r="O11" s="5">
        <f t="shared" ca="1" si="13"/>
        <v>0.16530718000000005</v>
      </c>
      <c r="P11" s="5">
        <f t="shared" ca="1" si="13"/>
        <v>0.17407202000000005</v>
      </c>
      <c r="Q11" s="5">
        <f t="shared" ca="1" si="13"/>
        <v>0.1828368600000001</v>
      </c>
      <c r="R11" s="5">
        <f t="shared" ca="1" si="13"/>
        <v>0.1916017000000001</v>
      </c>
      <c r="S11" s="5">
        <f t="shared" ca="1" si="13"/>
        <v>0.20036654000000012</v>
      </c>
      <c r="T11" s="5">
        <f t="shared" ca="1" si="13"/>
        <v>0.21202069000000015</v>
      </c>
      <c r="U11" s="5">
        <f t="shared" ca="1" si="13"/>
        <v>0.22609150000000017</v>
      </c>
      <c r="V11" s="5">
        <f t="shared" ca="1" si="13"/>
        <v>0.24038984000000019</v>
      </c>
      <c r="W11" s="5">
        <f t="shared" ca="1" si="13"/>
        <v>0.25468818000000021</v>
      </c>
      <c r="X11" s="5">
        <f t="shared" ca="1" si="13"/>
        <v>0.26898652000000023</v>
      </c>
      <c r="Y11" s="5">
        <f t="shared" ca="1" si="13"/>
        <v>0.28328486000000025</v>
      </c>
      <c r="Z11" s="5">
        <f t="shared" ca="1" si="13"/>
        <v>0.29758320000000027</v>
      </c>
      <c r="AA11" s="5">
        <f t="shared" ca="1" si="13"/>
        <v>0.31188154000000029</v>
      </c>
      <c r="AB11" s="5">
        <f t="shared" ca="1" si="13"/>
        <v>0.32617988000000031</v>
      </c>
      <c r="AC11" s="5">
        <f t="shared" ca="1" si="13"/>
        <v>0.34047822000000033</v>
      </c>
      <c r="AD11" s="5">
        <f t="shared" ca="1" si="13"/>
        <v>0.35477656000000035</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G12" s="146"/>
      <c r="AI12" s="7"/>
      <c r="AJ12" s="7"/>
      <c r="AK12" s="7"/>
      <c r="AL12" s="7"/>
      <c r="AM12" s="7"/>
      <c r="AN12" s="7"/>
      <c r="AO12" s="7"/>
      <c r="AP12" s="7"/>
      <c r="AQ12" s="7"/>
      <c r="AR12" s="7"/>
      <c r="AS12" s="7"/>
      <c r="AT12" s="7"/>
    </row>
    <row r="13" spans="1:54" x14ac:dyDescent="0.25">
      <c r="A13" s="6" t="s">
        <v>162</v>
      </c>
      <c r="C13" s="4" t="s">
        <v>163</v>
      </c>
      <c r="D13" s="4" t="s">
        <v>164</v>
      </c>
      <c r="F13" s="4" t="s">
        <v>165</v>
      </c>
      <c r="H13" s="4" t="s">
        <v>167</v>
      </c>
      <c r="K13" s="205" t="str">
        <f t="shared" ref="K13:AD13" si="14">IF(K14=Yr_Start,"Start Year",IF(K14=Yr_End,"End Year",""))</f>
        <v>Start Year</v>
      </c>
      <c r="L13" s="205" t="str">
        <f t="shared" si="14"/>
        <v/>
      </c>
      <c r="M13" s="205" t="str">
        <f t="shared" si="14"/>
        <v/>
      </c>
      <c r="N13" s="205" t="str">
        <f t="shared" si="14"/>
        <v>End Year</v>
      </c>
      <c r="O13" s="205" t="str">
        <f t="shared" si="14"/>
        <v/>
      </c>
      <c r="P13" s="205" t="str">
        <f t="shared" si="14"/>
        <v/>
      </c>
      <c r="Q13" s="205" t="str">
        <f t="shared" si="14"/>
        <v/>
      </c>
      <c r="R13" s="205" t="str">
        <f t="shared" si="14"/>
        <v/>
      </c>
      <c r="S13" s="205" t="str">
        <f t="shared" si="14"/>
        <v/>
      </c>
      <c r="T13" s="205" t="str">
        <f t="shared" si="14"/>
        <v/>
      </c>
      <c r="U13" s="205" t="str">
        <f t="shared" si="14"/>
        <v/>
      </c>
      <c r="V13" s="205" t="str">
        <f t="shared" si="14"/>
        <v/>
      </c>
      <c r="W13" s="205" t="str">
        <f t="shared" si="14"/>
        <v/>
      </c>
      <c r="X13" s="205" t="str">
        <f t="shared" si="14"/>
        <v/>
      </c>
      <c r="Y13" s="205" t="str">
        <f t="shared" si="14"/>
        <v/>
      </c>
      <c r="Z13" s="205" t="str">
        <f t="shared" si="14"/>
        <v/>
      </c>
      <c r="AA13" s="205" t="str">
        <f t="shared" si="14"/>
        <v/>
      </c>
      <c r="AB13" s="205" t="str">
        <f t="shared" si="14"/>
        <v/>
      </c>
      <c r="AC13" s="205" t="str">
        <f t="shared" si="14"/>
        <v/>
      </c>
      <c r="AD13" s="205" t="str">
        <f t="shared" si="14"/>
        <v/>
      </c>
      <c r="AE13" s="35"/>
      <c r="AF13" s="6" t="str">
        <f>A13</f>
        <v>Richest</v>
      </c>
      <c r="AI13" s="205" t="str">
        <f t="shared" ref="AI13:BB13" si="15">IF(AI14=Yr_Start,"Start Year",IF(AI14=Yr_End,"End Year",""))</f>
        <v>Start Year</v>
      </c>
      <c r="AJ13" s="205" t="str">
        <f t="shared" si="15"/>
        <v/>
      </c>
      <c r="AK13" s="205" t="str">
        <f t="shared" si="15"/>
        <v/>
      </c>
      <c r="AL13" s="205" t="str">
        <f t="shared" si="15"/>
        <v>End Year</v>
      </c>
      <c r="AM13" s="205" t="str">
        <f t="shared" si="15"/>
        <v/>
      </c>
      <c r="AN13" s="205" t="str">
        <f t="shared" si="15"/>
        <v/>
      </c>
      <c r="AO13" s="205" t="str">
        <f t="shared" si="15"/>
        <v/>
      </c>
      <c r="AP13" s="205" t="str">
        <f t="shared" si="15"/>
        <v/>
      </c>
      <c r="AQ13" s="205" t="str">
        <f t="shared" si="15"/>
        <v/>
      </c>
      <c r="AR13" s="205" t="str">
        <f t="shared" si="15"/>
        <v/>
      </c>
      <c r="AS13" s="205" t="str">
        <f t="shared" si="15"/>
        <v/>
      </c>
      <c r="AT13" s="205" t="str">
        <f t="shared" si="15"/>
        <v/>
      </c>
      <c r="AU13" s="205" t="str">
        <f t="shared" si="15"/>
        <v/>
      </c>
      <c r="AV13" s="205" t="str">
        <f t="shared" si="15"/>
        <v/>
      </c>
      <c r="AW13" s="205" t="str">
        <f t="shared" si="15"/>
        <v/>
      </c>
      <c r="AX13" s="205" t="str">
        <f t="shared" si="15"/>
        <v/>
      </c>
      <c r="AY13" s="205" t="str">
        <f t="shared" si="15"/>
        <v/>
      </c>
      <c r="AZ13" s="205" t="str">
        <f t="shared" si="15"/>
        <v/>
      </c>
      <c r="BA13" s="205" t="str">
        <f t="shared" si="15"/>
        <v/>
      </c>
      <c r="BB13" s="205" t="str">
        <f t="shared" si="15"/>
        <v/>
      </c>
    </row>
    <row r="14" spans="1:54" x14ac:dyDescent="0.25">
      <c r="A14" s="6" t="s">
        <v>21</v>
      </c>
      <c r="B14" s="36"/>
      <c r="C14" s="36">
        <f>Yr_DHS1</f>
        <v>2011</v>
      </c>
      <c r="D14" s="36">
        <f>Yr_DHS2</f>
        <v>2016</v>
      </c>
      <c r="E14" s="36" t="s">
        <v>168</v>
      </c>
      <c r="F14" s="36">
        <f>Yr_Start</f>
        <v>2019</v>
      </c>
      <c r="G14" s="127"/>
      <c r="H14" s="36">
        <f>Yr_End</f>
        <v>2022</v>
      </c>
      <c r="I14" s="36" t="s">
        <v>169</v>
      </c>
      <c r="J14" s="130">
        <f>K14-1</f>
        <v>2018</v>
      </c>
      <c r="K14" s="130">
        <f>Yr_Start</f>
        <v>2019</v>
      </c>
      <c r="L14" s="130">
        <f>K14+1</f>
        <v>2020</v>
      </c>
      <c r="M14" s="130">
        <f t="shared" ref="M14:AD14" si="16">L14+1</f>
        <v>2021</v>
      </c>
      <c r="N14" s="130">
        <f t="shared" si="16"/>
        <v>2022</v>
      </c>
      <c r="O14" s="130">
        <f t="shared" si="16"/>
        <v>2023</v>
      </c>
      <c r="P14" s="130">
        <f t="shared" si="16"/>
        <v>2024</v>
      </c>
      <c r="Q14" s="130">
        <f t="shared" si="16"/>
        <v>2025</v>
      </c>
      <c r="R14" s="130">
        <f t="shared" si="16"/>
        <v>2026</v>
      </c>
      <c r="S14" s="130">
        <f t="shared" si="16"/>
        <v>2027</v>
      </c>
      <c r="T14" s="130">
        <f t="shared" si="16"/>
        <v>2028</v>
      </c>
      <c r="U14" s="130">
        <f t="shared" si="16"/>
        <v>2029</v>
      </c>
      <c r="V14" s="130">
        <f t="shared" si="16"/>
        <v>2030</v>
      </c>
      <c r="W14" s="130">
        <f t="shared" si="16"/>
        <v>2031</v>
      </c>
      <c r="X14" s="130">
        <f t="shared" si="16"/>
        <v>2032</v>
      </c>
      <c r="Y14" s="130">
        <f t="shared" si="16"/>
        <v>2033</v>
      </c>
      <c r="Z14" s="130">
        <f t="shared" si="16"/>
        <v>2034</v>
      </c>
      <c r="AA14" s="130">
        <f t="shared" si="16"/>
        <v>2035</v>
      </c>
      <c r="AB14" s="130">
        <f t="shared" si="16"/>
        <v>2036</v>
      </c>
      <c r="AC14" s="130">
        <f t="shared" si="16"/>
        <v>2037</v>
      </c>
      <c r="AD14" s="130">
        <f t="shared" si="16"/>
        <v>2038</v>
      </c>
      <c r="AE14" s="6"/>
      <c r="AF14" s="6" t="str">
        <f>A14</f>
        <v>Rural</v>
      </c>
      <c r="AG14" s="38"/>
      <c r="AH14" s="161">
        <f>AI14-1</f>
        <v>2018</v>
      </c>
      <c r="AI14" s="36">
        <f>Yr_Start</f>
        <v>2019</v>
      </c>
      <c r="AJ14" s="36">
        <f>AI14+1</f>
        <v>2020</v>
      </c>
      <c r="AK14" s="36">
        <f t="shared" ref="AK14:BB14" si="17">AJ14+1</f>
        <v>2021</v>
      </c>
      <c r="AL14" s="36">
        <f t="shared" si="17"/>
        <v>2022</v>
      </c>
      <c r="AM14" s="36">
        <f t="shared" si="17"/>
        <v>2023</v>
      </c>
      <c r="AN14" s="36">
        <f t="shared" si="17"/>
        <v>2024</v>
      </c>
      <c r="AO14" s="36">
        <f t="shared" si="17"/>
        <v>2025</v>
      </c>
      <c r="AP14" s="36">
        <f t="shared" si="17"/>
        <v>2026</v>
      </c>
      <c r="AQ14" s="36">
        <f t="shared" si="17"/>
        <v>2027</v>
      </c>
      <c r="AR14" s="36">
        <f t="shared" si="17"/>
        <v>2028</v>
      </c>
      <c r="AS14" s="36">
        <f t="shared" si="17"/>
        <v>2029</v>
      </c>
      <c r="AT14" s="36">
        <f t="shared" si="17"/>
        <v>2030</v>
      </c>
      <c r="AU14" s="36">
        <f t="shared" si="17"/>
        <v>2031</v>
      </c>
      <c r="AV14" s="36">
        <f t="shared" si="17"/>
        <v>2032</v>
      </c>
      <c r="AW14" s="36">
        <f t="shared" si="17"/>
        <v>2033</v>
      </c>
      <c r="AX14" s="36">
        <f t="shared" si="17"/>
        <v>2034</v>
      </c>
      <c r="AY14" s="36">
        <f t="shared" si="17"/>
        <v>2035</v>
      </c>
      <c r="AZ14" s="36">
        <f t="shared" si="17"/>
        <v>2036</v>
      </c>
      <c r="BA14" s="36">
        <f t="shared" si="17"/>
        <v>2037</v>
      </c>
      <c r="BB14" s="36">
        <f t="shared" si="17"/>
        <v>2038</v>
      </c>
    </row>
    <row r="15" spans="1:54" x14ac:dyDescent="0.25">
      <c r="B15" s="1" t="s">
        <v>52</v>
      </c>
      <c r="C15" s="14">
        <f ca="1">Injectable_Base!C15</f>
        <v>4.2521099999999999E-2</v>
      </c>
      <c r="D15" s="14">
        <f ca="1">Injectable_Base!D15</f>
        <v>6.5509100000000001E-2</v>
      </c>
      <c r="E15" s="14">
        <f ca="1">IF('User Settings'!$N$7="On",($D15-$C15)/($D$4-$C$4),0)</f>
        <v>4.5976000000000003E-3</v>
      </c>
      <c r="F15" s="14">
        <f ca="1">Injectable_Base!F15</f>
        <v>7.9301900000000008E-2</v>
      </c>
      <c r="G15" s="1" t="str">
        <f>"Shift_RurQ1"&amp;IF(Dashboard!$Q$4="Yes",$A$1,"")</f>
        <v>Shift_RurQ1</v>
      </c>
      <c r="H15" s="14">
        <f ca="1">Injectable_Base!H15*(1-INDIRECT($G15))</f>
        <v>7.4475760000000002E-2</v>
      </c>
      <c r="I15" s="14">
        <f ca="1">($H15-$F15)/($H$4-$F$4)</f>
        <v>-1.6087133333333354E-3</v>
      </c>
      <c r="J15" s="14">
        <f ca="1">K15-E15</f>
        <v>7.4704300000000001E-2</v>
      </c>
      <c r="K15" s="14">
        <f ca="1">MAX(0,MIN(1,D15+(K$4-D$4)*E15))</f>
        <v>7.9301900000000008E-2</v>
      </c>
      <c r="L15" s="15">
        <f ca="1">MAX(0,MIN(1,K15+$I15))</f>
        <v>7.7693186666666678E-2</v>
      </c>
      <c r="M15" s="15">
        <f t="shared" ref="M15:AD15" ca="1" si="18">MAX(0,MIN(1,L15+$I15))</f>
        <v>7.6084473333333347E-2</v>
      </c>
      <c r="N15" s="15">
        <f ca="1">MAX(0,MIN(1,M15+$I15))</f>
        <v>7.4475760000000016E-2</v>
      </c>
      <c r="O15" s="15">
        <f t="shared" ca="1" si="18"/>
        <v>7.2867046666666685E-2</v>
      </c>
      <c r="P15" s="15">
        <f t="shared" ca="1" si="18"/>
        <v>7.1258333333333354E-2</v>
      </c>
      <c r="Q15" s="15">
        <f t="shared" ca="1" si="18"/>
        <v>6.9649620000000023E-2</v>
      </c>
      <c r="R15" s="15">
        <f t="shared" ca="1" si="18"/>
        <v>6.8040906666666692E-2</v>
      </c>
      <c r="S15" s="15">
        <f t="shared" ca="1" si="18"/>
        <v>6.6432193333333361E-2</v>
      </c>
      <c r="T15" s="15">
        <f t="shared" ca="1" si="18"/>
        <v>6.4823480000000031E-2</v>
      </c>
      <c r="U15" s="15">
        <f t="shared" ca="1" si="18"/>
        <v>6.32147666666667E-2</v>
      </c>
      <c r="V15" s="15">
        <f t="shared" ca="1" si="18"/>
        <v>6.1606053333333362E-2</v>
      </c>
      <c r="W15" s="15">
        <f t="shared" ca="1" si="18"/>
        <v>5.9997340000000024E-2</v>
      </c>
      <c r="X15" s="15">
        <f t="shared" ca="1" si="18"/>
        <v>5.8388626666666686E-2</v>
      </c>
      <c r="Y15" s="15">
        <f t="shared" ca="1" si="18"/>
        <v>5.6779913333333348E-2</v>
      </c>
      <c r="Z15" s="15">
        <f t="shared" ca="1" si="18"/>
        <v>5.5171200000000011E-2</v>
      </c>
      <c r="AA15" s="15">
        <f t="shared" ca="1" si="18"/>
        <v>5.3562486666666673E-2</v>
      </c>
      <c r="AB15" s="15">
        <f t="shared" ca="1" si="18"/>
        <v>5.1953773333333335E-2</v>
      </c>
      <c r="AC15" s="15">
        <f t="shared" ca="1" si="18"/>
        <v>5.0345059999999997E-2</v>
      </c>
      <c r="AD15" s="15">
        <f t="shared" ca="1" si="18"/>
        <v>4.8736346666666659E-2</v>
      </c>
      <c r="AE15" s="5"/>
      <c r="AG15" s="1" t="s">
        <v>52</v>
      </c>
      <c r="AH15" s="37">
        <f ca="1">J15*AH$21</f>
        <v>123745.47009010047</v>
      </c>
      <c r="AI15" s="37">
        <f t="shared" ref="AI15:AI20" ca="1" si="19">K15*AI$21</f>
        <v>136412.81045857942</v>
      </c>
      <c r="AJ15" s="37">
        <f t="shared" ref="AJ15:AS20" ca="1" si="20">L15*AJ$21</f>
        <v>138754.50978574721</v>
      </c>
      <c r="AK15" s="37">
        <f t="shared" ca="1" si="20"/>
        <v>140866.60374785657</v>
      </c>
      <c r="AL15" s="37">
        <f t="shared" ca="1" si="20"/>
        <v>142946.42646534604</v>
      </c>
      <c r="AM15" s="37">
        <f t="shared" ca="1" si="20"/>
        <v>144965.31608846266</v>
      </c>
      <c r="AN15" s="37">
        <f t="shared" ca="1" si="20"/>
        <v>146893.82870831448</v>
      </c>
      <c r="AO15" s="37">
        <f t="shared" ca="1" si="20"/>
        <v>148713.49131935003</v>
      </c>
      <c r="AP15" s="37">
        <f t="shared" ca="1" si="20"/>
        <v>150312.70781769138</v>
      </c>
      <c r="AQ15" s="37">
        <f t="shared" ca="1" si="20"/>
        <v>151802.7715580237</v>
      </c>
      <c r="AR15" s="37">
        <f t="shared" ca="1" si="20"/>
        <v>153176.33987741923</v>
      </c>
      <c r="AS15" s="37">
        <f t="shared" ca="1" si="20"/>
        <v>154432.46323309705</v>
      </c>
      <c r="AT15" s="37">
        <f t="shared" ref="AT15:BB20" ca="1" si="21">V15*AT$21</f>
        <v>155564.45303105007</v>
      </c>
      <c r="AU15" s="37">
        <f t="shared" ca="1" si="21"/>
        <v>156470.05313309503</v>
      </c>
      <c r="AV15" s="37">
        <f t="shared" ca="1" si="21"/>
        <v>157244.36881775403</v>
      </c>
      <c r="AW15" s="37">
        <f t="shared" ca="1" si="21"/>
        <v>157866.99087709861</v>
      </c>
      <c r="AX15" s="37">
        <f t="shared" ca="1" si="21"/>
        <v>158317.34155294826</v>
      </c>
      <c r="AY15" s="37">
        <f t="shared" ca="1" si="21"/>
        <v>158579.30211077578</v>
      </c>
      <c r="AZ15" s="37" t="e">
        <f t="shared" ca="1" si="21"/>
        <v>#N/A</v>
      </c>
      <c r="BA15" s="37" t="e">
        <f t="shared" ca="1" si="21"/>
        <v>#N/A</v>
      </c>
      <c r="BB15" s="37" t="e">
        <f t="shared" ca="1" si="21"/>
        <v>#N/A</v>
      </c>
    </row>
    <row r="16" spans="1:54" x14ac:dyDescent="0.25">
      <c r="B16" s="1" t="s">
        <v>54</v>
      </c>
      <c r="C16" s="14">
        <f ca="1">Injectable_Base!C16</f>
        <v>0</v>
      </c>
      <c r="D16" s="14">
        <f ca="1">Injectable_Base!D16</f>
        <v>2.9724999999999999E-3</v>
      </c>
      <c r="E16" s="14">
        <f ca="1">IF('User Settings'!$N$7="On",($D16-$C16)/($D$4-$C$4),0)</f>
        <v>5.9449999999999998E-4</v>
      </c>
      <c r="F16" s="14">
        <f ca="1">Injectable_Base!F16</f>
        <v>4.7559999999999998E-3</v>
      </c>
      <c r="G16" s="1" t="str">
        <f>"Shift_RurQ1"&amp;IF(Dashboard!$Q$4="Yes",$A$1,"")</f>
        <v>Shift_RurQ1</v>
      </c>
      <c r="H16" s="14">
        <f ca="1">Injectable_Base!H16*(1-INDIRECT($G16))</f>
        <v>5.2316000000000003E-3</v>
      </c>
      <c r="I16" s="14">
        <f ca="1">($H16-$F16)/($H$4-$F$4)</f>
        <v>1.5853333333333349E-4</v>
      </c>
      <c r="J16" s="14">
        <f t="shared" ref="J16:J20" ca="1" si="22">K16-E16</f>
        <v>4.1615000000000003E-3</v>
      </c>
      <c r="K16" s="14">
        <f t="shared" ref="K16:K20" ca="1" si="23">MAX(0,MIN(1,D16+(K$4-D$4)*E16))</f>
        <v>4.7559999999999998E-3</v>
      </c>
      <c r="L16" s="15">
        <f t="shared" ref="L16:AD20" ca="1" si="24">MAX(0,MIN(1,K16+$I16))</f>
        <v>4.9145333333333336E-3</v>
      </c>
      <c r="M16" s="15">
        <f t="shared" ca="1" si="24"/>
        <v>5.0730666666666674E-3</v>
      </c>
      <c r="N16" s="15">
        <f t="shared" ca="1" si="24"/>
        <v>5.2316000000000012E-3</v>
      </c>
      <c r="O16" s="15">
        <f t="shared" ca="1" si="24"/>
        <v>5.390133333333335E-3</v>
      </c>
      <c r="P16" s="15">
        <f t="shared" ca="1" si="24"/>
        <v>5.5486666666666688E-3</v>
      </c>
      <c r="Q16" s="15">
        <f t="shared" ca="1" si="24"/>
        <v>5.7072000000000025E-3</v>
      </c>
      <c r="R16" s="15">
        <f t="shared" ca="1" si="24"/>
        <v>5.8657333333333363E-3</v>
      </c>
      <c r="S16" s="15">
        <f t="shared" ca="1" si="24"/>
        <v>6.0242666666666701E-3</v>
      </c>
      <c r="T16" s="15">
        <f t="shared" ca="1" si="24"/>
        <v>6.1828000000000039E-3</v>
      </c>
      <c r="U16" s="15">
        <f t="shared" ca="1" si="24"/>
        <v>6.3413333333333377E-3</v>
      </c>
      <c r="V16" s="15">
        <f t="shared" ca="1" si="24"/>
        <v>6.4998666666666715E-3</v>
      </c>
      <c r="W16" s="15">
        <f t="shared" ca="1" si="24"/>
        <v>6.6584000000000053E-3</v>
      </c>
      <c r="X16" s="15">
        <f t="shared" ca="1" si="24"/>
        <v>6.8169333333333391E-3</v>
      </c>
      <c r="Y16" s="15">
        <f t="shared" ca="1" si="24"/>
        <v>6.9754666666666729E-3</v>
      </c>
      <c r="Z16" s="15">
        <f t="shared" ca="1" si="24"/>
        <v>7.1340000000000067E-3</v>
      </c>
      <c r="AA16" s="15">
        <f t="shared" ca="1" si="24"/>
        <v>7.2925333333333404E-3</v>
      </c>
      <c r="AB16" s="15">
        <f t="shared" ca="1" si="24"/>
        <v>7.4510666666666742E-3</v>
      </c>
      <c r="AC16" s="15">
        <f t="shared" ca="1" si="24"/>
        <v>7.609600000000008E-3</v>
      </c>
      <c r="AD16" s="15">
        <f t="shared" ca="1" si="24"/>
        <v>7.7681333333333418E-3</v>
      </c>
      <c r="AE16" s="5"/>
      <c r="AG16" s="1" t="s">
        <v>54</v>
      </c>
      <c r="AH16" s="37">
        <f t="shared" ref="AH16:AH20" ca="1" si="25">J16*AH$21</f>
        <v>6893.4020368299161</v>
      </c>
      <c r="AI16" s="37">
        <f t="shared" ca="1" si="19"/>
        <v>8181.132186505034</v>
      </c>
      <c r="AJ16" s="37">
        <f t="shared" ca="1" si="20"/>
        <v>8777.0072608560895</v>
      </c>
      <c r="AK16" s="37">
        <f t="shared" ca="1" si="20"/>
        <v>9392.5296530469459</v>
      </c>
      <c r="AL16" s="37">
        <f t="shared" ca="1" si="20"/>
        <v>10041.36815382756</v>
      </c>
      <c r="AM16" s="37">
        <f t="shared" ca="1" si="20"/>
        <v>10723.398548044519</v>
      </c>
      <c r="AN16" s="37">
        <f t="shared" ca="1" si="20"/>
        <v>11438.169443005978</v>
      </c>
      <c r="AO16" s="37">
        <f t="shared" ca="1" si="20"/>
        <v>12185.818639897743</v>
      </c>
      <c r="AP16" s="37">
        <f t="shared" ca="1" si="20"/>
        <v>12958.296763875569</v>
      </c>
      <c r="AQ16" s="37">
        <f t="shared" ca="1" si="20"/>
        <v>13765.921772535441</v>
      </c>
      <c r="AR16" s="37">
        <f t="shared" ca="1" si="20"/>
        <v>14609.809195589434</v>
      </c>
      <c r="AS16" s="37">
        <f t="shared" ca="1" si="20"/>
        <v>15491.755779353445</v>
      </c>
      <c r="AT16" s="37">
        <f t="shared" ca="1" si="21"/>
        <v>16413.130659477752</v>
      </c>
      <c r="AU16" s="37">
        <f t="shared" ca="1" si="21"/>
        <v>17364.77320130193</v>
      </c>
      <c r="AV16" s="37">
        <f t="shared" ca="1" si="21"/>
        <v>18358.444794260879</v>
      </c>
      <c r="AW16" s="37">
        <f t="shared" ca="1" si="21"/>
        <v>19394.110839258756</v>
      </c>
      <c r="AX16" s="37">
        <f t="shared" ca="1" si="21"/>
        <v>20471.476325306205</v>
      </c>
      <c r="AY16" s="37">
        <f t="shared" ca="1" si="21"/>
        <v>21590.57427293151</v>
      </c>
      <c r="AZ16" s="37" t="e">
        <f t="shared" ca="1" si="21"/>
        <v>#N/A</v>
      </c>
      <c r="BA16" s="37" t="e">
        <f t="shared" ca="1" si="21"/>
        <v>#N/A</v>
      </c>
      <c r="BB16" s="37" t="e">
        <f t="shared" ca="1" si="21"/>
        <v>#N/A</v>
      </c>
    </row>
    <row r="17" spans="1:54" x14ac:dyDescent="0.25">
      <c r="B17" s="1" t="s">
        <v>170</v>
      </c>
      <c r="C17" s="14">
        <f ca="1">Injectable_Base!C17</f>
        <v>0</v>
      </c>
      <c r="D17" s="14">
        <f ca="1">Injectable_Base!D17</f>
        <v>1.6806E-3</v>
      </c>
      <c r="E17" s="14">
        <f ca="1">IF('User Settings'!$N$7="On",($D17-$C17)/($D$4-$C$4),0)</f>
        <v>3.3611999999999997E-4</v>
      </c>
      <c r="F17" s="14">
        <f ca="1">Injectable_Base!F17</f>
        <v>2.6889599999999998E-3</v>
      </c>
      <c r="G17" s="1" t="str">
        <f>"Shift_RurQ1"&amp;IF(Dashboard!$Q$4="Yes",$A$1,"")</f>
        <v>Shift_RurQ1</v>
      </c>
      <c r="H17" s="14">
        <f ca="1">Injectable_Base!H17*(1-INDIRECT($G17))</f>
        <v>2.957856E-3</v>
      </c>
      <c r="I17" s="14">
        <f t="shared" ref="I17:I20" ca="1" si="26">($H17-$F17)/($H$4-$F$4)</f>
        <v>8.963200000000008E-5</v>
      </c>
      <c r="J17" s="14">
        <f t="shared" ca="1" si="22"/>
        <v>2.3528399999999997E-3</v>
      </c>
      <c r="K17" s="14">
        <f t="shared" ca="1" si="23"/>
        <v>2.6889599999999998E-3</v>
      </c>
      <c r="L17" s="15">
        <f t="shared" ca="1" si="24"/>
        <v>2.7785919999999999E-3</v>
      </c>
      <c r="M17" s="15">
        <f t="shared" ca="1" si="24"/>
        <v>2.8682239999999999E-3</v>
      </c>
      <c r="N17" s="15">
        <f t="shared" ca="1" si="24"/>
        <v>2.957856E-3</v>
      </c>
      <c r="O17" s="15">
        <f t="shared" ca="1" si="24"/>
        <v>3.0474880000000001E-3</v>
      </c>
      <c r="P17" s="15">
        <f t="shared" ca="1" si="24"/>
        <v>3.1371200000000002E-3</v>
      </c>
      <c r="Q17" s="15">
        <f t="shared" ca="1" si="24"/>
        <v>3.2267520000000003E-3</v>
      </c>
      <c r="R17" s="15">
        <f t="shared" ca="1" si="24"/>
        <v>3.3163840000000003E-3</v>
      </c>
      <c r="S17" s="15">
        <f t="shared" ca="1" si="24"/>
        <v>3.4060160000000004E-3</v>
      </c>
      <c r="T17" s="15">
        <f t="shared" ca="1" si="24"/>
        <v>3.4956480000000005E-3</v>
      </c>
      <c r="U17" s="15">
        <f t="shared" ca="1" si="24"/>
        <v>3.5852800000000006E-3</v>
      </c>
      <c r="V17" s="15">
        <f t="shared" ca="1" si="24"/>
        <v>3.6749120000000007E-3</v>
      </c>
      <c r="W17" s="15">
        <f t="shared" ca="1" si="24"/>
        <v>3.7645440000000007E-3</v>
      </c>
      <c r="X17" s="15">
        <f t="shared" ca="1" si="24"/>
        <v>3.8541760000000008E-3</v>
      </c>
      <c r="Y17" s="15">
        <f t="shared" ca="1" si="24"/>
        <v>3.9438080000000009E-3</v>
      </c>
      <c r="Z17" s="15">
        <f t="shared" ca="1" si="24"/>
        <v>4.033440000000001E-3</v>
      </c>
      <c r="AA17" s="15">
        <f t="shared" ca="1" si="24"/>
        <v>4.1230720000000011E-3</v>
      </c>
      <c r="AB17" s="15">
        <f t="shared" ca="1" si="24"/>
        <v>4.2127040000000011E-3</v>
      </c>
      <c r="AC17" s="15">
        <f t="shared" ca="1" si="24"/>
        <v>4.3023360000000012E-3</v>
      </c>
      <c r="AD17" s="15">
        <f t="shared" ca="1" si="24"/>
        <v>4.3919680000000013E-3</v>
      </c>
      <c r="AE17" s="5"/>
      <c r="AG17" s="1" t="s">
        <v>170</v>
      </c>
      <c r="AH17" s="37">
        <f t="shared" ca="1" si="25"/>
        <v>3897.4100800996989</v>
      </c>
      <c r="AI17" s="37">
        <f t="shared" ca="1" si="19"/>
        <v>4625.4703961784226</v>
      </c>
      <c r="AJ17" s="37">
        <f t="shared" ca="1" si="20"/>
        <v>4962.3678393926803</v>
      </c>
      <c r="AK17" s="37">
        <f t="shared" ca="1" si="20"/>
        <v>5310.3735357142787</v>
      </c>
      <c r="AL17" s="37">
        <f t="shared" ca="1" si="20"/>
        <v>5677.2155826148337</v>
      </c>
      <c r="AM17" s="37">
        <f t="shared" ca="1" si="20"/>
        <v>6062.823750998693</v>
      </c>
      <c r="AN17" s="37">
        <f t="shared" ca="1" si="20"/>
        <v>6466.9428312584832</v>
      </c>
      <c r="AO17" s="37">
        <f t="shared" ca="1" si="20"/>
        <v>6889.6507337971871</v>
      </c>
      <c r="AP17" s="37">
        <f t="shared" ca="1" si="20"/>
        <v>7326.3964815371819</v>
      </c>
      <c r="AQ17" s="37">
        <f t="shared" ca="1" si="20"/>
        <v>7783.0136689396304</v>
      </c>
      <c r="AR17" s="37">
        <f t="shared" ca="1" si="20"/>
        <v>8260.13299717665</v>
      </c>
      <c r="AS17" s="37">
        <f t="shared" ca="1" si="20"/>
        <v>8758.7703154857481</v>
      </c>
      <c r="AT17" s="37">
        <f t="shared" ca="1" si="21"/>
        <v>9279.699709442657</v>
      </c>
      <c r="AU17" s="37">
        <f t="shared" ca="1" si="21"/>
        <v>9817.7419149227935</v>
      </c>
      <c r="AV17" s="37">
        <f t="shared" ca="1" si="21"/>
        <v>10379.546617740896</v>
      </c>
      <c r="AW17" s="37">
        <f t="shared" ca="1" si="21"/>
        <v>10965.094256167618</v>
      </c>
      <c r="AX17" s="37">
        <f t="shared" ca="1" si="21"/>
        <v>11574.218036100785</v>
      </c>
      <c r="AY17" s="37">
        <f t="shared" ca="1" si="21"/>
        <v>12206.936626774994</v>
      </c>
      <c r="AZ17" s="37" t="e">
        <f t="shared" ca="1" si="21"/>
        <v>#N/A</v>
      </c>
      <c r="BA17" s="37" t="e">
        <f t="shared" ca="1" si="21"/>
        <v>#N/A</v>
      </c>
      <c r="BB17" s="37" t="e">
        <f t="shared" ca="1" si="21"/>
        <v>#N/A</v>
      </c>
    </row>
    <row r="18" spans="1:54" x14ac:dyDescent="0.25">
      <c r="B18" s="1" t="s">
        <v>59</v>
      </c>
      <c r="C18" s="14">
        <f ca="1">Injectable_Base!C18</f>
        <v>7.9717800000000005E-2</v>
      </c>
      <c r="D18" s="14">
        <f ca="1">Injectable_Base!D18</f>
        <v>7.5998200000000002E-2</v>
      </c>
      <c r="E18" s="14">
        <f ca="1">IF('User Settings'!$N$7="On",($D18-$C18)/($D$4-$C$4),0)</f>
        <v>-7.4392000000000067E-4</v>
      </c>
      <c r="F18" s="14">
        <f ca="1">Injectable_Base!F18</f>
        <v>7.3766440000000003E-2</v>
      </c>
      <c r="H18" s="14">
        <f ca="1">H21-SUM($H15:$H17,$H19:$H20)</f>
        <v>9.2578460000000015E-2</v>
      </c>
      <c r="I18" s="14">
        <f t="shared" ca="1" si="26"/>
        <v>6.2706733333333375E-3</v>
      </c>
      <c r="J18" s="14">
        <f t="shared" ca="1" si="22"/>
        <v>7.4510359999999998E-2</v>
      </c>
      <c r="K18" s="14">
        <f t="shared" ca="1" si="23"/>
        <v>7.3766440000000003E-2</v>
      </c>
      <c r="L18" s="15">
        <f t="shared" ca="1" si="24"/>
        <v>8.003711333333334E-2</v>
      </c>
      <c r="M18" s="15">
        <f t="shared" ca="1" si="24"/>
        <v>8.6307786666666678E-2</v>
      </c>
      <c r="N18" s="15">
        <f t="shared" ca="1" si="24"/>
        <v>9.2578460000000015E-2</v>
      </c>
      <c r="O18" s="15">
        <f t="shared" ca="1" si="24"/>
        <v>9.8849133333333353E-2</v>
      </c>
      <c r="P18" s="15">
        <f t="shared" ca="1" si="24"/>
        <v>0.10511980666666669</v>
      </c>
      <c r="Q18" s="15">
        <f t="shared" ca="1" si="24"/>
        <v>0.11139048000000003</v>
      </c>
      <c r="R18" s="15">
        <f t="shared" ca="1" si="24"/>
        <v>0.11766115333333337</v>
      </c>
      <c r="S18" s="15">
        <f t="shared" ca="1" si="24"/>
        <v>0.1239318266666667</v>
      </c>
      <c r="T18" s="15">
        <f t="shared" ca="1" si="24"/>
        <v>0.13020250000000005</v>
      </c>
      <c r="U18" s="15">
        <f t="shared" ca="1" si="24"/>
        <v>0.13647317333333339</v>
      </c>
      <c r="V18" s="15">
        <f t="shared" ca="1" si="24"/>
        <v>0.14274384666666673</v>
      </c>
      <c r="W18" s="15">
        <f t="shared" ca="1" si="24"/>
        <v>0.14901452000000007</v>
      </c>
      <c r="X18" s="15">
        <f t="shared" ca="1" si="24"/>
        <v>0.1552851933333334</v>
      </c>
      <c r="Y18" s="15">
        <f t="shared" ca="1" si="24"/>
        <v>0.16155586666666674</v>
      </c>
      <c r="Z18" s="15">
        <f t="shared" ca="1" si="24"/>
        <v>0.16782654000000008</v>
      </c>
      <c r="AA18" s="15">
        <f t="shared" ca="1" si="24"/>
        <v>0.17409721333333342</v>
      </c>
      <c r="AB18" s="15">
        <f t="shared" ca="1" si="24"/>
        <v>0.18036788666666675</v>
      </c>
      <c r="AC18" s="15">
        <f t="shared" ca="1" si="24"/>
        <v>0.18663856000000009</v>
      </c>
      <c r="AD18" s="15">
        <f t="shared" ca="1" si="24"/>
        <v>0.19290923333333343</v>
      </c>
      <c r="AE18" s="5"/>
      <c r="AG18" s="1" t="s">
        <v>59</v>
      </c>
      <c r="AH18" s="37">
        <f t="shared" ca="1" si="25"/>
        <v>123424.21419894997</v>
      </c>
      <c r="AI18" s="37">
        <f t="shared" ca="1" si="19"/>
        <v>126890.8739629715</v>
      </c>
      <c r="AJ18" s="37">
        <f t="shared" ca="1" si="20"/>
        <v>142940.59623117049</v>
      </c>
      <c r="AK18" s="37">
        <f t="shared" ca="1" si="20"/>
        <v>159794.55797062587</v>
      </c>
      <c r="AL18" s="37">
        <f t="shared" ca="1" si="20"/>
        <v>177692.17829619971</v>
      </c>
      <c r="AM18" s="37">
        <f t="shared" ca="1" si="20"/>
        <v>196655.36774516257</v>
      </c>
      <c r="AN18" s="37">
        <f t="shared" ca="1" si="20"/>
        <v>216696.77288286001</v>
      </c>
      <c r="AO18" s="37">
        <f t="shared" ca="1" si="20"/>
        <v>237837.15087804114</v>
      </c>
      <c r="AP18" s="37">
        <f t="shared" ca="1" si="20"/>
        <v>259931.37700427344</v>
      </c>
      <c r="AQ18" s="37">
        <f t="shared" ca="1" si="20"/>
        <v>283193.94300065644</v>
      </c>
      <c r="AR18" s="37">
        <f t="shared" ca="1" si="20"/>
        <v>307665.40754815505</v>
      </c>
      <c r="AS18" s="37">
        <f t="shared" ca="1" si="20"/>
        <v>333401.34646447183</v>
      </c>
      <c r="AT18" s="37">
        <f t="shared" ca="1" si="21"/>
        <v>360449.45632368722</v>
      </c>
      <c r="AU18" s="37">
        <f t="shared" ca="1" si="21"/>
        <v>388622.3932928135</v>
      </c>
      <c r="AV18" s="37">
        <f t="shared" ca="1" si="21"/>
        <v>418193.12435349129</v>
      </c>
      <c r="AW18" s="37">
        <f t="shared" ca="1" si="21"/>
        <v>449178.89147667651</v>
      </c>
      <c r="AX18" s="37">
        <f t="shared" ca="1" si="21"/>
        <v>481589.15620522189</v>
      </c>
      <c r="AY18" s="37">
        <f t="shared" ca="1" si="21"/>
        <v>515439.37385961897</v>
      </c>
      <c r="AZ18" s="37" t="e">
        <f t="shared" ca="1" si="21"/>
        <v>#N/A</v>
      </c>
      <c r="BA18" s="37" t="e">
        <f t="shared" ca="1" si="21"/>
        <v>#N/A</v>
      </c>
      <c r="BB18" s="37" t="e">
        <f t="shared" ca="1" si="21"/>
        <v>#N/A</v>
      </c>
    </row>
    <row r="19" spans="1:54" x14ac:dyDescent="0.25">
      <c r="B19" s="1" t="s">
        <v>171</v>
      </c>
      <c r="C19" s="14">
        <f ca="1">Injectable_Base!C19</f>
        <v>0</v>
      </c>
      <c r="D19" s="14">
        <f ca="1">Injectable_Base!D19</f>
        <v>0</v>
      </c>
      <c r="E19" s="14">
        <f ca="1">IF('User Settings'!$N$7="On",($D19-$C19)/($D$4-$C$4),0)</f>
        <v>0</v>
      </c>
      <c r="F19" s="14">
        <f ca="1">Injectable_Base!F19</f>
        <v>0</v>
      </c>
      <c r="G19" s="1"/>
      <c r="H19" s="14">
        <f ca="1">Injectable_Base!H19</f>
        <v>0</v>
      </c>
      <c r="I19" s="14">
        <f t="shared" ca="1" si="26"/>
        <v>0</v>
      </c>
      <c r="J19" s="14">
        <f t="shared" ca="1" si="22"/>
        <v>0</v>
      </c>
      <c r="K19" s="14">
        <f t="shared" ca="1" si="23"/>
        <v>0</v>
      </c>
      <c r="L19" s="15">
        <f t="shared" ca="1" si="24"/>
        <v>0</v>
      </c>
      <c r="M19" s="15">
        <f t="shared" ca="1" si="24"/>
        <v>0</v>
      </c>
      <c r="N19" s="15">
        <f t="shared" ca="1" si="24"/>
        <v>0</v>
      </c>
      <c r="O19" s="15">
        <f t="shared" ca="1" si="24"/>
        <v>0</v>
      </c>
      <c r="P19" s="15">
        <f t="shared" ca="1" si="24"/>
        <v>0</v>
      </c>
      <c r="Q19" s="15">
        <f t="shared" ca="1" si="24"/>
        <v>0</v>
      </c>
      <c r="R19" s="15">
        <f t="shared" ca="1" si="24"/>
        <v>0</v>
      </c>
      <c r="S19" s="15">
        <f t="shared" ca="1" si="24"/>
        <v>0</v>
      </c>
      <c r="T19" s="15">
        <f t="shared" ca="1" si="24"/>
        <v>0</v>
      </c>
      <c r="U19" s="15">
        <f t="shared" ca="1" si="24"/>
        <v>0</v>
      </c>
      <c r="V19" s="15">
        <f t="shared" ca="1" si="24"/>
        <v>0</v>
      </c>
      <c r="W19" s="15">
        <f t="shared" ca="1" si="24"/>
        <v>0</v>
      </c>
      <c r="X19" s="15">
        <f t="shared" ca="1" si="24"/>
        <v>0</v>
      </c>
      <c r="Y19" s="15">
        <f t="shared" ca="1" si="24"/>
        <v>0</v>
      </c>
      <c r="Z19" s="15">
        <f t="shared" ca="1" si="24"/>
        <v>0</v>
      </c>
      <c r="AA19" s="15">
        <f t="shared" ca="1" si="24"/>
        <v>0</v>
      </c>
      <c r="AB19" s="15">
        <f t="shared" ca="1" si="24"/>
        <v>0</v>
      </c>
      <c r="AC19" s="15">
        <f t="shared" ca="1" si="24"/>
        <v>0</v>
      </c>
      <c r="AD19" s="15">
        <f t="shared" ca="1" si="24"/>
        <v>0</v>
      </c>
      <c r="AE19" s="5"/>
      <c r="AG19" s="1" t="s">
        <v>171</v>
      </c>
      <c r="AH19" s="37">
        <f t="shared" ca="1" si="25"/>
        <v>0</v>
      </c>
      <c r="AI19" s="37">
        <f t="shared" ca="1" si="19"/>
        <v>0</v>
      </c>
      <c r="AJ19" s="37">
        <f t="shared" ca="1" si="20"/>
        <v>0</v>
      </c>
      <c r="AK19" s="37">
        <f t="shared" ca="1" si="20"/>
        <v>0</v>
      </c>
      <c r="AL19" s="37">
        <f t="shared" ca="1" si="20"/>
        <v>0</v>
      </c>
      <c r="AM19" s="37">
        <f t="shared" ca="1" si="20"/>
        <v>0</v>
      </c>
      <c r="AN19" s="37">
        <f t="shared" ca="1" si="20"/>
        <v>0</v>
      </c>
      <c r="AO19" s="37">
        <f t="shared" ca="1" si="20"/>
        <v>0</v>
      </c>
      <c r="AP19" s="37">
        <f t="shared" ca="1" si="20"/>
        <v>0</v>
      </c>
      <c r="AQ19" s="37">
        <f t="shared" ca="1" si="20"/>
        <v>0</v>
      </c>
      <c r="AR19" s="37">
        <f t="shared" ca="1" si="20"/>
        <v>0</v>
      </c>
      <c r="AS19" s="37">
        <f t="shared" ca="1" si="20"/>
        <v>0</v>
      </c>
      <c r="AT19" s="37">
        <f t="shared" ca="1" si="21"/>
        <v>0</v>
      </c>
      <c r="AU19" s="37">
        <f t="shared" ca="1" si="21"/>
        <v>0</v>
      </c>
      <c r="AV19" s="37">
        <f t="shared" ca="1" si="21"/>
        <v>0</v>
      </c>
      <c r="AW19" s="37">
        <f t="shared" ca="1" si="21"/>
        <v>0</v>
      </c>
      <c r="AX19" s="37">
        <f t="shared" ca="1" si="21"/>
        <v>0</v>
      </c>
      <c r="AY19" s="37">
        <f t="shared" ca="1" si="21"/>
        <v>0</v>
      </c>
      <c r="AZ19" s="37" t="e">
        <f t="shared" ca="1" si="21"/>
        <v>#N/A</v>
      </c>
      <c r="BA19" s="37" t="e">
        <f t="shared" ca="1" si="21"/>
        <v>#N/A</v>
      </c>
      <c r="BB19" s="37" t="e">
        <f t="shared" ca="1" si="21"/>
        <v>#N/A</v>
      </c>
    </row>
    <row r="20" spans="1:54" x14ac:dyDescent="0.25">
      <c r="B20" s="1" t="s">
        <v>116</v>
      </c>
      <c r="C20" s="14">
        <f ca="1">Injectable_Base!C20</f>
        <v>0</v>
      </c>
      <c r="D20" s="14">
        <f ca="1">Injectable_Base!D20</f>
        <v>8.5789999999999998E-4</v>
      </c>
      <c r="E20" s="14">
        <f ca="1">IF('User Settings'!$N$7="On",($D20-$C20)/($D$4-$C$4),0)</f>
        <v>1.7158000000000001E-4</v>
      </c>
      <c r="F20" s="14">
        <f ca="1">Injectable_Base!F20</f>
        <v>1.3726400000000001E-3</v>
      </c>
      <c r="G20" s="1" t="str">
        <f>"Shift_RurQ1"&amp;IF(Dashboard!$Q$4="Yes",$A$1,"")</f>
        <v>Shift_RurQ1</v>
      </c>
      <c r="H20" s="14">
        <f ca="1">Injectable_Base!H20*(1-INDIRECT($G20))</f>
        <v>1.5099040000000003E-3</v>
      </c>
      <c r="I20" s="14">
        <f t="shared" ca="1" si="26"/>
        <v>4.5754666666666739E-5</v>
      </c>
      <c r="J20" s="14">
        <f t="shared" ca="1" si="22"/>
        <v>1.2010600000000001E-3</v>
      </c>
      <c r="K20" s="14">
        <f t="shared" ca="1" si="23"/>
        <v>1.3726400000000001E-3</v>
      </c>
      <c r="L20" s="15">
        <f t="shared" ca="1" si="24"/>
        <v>1.4183946666666669E-3</v>
      </c>
      <c r="M20" s="15">
        <f t="shared" ca="1" si="24"/>
        <v>1.4641493333333337E-3</v>
      </c>
      <c r="N20" s="15">
        <f t="shared" ca="1" si="24"/>
        <v>1.5099040000000005E-3</v>
      </c>
      <c r="O20" s="15">
        <f t="shared" ca="1" si="24"/>
        <v>1.5556586666666673E-3</v>
      </c>
      <c r="P20" s="15">
        <f t="shared" ca="1" si="24"/>
        <v>1.6014133333333341E-3</v>
      </c>
      <c r="Q20" s="15">
        <f t="shared" ca="1" si="24"/>
        <v>1.6471680000000009E-3</v>
      </c>
      <c r="R20" s="15">
        <f t="shared" ca="1" si="24"/>
        <v>1.6929226666666678E-3</v>
      </c>
      <c r="S20" s="15">
        <f t="shared" ca="1" si="24"/>
        <v>1.7386773333333346E-3</v>
      </c>
      <c r="T20" s="15">
        <f t="shared" ca="1" si="24"/>
        <v>1.7844320000000014E-3</v>
      </c>
      <c r="U20" s="15">
        <f t="shared" ca="1" si="24"/>
        <v>1.8301866666666682E-3</v>
      </c>
      <c r="V20" s="15">
        <f t="shared" ca="1" si="24"/>
        <v>1.875941333333335E-3</v>
      </c>
      <c r="W20" s="15">
        <f t="shared" ca="1" si="24"/>
        <v>1.9216960000000018E-3</v>
      </c>
      <c r="X20" s="15">
        <f t="shared" ca="1" si="24"/>
        <v>1.9674506666666684E-3</v>
      </c>
      <c r="Y20" s="15">
        <f t="shared" ca="1" si="24"/>
        <v>2.013205333333335E-3</v>
      </c>
      <c r="Z20" s="15">
        <f t="shared" ca="1" si="24"/>
        <v>2.0589600000000016E-3</v>
      </c>
      <c r="AA20" s="15">
        <f t="shared" ca="1" si="24"/>
        <v>2.1047146666666682E-3</v>
      </c>
      <c r="AB20" s="15">
        <f t="shared" ca="1" si="24"/>
        <v>2.1504693333333348E-3</v>
      </c>
      <c r="AC20" s="15">
        <f t="shared" ca="1" si="24"/>
        <v>2.1962240000000014E-3</v>
      </c>
      <c r="AD20" s="15">
        <f t="shared" ca="1" si="24"/>
        <v>2.241978666666668E-3</v>
      </c>
      <c r="AE20" s="5"/>
      <c r="AG20" s="1" t="s">
        <v>116</v>
      </c>
      <c r="AH20" s="37">
        <f t="shared" ca="1" si="25"/>
        <v>1989.5204734722911</v>
      </c>
      <c r="AI20" s="37">
        <f t="shared" ca="1" si="19"/>
        <v>2361.175206998375</v>
      </c>
      <c r="AJ20" s="37">
        <f t="shared" ca="1" si="20"/>
        <v>2533.1520703409383</v>
      </c>
      <c r="AK20" s="37">
        <f t="shared" ca="1" si="20"/>
        <v>2710.7993908659291</v>
      </c>
      <c r="AL20" s="37">
        <f t="shared" ca="1" si="20"/>
        <v>2898.062149425959</v>
      </c>
      <c r="AM20" s="37">
        <f t="shared" ca="1" si="20"/>
        <v>3094.9044960024876</v>
      </c>
      <c r="AN20" s="37">
        <f t="shared" ca="1" si="20"/>
        <v>3301.196153121894</v>
      </c>
      <c r="AO20" s="37">
        <f t="shared" ca="1" si="20"/>
        <v>3516.9768918984946</v>
      </c>
      <c r="AP20" s="37">
        <f t="shared" ca="1" si="20"/>
        <v>3739.9235639121457</v>
      </c>
      <c r="AQ20" s="37">
        <f t="shared" ca="1" si="20"/>
        <v>3973.0140584215833</v>
      </c>
      <c r="AR20" s="37">
        <f t="shared" ca="1" si="20"/>
        <v>4216.5703309995552</v>
      </c>
      <c r="AS20" s="37">
        <f t="shared" ca="1" si="20"/>
        <v>4471.1109446954824</v>
      </c>
      <c r="AT20" s="37">
        <f t="shared" ca="1" si="21"/>
        <v>4737.0310488699633</v>
      </c>
      <c r="AU20" s="37">
        <f t="shared" ca="1" si="21"/>
        <v>5011.6867718744925</v>
      </c>
      <c r="AV20" s="37">
        <f t="shared" ca="1" si="21"/>
        <v>5298.4725951207438</v>
      </c>
      <c r="AW20" s="37">
        <f t="shared" ca="1" si="21"/>
        <v>5597.3785328848062</v>
      </c>
      <c r="AX20" s="37">
        <f t="shared" ca="1" si="21"/>
        <v>5908.319441372646</v>
      </c>
      <c r="AY20" s="37">
        <f t="shared" ca="1" si="21"/>
        <v>6231.304850714193</v>
      </c>
      <c r="AZ20" s="37" t="e">
        <f t="shared" ca="1" si="21"/>
        <v>#N/A</v>
      </c>
      <c r="BA20" s="37" t="e">
        <f t="shared" ca="1" si="21"/>
        <v>#N/A</v>
      </c>
      <c r="BB20" s="37" t="e">
        <f t="shared" ca="1" si="21"/>
        <v>#N/A</v>
      </c>
    </row>
    <row r="21" spans="1:54" x14ac:dyDescent="0.25">
      <c r="C21" s="5">
        <f ca="1">SUM(C15:C20)</f>
        <v>0.12223890000000001</v>
      </c>
      <c r="D21" s="5">
        <f ca="1">SUM(D15:D20)</f>
        <v>0.14701830000000002</v>
      </c>
      <c r="E21" s="131"/>
      <c r="F21" s="132">
        <f ca="1">SUM(F15:F20)</f>
        <v>0.16188594000000003</v>
      </c>
      <c r="G21" s="146"/>
      <c r="H21" s="132">
        <f ca="1">Injectable_Base!H21</f>
        <v>0.17675358000000002</v>
      </c>
      <c r="I21" s="132"/>
      <c r="J21" s="132">
        <f ca="1">SUM(J15:J20)</f>
        <v>0.15693006000000001</v>
      </c>
      <c r="K21" s="132">
        <f ca="1">SUM(K15:K20)</f>
        <v>0.16188594000000003</v>
      </c>
      <c r="L21" s="5">
        <f t="shared" ref="L21:AD21" ca="1" si="27">SUM(L15:L20)</f>
        <v>0.16684182</v>
      </c>
      <c r="M21" s="5">
        <f t="shared" ca="1" si="27"/>
        <v>0.17179770000000003</v>
      </c>
      <c r="N21" s="5">
        <f t="shared" ca="1" si="27"/>
        <v>0.17675358000000002</v>
      </c>
      <c r="O21" s="5">
        <f t="shared" ca="1" si="27"/>
        <v>0.18170946000000002</v>
      </c>
      <c r="P21" s="5">
        <f t="shared" ca="1" si="27"/>
        <v>0.18666534000000004</v>
      </c>
      <c r="Q21" s="5">
        <f t="shared" ca="1" si="27"/>
        <v>0.19162122000000006</v>
      </c>
      <c r="R21" s="5">
        <f t="shared" ca="1" si="27"/>
        <v>0.19657710000000009</v>
      </c>
      <c r="S21" s="5">
        <f t="shared" ca="1" si="27"/>
        <v>0.20153298000000006</v>
      </c>
      <c r="T21" s="5">
        <f t="shared" ca="1" si="27"/>
        <v>0.20648886000000011</v>
      </c>
      <c r="U21" s="5">
        <f t="shared" ca="1" si="27"/>
        <v>0.2114447400000001</v>
      </c>
      <c r="V21" s="5">
        <f t="shared" ca="1" si="27"/>
        <v>0.21640062000000007</v>
      </c>
      <c r="W21" s="5">
        <f t="shared" ca="1" si="27"/>
        <v>0.22135650000000009</v>
      </c>
      <c r="X21" s="5">
        <f t="shared" ca="1" si="27"/>
        <v>0.22631238000000012</v>
      </c>
      <c r="Y21" s="5">
        <f t="shared" ca="1" si="27"/>
        <v>0.23126826000000011</v>
      </c>
      <c r="Z21" s="5">
        <f t="shared" ca="1" si="27"/>
        <v>0.23622414000000008</v>
      </c>
      <c r="AA21" s="5">
        <f t="shared" ca="1" si="27"/>
        <v>0.24118002000000011</v>
      </c>
      <c r="AB21" s="5">
        <f t="shared" ca="1" si="27"/>
        <v>0.2461359000000001</v>
      </c>
      <c r="AC21" s="5">
        <f t="shared" ca="1" si="27"/>
        <v>0.2510917800000001</v>
      </c>
      <c r="AD21" s="5">
        <f t="shared" ca="1" si="27"/>
        <v>0.25604766000000007</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H23" s="4" t="s">
        <v>167</v>
      </c>
      <c r="K23" s="205" t="str">
        <f t="shared" ref="K23:AD23" si="28">IF(K24=Yr_Start,"Start Year",IF(K24=Yr_End,"End Year",""))</f>
        <v>Start Year</v>
      </c>
      <c r="L23" s="205" t="str">
        <f t="shared" si="28"/>
        <v/>
      </c>
      <c r="M23" s="205" t="str">
        <f t="shared" si="28"/>
        <v/>
      </c>
      <c r="N23" s="205" t="str">
        <f t="shared" si="28"/>
        <v>End Year</v>
      </c>
      <c r="O23" s="205" t="str">
        <f t="shared" si="28"/>
        <v/>
      </c>
      <c r="P23" s="205" t="str">
        <f t="shared" si="28"/>
        <v/>
      </c>
      <c r="Q23" s="205" t="str">
        <f t="shared" si="28"/>
        <v/>
      </c>
      <c r="R23" s="205" t="str">
        <f t="shared" si="28"/>
        <v/>
      </c>
      <c r="S23" s="205" t="str">
        <f t="shared" si="28"/>
        <v/>
      </c>
      <c r="T23" s="205" t="str">
        <f t="shared" si="28"/>
        <v/>
      </c>
      <c r="U23" s="205" t="str">
        <f t="shared" si="28"/>
        <v/>
      </c>
      <c r="V23" s="205" t="str">
        <f t="shared" si="28"/>
        <v/>
      </c>
      <c r="W23" s="205" t="str">
        <f t="shared" si="28"/>
        <v/>
      </c>
      <c r="X23" s="205" t="str">
        <f t="shared" si="28"/>
        <v/>
      </c>
      <c r="Y23" s="205" t="str">
        <f t="shared" si="28"/>
        <v/>
      </c>
      <c r="Z23" s="205" t="str">
        <f t="shared" si="28"/>
        <v/>
      </c>
      <c r="AA23" s="205" t="str">
        <f t="shared" si="28"/>
        <v/>
      </c>
      <c r="AB23" s="205" t="str">
        <f t="shared" si="28"/>
        <v/>
      </c>
      <c r="AC23" s="205" t="str">
        <f t="shared" si="28"/>
        <v/>
      </c>
      <c r="AD23" s="205" t="str">
        <f t="shared" si="28"/>
        <v/>
      </c>
      <c r="AE23" s="35"/>
      <c r="AF23" s="6" t="str">
        <f>A23</f>
        <v>Richer</v>
      </c>
      <c r="AI23" s="205" t="str">
        <f t="shared" ref="AI23:BB23" si="29">IF(AI24=Yr_Start,"Start Year",IF(AI24=Yr_End,"End Year",""))</f>
        <v>Start Year</v>
      </c>
      <c r="AJ23" s="205" t="str">
        <f t="shared" si="29"/>
        <v/>
      </c>
      <c r="AK23" s="205" t="str">
        <f t="shared" si="29"/>
        <v/>
      </c>
      <c r="AL23" s="205" t="str">
        <f t="shared" si="29"/>
        <v>End Year</v>
      </c>
      <c r="AM23" s="205" t="str">
        <f t="shared" si="29"/>
        <v/>
      </c>
      <c r="AN23" s="205" t="str">
        <f t="shared" si="29"/>
        <v/>
      </c>
      <c r="AO23" s="205" t="str">
        <f t="shared" si="29"/>
        <v/>
      </c>
      <c r="AP23" s="205" t="str">
        <f t="shared" si="29"/>
        <v/>
      </c>
      <c r="AQ23" s="205" t="str">
        <f t="shared" si="29"/>
        <v/>
      </c>
      <c r="AR23" s="205" t="str">
        <f t="shared" si="29"/>
        <v/>
      </c>
      <c r="AS23" s="205" t="str">
        <f t="shared" si="29"/>
        <v/>
      </c>
      <c r="AT23" s="205" t="str">
        <f t="shared" si="29"/>
        <v/>
      </c>
      <c r="AU23" s="205" t="str">
        <f t="shared" si="29"/>
        <v/>
      </c>
      <c r="AV23" s="205" t="str">
        <f t="shared" si="29"/>
        <v/>
      </c>
      <c r="AW23" s="205" t="str">
        <f t="shared" si="29"/>
        <v/>
      </c>
      <c r="AX23" s="205" t="str">
        <f t="shared" si="29"/>
        <v/>
      </c>
      <c r="AY23" s="205" t="str">
        <f t="shared" si="29"/>
        <v/>
      </c>
      <c r="AZ23" s="205" t="str">
        <f t="shared" si="29"/>
        <v/>
      </c>
      <c r="BA23" s="205" t="str">
        <f t="shared" si="29"/>
        <v/>
      </c>
      <c r="BB23" s="205" t="str">
        <f t="shared" si="29"/>
        <v/>
      </c>
    </row>
    <row r="24" spans="1:54" x14ac:dyDescent="0.25">
      <c r="A24" s="6" t="s">
        <v>20</v>
      </c>
      <c r="B24" s="36"/>
      <c r="C24" s="36">
        <f>Yr_DHS1</f>
        <v>2011</v>
      </c>
      <c r="D24" s="36">
        <f>Yr_DHS2</f>
        <v>2016</v>
      </c>
      <c r="E24" s="36" t="s">
        <v>168</v>
      </c>
      <c r="F24" s="36">
        <f>Yr_Start</f>
        <v>2019</v>
      </c>
      <c r="G24" s="127"/>
      <c r="H24" s="36">
        <f>Yr_End</f>
        <v>2022</v>
      </c>
      <c r="I24" s="36" t="s">
        <v>169</v>
      </c>
      <c r="J24" s="130">
        <f>K24-1</f>
        <v>2018</v>
      </c>
      <c r="K24" s="130">
        <f>Yr_Start</f>
        <v>2019</v>
      </c>
      <c r="L24" s="130">
        <f>K24+1</f>
        <v>2020</v>
      </c>
      <c r="M24" s="130">
        <f t="shared" ref="M24:AD24" si="30">L24+1</f>
        <v>2021</v>
      </c>
      <c r="N24" s="130">
        <f t="shared" si="30"/>
        <v>2022</v>
      </c>
      <c r="O24" s="130">
        <f t="shared" si="30"/>
        <v>2023</v>
      </c>
      <c r="P24" s="130">
        <f t="shared" si="30"/>
        <v>2024</v>
      </c>
      <c r="Q24" s="130">
        <f t="shared" si="30"/>
        <v>2025</v>
      </c>
      <c r="R24" s="130">
        <f t="shared" si="30"/>
        <v>2026</v>
      </c>
      <c r="S24" s="130">
        <f t="shared" si="30"/>
        <v>2027</v>
      </c>
      <c r="T24" s="130">
        <f t="shared" si="30"/>
        <v>2028</v>
      </c>
      <c r="U24" s="130">
        <f t="shared" si="30"/>
        <v>2029</v>
      </c>
      <c r="V24" s="130">
        <f t="shared" si="30"/>
        <v>2030</v>
      </c>
      <c r="W24" s="130">
        <f t="shared" si="30"/>
        <v>2031</v>
      </c>
      <c r="X24" s="130">
        <f t="shared" si="30"/>
        <v>2032</v>
      </c>
      <c r="Y24" s="130">
        <f t="shared" si="30"/>
        <v>2033</v>
      </c>
      <c r="Z24" s="130">
        <f t="shared" si="30"/>
        <v>2034</v>
      </c>
      <c r="AA24" s="130">
        <f t="shared" si="30"/>
        <v>2035</v>
      </c>
      <c r="AB24" s="130">
        <f t="shared" si="30"/>
        <v>2036</v>
      </c>
      <c r="AC24" s="130">
        <f t="shared" si="30"/>
        <v>2037</v>
      </c>
      <c r="AD24" s="130">
        <f t="shared" si="30"/>
        <v>2038</v>
      </c>
      <c r="AE24" s="6"/>
      <c r="AF24" s="6" t="str">
        <f>A24</f>
        <v>Urban</v>
      </c>
      <c r="AG24" s="38"/>
      <c r="AH24" s="161">
        <f>AI24-1</f>
        <v>2018</v>
      </c>
      <c r="AI24" s="36">
        <f>Yr_Start</f>
        <v>2019</v>
      </c>
      <c r="AJ24" s="36">
        <f>AI24+1</f>
        <v>2020</v>
      </c>
      <c r="AK24" s="36">
        <f t="shared" ref="AK24:BB24" si="31">AJ24+1</f>
        <v>2021</v>
      </c>
      <c r="AL24" s="36">
        <f t="shared" si="31"/>
        <v>2022</v>
      </c>
      <c r="AM24" s="36">
        <f t="shared" si="31"/>
        <v>2023</v>
      </c>
      <c r="AN24" s="36">
        <f t="shared" si="31"/>
        <v>2024</v>
      </c>
      <c r="AO24" s="36">
        <f t="shared" si="31"/>
        <v>2025</v>
      </c>
      <c r="AP24" s="36">
        <f t="shared" si="31"/>
        <v>2026</v>
      </c>
      <c r="AQ24" s="36">
        <f t="shared" si="31"/>
        <v>2027</v>
      </c>
      <c r="AR24" s="36">
        <f t="shared" si="31"/>
        <v>2028</v>
      </c>
      <c r="AS24" s="36">
        <f t="shared" si="31"/>
        <v>2029</v>
      </c>
      <c r="AT24" s="36">
        <f t="shared" si="31"/>
        <v>2030</v>
      </c>
      <c r="AU24" s="36">
        <f t="shared" si="31"/>
        <v>2031</v>
      </c>
      <c r="AV24" s="36">
        <f t="shared" si="31"/>
        <v>2032</v>
      </c>
      <c r="AW24" s="36">
        <f t="shared" si="31"/>
        <v>2033</v>
      </c>
      <c r="AX24" s="36">
        <f t="shared" si="31"/>
        <v>2034</v>
      </c>
      <c r="AY24" s="36">
        <f t="shared" si="31"/>
        <v>2035</v>
      </c>
      <c r="AZ24" s="36">
        <f t="shared" si="31"/>
        <v>2036</v>
      </c>
      <c r="BA24" s="36">
        <f t="shared" si="31"/>
        <v>2037</v>
      </c>
      <c r="BB24" s="36">
        <f t="shared" si="31"/>
        <v>2038</v>
      </c>
    </row>
    <row r="25" spans="1:54" x14ac:dyDescent="0.25">
      <c r="B25" s="1" t="s">
        <v>52</v>
      </c>
      <c r="C25" s="14">
        <f ca="1">Injectable_Base!C25</f>
        <v>2.2919599999999998E-2</v>
      </c>
      <c r="D25" s="14">
        <f ca="1">Injectable_Base!D25</f>
        <v>4.7372999999999998E-2</v>
      </c>
      <c r="E25" s="14">
        <f ca="1">IF('User Settings'!$N$7="On",($D25-$C25)/($D$4-$C$4),0)</f>
        <v>4.8906799999999997E-3</v>
      </c>
      <c r="F25" s="14">
        <f ca="1">Injectable_Base!F25</f>
        <v>6.2045039999999996E-2</v>
      </c>
      <c r="G25" s="1" t="str">
        <f>"Shift_UrbQ2"&amp;IF(Dashboard!$Q$4="Yes",$A$1,"")</f>
        <v>Shift_UrbQ2</v>
      </c>
      <c r="H25" s="14">
        <f ca="1">Injectable_Base!H25*(1-INDIRECT($G25))</f>
        <v>5.7537809999999995E-2</v>
      </c>
      <c r="I25" s="14">
        <f ca="1">($H25-$F25)/($H$4-$F$4)</f>
        <v>-1.5024100000000002E-3</v>
      </c>
      <c r="J25" s="14">
        <f ca="1">K25-E25</f>
        <v>5.7154359999999994E-2</v>
      </c>
      <c r="K25" s="14">
        <f ca="1">MAX(0,MIN(1,D25+(K$4-D$4)*E25))</f>
        <v>6.2045039999999996E-2</v>
      </c>
      <c r="L25" s="15">
        <f ca="1">MAX(0,MIN(1,K25+$I25))</f>
        <v>6.0542629999999993E-2</v>
      </c>
      <c r="M25" s="15">
        <f t="shared" ref="M25:AD25" ca="1" si="32">MAX(0,MIN(1,L25+$I25))</f>
        <v>5.904021999999999E-2</v>
      </c>
      <c r="N25" s="15">
        <f ca="1">MAX(0,MIN(1,M25+$I25))</f>
        <v>5.7537809999999988E-2</v>
      </c>
      <c r="O25" s="15">
        <f t="shared" ca="1" si="32"/>
        <v>5.6035399999999985E-2</v>
      </c>
      <c r="P25" s="15">
        <f t="shared" ca="1" si="32"/>
        <v>5.4532989999999983E-2</v>
      </c>
      <c r="Q25" s="15">
        <f t="shared" ca="1" si="32"/>
        <v>5.303057999999998E-2</v>
      </c>
      <c r="R25" s="15">
        <f t="shared" ca="1" si="32"/>
        <v>5.1528169999999977E-2</v>
      </c>
      <c r="S25" s="15">
        <f t="shared" ca="1" si="32"/>
        <v>5.0025759999999975E-2</v>
      </c>
      <c r="T25" s="15">
        <f t="shared" ca="1" si="32"/>
        <v>4.8523349999999972E-2</v>
      </c>
      <c r="U25" s="15">
        <f t="shared" ca="1" si="32"/>
        <v>4.7020939999999969E-2</v>
      </c>
      <c r="V25" s="15">
        <f t="shared" ca="1" si="32"/>
        <v>4.5518529999999967E-2</v>
      </c>
      <c r="W25" s="15">
        <f t="shared" ca="1" si="32"/>
        <v>4.4016119999999964E-2</v>
      </c>
      <c r="X25" s="15">
        <f t="shared" ca="1" si="32"/>
        <v>4.2513709999999962E-2</v>
      </c>
      <c r="Y25" s="15">
        <f t="shared" ca="1" si="32"/>
        <v>4.1011299999999959E-2</v>
      </c>
      <c r="Z25" s="15">
        <f t="shared" ca="1" si="32"/>
        <v>3.9508889999999956E-2</v>
      </c>
      <c r="AA25" s="15">
        <f t="shared" ca="1" si="32"/>
        <v>3.8006479999999954E-2</v>
      </c>
      <c r="AB25" s="15">
        <f t="shared" ca="1" si="32"/>
        <v>3.6504069999999951E-2</v>
      </c>
      <c r="AC25" s="15">
        <f t="shared" ca="1" si="32"/>
        <v>3.5001659999999948E-2</v>
      </c>
      <c r="AD25" s="15">
        <f t="shared" ca="1" si="32"/>
        <v>3.3499249999999946E-2</v>
      </c>
      <c r="AE25" s="5"/>
      <c r="AG25" s="1" t="s">
        <v>52</v>
      </c>
      <c r="AH25" s="37">
        <f ca="1">J25*AH$31</f>
        <v>34450.579580857731</v>
      </c>
      <c r="AI25" s="37">
        <f t="shared" ref="AI25:AI30" ca="1" si="33">K25*AI$31</f>
        <v>38836.679430231576</v>
      </c>
      <c r="AJ25" s="37">
        <f t="shared" ref="AJ25:AS30" ca="1" si="34">L25*AJ$31</f>
        <v>39344.942328429053</v>
      </c>
      <c r="AK25" s="37">
        <f t="shared" ca="1" si="34"/>
        <v>39776.212754919994</v>
      </c>
      <c r="AL25" s="37">
        <f t="shared" ca="1" si="34"/>
        <v>40186.033727317823</v>
      </c>
      <c r="AM25" s="37">
        <f t="shared" ca="1" si="34"/>
        <v>40565.690517679919</v>
      </c>
      <c r="AN25" s="37">
        <f t="shared" ca="1" si="34"/>
        <v>40906.343236520552</v>
      </c>
      <c r="AO25" s="37">
        <f t="shared" ca="1" si="34"/>
        <v>41202.299326819098</v>
      </c>
      <c r="AP25" s="37">
        <f t="shared" ca="1" si="34"/>
        <v>41422.259288997295</v>
      </c>
      <c r="AQ25" s="37">
        <f t="shared" ca="1" si="34"/>
        <v>41596.641013625929</v>
      </c>
      <c r="AR25" s="37">
        <f t="shared" ca="1" si="34"/>
        <v>41722.812847161746</v>
      </c>
      <c r="AS25" s="37">
        <f t="shared" ca="1" si="34"/>
        <v>41799.859668845078</v>
      </c>
      <c r="AT25" s="37">
        <f t="shared" ref="AT25:BB30" ca="1" si="35">V25*AT$31</f>
        <v>41825.261468941411</v>
      </c>
      <c r="AU25" s="37">
        <f t="shared" ca="1" si="35"/>
        <v>41770.959213405484</v>
      </c>
      <c r="AV25" s="37">
        <f t="shared" ca="1" si="35"/>
        <v>41661.922271603959</v>
      </c>
      <c r="AW25" s="37">
        <f t="shared" ca="1" si="35"/>
        <v>41491.926426649916</v>
      </c>
      <c r="AX25" s="37">
        <f t="shared" ca="1" si="35"/>
        <v>41254.786540644542</v>
      </c>
      <c r="AY25" s="37">
        <f t="shared" ca="1" si="35"/>
        <v>40945.565876023204</v>
      </c>
      <c r="AZ25" s="37" t="e">
        <f t="shared" ca="1" si="35"/>
        <v>#N/A</v>
      </c>
      <c r="BA25" s="37" t="e">
        <f t="shared" ca="1" si="35"/>
        <v>#N/A</v>
      </c>
      <c r="BB25" s="37" t="e">
        <f t="shared" ca="1" si="35"/>
        <v>#N/A</v>
      </c>
    </row>
    <row r="26" spans="1:54" x14ac:dyDescent="0.25">
      <c r="B26" s="1" t="s">
        <v>54</v>
      </c>
      <c r="C26" s="14">
        <f ca="1">Injectable_Base!C26</f>
        <v>1.0582E-3</v>
      </c>
      <c r="D26" s="14">
        <f ca="1">Injectable_Base!D26</f>
        <v>6.5379999999999995E-4</v>
      </c>
      <c r="E26" s="14">
        <f ca="1">IF('User Settings'!$N$7="On",($D26-$C26)/($D$4-$C$4),0)</f>
        <v>-8.0880000000000012E-5</v>
      </c>
      <c r="F26" s="14">
        <f ca="1">Injectable_Base!F26</f>
        <v>4.1115999999999993E-4</v>
      </c>
      <c r="G26" s="1" t="str">
        <f>"Shift_UrbQ2"&amp;IF(Dashboard!$Q$4="Yes",$A$1,"")</f>
        <v>Shift_UrbQ2</v>
      </c>
      <c r="H26" s="14">
        <f ca="1">Injectable_Base!H26*(1-INDIRECT($G26))</f>
        <v>1.2638999999999993E-4</v>
      </c>
      <c r="I26" s="14">
        <f ca="1">($H26-$F26)/($H$4-$F$4)</f>
        <v>-9.4923333333333333E-5</v>
      </c>
      <c r="J26" s="14">
        <f t="shared" ref="J26:J30" ca="1" si="36">K26-E26</f>
        <v>4.920399999999999E-4</v>
      </c>
      <c r="K26" s="14">
        <f t="shared" ref="K26:K30" ca="1" si="37">MAX(0,MIN(1,D26+(K$4-D$4)*E26))</f>
        <v>4.1115999999999993E-4</v>
      </c>
      <c r="L26" s="15">
        <f t="shared" ref="L26:AD30" ca="1" si="38">MAX(0,MIN(1,K26+$I26))</f>
        <v>3.162366666666666E-4</v>
      </c>
      <c r="M26" s="15">
        <f t="shared" ca="1" si="38"/>
        <v>2.2131333333333327E-4</v>
      </c>
      <c r="N26" s="15">
        <f t="shared" ca="1" si="38"/>
        <v>1.2638999999999993E-4</v>
      </c>
      <c r="O26" s="15">
        <f t="shared" ca="1" si="38"/>
        <v>3.14666666666666E-5</v>
      </c>
      <c r="P26" s="15">
        <f t="shared" ca="1" si="38"/>
        <v>0</v>
      </c>
      <c r="Q26" s="15">
        <f t="shared" ca="1" si="38"/>
        <v>0</v>
      </c>
      <c r="R26" s="15">
        <f t="shared" ca="1" si="38"/>
        <v>0</v>
      </c>
      <c r="S26" s="15">
        <f t="shared" ca="1" si="38"/>
        <v>0</v>
      </c>
      <c r="T26" s="15">
        <f t="shared" ca="1" si="38"/>
        <v>0</v>
      </c>
      <c r="U26" s="15">
        <f t="shared" ca="1" si="38"/>
        <v>0</v>
      </c>
      <c r="V26" s="15">
        <f t="shared" ca="1" si="38"/>
        <v>0</v>
      </c>
      <c r="W26" s="15">
        <f t="shared" ca="1" si="38"/>
        <v>0</v>
      </c>
      <c r="X26" s="15">
        <f t="shared" ca="1" si="38"/>
        <v>0</v>
      </c>
      <c r="Y26" s="15">
        <f t="shared" ca="1" si="38"/>
        <v>0</v>
      </c>
      <c r="Z26" s="15">
        <f t="shared" ca="1" si="38"/>
        <v>0</v>
      </c>
      <c r="AA26" s="15">
        <f t="shared" ca="1" si="38"/>
        <v>0</v>
      </c>
      <c r="AB26" s="15">
        <f t="shared" ca="1" si="38"/>
        <v>0</v>
      </c>
      <c r="AC26" s="15">
        <f t="shared" ca="1" si="38"/>
        <v>0</v>
      </c>
      <c r="AD26" s="15">
        <f t="shared" ca="1" si="38"/>
        <v>0</v>
      </c>
      <c r="AE26" s="5"/>
      <c r="AG26" s="1" t="s">
        <v>54</v>
      </c>
      <c r="AH26" s="37">
        <f t="shared" ref="AH26:AH30" ca="1" si="39">J26*AH$31</f>
        <v>296.58390325716596</v>
      </c>
      <c r="AI26" s="37">
        <f t="shared" ca="1" si="33"/>
        <v>257.36286276121365</v>
      </c>
      <c r="AJ26" s="37">
        <f t="shared" ca="1" si="34"/>
        <v>205.51326250832909</v>
      </c>
      <c r="AK26" s="37">
        <f t="shared" ca="1" si="34"/>
        <v>149.10185348508512</v>
      </c>
      <c r="AL26" s="37">
        <f t="shared" ca="1" si="34"/>
        <v>88.274350427930742</v>
      </c>
      <c r="AM26" s="37">
        <f t="shared" ca="1" si="34"/>
        <v>22.779654675847635</v>
      </c>
      <c r="AN26" s="37">
        <f t="shared" ca="1" si="34"/>
        <v>0</v>
      </c>
      <c r="AO26" s="37">
        <f t="shared" ca="1" si="34"/>
        <v>0</v>
      </c>
      <c r="AP26" s="37">
        <f t="shared" ca="1" si="34"/>
        <v>0</v>
      </c>
      <c r="AQ26" s="37">
        <f t="shared" ca="1" si="34"/>
        <v>0</v>
      </c>
      <c r="AR26" s="37">
        <f t="shared" ca="1" si="34"/>
        <v>0</v>
      </c>
      <c r="AS26" s="37">
        <f t="shared" ca="1" si="34"/>
        <v>0</v>
      </c>
      <c r="AT26" s="37">
        <f t="shared" ca="1" si="35"/>
        <v>0</v>
      </c>
      <c r="AU26" s="37">
        <f t="shared" ca="1" si="35"/>
        <v>0</v>
      </c>
      <c r="AV26" s="37">
        <f t="shared" ca="1" si="35"/>
        <v>0</v>
      </c>
      <c r="AW26" s="37">
        <f t="shared" ca="1" si="35"/>
        <v>0</v>
      </c>
      <c r="AX26" s="37">
        <f t="shared" ca="1" si="35"/>
        <v>0</v>
      </c>
      <c r="AY26" s="37">
        <f t="shared" ca="1" si="35"/>
        <v>0</v>
      </c>
      <c r="AZ26" s="37" t="e">
        <f t="shared" ca="1" si="35"/>
        <v>#N/A</v>
      </c>
      <c r="BA26" s="37" t="e">
        <f t="shared" ca="1" si="35"/>
        <v>#N/A</v>
      </c>
      <c r="BB26" s="37" t="e">
        <f t="shared" ca="1" si="35"/>
        <v>#N/A</v>
      </c>
    </row>
    <row r="27" spans="1:54" x14ac:dyDescent="0.25">
      <c r="B27" s="1" t="s">
        <v>170</v>
      </c>
      <c r="C27" s="14">
        <f ca="1">Injectable_Base!C27</f>
        <v>0</v>
      </c>
      <c r="D27" s="14">
        <f ca="1">Injectable_Base!D27</f>
        <v>0</v>
      </c>
      <c r="E27" s="14">
        <f ca="1">IF('User Settings'!$N$7="On",($D27-$C27)/($D$4-$C$4),0)</f>
        <v>0</v>
      </c>
      <c r="F27" s="14">
        <f ca="1">Injectable_Base!F27</f>
        <v>0</v>
      </c>
      <c r="G27" s="1" t="str">
        <f>"Shift_UrbQ2"&amp;IF(Dashboard!$Q$4="Yes",$A$1,"")</f>
        <v>Shift_UrbQ2</v>
      </c>
      <c r="H27" s="14">
        <f ca="1">Injectable_Base!H27*(1-INDIRECT($G27))</f>
        <v>0</v>
      </c>
      <c r="I27" s="14">
        <f t="shared" ref="I27:I30" ca="1" si="40">($H27-$F27)/($H$4-$F$4)</f>
        <v>0</v>
      </c>
      <c r="J27" s="14">
        <f t="shared" ca="1" si="36"/>
        <v>0</v>
      </c>
      <c r="K27" s="14">
        <f t="shared" ca="1" si="37"/>
        <v>0</v>
      </c>
      <c r="L27" s="15">
        <f t="shared" ca="1" si="38"/>
        <v>0</v>
      </c>
      <c r="M27" s="15">
        <f t="shared" ca="1" si="38"/>
        <v>0</v>
      </c>
      <c r="N27" s="15">
        <f t="shared" ca="1" si="38"/>
        <v>0</v>
      </c>
      <c r="O27" s="15">
        <f t="shared" ca="1" si="38"/>
        <v>0</v>
      </c>
      <c r="P27" s="15">
        <f t="shared" ca="1" si="38"/>
        <v>0</v>
      </c>
      <c r="Q27" s="15">
        <f t="shared" ca="1" si="38"/>
        <v>0</v>
      </c>
      <c r="R27" s="15">
        <f t="shared" ca="1" si="38"/>
        <v>0</v>
      </c>
      <c r="S27" s="15">
        <f t="shared" ca="1" si="38"/>
        <v>0</v>
      </c>
      <c r="T27" s="15">
        <f t="shared" ca="1" si="38"/>
        <v>0</v>
      </c>
      <c r="U27" s="15">
        <f t="shared" ca="1" si="38"/>
        <v>0</v>
      </c>
      <c r="V27" s="15">
        <f t="shared" ca="1" si="38"/>
        <v>0</v>
      </c>
      <c r="W27" s="15">
        <f t="shared" ca="1" si="38"/>
        <v>0</v>
      </c>
      <c r="X27" s="15">
        <f t="shared" ca="1" si="38"/>
        <v>0</v>
      </c>
      <c r="Y27" s="15">
        <f t="shared" ca="1" si="38"/>
        <v>0</v>
      </c>
      <c r="Z27" s="15">
        <f t="shared" ca="1" si="38"/>
        <v>0</v>
      </c>
      <c r="AA27" s="15">
        <f t="shared" ca="1" si="38"/>
        <v>0</v>
      </c>
      <c r="AB27" s="15">
        <f t="shared" ca="1" si="38"/>
        <v>0</v>
      </c>
      <c r="AC27" s="15">
        <f t="shared" ca="1" si="38"/>
        <v>0</v>
      </c>
      <c r="AD27" s="15">
        <f t="shared" ca="1" si="38"/>
        <v>0</v>
      </c>
      <c r="AE27" s="5"/>
      <c r="AG27" s="1" t="s">
        <v>170</v>
      </c>
      <c r="AH27" s="37">
        <f t="shared" ca="1" si="39"/>
        <v>0</v>
      </c>
      <c r="AI27" s="37">
        <f t="shared" ca="1" si="33"/>
        <v>0</v>
      </c>
      <c r="AJ27" s="37">
        <f t="shared" ca="1" si="34"/>
        <v>0</v>
      </c>
      <c r="AK27" s="37">
        <f t="shared" ca="1" si="34"/>
        <v>0</v>
      </c>
      <c r="AL27" s="37">
        <f t="shared" ca="1" si="34"/>
        <v>0</v>
      </c>
      <c r="AM27" s="37">
        <f t="shared" ca="1" si="34"/>
        <v>0</v>
      </c>
      <c r="AN27" s="37">
        <f t="shared" ca="1" si="34"/>
        <v>0</v>
      </c>
      <c r="AO27" s="37">
        <f t="shared" ca="1" si="34"/>
        <v>0</v>
      </c>
      <c r="AP27" s="37">
        <f t="shared" ca="1" si="34"/>
        <v>0</v>
      </c>
      <c r="AQ27" s="37">
        <f t="shared" ca="1" si="34"/>
        <v>0</v>
      </c>
      <c r="AR27" s="37">
        <f t="shared" ca="1" si="34"/>
        <v>0</v>
      </c>
      <c r="AS27" s="37">
        <f t="shared" ca="1" si="34"/>
        <v>0</v>
      </c>
      <c r="AT27" s="37">
        <f t="shared" ca="1" si="35"/>
        <v>0</v>
      </c>
      <c r="AU27" s="37">
        <f t="shared" ca="1" si="35"/>
        <v>0</v>
      </c>
      <c r="AV27" s="37">
        <f t="shared" ca="1" si="35"/>
        <v>0</v>
      </c>
      <c r="AW27" s="37">
        <f t="shared" ca="1" si="35"/>
        <v>0</v>
      </c>
      <c r="AX27" s="37">
        <f t="shared" ca="1" si="35"/>
        <v>0</v>
      </c>
      <c r="AY27" s="37">
        <f t="shared" ca="1" si="35"/>
        <v>0</v>
      </c>
      <c r="AZ27" s="37" t="e">
        <f t="shared" ca="1" si="35"/>
        <v>#N/A</v>
      </c>
      <c r="BA27" s="37" t="e">
        <f t="shared" ca="1" si="35"/>
        <v>#N/A</v>
      </c>
      <c r="BB27" s="37" t="e">
        <f t="shared" ca="1" si="35"/>
        <v>#N/A</v>
      </c>
    </row>
    <row r="28" spans="1:54" x14ac:dyDescent="0.25">
      <c r="B28" s="1" t="s">
        <v>59</v>
      </c>
      <c r="C28" s="14">
        <f ca="1">Injectable_Base!C28</f>
        <v>0.10525900000000001</v>
      </c>
      <c r="D28" s="14">
        <f ca="1">Injectable_Base!D28</f>
        <v>0.1078966</v>
      </c>
      <c r="E28" s="14">
        <f ca="1">IF('User Settings'!$N$7="On",($D28-$C28)/($D$4-$C$4),0)</f>
        <v>5.2751999999999801E-4</v>
      </c>
      <c r="F28" s="14">
        <f ca="1">Injectable_Base!F28</f>
        <v>0.10947915999999999</v>
      </c>
      <c r="H28" s="14">
        <f ca="1">H31-SUM($H25:$H27,$H29:$H30)</f>
        <v>0.13028311999999997</v>
      </c>
      <c r="I28" s="14">
        <f t="shared" ca="1" si="40"/>
        <v>6.9346533333333278E-3</v>
      </c>
      <c r="J28" s="14">
        <f t="shared" ca="1" si="36"/>
        <v>0.10895163999999999</v>
      </c>
      <c r="K28" s="14">
        <f t="shared" ca="1" si="37"/>
        <v>0.10947915999999999</v>
      </c>
      <c r="L28" s="15">
        <f t="shared" ca="1" si="38"/>
        <v>0.11641381333333332</v>
      </c>
      <c r="M28" s="15">
        <f t="shared" ca="1" si="38"/>
        <v>0.12334846666666666</v>
      </c>
      <c r="N28" s="15">
        <f t="shared" ca="1" si="38"/>
        <v>0.13028311999999997</v>
      </c>
      <c r="O28" s="15">
        <f t="shared" ca="1" si="38"/>
        <v>0.13721777333333329</v>
      </c>
      <c r="P28" s="15">
        <f t="shared" ca="1" si="38"/>
        <v>0.14415242666666661</v>
      </c>
      <c r="Q28" s="15">
        <f t="shared" ca="1" si="38"/>
        <v>0.15108707999999993</v>
      </c>
      <c r="R28" s="15">
        <f t="shared" ca="1" si="38"/>
        <v>0.15802173333333325</v>
      </c>
      <c r="S28" s="15">
        <f t="shared" ca="1" si="38"/>
        <v>0.16495638666666657</v>
      </c>
      <c r="T28" s="15">
        <f t="shared" ca="1" si="38"/>
        <v>0.17189103999999988</v>
      </c>
      <c r="U28" s="15">
        <f t="shared" ca="1" si="38"/>
        <v>0.1788256933333332</v>
      </c>
      <c r="V28" s="15">
        <f t="shared" ca="1" si="38"/>
        <v>0.18576034666666652</v>
      </c>
      <c r="W28" s="15">
        <f t="shared" ca="1" si="38"/>
        <v>0.19269499999999984</v>
      </c>
      <c r="X28" s="15">
        <f t="shared" ca="1" si="38"/>
        <v>0.19962965333333316</v>
      </c>
      <c r="Y28" s="15">
        <f t="shared" ca="1" si="38"/>
        <v>0.20656430666666648</v>
      </c>
      <c r="Z28" s="15">
        <f t="shared" ca="1" si="38"/>
        <v>0.21349895999999979</v>
      </c>
      <c r="AA28" s="15">
        <f t="shared" ca="1" si="38"/>
        <v>0.22043361333333311</v>
      </c>
      <c r="AB28" s="15">
        <f t="shared" ca="1" si="38"/>
        <v>0.22736826666666643</v>
      </c>
      <c r="AC28" s="15">
        <f t="shared" ca="1" si="38"/>
        <v>0.23430291999999975</v>
      </c>
      <c r="AD28" s="15">
        <f t="shared" ca="1" si="38"/>
        <v>0.24123757333333307</v>
      </c>
      <c r="AE28" s="5"/>
      <c r="AG28" s="1" t="s">
        <v>59</v>
      </c>
      <c r="AH28" s="37">
        <f t="shared" ca="1" si="39"/>
        <v>65672.105230204004</v>
      </c>
      <c r="AI28" s="37">
        <f t="shared" ca="1" si="33"/>
        <v>68527.750827641197</v>
      </c>
      <c r="AJ28" s="37">
        <f t="shared" ca="1" si="34"/>
        <v>75654.043635575537</v>
      </c>
      <c r="AK28" s="37">
        <f t="shared" ca="1" si="34"/>
        <v>83101.56793329175</v>
      </c>
      <c r="AL28" s="37">
        <f t="shared" ca="1" si="34"/>
        <v>90993.415537021574</v>
      </c>
      <c r="AM28" s="37">
        <f t="shared" ca="1" si="34"/>
        <v>99336.021989048924</v>
      </c>
      <c r="AN28" s="37">
        <f t="shared" ca="1" si="34"/>
        <v>108131.76837734414</v>
      </c>
      <c r="AO28" s="37">
        <f t="shared" ca="1" si="34"/>
        <v>117387.64868449606</v>
      </c>
      <c r="AP28" s="37">
        <f t="shared" ca="1" si="34"/>
        <v>127029.87921810769</v>
      </c>
      <c r="AQ28" s="37">
        <f t="shared" ca="1" si="34"/>
        <v>137161.96613661048</v>
      </c>
      <c r="AR28" s="37">
        <f t="shared" ca="1" si="34"/>
        <v>147800.54740705233</v>
      </c>
      <c r="AS28" s="37">
        <f t="shared" ca="1" si="34"/>
        <v>158969.3631500616</v>
      </c>
      <c r="AT28" s="37">
        <f t="shared" ca="1" si="35"/>
        <v>170688.18061335749</v>
      </c>
      <c r="AU28" s="37">
        <f t="shared" ca="1" si="35"/>
        <v>182866.07237591976</v>
      </c>
      <c r="AV28" s="37">
        <f t="shared" ca="1" si="35"/>
        <v>195629.95326167907</v>
      </c>
      <c r="AW28" s="37">
        <f t="shared" ca="1" si="35"/>
        <v>208985.10933779919</v>
      </c>
      <c r="AX28" s="37">
        <f t="shared" ca="1" si="35"/>
        <v>222933.47197174124</v>
      </c>
      <c r="AY28" s="37">
        <f t="shared" ca="1" si="35"/>
        <v>237480.00435793659</v>
      </c>
      <c r="AZ28" s="37" t="e">
        <f t="shared" ca="1" si="35"/>
        <v>#N/A</v>
      </c>
      <c r="BA28" s="37" t="e">
        <f t="shared" ca="1" si="35"/>
        <v>#N/A</v>
      </c>
      <c r="BB28" s="37" t="e">
        <f t="shared" ca="1" si="35"/>
        <v>#N/A</v>
      </c>
    </row>
    <row r="29" spans="1:54" x14ac:dyDescent="0.25">
      <c r="B29" s="1" t="s">
        <v>171</v>
      </c>
      <c r="C29" s="14">
        <f ca="1">Injectable_Base!C29</f>
        <v>2.3693999999999998E-3</v>
      </c>
      <c r="D29" s="14">
        <f ca="1">Injectable_Base!D29</f>
        <v>0</v>
      </c>
      <c r="E29" s="14">
        <f ca="1">IF('User Settings'!$N$7="On",($D29-$C29)/($D$4-$C$4),0)</f>
        <v>-4.7387999999999998E-4</v>
      </c>
      <c r="F29" s="14">
        <f ca="1">Injectable_Base!F29</f>
        <v>0</v>
      </c>
      <c r="G29" s="1"/>
      <c r="H29" s="14">
        <f ca="1">Injectable_Base!H29</f>
        <v>0</v>
      </c>
      <c r="I29" s="14">
        <f t="shared" ca="1" si="40"/>
        <v>0</v>
      </c>
      <c r="J29" s="14">
        <f t="shared" ca="1" si="36"/>
        <v>4.7387999999999998E-4</v>
      </c>
      <c r="K29" s="14">
        <f t="shared" ca="1" si="37"/>
        <v>0</v>
      </c>
      <c r="L29" s="15">
        <f t="shared" ca="1" si="38"/>
        <v>0</v>
      </c>
      <c r="M29" s="15">
        <f t="shared" ca="1" si="38"/>
        <v>0</v>
      </c>
      <c r="N29" s="15">
        <f t="shared" ca="1" si="38"/>
        <v>0</v>
      </c>
      <c r="O29" s="15">
        <f t="shared" ca="1" si="38"/>
        <v>0</v>
      </c>
      <c r="P29" s="15">
        <f t="shared" ca="1" si="38"/>
        <v>0</v>
      </c>
      <c r="Q29" s="15">
        <f t="shared" ca="1" si="38"/>
        <v>0</v>
      </c>
      <c r="R29" s="15">
        <f t="shared" ca="1" si="38"/>
        <v>0</v>
      </c>
      <c r="S29" s="15">
        <f t="shared" ca="1" si="38"/>
        <v>0</v>
      </c>
      <c r="T29" s="15">
        <f t="shared" ca="1" si="38"/>
        <v>0</v>
      </c>
      <c r="U29" s="15">
        <f t="shared" ca="1" si="38"/>
        <v>0</v>
      </c>
      <c r="V29" s="15">
        <f t="shared" ca="1" si="38"/>
        <v>0</v>
      </c>
      <c r="W29" s="15">
        <f t="shared" ca="1" si="38"/>
        <v>0</v>
      </c>
      <c r="X29" s="15">
        <f t="shared" ca="1" si="38"/>
        <v>0</v>
      </c>
      <c r="Y29" s="15">
        <f t="shared" ca="1" si="38"/>
        <v>0</v>
      </c>
      <c r="Z29" s="15">
        <f t="shared" ca="1" si="38"/>
        <v>0</v>
      </c>
      <c r="AA29" s="15">
        <f t="shared" ca="1" si="38"/>
        <v>0</v>
      </c>
      <c r="AB29" s="15">
        <f t="shared" ca="1" si="38"/>
        <v>0</v>
      </c>
      <c r="AC29" s="15">
        <f t="shared" ca="1" si="38"/>
        <v>0</v>
      </c>
      <c r="AD29" s="15">
        <f t="shared" ca="1" si="38"/>
        <v>0</v>
      </c>
      <c r="AE29" s="5"/>
      <c r="AG29" s="1" t="s">
        <v>171</v>
      </c>
      <c r="AH29" s="37">
        <f t="shared" ca="1" si="39"/>
        <v>285.6377125345619</v>
      </c>
      <c r="AI29" s="37">
        <f t="shared" ca="1" si="33"/>
        <v>0</v>
      </c>
      <c r="AJ29" s="37">
        <f t="shared" ca="1" si="34"/>
        <v>0</v>
      </c>
      <c r="AK29" s="37">
        <f t="shared" ca="1" si="34"/>
        <v>0</v>
      </c>
      <c r="AL29" s="37">
        <f t="shared" ca="1" si="34"/>
        <v>0</v>
      </c>
      <c r="AM29" s="37">
        <f t="shared" ca="1" si="34"/>
        <v>0</v>
      </c>
      <c r="AN29" s="37">
        <f t="shared" ca="1" si="34"/>
        <v>0</v>
      </c>
      <c r="AO29" s="37">
        <f t="shared" ca="1" si="34"/>
        <v>0</v>
      </c>
      <c r="AP29" s="37">
        <f t="shared" ca="1" si="34"/>
        <v>0</v>
      </c>
      <c r="AQ29" s="37">
        <f t="shared" ca="1" si="34"/>
        <v>0</v>
      </c>
      <c r="AR29" s="37">
        <f t="shared" ca="1" si="34"/>
        <v>0</v>
      </c>
      <c r="AS29" s="37">
        <f t="shared" ca="1" si="34"/>
        <v>0</v>
      </c>
      <c r="AT29" s="37">
        <f t="shared" ca="1" si="35"/>
        <v>0</v>
      </c>
      <c r="AU29" s="37">
        <f t="shared" ca="1" si="35"/>
        <v>0</v>
      </c>
      <c r="AV29" s="37">
        <f t="shared" ca="1" si="35"/>
        <v>0</v>
      </c>
      <c r="AW29" s="37">
        <f t="shared" ca="1" si="35"/>
        <v>0</v>
      </c>
      <c r="AX29" s="37">
        <f t="shared" ca="1" si="35"/>
        <v>0</v>
      </c>
      <c r="AY29" s="37">
        <f t="shared" ca="1" si="35"/>
        <v>0</v>
      </c>
      <c r="AZ29" s="37" t="e">
        <f t="shared" ca="1" si="35"/>
        <v>#N/A</v>
      </c>
      <c r="BA29" s="37" t="e">
        <f t="shared" ca="1" si="35"/>
        <v>#N/A</v>
      </c>
      <c r="BB29" s="37" t="e">
        <f t="shared" ca="1" si="35"/>
        <v>#N/A</v>
      </c>
    </row>
    <row r="30" spans="1:54" ht="15.75" customHeight="1" x14ac:dyDescent="0.25">
      <c r="B30" s="1" t="s">
        <v>116</v>
      </c>
      <c r="C30" s="14">
        <f ca="1">Injectable_Base!C30</f>
        <v>0</v>
      </c>
      <c r="D30" s="14">
        <f ca="1">Injectable_Base!D30</f>
        <v>0</v>
      </c>
      <c r="E30" s="14">
        <f ca="1">IF('User Settings'!$N$7="On",($D30-$C30)/($D$4-$C$4),0)</f>
        <v>0</v>
      </c>
      <c r="F30" s="14">
        <f ca="1">Injectable_Base!F30</f>
        <v>0</v>
      </c>
      <c r="G30" s="1" t="str">
        <f>"Shift_UrbQ2"&amp;IF(Dashboard!$Q$4="Yes",$A$1,"")</f>
        <v>Shift_UrbQ2</v>
      </c>
      <c r="H30" s="14">
        <f ca="1">Injectable_Base!H30*(1-INDIRECT($G30))</f>
        <v>0</v>
      </c>
      <c r="I30" s="14">
        <f t="shared" ca="1" si="40"/>
        <v>0</v>
      </c>
      <c r="J30" s="14">
        <f t="shared" ca="1" si="36"/>
        <v>0</v>
      </c>
      <c r="K30" s="14">
        <f t="shared" ca="1" si="37"/>
        <v>0</v>
      </c>
      <c r="L30" s="15">
        <f t="shared" ca="1" si="38"/>
        <v>0</v>
      </c>
      <c r="M30" s="15">
        <f t="shared" ca="1" si="38"/>
        <v>0</v>
      </c>
      <c r="N30" s="15">
        <f t="shared" ca="1" si="38"/>
        <v>0</v>
      </c>
      <c r="O30" s="15">
        <f t="shared" ca="1" si="38"/>
        <v>0</v>
      </c>
      <c r="P30" s="15">
        <f t="shared" ca="1" si="38"/>
        <v>0</v>
      </c>
      <c r="Q30" s="15">
        <f t="shared" ca="1" si="38"/>
        <v>0</v>
      </c>
      <c r="R30" s="15">
        <f t="shared" ca="1" si="38"/>
        <v>0</v>
      </c>
      <c r="S30" s="15">
        <f t="shared" ca="1" si="38"/>
        <v>0</v>
      </c>
      <c r="T30" s="15">
        <f t="shared" ca="1" si="38"/>
        <v>0</v>
      </c>
      <c r="U30" s="15">
        <f t="shared" ca="1" si="38"/>
        <v>0</v>
      </c>
      <c r="V30" s="15">
        <f t="shared" ca="1" si="38"/>
        <v>0</v>
      </c>
      <c r="W30" s="15">
        <f t="shared" ca="1" si="38"/>
        <v>0</v>
      </c>
      <c r="X30" s="15">
        <f t="shared" ca="1" si="38"/>
        <v>0</v>
      </c>
      <c r="Y30" s="15">
        <f t="shared" ca="1" si="38"/>
        <v>0</v>
      </c>
      <c r="Z30" s="15">
        <f t="shared" ca="1" si="38"/>
        <v>0</v>
      </c>
      <c r="AA30" s="15">
        <f t="shared" ca="1" si="38"/>
        <v>0</v>
      </c>
      <c r="AB30" s="15">
        <f t="shared" ca="1" si="38"/>
        <v>0</v>
      </c>
      <c r="AC30" s="15">
        <f t="shared" ca="1" si="38"/>
        <v>0</v>
      </c>
      <c r="AD30" s="15">
        <f t="shared" ca="1" si="38"/>
        <v>0</v>
      </c>
      <c r="AE30" s="5"/>
      <c r="AG30" s="1" t="s">
        <v>116</v>
      </c>
      <c r="AH30" s="37">
        <f t="shared" ca="1" si="39"/>
        <v>0</v>
      </c>
      <c r="AI30" s="37">
        <f t="shared" ca="1" si="33"/>
        <v>0</v>
      </c>
      <c r="AJ30" s="37">
        <f t="shared" ca="1" si="34"/>
        <v>0</v>
      </c>
      <c r="AK30" s="37">
        <f t="shared" ca="1" si="34"/>
        <v>0</v>
      </c>
      <c r="AL30" s="37">
        <f t="shared" ca="1" si="34"/>
        <v>0</v>
      </c>
      <c r="AM30" s="37">
        <f t="shared" ca="1" si="34"/>
        <v>0</v>
      </c>
      <c r="AN30" s="37">
        <f t="shared" ca="1" si="34"/>
        <v>0</v>
      </c>
      <c r="AO30" s="37">
        <f t="shared" ca="1" si="34"/>
        <v>0</v>
      </c>
      <c r="AP30" s="37">
        <f t="shared" ca="1" si="34"/>
        <v>0</v>
      </c>
      <c r="AQ30" s="37">
        <f t="shared" ca="1" si="34"/>
        <v>0</v>
      </c>
      <c r="AR30" s="37">
        <f t="shared" ca="1" si="34"/>
        <v>0</v>
      </c>
      <c r="AS30" s="37">
        <f t="shared" ca="1" si="34"/>
        <v>0</v>
      </c>
      <c r="AT30" s="37">
        <f t="shared" ca="1" si="35"/>
        <v>0</v>
      </c>
      <c r="AU30" s="37">
        <f t="shared" ca="1" si="35"/>
        <v>0</v>
      </c>
      <c r="AV30" s="37">
        <f t="shared" ca="1" si="35"/>
        <v>0</v>
      </c>
      <c r="AW30" s="37">
        <f t="shared" ca="1" si="35"/>
        <v>0</v>
      </c>
      <c r="AX30" s="37">
        <f t="shared" ca="1" si="35"/>
        <v>0</v>
      </c>
      <c r="AY30" s="37">
        <f t="shared" ca="1" si="35"/>
        <v>0</v>
      </c>
      <c r="AZ30" s="37" t="e">
        <f t="shared" ca="1" si="35"/>
        <v>#N/A</v>
      </c>
      <c r="BA30" s="37" t="e">
        <f t="shared" ca="1" si="35"/>
        <v>#N/A</v>
      </c>
      <c r="BB30" s="37" t="e">
        <f t="shared" ca="1" si="35"/>
        <v>#N/A</v>
      </c>
    </row>
    <row r="31" spans="1:54" x14ac:dyDescent="0.25">
      <c r="C31" s="5">
        <f ca="1">SUM(C25:C30)</f>
        <v>0.13160620000000001</v>
      </c>
      <c r="D31" s="5">
        <f ca="1">SUM(D25:D30)</f>
        <v>0.15592339999999999</v>
      </c>
      <c r="E31" s="131"/>
      <c r="F31" s="132">
        <f ca="1">SUM(F25:F30)</f>
        <v>0.17193535999999998</v>
      </c>
      <c r="H31" s="132">
        <f ca="1">Injectable_Base!H31</f>
        <v>0.18794731999999997</v>
      </c>
      <c r="I31" s="132"/>
      <c r="J31" s="132">
        <f ca="1">SUM(J25:J30)</f>
        <v>0.16707191999999998</v>
      </c>
      <c r="K31" s="132">
        <f ca="1">SUM(K25:K30)</f>
        <v>0.17193535999999998</v>
      </c>
      <c r="L31" s="5">
        <f t="shared" ref="L31:AD31" ca="1" si="41">SUM(L25:L30)</f>
        <v>0.17727267999999999</v>
      </c>
      <c r="M31" s="5">
        <f t="shared" ca="1" si="41"/>
        <v>0.18260999999999999</v>
      </c>
      <c r="N31" s="5">
        <f t="shared" ca="1" si="41"/>
        <v>0.18794731999999997</v>
      </c>
      <c r="O31" s="5">
        <f t="shared" ca="1" si="41"/>
        <v>0.19328463999999995</v>
      </c>
      <c r="P31" s="5">
        <f t="shared" ca="1" si="41"/>
        <v>0.19868541666666659</v>
      </c>
      <c r="Q31" s="5">
        <f t="shared" ca="1" si="41"/>
        <v>0.20411765999999992</v>
      </c>
      <c r="R31" s="5">
        <f t="shared" ca="1" si="41"/>
        <v>0.20954990333333323</v>
      </c>
      <c r="S31" s="5">
        <f t="shared" ca="1" si="41"/>
        <v>0.21498214666666654</v>
      </c>
      <c r="T31" s="5">
        <f t="shared" ca="1" si="41"/>
        <v>0.22041438999999985</v>
      </c>
      <c r="U31" s="5">
        <f t="shared" ca="1" si="41"/>
        <v>0.22584663333333316</v>
      </c>
      <c r="V31" s="5">
        <f t="shared" ca="1" si="41"/>
        <v>0.23127887666666649</v>
      </c>
      <c r="W31" s="5">
        <f t="shared" ca="1" si="41"/>
        <v>0.2367111199999998</v>
      </c>
      <c r="X31" s="5">
        <f t="shared" ca="1" si="41"/>
        <v>0.24214336333333311</v>
      </c>
      <c r="Y31" s="5">
        <f t="shared" ca="1" si="41"/>
        <v>0.24757560666666645</v>
      </c>
      <c r="Z31" s="5">
        <f t="shared" ca="1" si="41"/>
        <v>0.25300784999999976</v>
      </c>
      <c r="AA31" s="5">
        <f t="shared" ca="1" si="41"/>
        <v>0.25844009333333307</v>
      </c>
      <c r="AB31" s="5">
        <f t="shared" ca="1" si="41"/>
        <v>0.26387233666666637</v>
      </c>
      <c r="AC31" s="5">
        <f t="shared" ca="1" si="41"/>
        <v>0.26930457999999968</v>
      </c>
      <c r="AD31" s="5">
        <f t="shared" ca="1" si="41"/>
        <v>0.27473682333333299</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H33" s="4" t="s">
        <v>167</v>
      </c>
      <c r="K33" s="205" t="str">
        <f t="shared" ref="K33:AD33" si="42">IF(K34=Yr_Start,"Start Year",IF(K34=Yr_End,"End Year",""))</f>
        <v>Start Year</v>
      </c>
      <c r="L33" s="205" t="str">
        <f t="shared" si="42"/>
        <v/>
      </c>
      <c r="M33" s="205" t="str">
        <f t="shared" si="42"/>
        <v/>
      </c>
      <c r="N33" s="205" t="str">
        <f t="shared" si="42"/>
        <v>End Year</v>
      </c>
      <c r="O33" s="205" t="str">
        <f t="shared" si="42"/>
        <v/>
      </c>
      <c r="P33" s="205" t="str">
        <f t="shared" si="42"/>
        <v/>
      </c>
      <c r="Q33" s="205" t="str">
        <f t="shared" si="42"/>
        <v/>
      </c>
      <c r="R33" s="205" t="str">
        <f t="shared" si="42"/>
        <v/>
      </c>
      <c r="S33" s="205" t="str">
        <f t="shared" si="42"/>
        <v/>
      </c>
      <c r="T33" s="205" t="str">
        <f t="shared" si="42"/>
        <v/>
      </c>
      <c r="U33" s="205" t="str">
        <f t="shared" si="42"/>
        <v/>
      </c>
      <c r="V33" s="205" t="str">
        <f t="shared" si="42"/>
        <v/>
      </c>
      <c r="W33" s="205" t="str">
        <f t="shared" si="42"/>
        <v/>
      </c>
      <c r="X33" s="205" t="str">
        <f t="shared" si="42"/>
        <v/>
      </c>
      <c r="Y33" s="205" t="str">
        <f t="shared" si="42"/>
        <v/>
      </c>
      <c r="Z33" s="205" t="str">
        <f t="shared" si="42"/>
        <v/>
      </c>
      <c r="AA33" s="205" t="str">
        <f t="shared" si="42"/>
        <v/>
      </c>
      <c r="AB33" s="205" t="str">
        <f t="shared" si="42"/>
        <v/>
      </c>
      <c r="AC33" s="205" t="str">
        <f t="shared" si="42"/>
        <v/>
      </c>
      <c r="AD33" s="205" t="str">
        <f t="shared" si="42"/>
        <v/>
      </c>
      <c r="AE33" s="35"/>
      <c r="AF33" s="6" t="str">
        <f>A33</f>
        <v>Richer</v>
      </c>
      <c r="AI33" s="205" t="str">
        <f t="shared" ref="AI33:BB33" si="43">IF(AI34=Yr_Start,"Start Year",IF(AI34=Yr_End,"End Year",""))</f>
        <v>Start Year</v>
      </c>
      <c r="AJ33" s="205" t="str">
        <f t="shared" si="43"/>
        <v/>
      </c>
      <c r="AK33" s="205" t="str">
        <f t="shared" si="43"/>
        <v/>
      </c>
      <c r="AL33" s="205" t="str">
        <f t="shared" si="43"/>
        <v>End Year</v>
      </c>
      <c r="AM33" s="205" t="str">
        <f t="shared" si="43"/>
        <v/>
      </c>
      <c r="AN33" s="205" t="str">
        <f t="shared" si="43"/>
        <v/>
      </c>
      <c r="AO33" s="205" t="str">
        <f t="shared" si="43"/>
        <v/>
      </c>
      <c r="AP33" s="205" t="str">
        <f t="shared" si="43"/>
        <v/>
      </c>
      <c r="AQ33" s="205" t="str">
        <f t="shared" si="43"/>
        <v/>
      </c>
      <c r="AR33" s="205" t="str">
        <f t="shared" si="43"/>
        <v/>
      </c>
      <c r="AS33" s="205" t="str">
        <f t="shared" si="43"/>
        <v/>
      </c>
      <c r="AT33" s="205" t="str">
        <f t="shared" si="43"/>
        <v/>
      </c>
      <c r="AU33" s="205" t="str">
        <f t="shared" si="43"/>
        <v/>
      </c>
      <c r="AV33" s="205" t="str">
        <f t="shared" si="43"/>
        <v/>
      </c>
      <c r="AW33" s="205" t="str">
        <f t="shared" si="43"/>
        <v/>
      </c>
      <c r="AX33" s="205" t="str">
        <f t="shared" si="43"/>
        <v/>
      </c>
      <c r="AY33" s="205" t="str">
        <f t="shared" si="43"/>
        <v/>
      </c>
      <c r="AZ33" s="205" t="str">
        <f t="shared" si="43"/>
        <v/>
      </c>
      <c r="BA33" s="205" t="str">
        <f t="shared" si="43"/>
        <v/>
      </c>
      <c r="BB33" s="205" t="str">
        <f t="shared" si="43"/>
        <v/>
      </c>
    </row>
    <row r="34" spans="1:54" x14ac:dyDescent="0.25">
      <c r="A34" s="6" t="s">
        <v>21</v>
      </c>
      <c r="B34" s="36"/>
      <c r="C34" s="36">
        <f>Yr_DHS1</f>
        <v>2011</v>
      </c>
      <c r="D34" s="36">
        <f>Yr_DHS2</f>
        <v>2016</v>
      </c>
      <c r="E34" s="36" t="s">
        <v>168</v>
      </c>
      <c r="F34" s="36">
        <f>Yr_Start</f>
        <v>2019</v>
      </c>
      <c r="G34" s="127"/>
      <c r="H34" s="36">
        <f>Yr_End</f>
        <v>2022</v>
      </c>
      <c r="I34" s="36" t="s">
        <v>169</v>
      </c>
      <c r="J34" s="130">
        <f>K34-1</f>
        <v>2018</v>
      </c>
      <c r="K34" s="130">
        <f>Yr_Start</f>
        <v>2019</v>
      </c>
      <c r="L34" s="130">
        <f>K34+1</f>
        <v>2020</v>
      </c>
      <c r="M34" s="130">
        <f t="shared" ref="M34:AD34" si="44">L34+1</f>
        <v>2021</v>
      </c>
      <c r="N34" s="130">
        <f t="shared" si="44"/>
        <v>2022</v>
      </c>
      <c r="O34" s="130">
        <f t="shared" si="44"/>
        <v>2023</v>
      </c>
      <c r="P34" s="130">
        <f t="shared" si="44"/>
        <v>2024</v>
      </c>
      <c r="Q34" s="130">
        <f t="shared" si="44"/>
        <v>2025</v>
      </c>
      <c r="R34" s="130">
        <f t="shared" si="44"/>
        <v>2026</v>
      </c>
      <c r="S34" s="130">
        <f t="shared" si="44"/>
        <v>2027</v>
      </c>
      <c r="T34" s="130">
        <f t="shared" si="44"/>
        <v>2028</v>
      </c>
      <c r="U34" s="130">
        <f t="shared" si="44"/>
        <v>2029</v>
      </c>
      <c r="V34" s="130">
        <f t="shared" si="44"/>
        <v>2030</v>
      </c>
      <c r="W34" s="130">
        <f t="shared" si="44"/>
        <v>2031</v>
      </c>
      <c r="X34" s="130">
        <f t="shared" si="44"/>
        <v>2032</v>
      </c>
      <c r="Y34" s="130">
        <f t="shared" si="44"/>
        <v>2033</v>
      </c>
      <c r="Z34" s="130">
        <f t="shared" si="44"/>
        <v>2034</v>
      </c>
      <c r="AA34" s="130">
        <f t="shared" si="44"/>
        <v>2035</v>
      </c>
      <c r="AB34" s="130">
        <f t="shared" si="44"/>
        <v>2036</v>
      </c>
      <c r="AC34" s="130">
        <f t="shared" si="44"/>
        <v>2037</v>
      </c>
      <c r="AD34" s="130">
        <f t="shared" si="44"/>
        <v>2038</v>
      </c>
      <c r="AE34" s="6"/>
      <c r="AF34" s="6" t="str">
        <f>A34</f>
        <v>Rural</v>
      </c>
      <c r="AG34" s="38"/>
      <c r="AH34" s="161">
        <f>AI34-1</f>
        <v>2018</v>
      </c>
      <c r="AI34" s="36">
        <f>Yr_Start</f>
        <v>2019</v>
      </c>
      <c r="AJ34" s="36">
        <f>AI34+1</f>
        <v>2020</v>
      </c>
      <c r="AK34" s="36">
        <f t="shared" ref="AK34:BB34" si="45">AJ34+1</f>
        <v>2021</v>
      </c>
      <c r="AL34" s="36">
        <f t="shared" si="45"/>
        <v>2022</v>
      </c>
      <c r="AM34" s="36">
        <f t="shared" si="45"/>
        <v>2023</v>
      </c>
      <c r="AN34" s="36">
        <f t="shared" si="45"/>
        <v>2024</v>
      </c>
      <c r="AO34" s="36">
        <f t="shared" si="45"/>
        <v>2025</v>
      </c>
      <c r="AP34" s="36">
        <f t="shared" si="45"/>
        <v>2026</v>
      </c>
      <c r="AQ34" s="36">
        <f t="shared" si="45"/>
        <v>2027</v>
      </c>
      <c r="AR34" s="36">
        <f t="shared" si="45"/>
        <v>2028</v>
      </c>
      <c r="AS34" s="36">
        <f t="shared" si="45"/>
        <v>2029</v>
      </c>
      <c r="AT34" s="36">
        <f t="shared" si="45"/>
        <v>2030</v>
      </c>
      <c r="AU34" s="36">
        <f t="shared" si="45"/>
        <v>2031</v>
      </c>
      <c r="AV34" s="36">
        <f t="shared" si="45"/>
        <v>2032</v>
      </c>
      <c r="AW34" s="36">
        <f t="shared" si="45"/>
        <v>2033</v>
      </c>
      <c r="AX34" s="36">
        <f t="shared" si="45"/>
        <v>2034</v>
      </c>
      <c r="AY34" s="36">
        <f t="shared" si="45"/>
        <v>2035</v>
      </c>
      <c r="AZ34" s="36">
        <f t="shared" si="45"/>
        <v>2036</v>
      </c>
      <c r="BA34" s="36">
        <f t="shared" si="45"/>
        <v>2037</v>
      </c>
      <c r="BB34" s="36">
        <f t="shared" si="45"/>
        <v>2038</v>
      </c>
    </row>
    <row r="35" spans="1:54" x14ac:dyDescent="0.25">
      <c r="B35" s="1" t="s">
        <v>52</v>
      </c>
      <c r="C35" s="14">
        <f ca="1">Injectable_Base!C35</f>
        <v>4.8754499999999999E-2</v>
      </c>
      <c r="D35" s="14">
        <f ca="1">Injectable_Base!D35</f>
        <v>9.2343099999999997E-2</v>
      </c>
      <c r="E35" s="14">
        <f ca="1">IF('User Settings'!$N$7="On",($D35-$C35)/($D$4-$C$4),0)</f>
        <v>8.71772E-3</v>
      </c>
      <c r="F35" s="14">
        <f ca="1">Injectable_Base!F35</f>
        <v>0.11849625999999999</v>
      </c>
      <c r="G35" s="1" t="str">
        <f>"Shift_RurQ2"&amp;IF(Dashboard!$Q$4="Yes",$A$1,"")</f>
        <v>Shift_RurQ2</v>
      </c>
      <c r="H35" s="14">
        <f ca="1">Injectable_Base!H35*(1-INDIRECT($G35))</f>
        <v>0.13018447799999999</v>
      </c>
      <c r="I35" s="14">
        <f ca="1">($H35-$F35)/($H$4-$F$4)</f>
        <v>3.8960726666666667E-3</v>
      </c>
      <c r="J35" s="14">
        <f ca="1">K35-E35</f>
        <v>0.10977853999999999</v>
      </c>
      <c r="K35" s="14">
        <f ca="1">MAX(0,MIN(1,D35+(K$4-D$4)*E35))</f>
        <v>0.11849625999999999</v>
      </c>
      <c r="L35" s="15">
        <f ca="1">MAX(0,MIN(1,K35+$I35))</f>
        <v>0.12239233266666666</v>
      </c>
      <c r="M35" s="15">
        <f t="shared" ref="M35:AD35" ca="1" si="46">MAX(0,MIN(1,L35+$I35))</f>
        <v>0.12628840533333333</v>
      </c>
      <c r="N35" s="15">
        <f ca="1">MAX(0,MIN(1,M35+$I35))</f>
        <v>0.13018447799999999</v>
      </c>
      <c r="O35" s="15">
        <f t="shared" ca="1" si="46"/>
        <v>0.13408055066666666</v>
      </c>
      <c r="P35" s="15">
        <f t="shared" ca="1" si="46"/>
        <v>0.13797662333333333</v>
      </c>
      <c r="Q35" s="15">
        <f t="shared" ca="1" si="46"/>
        <v>0.14187269599999999</v>
      </c>
      <c r="R35" s="15">
        <f t="shared" ca="1" si="46"/>
        <v>0.14576876866666666</v>
      </c>
      <c r="S35" s="15">
        <f t="shared" ca="1" si="46"/>
        <v>0.14966484133333333</v>
      </c>
      <c r="T35" s="15">
        <f t="shared" ca="1" si="46"/>
        <v>0.15356091399999999</v>
      </c>
      <c r="U35" s="15">
        <f t="shared" ca="1" si="46"/>
        <v>0.15745698666666666</v>
      </c>
      <c r="V35" s="15">
        <f t="shared" ca="1" si="46"/>
        <v>0.16135305933333333</v>
      </c>
      <c r="W35" s="15">
        <f t="shared" ca="1" si="46"/>
        <v>0.16524913199999999</v>
      </c>
      <c r="X35" s="15">
        <f t="shared" ca="1" si="46"/>
        <v>0.16914520466666666</v>
      </c>
      <c r="Y35" s="15">
        <f t="shared" ca="1" si="46"/>
        <v>0.17304127733333333</v>
      </c>
      <c r="Z35" s="15">
        <f t="shared" ca="1" si="46"/>
        <v>0.17693734999999999</v>
      </c>
      <c r="AA35" s="15">
        <f t="shared" ca="1" si="46"/>
        <v>0.18083342266666666</v>
      </c>
      <c r="AB35" s="15">
        <f t="shared" ca="1" si="46"/>
        <v>0.18472949533333333</v>
      </c>
      <c r="AC35" s="15">
        <f t="shared" ca="1" si="46"/>
        <v>0.18862556799999999</v>
      </c>
      <c r="AD35" s="15">
        <f t="shared" ca="1" si="46"/>
        <v>0.19252164066666666</v>
      </c>
      <c r="AE35" s="5"/>
      <c r="AG35" s="1" t="s">
        <v>52</v>
      </c>
      <c r="AH35" s="37">
        <f ca="1">J35*AH$41</f>
        <v>167677.73723358902</v>
      </c>
      <c r="AI35" s="37">
        <f t="shared" ref="AI35:AI40" ca="1" si="47">K35*AI$41</f>
        <v>187953.51500014015</v>
      </c>
      <c r="AJ35" s="37">
        <f t="shared" ref="AJ35:AS40" ca="1" si="48">L35*AJ$41</f>
        <v>201554.56063720939</v>
      </c>
      <c r="AK35" s="37">
        <f t="shared" ca="1" si="48"/>
        <v>215600.48305675539</v>
      </c>
      <c r="AL35" s="37">
        <f t="shared" ca="1" si="48"/>
        <v>230404.95257275077</v>
      </c>
      <c r="AM35" s="37">
        <f t="shared" ca="1" si="48"/>
        <v>245964.8052197803</v>
      </c>
      <c r="AN35" s="37">
        <f t="shared" ca="1" si="48"/>
        <v>262269.41497376579</v>
      </c>
      <c r="AO35" s="37">
        <f t="shared" ca="1" si="48"/>
        <v>279321.70534233365</v>
      </c>
      <c r="AP35" s="37">
        <f t="shared" ca="1" si="48"/>
        <v>296937.01372026751</v>
      </c>
      <c r="AQ35" s="37">
        <f t="shared" ca="1" si="48"/>
        <v>315351.67631511088</v>
      </c>
      <c r="AR35" s="37">
        <f t="shared" ca="1" si="48"/>
        <v>334591.01864355395</v>
      </c>
      <c r="AS35" s="37">
        <f t="shared" ca="1" si="48"/>
        <v>354695.95857304707</v>
      </c>
      <c r="AT35" s="37">
        <f t="shared" ref="AT35:BB40" ca="1" si="49">V35*AT$41</f>
        <v>375697.60626286233</v>
      </c>
      <c r="AU35" s="37">
        <f t="shared" ca="1" si="49"/>
        <v>397386.09416040167</v>
      </c>
      <c r="AV35" s="37">
        <f t="shared" ca="1" si="49"/>
        <v>420030.45022687508</v>
      </c>
      <c r="AW35" s="37">
        <f t="shared" ca="1" si="49"/>
        <v>443629.64819078188</v>
      </c>
      <c r="AX35" s="37">
        <f t="shared" ca="1" si="49"/>
        <v>468176.72776665294</v>
      </c>
      <c r="AY35" s="37">
        <f t="shared" ca="1" si="49"/>
        <v>493672.25308144739</v>
      </c>
      <c r="AZ35" s="37" t="e">
        <f t="shared" ca="1" si="49"/>
        <v>#N/A</v>
      </c>
      <c r="BA35" s="37" t="e">
        <f t="shared" ca="1" si="49"/>
        <v>#N/A</v>
      </c>
      <c r="BB35" s="37" t="e">
        <f t="shared" ca="1" si="49"/>
        <v>#N/A</v>
      </c>
    </row>
    <row r="36" spans="1:54" x14ac:dyDescent="0.25">
      <c r="B36" s="1" t="s">
        <v>54</v>
      </c>
      <c r="C36" s="14">
        <f ca="1">Injectable_Base!C36</f>
        <v>0</v>
      </c>
      <c r="D36" s="14">
        <f ca="1">Injectable_Base!D36</f>
        <v>3.5569E-3</v>
      </c>
      <c r="E36" s="14">
        <f ca="1">IF('User Settings'!$N$7="On",($D36-$C36)/($D$4-$C$4),0)</f>
        <v>7.1137999999999996E-4</v>
      </c>
      <c r="F36" s="14">
        <f ca="1">Injectable_Base!F36</f>
        <v>5.6910399999999996E-3</v>
      </c>
      <c r="G36" s="1" t="str">
        <f>"Shift_RurQ2"&amp;IF(Dashboard!$Q$4="Yes",$A$1,"")</f>
        <v>Shift_RurQ2</v>
      </c>
      <c r="H36" s="14">
        <f ca="1">Injectable_Base!H36*(1-INDIRECT($G36))</f>
        <v>7.0426619999999999E-3</v>
      </c>
      <c r="I36" s="14">
        <f ca="1">($H36-$F36)/($H$4-$F$4)</f>
        <v>4.5054066666666673E-4</v>
      </c>
      <c r="J36" s="14">
        <f t="shared" ref="J36:J40" ca="1" si="50">K36-E36</f>
        <v>4.9796599999999995E-3</v>
      </c>
      <c r="K36" s="14">
        <f t="shared" ref="K36:K40" ca="1" si="51">MAX(0,MIN(1,D36+(K$4-D$4)*E36))</f>
        <v>5.6910399999999996E-3</v>
      </c>
      <c r="L36" s="15">
        <f t="shared" ref="L36:AD40" ca="1" si="52">MAX(0,MIN(1,K36+$I36))</f>
        <v>6.1415806666666661E-3</v>
      </c>
      <c r="M36" s="15">
        <f t="shared" ca="1" si="52"/>
        <v>6.5921213333333326E-3</v>
      </c>
      <c r="N36" s="15">
        <f t="shared" ca="1" si="52"/>
        <v>7.042661999999999E-3</v>
      </c>
      <c r="O36" s="15">
        <f t="shared" ca="1" si="52"/>
        <v>7.4932026666666655E-3</v>
      </c>
      <c r="P36" s="15">
        <f t="shared" ca="1" si="52"/>
        <v>7.9437433333333328E-3</v>
      </c>
      <c r="Q36" s="15">
        <f t="shared" ca="1" si="52"/>
        <v>8.3942840000000001E-3</v>
      </c>
      <c r="R36" s="15">
        <f t="shared" ca="1" si="52"/>
        <v>8.8448246666666674E-3</v>
      </c>
      <c r="S36" s="15">
        <f t="shared" ca="1" si="52"/>
        <v>9.2953653333333348E-3</v>
      </c>
      <c r="T36" s="15">
        <f t="shared" ca="1" si="52"/>
        <v>9.7459060000000021E-3</v>
      </c>
      <c r="U36" s="15">
        <f t="shared" ca="1" si="52"/>
        <v>1.0196446666666669E-2</v>
      </c>
      <c r="V36" s="15">
        <f t="shared" ca="1" si="52"/>
        <v>1.0646987333333337E-2</v>
      </c>
      <c r="W36" s="15">
        <f t="shared" ca="1" si="52"/>
        <v>1.1097528000000004E-2</v>
      </c>
      <c r="X36" s="15">
        <f t="shared" ca="1" si="52"/>
        <v>1.1548068666666671E-2</v>
      </c>
      <c r="Y36" s="15">
        <f t="shared" ca="1" si="52"/>
        <v>1.1998609333333339E-2</v>
      </c>
      <c r="Z36" s="15">
        <f t="shared" ca="1" si="52"/>
        <v>1.2449150000000006E-2</v>
      </c>
      <c r="AA36" s="15">
        <f t="shared" ca="1" si="52"/>
        <v>1.2899690666666673E-2</v>
      </c>
      <c r="AB36" s="15">
        <f t="shared" ca="1" si="52"/>
        <v>1.3350231333333341E-2</v>
      </c>
      <c r="AC36" s="15">
        <f t="shared" ca="1" si="52"/>
        <v>1.3800772000000008E-2</v>
      </c>
      <c r="AD36" s="15">
        <f t="shared" ca="1" si="52"/>
        <v>1.4251312666666675E-2</v>
      </c>
      <c r="AE36" s="5"/>
      <c r="AG36" s="1" t="s">
        <v>54</v>
      </c>
      <c r="AH36" s="37">
        <f t="shared" ref="AH36:AH40" ca="1" si="53">J36*AH$41</f>
        <v>7606.0231898931597</v>
      </c>
      <c r="AI36" s="37">
        <f t="shared" ca="1" si="47"/>
        <v>9026.8753799182996</v>
      </c>
      <c r="AJ36" s="37">
        <f t="shared" ca="1" si="48"/>
        <v>10113.898198666406</v>
      </c>
      <c r="AK36" s="37">
        <f t="shared" ca="1" si="48"/>
        <v>11254.117431319499</v>
      </c>
      <c r="AL36" s="37">
        <f t="shared" ca="1" si="48"/>
        <v>12464.344667080157</v>
      </c>
      <c r="AM36" s="37">
        <f t="shared" ca="1" si="48"/>
        <v>13745.946934249898</v>
      </c>
      <c r="AN36" s="37">
        <f t="shared" ca="1" si="48"/>
        <v>15099.665917333428</v>
      </c>
      <c r="AO36" s="37">
        <f t="shared" ca="1" si="48"/>
        <v>16526.828544992659</v>
      </c>
      <c r="AP36" s="37">
        <f t="shared" ca="1" si="48"/>
        <v>18017.273846945354</v>
      </c>
      <c r="AQ36" s="37">
        <f t="shared" ca="1" si="48"/>
        <v>19585.822653561161</v>
      </c>
      <c r="AR36" s="37">
        <f t="shared" ca="1" si="48"/>
        <v>21235.173269054161</v>
      </c>
      <c r="AS36" s="37">
        <f t="shared" ca="1" si="48"/>
        <v>22969.05650892861</v>
      </c>
      <c r="AT36" s="37">
        <f t="shared" ca="1" si="49"/>
        <v>24790.652693983324</v>
      </c>
      <c r="AU36" s="37">
        <f t="shared" ca="1" si="49"/>
        <v>26686.998312074014</v>
      </c>
      <c r="AV36" s="37">
        <f t="shared" ca="1" si="49"/>
        <v>28676.78389623755</v>
      </c>
      <c r="AW36" s="37">
        <f t="shared" ca="1" si="49"/>
        <v>30761.093071866333</v>
      </c>
      <c r="AX36" s="37">
        <f t="shared" ca="1" si="49"/>
        <v>32940.48605608839</v>
      </c>
      <c r="AY36" s="37">
        <f t="shared" ca="1" si="49"/>
        <v>35215.942172403069</v>
      </c>
      <c r="AZ36" s="37" t="e">
        <f t="shared" ca="1" si="49"/>
        <v>#N/A</v>
      </c>
      <c r="BA36" s="37" t="e">
        <f t="shared" ca="1" si="49"/>
        <v>#N/A</v>
      </c>
      <c r="BB36" s="37" t="e">
        <f t="shared" ca="1" si="49"/>
        <v>#N/A</v>
      </c>
    </row>
    <row r="37" spans="1:54" x14ac:dyDescent="0.25">
      <c r="B37" s="1" t="s">
        <v>170</v>
      </c>
      <c r="C37" s="14">
        <f ca="1">Injectable_Base!C37</f>
        <v>9.1430000000000005E-4</v>
      </c>
      <c r="D37" s="14">
        <f ca="1">Injectable_Base!D37</f>
        <v>1.3973E-3</v>
      </c>
      <c r="E37" s="14">
        <f ca="1">IF('User Settings'!$N$7="On",($D37-$C37)/($D$4-$C$4),0)</f>
        <v>9.659999999999999E-5</v>
      </c>
      <c r="F37" s="14">
        <f ca="1">Injectable_Base!F37</f>
        <v>1.6871E-3</v>
      </c>
      <c r="G37" s="1" t="str">
        <f>"Shift_RurQ2"&amp;IF(Dashboard!$Q$4="Yes",$A$1,"")</f>
        <v>Shift_RurQ2</v>
      </c>
      <c r="H37" s="14">
        <f ca="1">Injectable_Base!H37*(1-INDIRECT($G37))</f>
        <v>1.7792100000000003E-3</v>
      </c>
      <c r="I37" s="14">
        <f t="shared" ref="I37:I40" ca="1" si="54">($H37-$F37)/($H$4-$F$4)</f>
        <v>3.070333333333343E-5</v>
      </c>
      <c r="J37" s="14">
        <f t="shared" ca="1" si="50"/>
        <v>1.5904999999999999E-3</v>
      </c>
      <c r="K37" s="14">
        <f t="shared" ca="1" si="51"/>
        <v>1.6871E-3</v>
      </c>
      <c r="L37" s="15">
        <f t="shared" ca="1" si="52"/>
        <v>1.7178033333333333E-3</v>
      </c>
      <c r="M37" s="15">
        <f t="shared" ca="1" si="52"/>
        <v>1.7485066666666667E-3</v>
      </c>
      <c r="N37" s="15">
        <f t="shared" ca="1" si="52"/>
        <v>1.77921E-3</v>
      </c>
      <c r="O37" s="15">
        <f t="shared" ca="1" si="52"/>
        <v>1.8099133333333334E-3</v>
      </c>
      <c r="P37" s="15">
        <f t="shared" ca="1" si="52"/>
        <v>1.8406166666666667E-3</v>
      </c>
      <c r="Q37" s="15">
        <f t="shared" ca="1" si="52"/>
        <v>1.8713200000000001E-3</v>
      </c>
      <c r="R37" s="15">
        <f t="shared" ca="1" si="52"/>
        <v>1.9020233333333335E-3</v>
      </c>
      <c r="S37" s="15">
        <f t="shared" ca="1" si="52"/>
        <v>1.9327266666666668E-3</v>
      </c>
      <c r="T37" s="15">
        <f t="shared" ca="1" si="52"/>
        <v>1.9634300000000004E-3</v>
      </c>
      <c r="U37" s="15">
        <f t="shared" ca="1" si="52"/>
        <v>1.994133333333334E-3</v>
      </c>
      <c r="V37" s="15">
        <f t="shared" ca="1" si="52"/>
        <v>2.0248366666666675E-3</v>
      </c>
      <c r="W37" s="15">
        <f t="shared" ca="1" si="52"/>
        <v>2.0555400000000011E-3</v>
      </c>
      <c r="X37" s="15">
        <f t="shared" ca="1" si="52"/>
        <v>2.0862433333333347E-3</v>
      </c>
      <c r="Y37" s="15">
        <f t="shared" ca="1" si="52"/>
        <v>2.1169466666666682E-3</v>
      </c>
      <c r="Z37" s="15">
        <f t="shared" ca="1" si="52"/>
        <v>2.1476500000000018E-3</v>
      </c>
      <c r="AA37" s="15">
        <f t="shared" ca="1" si="52"/>
        <v>2.1783533333333354E-3</v>
      </c>
      <c r="AB37" s="15">
        <f t="shared" ca="1" si="52"/>
        <v>2.209056666666669E-3</v>
      </c>
      <c r="AC37" s="15">
        <f t="shared" ca="1" si="52"/>
        <v>2.2397600000000025E-3</v>
      </c>
      <c r="AD37" s="15">
        <f t="shared" ca="1" si="52"/>
        <v>2.2704633333333361E-3</v>
      </c>
      <c r="AE37" s="5"/>
      <c r="AG37" s="1" t="s">
        <v>170</v>
      </c>
      <c r="AH37" s="37">
        <f t="shared" ca="1" si="53"/>
        <v>2429.3586075204075</v>
      </c>
      <c r="AI37" s="37">
        <f t="shared" ca="1" si="47"/>
        <v>2676.0032355176145</v>
      </c>
      <c r="AJ37" s="37">
        <f t="shared" ca="1" si="48"/>
        <v>2828.8626302604102</v>
      </c>
      <c r="AK37" s="37">
        <f t="shared" ca="1" si="48"/>
        <v>2985.0632840463022</v>
      </c>
      <c r="AL37" s="37">
        <f t="shared" ca="1" si="48"/>
        <v>3148.9068586729973</v>
      </c>
      <c r="AM37" s="37">
        <f t="shared" ca="1" si="48"/>
        <v>3320.2054905394284</v>
      </c>
      <c r="AN37" s="37">
        <f t="shared" ca="1" si="48"/>
        <v>3498.6901744319366</v>
      </c>
      <c r="AO37" s="37">
        <f t="shared" ca="1" si="48"/>
        <v>3684.2909761947135</v>
      </c>
      <c r="AP37" s="37">
        <f t="shared" ca="1" si="48"/>
        <v>3874.5002361772645</v>
      </c>
      <c r="AQ37" s="37">
        <f t="shared" ca="1" si="48"/>
        <v>4072.3565318510427</v>
      </c>
      <c r="AR37" s="37">
        <f t="shared" ca="1" si="48"/>
        <v>4278.0810990439486</v>
      </c>
      <c r="AS37" s="37">
        <f t="shared" ca="1" si="48"/>
        <v>4492.0905014300579</v>
      </c>
      <c r="AT37" s="37">
        <f t="shared" ca="1" si="49"/>
        <v>4714.6691353919978</v>
      </c>
      <c r="AU37" s="37">
        <f t="shared" ca="1" si="49"/>
        <v>4943.1001670282449</v>
      </c>
      <c r="AV37" s="37">
        <f t="shared" ca="1" si="49"/>
        <v>5180.6714137105309</v>
      </c>
      <c r="AW37" s="37">
        <f t="shared" ca="1" si="49"/>
        <v>5427.2617461260133</v>
      </c>
      <c r="AX37" s="37">
        <f t="shared" ca="1" si="49"/>
        <v>5682.6879649099137</v>
      </c>
      <c r="AY37" s="37">
        <f t="shared" ca="1" si="49"/>
        <v>5946.8685722795753</v>
      </c>
      <c r="AZ37" s="37" t="e">
        <f t="shared" ca="1" si="49"/>
        <v>#N/A</v>
      </c>
      <c r="BA37" s="37" t="e">
        <f t="shared" ca="1" si="49"/>
        <v>#N/A</v>
      </c>
      <c r="BB37" s="37" t="e">
        <f t="shared" ca="1" si="49"/>
        <v>#N/A</v>
      </c>
    </row>
    <row r="38" spans="1:54" x14ac:dyDescent="0.25">
      <c r="B38" s="1" t="s">
        <v>59</v>
      </c>
      <c r="C38" s="14">
        <f ca="1">Injectable_Base!C38</f>
        <v>6.7130599999999999E-2</v>
      </c>
      <c r="D38" s="14">
        <f ca="1">Injectable_Base!D38</f>
        <v>6.9600300000000004E-2</v>
      </c>
      <c r="E38" s="14">
        <f ca="1">IF('User Settings'!$N$7="On",($D38-$C38)/($D$4-$C$4),0)</f>
        <v>4.9394000000000109E-4</v>
      </c>
      <c r="F38" s="14">
        <f ca="1">Injectable_Base!F38</f>
        <v>7.1082120000000013E-2</v>
      </c>
      <c r="H38" s="14">
        <f ca="1">H41-SUM($H35:$H37,$H39:$H40)</f>
        <v>8.8033906000000023E-2</v>
      </c>
      <c r="I38" s="14">
        <f t="shared" ca="1" si="54"/>
        <v>5.6505953333333371E-3</v>
      </c>
      <c r="J38" s="14">
        <f t="shared" ca="1" si="50"/>
        <v>7.0588180000000014E-2</v>
      </c>
      <c r="K38" s="14">
        <f t="shared" ca="1" si="51"/>
        <v>7.1082120000000013E-2</v>
      </c>
      <c r="L38" s="15">
        <f t="shared" ca="1" si="52"/>
        <v>7.6732715333333354E-2</v>
      </c>
      <c r="M38" s="15">
        <f t="shared" ca="1" si="52"/>
        <v>8.2383310666666695E-2</v>
      </c>
      <c r="N38" s="15">
        <f t="shared" ca="1" si="52"/>
        <v>8.8033906000000037E-2</v>
      </c>
      <c r="O38" s="15">
        <f t="shared" ca="1" si="52"/>
        <v>9.3684501333333378E-2</v>
      </c>
      <c r="P38" s="15">
        <f t="shared" ca="1" si="52"/>
        <v>9.933509666666672E-2</v>
      </c>
      <c r="Q38" s="15">
        <f t="shared" ca="1" si="52"/>
        <v>0.10498569200000006</v>
      </c>
      <c r="R38" s="15">
        <f t="shared" ca="1" si="52"/>
        <v>0.1106362873333334</v>
      </c>
      <c r="S38" s="15">
        <f t="shared" ca="1" si="52"/>
        <v>0.11628688266666674</v>
      </c>
      <c r="T38" s="15">
        <f t="shared" ca="1" si="52"/>
        <v>0.12193747800000009</v>
      </c>
      <c r="U38" s="15">
        <f t="shared" ca="1" si="52"/>
        <v>0.12758807333333341</v>
      </c>
      <c r="V38" s="15">
        <f t="shared" ca="1" si="52"/>
        <v>0.13323866866666675</v>
      </c>
      <c r="W38" s="15">
        <f t="shared" ca="1" si="52"/>
        <v>0.1388892640000001</v>
      </c>
      <c r="X38" s="15">
        <f t="shared" ca="1" si="52"/>
        <v>0.14453985933333344</v>
      </c>
      <c r="Y38" s="15">
        <f t="shared" ca="1" si="52"/>
        <v>0.15019045466666678</v>
      </c>
      <c r="Z38" s="15">
        <f t="shared" ca="1" si="52"/>
        <v>0.15584105000000012</v>
      </c>
      <c r="AA38" s="15">
        <f t="shared" ca="1" si="52"/>
        <v>0.16149164533333346</v>
      </c>
      <c r="AB38" s="15">
        <f t="shared" ca="1" si="52"/>
        <v>0.1671422406666668</v>
      </c>
      <c r="AC38" s="15">
        <f t="shared" ca="1" si="52"/>
        <v>0.17279283600000014</v>
      </c>
      <c r="AD38" s="15">
        <f t="shared" ca="1" si="52"/>
        <v>0.17844343133333349</v>
      </c>
      <c r="AE38" s="5"/>
      <c r="AG38" s="1" t="s">
        <v>59</v>
      </c>
      <c r="AH38" s="37">
        <f t="shared" ca="1" si="53"/>
        <v>107817.66908028917</v>
      </c>
      <c r="AI38" s="37">
        <f t="shared" ca="1" si="47"/>
        <v>112747.3078699848</v>
      </c>
      <c r="AJ38" s="37">
        <f t="shared" ca="1" si="48"/>
        <v>126362.72541378041</v>
      </c>
      <c r="AK38" s="37">
        <f t="shared" ca="1" si="48"/>
        <v>140645.38647602915</v>
      </c>
      <c r="AL38" s="37">
        <f t="shared" ca="1" si="48"/>
        <v>155805.42510393602</v>
      </c>
      <c r="AM38" s="37">
        <f t="shared" ca="1" si="48"/>
        <v>171860.04985803107</v>
      </c>
      <c r="AN38" s="37">
        <f t="shared" ca="1" si="48"/>
        <v>188818.63506827247</v>
      </c>
      <c r="AO38" s="37">
        <f t="shared" ca="1" si="48"/>
        <v>206697.85908618395</v>
      </c>
      <c r="AP38" s="37">
        <f t="shared" ca="1" si="48"/>
        <v>225370.69545384613</v>
      </c>
      <c r="AQ38" s="37">
        <f t="shared" ca="1" si="48"/>
        <v>245022.56545822797</v>
      </c>
      <c r="AR38" s="37">
        <f t="shared" ca="1" si="48"/>
        <v>265687.30227045913</v>
      </c>
      <c r="AS38" s="37">
        <f t="shared" ca="1" si="48"/>
        <v>287411.6603619426</v>
      </c>
      <c r="AT38" s="37">
        <f t="shared" ca="1" si="49"/>
        <v>310235.51140921045</v>
      </c>
      <c r="AU38" s="37">
        <f t="shared" ca="1" si="49"/>
        <v>333996.68412039179</v>
      </c>
      <c r="AV38" s="37">
        <f t="shared" ca="1" si="49"/>
        <v>358929.13612982573</v>
      </c>
      <c r="AW38" s="37">
        <f t="shared" ca="1" si="49"/>
        <v>385046.50215357647</v>
      </c>
      <c r="AX38" s="37">
        <f t="shared" ca="1" si="49"/>
        <v>412355.85839122953</v>
      </c>
      <c r="AY38" s="37">
        <f t="shared" ca="1" si="49"/>
        <v>440869.52085452282</v>
      </c>
      <c r="AZ38" s="37" t="e">
        <f t="shared" ca="1" si="49"/>
        <v>#N/A</v>
      </c>
      <c r="BA38" s="37" t="e">
        <f t="shared" ca="1" si="49"/>
        <v>#N/A</v>
      </c>
      <c r="BB38" s="37" t="e">
        <f t="shared" ca="1" si="49"/>
        <v>#N/A</v>
      </c>
    </row>
    <row r="39" spans="1:54" x14ac:dyDescent="0.25">
      <c r="B39" s="1" t="s">
        <v>171</v>
      </c>
      <c r="C39" s="14">
        <f ca="1">Injectable_Base!C39</f>
        <v>0</v>
      </c>
      <c r="D39" s="14">
        <f ca="1">Injectable_Base!D39</f>
        <v>0</v>
      </c>
      <c r="E39" s="14">
        <f ca="1">IF('User Settings'!$N$7="On",($D39-$C39)/($D$4-$C$4),0)</f>
        <v>0</v>
      </c>
      <c r="F39" s="14">
        <f ca="1">Injectable_Base!F39</f>
        <v>0</v>
      </c>
      <c r="G39" s="1"/>
      <c r="H39" s="14">
        <f ca="1">Injectable_Base!H39</f>
        <v>0</v>
      </c>
      <c r="I39" s="14">
        <f t="shared" ca="1" si="54"/>
        <v>0</v>
      </c>
      <c r="J39" s="14">
        <f t="shared" ca="1" si="50"/>
        <v>0</v>
      </c>
      <c r="K39" s="14">
        <f t="shared" ca="1" si="51"/>
        <v>0</v>
      </c>
      <c r="L39" s="15">
        <f t="shared" ca="1" si="52"/>
        <v>0</v>
      </c>
      <c r="M39" s="15">
        <f t="shared" ca="1" si="52"/>
        <v>0</v>
      </c>
      <c r="N39" s="15">
        <f t="shared" ca="1" si="52"/>
        <v>0</v>
      </c>
      <c r="O39" s="15">
        <f t="shared" ca="1" si="52"/>
        <v>0</v>
      </c>
      <c r="P39" s="15">
        <f t="shared" ca="1" si="52"/>
        <v>0</v>
      </c>
      <c r="Q39" s="15">
        <f t="shared" ca="1" si="52"/>
        <v>0</v>
      </c>
      <c r="R39" s="15">
        <f t="shared" ca="1" si="52"/>
        <v>0</v>
      </c>
      <c r="S39" s="15">
        <f t="shared" ca="1" si="52"/>
        <v>0</v>
      </c>
      <c r="T39" s="15">
        <f t="shared" ca="1" si="52"/>
        <v>0</v>
      </c>
      <c r="U39" s="15">
        <f t="shared" ca="1" si="52"/>
        <v>0</v>
      </c>
      <c r="V39" s="15">
        <f t="shared" ca="1" si="52"/>
        <v>0</v>
      </c>
      <c r="W39" s="15">
        <f t="shared" ca="1" si="52"/>
        <v>0</v>
      </c>
      <c r="X39" s="15">
        <f t="shared" ca="1" si="52"/>
        <v>0</v>
      </c>
      <c r="Y39" s="15">
        <f t="shared" ca="1" si="52"/>
        <v>0</v>
      </c>
      <c r="Z39" s="15">
        <f t="shared" ca="1" si="52"/>
        <v>0</v>
      </c>
      <c r="AA39" s="15">
        <f t="shared" ca="1" si="52"/>
        <v>0</v>
      </c>
      <c r="AB39" s="15">
        <f t="shared" ca="1" si="52"/>
        <v>0</v>
      </c>
      <c r="AC39" s="15">
        <f t="shared" ca="1" si="52"/>
        <v>0</v>
      </c>
      <c r="AD39" s="15">
        <f t="shared" ca="1" si="52"/>
        <v>0</v>
      </c>
      <c r="AE39" s="5"/>
      <c r="AG39" s="1" t="s">
        <v>171</v>
      </c>
      <c r="AH39" s="37">
        <f t="shared" ca="1" si="53"/>
        <v>0</v>
      </c>
      <c r="AI39" s="37">
        <f t="shared" ca="1" si="47"/>
        <v>0</v>
      </c>
      <c r="AJ39" s="37">
        <f t="shared" ca="1" si="48"/>
        <v>0</v>
      </c>
      <c r="AK39" s="37">
        <f t="shared" ca="1" si="48"/>
        <v>0</v>
      </c>
      <c r="AL39" s="37">
        <f t="shared" ca="1" si="48"/>
        <v>0</v>
      </c>
      <c r="AM39" s="37">
        <f t="shared" ca="1" si="48"/>
        <v>0</v>
      </c>
      <c r="AN39" s="37">
        <f t="shared" ca="1" si="48"/>
        <v>0</v>
      </c>
      <c r="AO39" s="37">
        <f t="shared" ca="1" si="48"/>
        <v>0</v>
      </c>
      <c r="AP39" s="37">
        <f t="shared" ca="1" si="48"/>
        <v>0</v>
      </c>
      <c r="AQ39" s="37">
        <f t="shared" ca="1" si="48"/>
        <v>0</v>
      </c>
      <c r="AR39" s="37">
        <f t="shared" ca="1" si="48"/>
        <v>0</v>
      </c>
      <c r="AS39" s="37">
        <f t="shared" ca="1" si="48"/>
        <v>0</v>
      </c>
      <c r="AT39" s="37">
        <f t="shared" ca="1" si="49"/>
        <v>0</v>
      </c>
      <c r="AU39" s="37">
        <f t="shared" ca="1" si="49"/>
        <v>0</v>
      </c>
      <c r="AV39" s="37">
        <f t="shared" ca="1" si="49"/>
        <v>0</v>
      </c>
      <c r="AW39" s="37">
        <f t="shared" ca="1" si="49"/>
        <v>0</v>
      </c>
      <c r="AX39" s="37">
        <f t="shared" ca="1" si="49"/>
        <v>0</v>
      </c>
      <c r="AY39" s="37">
        <f t="shared" ca="1" si="49"/>
        <v>0</v>
      </c>
      <c r="AZ39" s="37" t="e">
        <f t="shared" ca="1" si="49"/>
        <v>#N/A</v>
      </c>
      <c r="BA39" s="37" t="e">
        <f t="shared" ca="1" si="49"/>
        <v>#N/A</v>
      </c>
      <c r="BB39" s="37" t="e">
        <f t="shared" ca="1" si="49"/>
        <v>#N/A</v>
      </c>
    </row>
    <row r="40" spans="1:54" x14ac:dyDescent="0.25">
      <c r="B40" s="1" t="s">
        <v>116</v>
      </c>
      <c r="C40" s="14">
        <f ca="1">Injectable_Base!C40</f>
        <v>4.191E-4</v>
      </c>
      <c r="D40" s="14">
        <f ca="1">Injectable_Base!D40</f>
        <v>3.414E-4</v>
      </c>
      <c r="E40" s="14">
        <f ca="1">IF('User Settings'!$N$7="On",($D40-$C40)/($D$4-$C$4),0)</f>
        <v>-1.5539999999999997E-5</v>
      </c>
      <c r="F40" s="14">
        <f ca="1">Injectable_Base!F40</f>
        <v>2.9478000000000002E-4</v>
      </c>
      <c r="G40" s="1" t="str">
        <f>"Shift_RurQ2"&amp;IF(Dashboard!$Q$4="Yes",$A$1,"")</f>
        <v>Shift_RurQ2</v>
      </c>
      <c r="H40" s="14">
        <f ca="1">Injectable_Base!H40*(1-INDIRECT($G40))</f>
        <v>2.2334400000000005E-4</v>
      </c>
      <c r="I40" s="14">
        <f t="shared" ca="1" si="54"/>
        <v>-2.3811999999999992E-5</v>
      </c>
      <c r="J40" s="14">
        <f t="shared" ca="1" si="50"/>
        <v>3.1032E-4</v>
      </c>
      <c r="K40" s="14">
        <f t="shared" ca="1" si="51"/>
        <v>2.9478000000000002E-4</v>
      </c>
      <c r="L40" s="15">
        <f t="shared" ca="1" si="52"/>
        <v>2.7096800000000001E-4</v>
      </c>
      <c r="M40" s="15">
        <f t="shared" ca="1" si="52"/>
        <v>2.47156E-4</v>
      </c>
      <c r="N40" s="15">
        <f t="shared" ca="1" si="52"/>
        <v>2.2334400000000002E-4</v>
      </c>
      <c r="O40" s="15">
        <f t="shared" ca="1" si="52"/>
        <v>1.9953200000000004E-4</v>
      </c>
      <c r="P40" s="15">
        <f t="shared" ca="1" si="52"/>
        <v>1.7572000000000006E-4</v>
      </c>
      <c r="Q40" s="15">
        <f t="shared" ca="1" si="52"/>
        <v>1.5190800000000008E-4</v>
      </c>
      <c r="R40" s="15">
        <f t="shared" ca="1" si="52"/>
        <v>1.280960000000001E-4</v>
      </c>
      <c r="S40" s="15">
        <f t="shared" ca="1" si="52"/>
        <v>1.042840000000001E-4</v>
      </c>
      <c r="T40" s="15">
        <f t="shared" ca="1" si="52"/>
        <v>8.0472000000000106E-5</v>
      </c>
      <c r="U40" s="15">
        <f t="shared" ca="1" si="52"/>
        <v>5.6660000000000111E-5</v>
      </c>
      <c r="V40" s="15">
        <f t="shared" ca="1" si="52"/>
        <v>3.2848000000000116E-5</v>
      </c>
      <c r="W40" s="15">
        <f t="shared" ca="1" si="52"/>
        <v>9.0360000000001249E-6</v>
      </c>
      <c r="X40" s="15">
        <f t="shared" ca="1" si="52"/>
        <v>0</v>
      </c>
      <c r="Y40" s="15">
        <f t="shared" ca="1" si="52"/>
        <v>0</v>
      </c>
      <c r="Z40" s="15">
        <f t="shared" ca="1" si="52"/>
        <v>0</v>
      </c>
      <c r="AA40" s="15">
        <f t="shared" ca="1" si="52"/>
        <v>0</v>
      </c>
      <c r="AB40" s="15">
        <f t="shared" ca="1" si="52"/>
        <v>0</v>
      </c>
      <c r="AC40" s="15">
        <f t="shared" ca="1" si="52"/>
        <v>0</v>
      </c>
      <c r="AD40" s="15">
        <f t="shared" ca="1" si="52"/>
        <v>0</v>
      </c>
      <c r="AE40" s="5"/>
      <c r="AG40" s="1" t="s">
        <v>116</v>
      </c>
      <c r="AH40" s="37">
        <f t="shared" ca="1" si="53"/>
        <v>473.98840810168679</v>
      </c>
      <c r="AI40" s="37">
        <f t="shared" ca="1" si="47"/>
        <v>467.56696921692986</v>
      </c>
      <c r="AJ40" s="37">
        <f t="shared" ca="1" si="48"/>
        <v>446.22759446448248</v>
      </c>
      <c r="AK40" s="37">
        <f t="shared" ca="1" si="48"/>
        <v>421.94651876177073</v>
      </c>
      <c r="AL40" s="37">
        <f t="shared" ca="1" si="48"/>
        <v>395.2818686065512</v>
      </c>
      <c r="AM40" s="37">
        <f t="shared" ca="1" si="48"/>
        <v>366.03257721639341</v>
      </c>
      <c r="AN40" s="37">
        <f t="shared" ca="1" si="48"/>
        <v>334.01296890598991</v>
      </c>
      <c r="AO40" s="37">
        <f t="shared" ca="1" si="48"/>
        <v>299.0794057733508</v>
      </c>
      <c r="AP40" s="37">
        <f t="shared" ca="1" si="48"/>
        <v>260.93685264290303</v>
      </c>
      <c r="AQ40" s="37">
        <f t="shared" ca="1" si="48"/>
        <v>219.7318616708456</v>
      </c>
      <c r="AR40" s="37">
        <f t="shared" ca="1" si="48"/>
        <v>175.33894368643905</v>
      </c>
      <c r="AS40" s="37">
        <f t="shared" ca="1" si="48"/>
        <v>127.63532084666396</v>
      </c>
      <c r="AT40" s="37">
        <f t="shared" ca="1" si="49"/>
        <v>76.48392302886495</v>
      </c>
      <c r="AU40" s="37">
        <f t="shared" ca="1" si="49"/>
        <v>21.729498384496441</v>
      </c>
      <c r="AV40" s="37">
        <f t="shared" ca="1" si="49"/>
        <v>0</v>
      </c>
      <c r="AW40" s="37">
        <f t="shared" ca="1" si="49"/>
        <v>0</v>
      </c>
      <c r="AX40" s="37">
        <f t="shared" ca="1" si="49"/>
        <v>0</v>
      </c>
      <c r="AY40" s="37">
        <f t="shared" ca="1" si="49"/>
        <v>0</v>
      </c>
      <c r="AZ40" s="37" t="e">
        <f t="shared" ca="1" si="49"/>
        <v>#N/A</v>
      </c>
      <c r="BA40" s="37" t="e">
        <f t="shared" ca="1" si="49"/>
        <v>#N/A</v>
      </c>
      <c r="BB40" s="37" t="e">
        <f t="shared" ca="1" si="49"/>
        <v>#N/A</v>
      </c>
    </row>
    <row r="41" spans="1:54" x14ac:dyDescent="0.25">
      <c r="C41" s="5">
        <f ca="1">SUM(C35:C40)</f>
        <v>0.1172185</v>
      </c>
      <c r="D41" s="5">
        <f ca="1">SUM(D35:D40)</f>
        <v>0.167239</v>
      </c>
      <c r="E41" s="131"/>
      <c r="F41" s="132">
        <f ca="1">SUM(F35:F40)</f>
        <v>0.19725130000000002</v>
      </c>
      <c r="G41" s="132"/>
      <c r="H41" s="132">
        <f ca="1">Injectable_Base!H41</f>
        <v>0.22726360000000001</v>
      </c>
      <c r="I41" s="132"/>
      <c r="J41" s="132">
        <f ca="1">SUM(J35:J40)</f>
        <v>0.1872472</v>
      </c>
      <c r="K41" s="132">
        <f ca="1">SUM(K35:K40)</f>
        <v>0.19725130000000002</v>
      </c>
      <c r="L41" s="5">
        <f t="shared" ref="L41:AD41" ca="1" si="55">SUM(L35:L40)</f>
        <v>0.20725540000000001</v>
      </c>
      <c r="M41" s="5">
        <f t="shared" ca="1" si="55"/>
        <v>0.21725950000000002</v>
      </c>
      <c r="N41" s="5">
        <f t="shared" ca="1" si="55"/>
        <v>0.22726360000000004</v>
      </c>
      <c r="O41" s="5">
        <f t="shared" ca="1" si="55"/>
        <v>0.23726770000000003</v>
      </c>
      <c r="P41" s="5">
        <f t="shared" ca="1" si="55"/>
        <v>0.24727180000000004</v>
      </c>
      <c r="Q41" s="5">
        <f t="shared" ca="1" si="55"/>
        <v>0.25727590000000006</v>
      </c>
      <c r="R41" s="5">
        <f t="shared" ca="1" si="55"/>
        <v>0.26728000000000007</v>
      </c>
      <c r="S41" s="5">
        <f t="shared" ca="1" si="55"/>
        <v>0.27728410000000009</v>
      </c>
      <c r="T41" s="5">
        <f t="shared" ca="1" si="55"/>
        <v>0.28728820000000005</v>
      </c>
      <c r="U41" s="5">
        <f t="shared" ca="1" si="55"/>
        <v>0.29729230000000006</v>
      </c>
      <c r="V41" s="5">
        <f t="shared" ca="1" si="55"/>
        <v>0.30729640000000008</v>
      </c>
      <c r="W41" s="5">
        <f t="shared" ca="1" si="55"/>
        <v>0.3173005000000001</v>
      </c>
      <c r="X41" s="5">
        <f t="shared" ca="1" si="55"/>
        <v>0.32731937600000005</v>
      </c>
      <c r="Y41" s="5">
        <f t="shared" ca="1" si="55"/>
        <v>0.33734728800000013</v>
      </c>
      <c r="Z41" s="5">
        <f t="shared" ca="1" si="55"/>
        <v>0.34737520000000011</v>
      </c>
      <c r="AA41" s="5">
        <f t="shared" ca="1" si="55"/>
        <v>0.35740311200000013</v>
      </c>
      <c r="AB41" s="5">
        <f t="shared" ca="1" si="55"/>
        <v>0.36743102400000016</v>
      </c>
      <c r="AC41" s="5">
        <f t="shared" ca="1" si="55"/>
        <v>0.37745893600000013</v>
      </c>
      <c r="AD41" s="5">
        <f t="shared" ca="1" si="55"/>
        <v>0.38748684800000016</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56">IF(K44=Yr_Start,"Start Year",IF(K44=Yr_End,"End Year",""))</f>
        <v>Start Year</v>
      </c>
      <c r="L43" s="205" t="str">
        <f t="shared" si="56"/>
        <v/>
      </c>
      <c r="M43" s="205" t="str">
        <f t="shared" si="56"/>
        <v/>
      </c>
      <c r="N43" s="205" t="str">
        <f t="shared" si="56"/>
        <v>End Year</v>
      </c>
      <c r="O43" s="205" t="str">
        <f t="shared" si="56"/>
        <v/>
      </c>
      <c r="P43" s="205" t="str">
        <f t="shared" si="56"/>
        <v/>
      </c>
      <c r="Q43" s="205" t="str">
        <f t="shared" si="56"/>
        <v/>
      </c>
      <c r="R43" s="205" t="str">
        <f t="shared" si="56"/>
        <v/>
      </c>
      <c r="S43" s="205" t="str">
        <f t="shared" si="56"/>
        <v/>
      </c>
      <c r="T43" s="205" t="str">
        <f t="shared" si="56"/>
        <v/>
      </c>
      <c r="U43" s="205" t="str">
        <f t="shared" si="56"/>
        <v/>
      </c>
      <c r="V43" s="205" t="str">
        <f t="shared" si="56"/>
        <v/>
      </c>
      <c r="W43" s="205" t="str">
        <f t="shared" si="56"/>
        <v/>
      </c>
      <c r="X43" s="205" t="str">
        <f t="shared" si="56"/>
        <v/>
      </c>
      <c r="Y43" s="205" t="str">
        <f t="shared" si="56"/>
        <v/>
      </c>
      <c r="Z43" s="205" t="str">
        <f t="shared" si="56"/>
        <v/>
      </c>
      <c r="AA43" s="205" t="str">
        <f t="shared" si="56"/>
        <v/>
      </c>
      <c r="AB43" s="205" t="str">
        <f t="shared" si="56"/>
        <v/>
      </c>
      <c r="AC43" s="205" t="str">
        <f t="shared" si="56"/>
        <v/>
      </c>
      <c r="AD43" s="205" t="str">
        <f t="shared" si="56"/>
        <v/>
      </c>
      <c r="AE43" s="35"/>
      <c r="AF43" s="6" t="str">
        <f>A43</f>
        <v>Other</v>
      </c>
      <c r="AI43" s="205" t="str">
        <f t="shared" ref="AI43:BB43" si="57">IF(AI44=Yr_Start,"Start Year",IF(AI44=Yr_End,"End Year",""))</f>
        <v>Start Year</v>
      </c>
      <c r="AJ43" s="205" t="str">
        <f t="shared" si="57"/>
        <v/>
      </c>
      <c r="AK43" s="205" t="str">
        <f t="shared" si="57"/>
        <v/>
      </c>
      <c r="AL43" s="205" t="str">
        <f t="shared" si="57"/>
        <v>End Year</v>
      </c>
      <c r="AM43" s="205" t="str">
        <f t="shared" si="57"/>
        <v/>
      </c>
      <c r="AN43" s="205" t="str">
        <f t="shared" si="57"/>
        <v/>
      </c>
      <c r="AO43" s="205" t="str">
        <f t="shared" si="57"/>
        <v/>
      </c>
      <c r="AP43" s="205" t="str">
        <f t="shared" si="57"/>
        <v/>
      </c>
      <c r="AQ43" s="205" t="str">
        <f t="shared" si="57"/>
        <v/>
      </c>
      <c r="AR43" s="205" t="str">
        <f t="shared" si="57"/>
        <v/>
      </c>
      <c r="AS43" s="205" t="str">
        <f t="shared" si="57"/>
        <v/>
      </c>
      <c r="AT43" s="205" t="str">
        <f t="shared" si="57"/>
        <v/>
      </c>
      <c r="AU43" s="205" t="str">
        <f t="shared" si="57"/>
        <v/>
      </c>
      <c r="AV43" s="205" t="str">
        <f t="shared" si="57"/>
        <v/>
      </c>
      <c r="AW43" s="205" t="str">
        <f t="shared" si="57"/>
        <v/>
      </c>
      <c r="AX43" s="205" t="str">
        <f t="shared" si="57"/>
        <v/>
      </c>
      <c r="AY43" s="205" t="str">
        <f t="shared" si="57"/>
        <v/>
      </c>
      <c r="AZ43" s="205" t="str">
        <f t="shared" si="57"/>
        <v/>
      </c>
      <c r="BA43" s="205" t="str">
        <f t="shared" si="57"/>
        <v/>
      </c>
      <c r="BB43" s="205" t="str">
        <f t="shared" si="57"/>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58">L44+1</f>
        <v>2021</v>
      </c>
      <c r="N44" s="130">
        <f t="shared" si="58"/>
        <v>2022</v>
      </c>
      <c r="O44" s="130">
        <f t="shared" si="58"/>
        <v>2023</v>
      </c>
      <c r="P44" s="130">
        <f t="shared" si="58"/>
        <v>2024</v>
      </c>
      <c r="Q44" s="130">
        <f t="shared" si="58"/>
        <v>2025</v>
      </c>
      <c r="R44" s="130">
        <f t="shared" si="58"/>
        <v>2026</v>
      </c>
      <c r="S44" s="130">
        <f t="shared" si="58"/>
        <v>2027</v>
      </c>
      <c r="T44" s="130">
        <f t="shared" si="58"/>
        <v>2028</v>
      </c>
      <c r="U44" s="130">
        <f t="shared" si="58"/>
        <v>2029</v>
      </c>
      <c r="V44" s="130">
        <f t="shared" si="58"/>
        <v>2030</v>
      </c>
      <c r="W44" s="130">
        <f t="shared" si="58"/>
        <v>2031</v>
      </c>
      <c r="X44" s="130">
        <f t="shared" si="58"/>
        <v>2032</v>
      </c>
      <c r="Y44" s="130">
        <f t="shared" si="58"/>
        <v>2033</v>
      </c>
      <c r="Z44" s="130">
        <f t="shared" si="58"/>
        <v>2034</v>
      </c>
      <c r="AA44" s="130">
        <f t="shared" si="58"/>
        <v>2035</v>
      </c>
      <c r="AB44" s="130">
        <f t="shared" si="58"/>
        <v>2036</v>
      </c>
      <c r="AC44" s="130">
        <f t="shared" si="58"/>
        <v>2037</v>
      </c>
      <c r="AD44" s="130">
        <f t="shared" si="58"/>
        <v>2038</v>
      </c>
      <c r="AE44" s="6"/>
      <c r="AF44" s="6" t="str">
        <f>A44</f>
        <v>Urban</v>
      </c>
      <c r="AG44" s="38"/>
      <c r="AH44" s="161">
        <f>AI44-1</f>
        <v>2018</v>
      </c>
      <c r="AI44" s="36">
        <f>Yr_Start</f>
        <v>2019</v>
      </c>
      <c r="AJ44" s="36">
        <f>AI44+1</f>
        <v>2020</v>
      </c>
      <c r="AK44" s="36">
        <f t="shared" ref="AK44:BB44" si="59">AJ44+1</f>
        <v>2021</v>
      </c>
      <c r="AL44" s="36">
        <f t="shared" si="59"/>
        <v>2022</v>
      </c>
      <c r="AM44" s="36">
        <f t="shared" si="59"/>
        <v>2023</v>
      </c>
      <c r="AN44" s="36">
        <f t="shared" si="59"/>
        <v>2024</v>
      </c>
      <c r="AO44" s="36">
        <f t="shared" si="59"/>
        <v>2025</v>
      </c>
      <c r="AP44" s="36">
        <f t="shared" si="59"/>
        <v>2026</v>
      </c>
      <c r="AQ44" s="36">
        <f t="shared" si="59"/>
        <v>2027</v>
      </c>
      <c r="AR44" s="36">
        <f t="shared" si="59"/>
        <v>2028</v>
      </c>
      <c r="AS44" s="36">
        <f t="shared" si="59"/>
        <v>2029</v>
      </c>
      <c r="AT44" s="36">
        <f t="shared" si="59"/>
        <v>2030</v>
      </c>
      <c r="AU44" s="36">
        <f t="shared" si="59"/>
        <v>2031</v>
      </c>
      <c r="AV44" s="36">
        <f t="shared" si="59"/>
        <v>2032</v>
      </c>
      <c r="AW44" s="36">
        <f t="shared" si="59"/>
        <v>2033</v>
      </c>
      <c r="AX44" s="36">
        <f t="shared" si="59"/>
        <v>2034</v>
      </c>
      <c r="AY44" s="36">
        <f t="shared" si="59"/>
        <v>2035</v>
      </c>
      <c r="AZ44" s="36">
        <f t="shared" si="59"/>
        <v>2036</v>
      </c>
      <c r="BA44" s="36">
        <f t="shared" si="59"/>
        <v>2037</v>
      </c>
      <c r="BB44" s="36">
        <f t="shared" si="59"/>
        <v>2038</v>
      </c>
    </row>
    <row r="45" spans="1:54" x14ac:dyDescent="0.25">
      <c r="B45" s="1" t="s">
        <v>52</v>
      </c>
      <c r="C45" s="14">
        <f ca="1">Injectable_Base!C45</f>
        <v>4.6597899999999998E-2</v>
      </c>
      <c r="D45" s="14">
        <f ca="1">Injectable_Base!D45</f>
        <v>6.76374E-2</v>
      </c>
      <c r="E45" s="14">
        <f ca="1">IF('User Settings'!$N$7="On",($D45-$C45)/($D$4-$C$4),0)</f>
        <v>4.2079000000000005E-3</v>
      </c>
      <c r="F45" s="14">
        <f ca="1">Injectable_Base!F45</f>
        <v>8.0261100000000002E-2</v>
      </c>
      <c r="G45" s="14"/>
      <c r="H45" s="14">
        <f ca="1">MAX(0,MIN(1,($D45+$E45*(H$4-$D$4))*$H$1))</f>
        <v>9.2884800000000003E-2</v>
      </c>
      <c r="I45" s="14">
        <f ca="1">($H45-$F45)/($H$4-$F$4)</f>
        <v>4.2079000000000005E-3</v>
      </c>
      <c r="J45" s="14">
        <f ca="1">K45-E45</f>
        <v>7.6053200000000001E-2</v>
      </c>
      <c r="K45" s="14">
        <f ca="1">MAX(0,MIN(1,D45+(K$4-D$4)*E45))</f>
        <v>8.0261100000000002E-2</v>
      </c>
      <c r="L45" s="15">
        <f ca="1">MAX(0,MIN(1,K45+$I45))</f>
        <v>8.4469000000000002E-2</v>
      </c>
      <c r="M45" s="15">
        <f t="shared" ref="M45:AD45" ca="1" si="60">MAX(0,MIN(1,L45+$I45))</f>
        <v>8.8676900000000003E-2</v>
      </c>
      <c r="N45" s="15">
        <f ca="1">MAX(0,MIN(1,M45+$I45))</f>
        <v>9.2884800000000003E-2</v>
      </c>
      <c r="O45" s="15">
        <f t="shared" ca="1" si="60"/>
        <v>9.7092700000000004E-2</v>
      </c>
      <c r="P45" s="15">
        <f t="shared" ca="1" si="60"/>
        <v>0.1013006</v>
      </c>
      <c r="Q45" s="15">
        <f t="shared" ca="1" si="60"/>
        <v>0.10550850000000001</v>
      </c>
      <c r="R45" s="15">
        <f t="shared" ca="1" si="60"/>
        <v>0.10971640000000001</v>
      </c>
      <c r="S45" s="15">
        <f t="shared" ca="1" si="60"/>
        <v>0.11392430000000001</v>
      </c>
      <c r="T45" s="15">
        <f t="shared" ca="1" si="60"/>
        <v>0.11813220000000001</v>
      </c>
      <c r="U45" s="15">
        <f t="shared" ca="1" si="60"/>
        <v>0.12234010000000001</v>
      </c>
      <c r="V45" s="15">
        <f t="shared" ca="1" si="60"/>
        <v>0.12654799999999999</v>
      </c>
      <c r="W45" s="15">
        <f t="shared" ca="1" si="60"/>
        <v>0.13075589999999998</v>
      </c>
      <c r="X45" s="15">
        <f t="shared" ca="1" si="60"/>
        <v>0.13496379999999997</v>
      </c>
      <c r="Y45" s="15">
        <f t="shared" ca="1" si="60"/>
        <v>0.13917169999999995</v>
      </c>
      <c r="Z45" s="15">
        <f t="shared" ca="1" si="60"/>
        <v>0.14337959999999994</v>
      </c>
      <c r="AA45" s="15">
        <f t="shared" ca="1" si="60"/>
        <v>0.14758749999999993</v>
      </c>
      <c r="AB45" s="15">
        <f t="shared" ca="1" si="60"/>
        <v>0.15179539999999991</v>
      </c>
      <c r="AC45" s="15">
        <f t="shared" ca="1" si="60"/>
        <v>0.1560032999999999</v>
      </c>
      <c r="AD45" s="15">
        <f t="shared" ca="1" si="60"/>
        <v>0.16021119999999989</v>
      </c>
      <c r="AE45" s="5"/>
      <c r="AG45" s="1" t="s">
        <v>52</v>
      </c>
      <c r="AH45" s="37">
        <f ca="1">J45*AH$51</f>
        <v>111503.85188572285</v>
      </c>
      <c r="AI45" s="37">
        <f t="shared" ref="AI45:AI50" ca="1" si="61">K45*AI$51</f>
        <v>122198.34962290093</v>
      </c>
      <c r="AJ45" s="37">
        <f t="shared" ref="AJ45:AS50" ca="1" si="62">L45*AJ$51</f>
        <v>133521.19001530245</v>
      </c>
      <c r="AK45" s="37">
        <f t="shared" ca="1" si="62"/>
        <v>145315.24445388935</v>
      </c>
      <c r="AL45" s="37">
        <f t="shared" ca="1" si="62"/>
        <v>157794.43346080568</v>
      </c>
      <c r="AM45" s="37">
        <f t="shared" ca="1" si="62"/>
        <v>170965.38415761598</v>
      </c>
      <c r="AN45" s="37">
        <f t="shared" ca="1" si="62"/>
        <v>184828.34594509087</v>
      </c>
      <c r="AO45" s="37">
        <f t="shared" ca="1" si="62"/>
        <v>199392.00300050355</v>
      </c>
      <c r="AP45" s="37">
        <f t="shared" ca="1" si="62"/>
        <v>214528.90923240405</v>
      </c>
      <c r="AQ45" s="37">
        <f t="shared" ca="1" si="62"/>
        <v>230412.55896528621</v>
      </c>
      <c r="AR45" s="37">
        <f t="shared" ca="1" si="62"/>
        <v>247067.89031974506</v>
      </c>
      <c r="AS45" s="37">
        <f t="shared" ca="1" si="62"/>
        <v>264531.60049570078</v>
      </c>
      <c r="AT45" s="37">
        <f t="shared" ref="AT45:BB50" ca="1" si="63">V45*AT$51</f>
        <v>282833.55592186126</v>
      </c>
      <c r="AU45" s="37">
        <f t="shared" ca="1" si="63"/>
        <v>301820.82173254795</v>
      </c>
      <c r="AV45" s="37">
        <f t="shared" ca="1" si="63"/>
        <v>321701.29395188828</v>
      </c>
      <c r="AW45" s="37">
        <f t="shared" ca="1" si="63"/>
        <v>342480.7823266419</v>
      </c>
      <c r="AX45" s="37">
        <f t="shared" ca="1" si="63"/>
        <v>364159.87555495522</v>
      </c>
      <c r="AY45" s="37">
        <f t="shared" ca="1" si="63"/>
        <v>386744.38439530885</v>
      </c>
      <c r="AZ45" s="37" t="e">
        <f t="shared" ca="1" si="63"/>
        <v>#N/A</v>
      </c>
      <c r="BA45" s="37" t="e">
        <f t="shared" ca="1" si="63"/>
        <v>#N/A</v>
      </c>
      <c r="BB45" s="37" t="e">
        <f t="shared" ca="1" si="63"/>
        <v>#N/A</v>
      </c>
    </row>
    <row r="46" spans="1:54" x14ac:dyDescent="0.25">
      <c r="B46" s="1" t="s">
        <v>54</v>
      </c>
      <c r="C46" s="14">
        <f ca="1">Injectable_Base!C46</f>
        <v>0</v>
      </c>
      <c r="D46" s="14">
        <f ca="1">Injectable_Base!D46</f>
        <v>5.396E-4</v>
      </c>
      <c r="E46" s="14">
        <f ca="1">IF('User Settings'!$N$7="On",($D46-$C46)/($D$4-$C$4),0)</f>
        <v>1.0792E-4</v>
      </c>
      <c r="F46" s="14">
        <f ca="1">Injectable_Base!F46</f>
        <v>8.6335999999999997E-4</v>
      </c>
      <c r="G46" s="14"/>
      <c r="H46" s="14">
        <f t="shared" ref="H46:H50" ca="1" si="64">MAX(0,MIN(1,($D46+$E46*(H$4-$D$4))*$H$1))</f>
        <v>1.1871199999999998E-3</v>
      </c>
      <c r="I46" s="14">
        <f ca="1">($H46-$F46)/($H$4-$F$4)</f>
        <v>1.0791999999999996E-4</v>
      </c>
      <c r="J46" s="14">
        <f t="shared" ref="J46:J50" ca="1" si="65">K46-E46</f>
        <v>7.5544000000000002E-4</v>
      </c>
      <c r="K46" s="14">
        <f t="shared" ref="K46:K50" ca="1" si="66">MAX(0,MIN(1,D46+(K$4-D$4)*E46))</f>
        <v>8.6335999999999997E-4</v>
      </c>
      <c r="L46" s="15">
        <f t="shared" ref="L46:AD50" ca="1" si="67">MAX(0,MIN(1,K46+$I46))</f>
        <v>9.7127999999999993E-4</v>
      </c>
      <c r="M46" s="15">
        <f t="shared" ca="1" si="67"/>
        <v>1.0791999999999998E-3</v>
      </c>
      <c r="N46" s="15">
        <f t="shared" ca="1" si="67"/>
        <v>1.1871199999999998E-3</v>
      </c>
      <c r="O46" s="15">
        <f t="shared" ca="1" si="67"/>
        <v>1.2950399999999999E-3</v>
      </c>
      <c r="P46" s="15">
        <f t="shared" ca="1" si="67"/>
        <v>1.40296E-3</v>
      </c>
      <c r="Q46" s="15">
        <f t="shared" ca="1" si="67"/>
        <v>1.51088E-3</v>
      </c>
      <c r="R46" s="15">
        <f t="shared" ca="1" si="67"/>
        <v>1.6188000000000001E-3</v>
      </c>
      <c r="S46" s="15">
        <f t="shared" ca="1" si="67"/>
        <v>1.7267200000000002E-3</v>
      </c>
      <c r="T46" s="15">
        <f t="shared" ca="1" si="67"/>
        <v>1.8346400000000002E-3</v>
      </c>
      <c r="U46" s="15">
        <f t="shared" ca="1" si="67"/>
        <v>1.9425600000000003E-3</v>
      </c>
      <c r="V46" s="15">
        <f t="shared" ca="1" si="67"/>
        <v>2.0504800000000004E-3</v>
      </c>
      <c r="W46" s="15">
        <f t="shared" ca="1" si="67"/>
        <v>2.1584000000000004E-3</v>
      </c>
      <c r="X46" s="15">
        <f t="shared" ca="1" si="67"/>
        <v>2.2663200000000005E-3</v>
      </c>
      <c r="Y46" s="15">
        <f t="shared" ca="1" si="67"/>
        <v>2.3742400000000006E-3</v>
      </c>
      <c r="Z46" s="15">
        <f t="shared" ca="1" si="67"/>
        <v>2.4821600000000006E-3</v>
      </c>
      <c r="AA46" s="15">
        <f t="shared" ca="1" si="67"/>
        <v>2.5900800000000007E-3</v>
      </c>
      <c r="AB46" s="15">
        <f t="shared" ca="1" si="67"/>
        <v>2.6980000000000007E-3</v>
      </c>
      <c r="AC46" s="15">
        <f t="shared" ca="1" si="67"/>
        <v>2.8059200000000008E-3</v>
      </c>
      <c r="AD46" s="15">
        <f t="shared" ca="1" si="67"/>
        <v>2.9138400000000009E-3</v>
      </c>
      <c r="AE46" s="5"/>
      <c r="AG46" s="1" t="s">
        <v>54</v>
      </c>
      <c r="AH46" s="37">
        <f t="shared" ref="AH46:AH50" ca="1" si="68">J46*AH$51</f>
        <v>1107.5729866534277</v>
      </c>
      <c r="AI46" s="37">
        <f t="shared" ca="1" si="61"/>
        <v>1314.4744730688683</v>
      </c>
      <c r="AJ46" s="37">
        <f t="shared" ca="1" si="62"/>
        <v>1535.3142743262374</v>
      </c>
      <c r="AK46" s="37">
        <f t="shared" ca="1" si="62"/>
        <v>1768.4900105285294</v>
      </c>
      <c r="AL46" s="37">
        <f t="shared" ca="1" si="62"/>
        <v>2016.7016330981132</v>
      </c>
      <c r="AM46" s="37">
        <f t="shared" ca="1" si="62"/>
        <v>2280.3672273969</v>
      </c>
      <c r="AN46" s="37">
        <f t="shared" ca="1" si="62"/>
        <v>2559.7753244020732</v>
      </c>
      <c r="AO46" s="37">
        <f t="shared" ca="1" si="62"/>
        <v>2855.2902324779598</v>
      </c>
      <c r="AP46" s="37">
        <f t="shared" ca="1" si="62"/>
        <v>3165.2460185115046</v>
      </c>
      <c r="AQ46" s="37">
        <f t="shared" ca="1" si="62"/>
        <v>3492.301237019135</v>
      </c>
      <c r="AR46" s="37">
        <f t="shared" ca="1" si="62"/>
        <v>3837.0624968993816</v>
      </c>
      <c r="AS46" s="37">
        <f t="shared" ca="1" si="62"/>
        <v>4200.3276591970134</v>
      </c>
      <c r="AT46" s="37">
        <f t="shared" ca="1" si="63"/>
        <v>4582.8029660418042</v>
      </c>
      <c r="AU46" s="37">
        <f t="shared" ca="1" si="63"/>
        <v>4982.1848316407277</v>
      </c>
      <c r="AV46" s="37">
        <f t="shared" ca="1" si="63"/>
        <v>5402.0268880177036</v>
      </c>
      <c r="AW46" s="37">
        <f t="shared" ca="1" si="63"/>
        <v>5842.6502847289112</v>
      </c>
      <c r="AX46" s="37">
        <f t="shared" ca="1" si="63"/>
        <v>6304.2655768846344</v>
      </c>
      <c r="AY46" s="37">
        <f t="shared" ca="1" si="63"/>
        <v>6787.1526730556607</v>
      </c>
      <c r="AZ46" s="37" t="e">
        <f t="shared" ca="1" si="63"/>
        <v>#N/A</v>
      </c>
      <c r="BA46" s="37" t="e">
        <f t="shared" ca="1" si="63"/>
        <v>#N/A</v>
      </c>
      <c r="BB46" s="37" t="e">
        <f t="shared" ca="1" si="63"/>
        <v>#N/A</v>
      </c>
    </row>
    <row r="47" spans="1:54" x14ac:dyDescent="0.25">
      <c r="B47" s="1" t="s">
        <v>170</v>
      </c>
      <c r="C47" s="14">
        <f ca="1">Injectable_Base!C47</f>
        <v>0</v>
      </c>
      <c r="D47" s="14">
        <f ca="1">Injectable_Base!D47</f>
        <v>1.0761E-3</v>
      </c>
      <c r="E47" s="14">
        <f ca="1">IF('User Settings'!$N$7="On",($D47-$C47)/($D$4-$C$4),0)</f>
        <v>2.1521999999999999E-4</v>
      </c>
      <c r="F47" s="14">
        <f ca="1">Injectable_Base!F47</f>
        <v>1.7217599999999999E-3</v>
      </c>
      <c r="G47" s="14"/>
      <c r="H47" s="14">
        <f t="shared" ca="1" si="64"/>
        <v>2.3674199999999999E-3</v>
      </c>
      <c r="I47" s="14">
        <f t="shared" ref="I47:I50" ca="1" si="69">($H47-$F47)/($H$4-$F$4)</f>
        <v>2.1521999999999999E-4</v>
      </c>
      <c r="J47" s="14">
        <f t="shared" ca="1" si="65"/>
        <v>1.50654E-3</v>
      </c>
      <c r="K47" s="14">
        <f t="shared" ca="1" si="66"/>
        <v>1.7217599999999999E-3</v>
      </c>
      <c r="L47" s="15">
        <f t="shared" ca="1" si="67"/>
        <v>1.9369799999999998E-3</v>
      </c>
      <c r="M47" s="15">
        <f t="shared" ca="1" si="67"/>
        <v>2.1521999999999999E-3</v>
      </c>
      <c r="N47" s="15">
        <f t="shared" ca="1" si="67"/>
        <v>2.3674199999999999E-3</v>
      </c>
      <c r="O47" s="15">
        <f t="shared" ca="1" si="67"/>
        <v>2.5826399999999998E-3</v>
      </c>
      <c r="P47" s="15">
        <f t="shared" ca="1" si="67"/>
        <v>2.7978599999999997E-3</v>
      </c>
      <c r="Q47" s="15">
        <f t="shared" ca="1" si="67"/>
        <v>3.0130799999999996E-3</v>
      </c>
      <c r="R47" s="15">
        <f t="shared" ca="1" si="67"/>
        <v>3.2282999999999995E-3</v>
      </c>
      <c r="S47" s="15">
        <f t="shared" ca="1" si="67"/>
        <v>3.4435199999999994E-3</v>
      </c>
      <c r="T47" s="15">
        <f t="shared" ca="1" si="67"/>
        <v>3.6587399999999993E-3</v>
      </c>
      <c r="U47" s="15">
        <f t="shared" ca="1" si="67"/>
        <v>3.8739599999999992E-3</v>
      </c>
      <c r="V47" s="15">
        <f t="shared" ca="1" si="67"/>
        <v>4.0891799999999996E-3</v>
      </c>
      <c r="W47" s="15">
        <f t="shared" ca="1" si="67"/>
        <v>4.3043999999999999E-3</v>
      </c>
      <c r="X47" s="15">
        <f t="shared" ca="1" si="67"/>
        <v>4.5196200000000002E-3</v>
      </c>
      <c r="Y47" s="15">
        <f t="shared" ca="1" si="67"/>
        <v>4.7348400000000006E-3</v>
      </c>
      <c r="Z47" s="15">
        <f t="shared" ca="1" si="67"/>
        <v>4.9500600000000009E-3</v>
      </c>
      <c r="AA47" s="15">
        <f t="shared" ca="1" si="67"/>
        <v>5.1652800000000013E-3</v>
      </c>
      <c r="AB47" s="15">
        <f t="shared" ca="1" si="67"/>
        <v>5.3805000000000016E-3</v>
      </c>
      <c r="AC47" s="15">
        <f t="shared" ca="1" si="67"/>
        <v>5.5957200000000019E-3</v>
      </c>
      <c r="AD47" s="15">
        <f t="shared" ca="1" si="67"/>
        <v>5.8109400000000023E-3</v>
      </c>
      <c r="AE47" s="5"/>
      <c r="AG47" s="1" t="s">
        <v>170</v>
      </c>
      <c r="AH47" s="37">
        <f t="shared" ca="1" si="68"/>
        <v>2208.7829706036946</v>
      </c>
      <c r="AI47" s="37">
        <f t="shared" ca="1" si="61"/>
        <v>2621.3972951619885</v>
      </c>
      <c r="AJ47" s="37">
        <f t="shared" ca="1" si="62"/>
        <v>3061.8081738370352</v>
      </c>
      <c r="AK47" s="37">
        <f t="shared" ca="1" si="62"/>
        <v>3526.8200525013913</v>
      </c>
      <c r="AL47" s="37">
        <f t="shared" ca="1" si="62"/>
        <v>4021.8173227888801</v>
      </c>
      <c r="AM47" s="37">
        <f t="shared" ca="1" si="62"/>
        <v>4547.6337535244702</v>
      </c>
      <c r="AN47" s="37">
        <f t="shared" ca="1" si="62"/>
        <v>5104.8447490531335</v>
      </c>
      <c r="AO47" s="37">
        <f t="shared" ca="1" si="62"/>
        <v>5694.1768331533212</v>
      </c>
      <c r="AP47" s="37">
        <f t="shared" ca="1" si="62"/>
        <v>6312.3077103784835</v>
      </c>
      <c r="AQ47" s="37">
        <f t="shared" ca="1" si="62"/>
        <v>6964.5392163756305</v>
      </c>
      <c r="AR47" s="37">
        <f t="shared" ca="1" si="62"/>
        <v>7652.0810839759506</v>
      </c>
      <c r="AS47" s="37">
        <f t="shared" ca="1" si="62"/>
        <v>8376.5244515602371</v>
      </c>
      <c r="AT47" s="37">
        <f t="shared" ca="1" si="63"/>
        <v>9139.277746029622</v>
      </c>
      <c r="AU47" s="37">
        <f t="shared" ca="1" si="63"/>
        <v>9935.7470298898916</v>
      </c>
      <c r="AV47" s="37">
        <f t="shared" ca="1" si="63"/>
        <v>10773.019151586082</v>
      </c>
      <c r="AW47" s="37">
        <f t="shared" ca="1" si="63"/>
        <v>11651.734565227542</v>
      </c>
      <c r="AX47" s="37">
        <f t="shared" ca="1" si="63"/>
        <v>12572.313171396507</v>
      </c>
      <c r="AY47" s="37">
        <f t="shared" ca="1" si="63"/>
        <v>13535.313179160854</v>
      </c>
      <c r="AZ47" s="37" t="e">
        <f t="shared" ca="1" si="63"/>
        <v>#N/A</v>
      </c>
      <c r="BA47" s="37" t="e">
        <f t="shared" ca="1" si="63"/>
        <v>#N/A</v>
      </c>
      <c r="BB47" s="37" t="e">
        <f t="shared" ca="1" si="63"/>
        <v>#N/A</v>
      </c>
    </row>
    <row r="48" spans="1:54" x14ac:dyDescent="0.25">
      <c r="B48" s="1" t="s">
        <v>59</v>
      </c>
      <c r="C48" s="14">
        <f ca="1">Injectable_Base!C48</f>
        <v>0.1127876</v>
      </c>
      <c r="D48" s="14">
        <f ca="1">Injectable_Base!D48</f>
        <v>6.7006399999999994E-2</v>
      </c>
      <c r="E48" s="14">
        <f ca="1">IF('User Settings'!$N$7="On",($D48-$C48)/($D$4-$C$4),0)</f>
        <v>-9.1562400000000013E-3</v>
      </c>
      <c r="F48" s="14">
        <f ca="1">Injectable_Base!F48</f>
        <v>3.9537679999999992E-2</v>
      </c>
      <c r="G48" s="14"/>
      <c r="H48" s="14">
        <f t="shared" ca="1" si="64"/>
        <v>1.206895999999999E-2</v>
      </c>
      <c r="I48" s="14">
        <f t="shared" ca="1" si="69"/>
        <v>-9.1562400000000013E-3</v>
      </c>
      <c r="J48" s="14">
        <f t="shared" ca="1" si="65"/>
        <v>4.8693919999999995E-2</v>
      </c>
      <c r="K48" s="14">
        <f t="shared" ca="1" si="66"/>
        <v>3.9537679999999992E-2</v>
      </c>
      <c r="L48" s="15">
        <f t="shared" ca="1" si="67"/>
        <v>3.0381439999999989E-2</v>
      </c>
      <c r="M48" s="15">
        <f t="shared" ca="1" si="67"/>
        <v>2.1225199999999986E-2</v>
      </c>
      <c r="N48" s="15">
        <f t="shared" ca="1" si="67"/>
        <v>1.2068959999999984E-2</v>
      </c>
      <c r="O48" s="15">
        <f t="shared" ca="1" si="67"/>
        <v>2.9127199999999832E-3</v>
      </c>
      <c r="P48" s="15">
        <f t="shared" ca="1" si="67"/>
        <v>0</v>
      </c>
      <c r="Q48" s="15">
        <f t="shared" ca="1" si="67"/>
        <v>0</v>
      </c>
      <c r="R48" s="15">
        <f t="shared" ca="1" si="67"/>
        <v>0</v>
      </c>
      <c r="S48" s="15">
        <f t="shared" ca="1" si="67"/>
        <v>0</v>
      </c>
      <c r="T48" s="15">
        <f t="shared" ca="1" si="67"/>
        <v>0</v>
      </c>
      <c r="U48" s="15">
        <f t="shared" ca="1" si="67"/>
        <v>0</v>
      </c>
      <c r="V48" s="15">
        <f t="shared" ca="1" si="67"/>
        <v>0</v>
      </c>
      <c r="W48" s="15">
        <f t="shared" ca="1" si="67"/>
        <v>0</v>
      </c>
      <c r="X48" s="15">
        <f t="shared" ca="1" si="67"/>
        <v>0</v>
      </c>
      <c r="Y48" s="15">
        <f t="shared" ca="1" si="67"/>
        <v>0</v>
      </c>
      <c r="Z48" s="15">
        <f t="shared" ca="1" si="67"/>
        <v>0</v>
      </c>
      <c r="AA48" s="15">
        <f t="shared" ca="1" si="67"/>
        <v>0</v>
      </c>
      <c r="AB48" s="15">
        <f t="shared" ca="1" si="67"/>
        <v>0</v>
      </c>
      <c r="AC48" s="15">
        <f t="shared" ca="1" si="67"/>
        <v>0</v>
      </c>
      <c r="AD48" s="15">
        <f t="shared" ca="1" si="67"/>
        <v>0</v>
      </c>
      <c r="AE48" s="5"/>
      <c r="AG48" s="1" t="s">
        <v>59</v>
      </c>
      <c r="AH48" s="37">
        <f t="shared" ca="1" si="68"/>
        <v>71391.600135368877</v>
      </c>
      <c r="AI48" s="37">
        <f t="shared" ca="1" si="61"/>
        <v>60196.52414330699</v>
      </c>
      <c r="AJ48" s="37">
        <f t="shared" ca="1" si="62"/>
        <v>48024.316887597925</v>
      </c>
      <c r="AK48" s="37">
        <f t="shared" ca="1" si="62"/>
        <v>34781.832998026432</v>
      </c>
      <c r="AL48" s="37">
        <f t="shared" ca="1" si="62"/>
        <v>20502.974713420528</v>
      </c>
      <c r="AM48" s="37">
        <f t="shared" ca="1" si="62"/>
        <v>5128.8541130648173</v>
      </c>
      <c r="AN48" s="37">
        <f t="shared" ca="1" si="62"/>
        <v>0</v>
      </c>
      <c r="AO48" s="37">
        <f t="shared" ca="1" si="62"/>
        <v>0</v>
      </c>
      <c r="AP48" s="37">
        <f t="shared" ca="1" si="62"/>
        <v>0</v>
      </c>
      <c r="AQ48" s="37">
        <f t="shared" ca="1" si="62"/>
        <v>0</v>
      </c>
      <c r="AR48" s="37">
        <f t="shared" ca="1" si="62"/>
        <v>0</v>
      </c>
      <c r="AS48" s="37">
        <f t="shared" ca="1" si="62"/>
        <v>0</v>
      </c>
      <c r="AT48" s="37">
        <f t="shared" ca="1" si="63"/>
        <v>0</v>
      </c>
      <c r="AU48" s="37">
        <f t="shared" ca="1" si="63"/>
        <v>0</v>
      </c>
      <c r="AV48" s="37">
        <f t="shared" ca="1" si="63"/>
        <v>0</v>
      </c>
      <c r="AW48" s="37">
        <f t="shared" ca="1" si="63"/>
        <v>0</v>
      </c>
      <c r="AX48" s="37">
        <f t="shared" ca="1" si="63"/>
        <v>0</v>
      </c>
      <c r="AY48" s="37">
        <f t="shared" ca="1" si="63"/>
        <v>0</v>
      </c>
      <c r="AZ48" s="37" t="e">
        <f t="shared" ca="1" si="63"/>
        <v>#N/A</v>
      </c>
      <c r="BA48" s="37" t="e">
        <f t="shared" ca="1" si="63"/>
        <v>#N/A</v>
      </c>
      <c r="BB48" s="37" t="e">
        <f t="shared" ca="1" si="63"/>
        <v>#N/A</v>
      </c>
    </row>
    <row r="49" spans="1:54" x14ac:dyDescent="0.25">
      <c r="B49" s="1" t="s">
        <v>171</v>
      </c>
      <c r="C49" s="14">
        <f ca="1">Injectable_Base!C49</f>
        <v>0</v>
      </c>
      <c r="D49" s="14">
        <f ca="1">Injectable_Base!D49</f>
        <v>0</v>
      </c>
      <c r="E49" s="14">
        <f ca="1">IF('User Settings'!$N$7="On",($D49-$C49)/($D$4-$C$4),0)</f>
        <v>0</v>
      </c>
      <c r="F49" s="14">
        <f ca="1">Injectable_Base!F49</f>
        <v>0</v>
      </c>
      <c r="G49" s="14"/>
      <c r="H49" s="14">
        <f t="shared" ca="1" si="64"/>
        <v>0</v>
      </c>
      <c r="I49" s="14">
        <f t="shared" ca="1" si="69"/>
        <v>0</v>
      </c>
      <c r="J49" s="14">
        <f t="shared" ca="1" si="65"/>
        <v>0</v>
      </c>
      <c r="K49" s="14">
        <f t="shared" ca="1" si="66"/>
        <v>0</v>
      </c>
      <c r="L49" s="15">
        <f t="shared" ca="1" si="67"/>
        <v>0</v>
      </c>
      <c r="M49" s="15">
        <f t="shared" ca="1" si="67"/>
        <v>0</v>
      </c>
      <c r="N49" s="15">
        <f t="shared" ca="1" si="67"/>
        <v>0</v>
      </c>
      <c r="O49" s="15">
        <f t="shared" ca="1" si="67"/>
        <v>0</v>
      </c>
      <c r="P49" s="15">
        <f t="shared" ca="1" si="67"/>
        <v>0</v>
      </c>
      <c r="Q49" s="15">
        <f t="shared" ca="1" si="67"/>
        <v>0</v>
      </c>
      <c r="R49" s="15">
        <f t="shared" ca="1" si="67"/>
        <v>0</v>
      </c>
      <c r="S49" s="15">
        <f t="shared" ca="1" si="67"/>
        <v>0</v>
      </c>
      <c r="T49" s="15">
        <f t="shared" ca="1" si="67"/>
        <v>0</v>
      </c>
      <c r="U49" s="15">
        <f t="shared" ca="1" si="67"/>
        <v>0</v>
      </c>
      <c r="V49" s="15">
        <f t="shared" ca="1" si="67"/>
        <v>0</v>
      </c>
      <c r="W49" s="15">
        <f t="shared" ca="1" si="67"/>
        <v>0</v>
      </c>
      <c r="X49" s="15">
        <f t="shared" ca="1" si="67"/>
        <v>0</v>
      </c>
      <c r="Y49" s="15">
        <f t="shared" ca="1" si="67"/>
        <v>0</v>
      </c>
      <c r="Z49" s="15">
        <f t="shared" ca="1" si="67"/>
        <v>0</v>
      </c>
      <c r="AA49" s="15">
        <f t="shared" ca="1" si="67"/>
        <v>0</v>
      </c>
      <c r="AB49" s="15">
        <f t="shared" ca="1" si="67"/>
        <v>0</v>
      </c>
      <c r="AC49" s="15">
        <f t="shared" ca="1" si="67"/>
        <v>0</v>
      </c>
      <c r="AD49" s="15">
        <f t="shared" ca="1" si="67"/>
        <v>0</v>
      </c>
      <c r="AE49" s="5"/>
      <c r="AG49" s="1" t="s">
        <v>171</v>
      </c>
      <c r="AH49" s="37">
        <f t="shared" ca="1" si="68"/>
        <v>0</v>
      </c>
      <c r="AI49" s="37">
        <f t="shared" ca="1" si="61"/>
        <v>0</v>
      </c>
      <c r="AJ49" s="37">
        <f t="shared" ca="1" si="62"/>
        <v>0</v>
      </c>
      <c r="AK49" s="37">
        <f t="shared" ca="1" si="62"/>
        <v>0</v>
      </c>
      <c r="AL49" s="37">
        <f t="shared" ca="1" si="62"/>
        <v>0</v>
      </c>
      <c r="AM49" s="37">
        <f t="shared" ca="1" si="62"/>
        <v>0</v>
      </c>
      <c r="AN49" s="37">
        <f t="shared" ca="1" si="62"/>
        <v>0</v>
      </c>
      <c r="AO49" s="37">
        <f t="shared" ca="1" si="62"/>
        <v>0</v>
      </c>
      <c r="AP49" s="37">
        <f t="shared" ca="1" si="62"/>
        <v>0</v>
      </c>
      <c r="AQ49" s="37">
        <f t="shared" ca="1" si="62"/>
        <v>0</v>
      </c>
      <c r="AR49" s="37">
        <f t="shared" ca="1" si="62"/>
        <v>0</v>
      </c>
      <c r="AS49" s="37">
        <f t="shared" ca="1" si="62"/>
        <v>0</v>
      </c>
      <c r="AT49" s="37">
        <f t="shared" ca="1" si="63"/>
        <v>0</v>
      </c>
      <c r="AU49" s="37">
        <f t="shared" ca="1" si="63"/>
        <v>0</v>
      </c>
      <c r="AV49" s="37">
        <f t="shared" ca="1" si="63"/>
        <v>0</v>
      </c>
      <c r="AW49" s="37">
        <f t="shared" ca="1" si="63"/>
        <v>0</v>
      </c>
      <c r="AX49" s="37">
        <f t="shared" ca="1" si="63"/>
        <v>0</v>
      </c>
      <c r="AY49" s="37">
        <f t="shared" ca="1" si="63"/>
        <v>0</v>
      </c>
      <c r="AZ49" s="37" t="e">
        <f t="shared" ca="1" si="63"/>
        <v>#N/A</v>
      </c>
      <c r="BA49" s="37" t="e">
        <f t="shared" ca="1" si="63"/>
        <v>#N/A</v>
      </c>
      <c r="BB49" s="37" t="e">
        <f t="shared" ca="1" si="63"/>
        <v>#N/A</v>
      </c>
    </row>
    <row r="50" spans="1:54" x14ac:dyDescent="0.25">
      <c r="B50" s="1" t="s">
        <v>116</v>
      </c>
      <c r="C50" s="14">
        <f ca="1">Injectable_Base!C50</f>
        <v>0</v>
      </c>
      <c r="D50" s="14">
        <f ca="1">Injectable_Base!D50</f>
        <v>0</v>
      </c>
      <c r="E50" s="14">
        <f ca="1">IF('User Settings'!$N$7="On",($D50-$C50)/($D$4-$C$4),0)</f>
        <v>0</v>
      </c>
      <c r="F50" s="14">
        <f ca="1">Injectable_Base!F50</f>
        <v>0</v>
      </c>
      <c r="G50" s="14"/>
      <c r="H50" s="14">
        <f t="shared" ca="1" si="64"/>
        <v>0</v>
      </c>
      <c r="I50" s="14">
        <f t="shared" ca="1" si="69"/>
        <v>0</v>
      </c>
      <c r="J50" s="14">
        <f t="shared" ca="1" si="65"/>
        <v>0</v>
      </c>
      <c r="K50" s="14">
        <f t="shared" ca="1" si="66"/>
        <v>0</v>
      </c>
      <c r="L50" s="15">
        <f t="shared" ca="1" si="67"/>
        <v>0</v>
      </c>
      <c r="M50" s="15">
        <f t="shared" ca="1" si="67"/>
        <v>0</v>
      </c>
      <c r="N50" s="15">
        <f t="shared" ca="1" si="67"/>
        <v>0</v>
      </c>
      <c r="O50" s="15">
        <f t="shared" ca="1" si="67"/>
        <v>0</v>
      </c>
      <c r="P50" s="15">
        <f t="shared" ca="1" si="67"/>
        <v>0</v>
      </c>
      <c r="Q50" s="15">
        <f t="shared" ca="1" si="67"/>
        <v>0</v>
      </c>
      <c r="R50" s="15">
        <f t="shared" ca="1" si="67"/>
        <v>0</v>
      </c>
      <c r="S50" s="15">
        <f t="shared" ca="1" si="67"/>
        <v>0</v>
      </c>
      <c r="T50" s="15">
        <f t="shared" ca="1" si="67"/>
        <v>0</v>
      </c>
      <c r="U50" s="15">
        <f t="shared" ca="1" si="67"/>
        <v>0</v>
      </c>
      <c r="V50" s="15">
        <f t="shared" ca="1" si="67"/>
        <v>0</v>
      </c>
      <c r="W50" s="15">
        <f t="shared" ca="1" si="67"/>
        <v>0</v>
      </c>
      <c r="X50" s="15">
        <f t="shared" ca="1" si="67"/>
        <v>0</v>
      </c>
      <c r="Y50" s="15">
        <f t="shared" ca="1" si="67"/>
        <v>0</v>
      </c>
      <c r="Z50" s="15">
        <f t="shared" ca="1" si="67"/>
        <v>0</v>
      </c>
      <c r="AA50" s="15">
        <f t="shared" ca="1" si="67"/>
        <v>0</v>
      </c>
      <c r="AB50" s="15">
        <f t="shared" ca="1" si="67"/>
        <v>0</v>
      </c>
      <c r="AC50" s="15">
        <f t="shared" ca="1" si="67"/>
        <v>0</v>
      </c>
      <c r="AD50" s="15">
        <f t="shared" ca="1" si="67"/>
        <v>0</v>
      </c>
      <c r="AE50" s="5"/>
      <c r="AG50" s="1" t="s">
        <v>116</v>
      </c>
      <c r="AH50" s="37">
        <f t="shared" ca="1" si="68"/>
        <v>0</v>
      </c>
      <c r="AI50" s="37">
        <f t="shared" ca="1" si="61"/>
        <v>0</v>
      </c>
      <c r="AJ50" s="37">
        <f t="shared" ca="1" si="62"/>
        <v>0</v>
      </c>
      <c r="AK50" s="37">
        <f t="shared" ca="1" si="62"/>
        <v>0</v>
      </c>
      <c r="AL50" s="37">
        <f t="shared" ca="1" si="62"/>
        <v>0</v>
      </c>
      <c r="AM50" s="37">
        <f t="shared" ca="1" si="62"/>
        <v>0</v>
      </c>
      <c r="AN50" s="37">
        <f t="shared" ca="1" si="62"/>
        <v>0</v>
      </c>
      <c r="AO50" s="37">
        <f t="shared" ca="1" si="62"/>
        <v>0</v>
      </c>
      <c r="AP50" s="37">
        <f t="shared" ca="1" si="62"/>
        <v>0</v>
      </c>
      <c r="AQ50" s="37">
        <f t="shared" ca="1" si="62"/>
        <v>0</v>
      </c>
      <c r="AR50" s="37">
        <f t="shared" ca="1" si="62"/>
        <v>0</v>
      </c>
      <c r="AS50" s="37">
        <f t="shared" ca="1" si="62"/>
        <v>0</v>
      </c>
      <c r="AT50" s="37">
        <f t="shared" ca="1" si="63"/>
        <v>0</v>
      </c>
      <c r="AU50" s="37">
        <f t="shared" ca="1" si="63"/>
        <v>0</v>
      </c>
      <c r="AV50" s="37">
        <f t="shared" ca="1" si="63"/>
        <v>0</v>
      </c>
      <c r="AW50" s="37">
        <f t="shared" ca="1" si="63"/>
        <v>0</v>
      </c>
      <c r="AX50" s="37">
        <f t="shared" ca="1" si="63"/>
        <v>0</v>
      </c>
      <c r="AY50" s="37">
        <f t="shared" ca="1" si="63"/>
        <v>0</v>
      </c>
      <c r="AZ50" s="37" t="e">
        <f t="shared" ca="1" si="63"/>
        <v>#N/A</v>
      </c>
      <c r="BA50" s="37" t="e">
        <f t="shared" ca="1" si="63"/>
        <v>#N/A</v>
      </c>
      <c r="BB50" s="37" t="e">
        <f t="shared" ca="1" si="63"/>
        <v>#N/A</v>
      </c>
    </row>
    <row r="51" spans="1:54" x14ac:dyDescent="0.25">
      <c r="D51" s="5">
        <f ca="1">SUM(D45:D50)</f>
        <v>0.13625949999999998</v>
      </c>
      <c r="F51" s="132">
        <f ca="1">SUM(F45:F50)</f>
        <v>0.12238389999999999</v>
      </c>
      <c r="G51" s="132"/>
      <c r="H51" s="132">
        <f ca="1">SUM(H45:H50)</f>
        <v>0.10850829999999999</v>
      </c>
      <c r="I51" s="132"/>
      <c r="J51" s="132">
        <f ca="1">SUM(J45:J50)</f>
        <v>0.12700909999999999</v>
      </c>
      <c r="K51" s="132">
        <f ca="1">SUM(K45:K50)</f>
        <v>0.12238389999999999</v>
      </c>
      <c r="L51" s="5">
        <f t="shared" ref="L51:AD51" ca="1" si="70">SUM(L45:L50)</f>
        <v>0.11775869999999999</v>
      </c>
      <c r="M51" s="5">
        <f t="shared" ca="1" si="70"/>
        <v>0.11313349999999998</v>
      </c>
      <c r="N51" s="5">
        <f t="shared" ca="1" si="70"/>
        <v>0.10850829999999999</v>
      </c>
      <c r="O51" s="5">
        <f t="shared" ca="1" si="70"/>
        <v>0.10388309999999998</v>
      </c>
      <c r="P51" s="5">
        <f t="shared" ca="1" si="70"/>
        <v>0.10550142</v>
      </c>
      <c r="Q51" s="5">
        <f t="shared" ca="1" si="70"/>
        <v>0.11003246000000001</v>
      </c>
      <c r="R51" s="5">
        <f t="shared" ca="1" si="70"/>
        <v>0.11456350000000001</v>
      </c>
      <c r="S51" s="5">
        <f t="shared" ca="1" si="70"/>
        <v>0.11909454000000001</v>
      </c>
      <c r="T51" s="5">
        <f t="shared" ca="1" si="70"/>
        <v>0.12362558</v>
      </c>
      <c r="U51" s="5">
        <f t="shared" ca="1" si="70"/>
        <v>0.12815662</v>
      </c>
      <c r="V51" s="5">
        <f t="shared" ca="1" si="70"/>
        <v>0.13268765999999999</v>
      </c>
      <c r="W51" s="5">
        <f t="shared" ca="1" si="70"/>
        <v>0.13721869999999997</v>
      </c>
      <c r="X51" s="5">
        <f t="shared" ca="1" si="70"/>
        <v>0.14174973999999996</v>
      </c>
      <c r="Y51" s="5">
        <f t="shared" ca="1" si="70"/>
        <v>0.14628077999999994</v>
      </c>
      <c r="Z51" s="5">
        <f t="shared" ca="1" si="70"/>
        <v>0.15081181999999996</v>
      </c>
      <c r="AA51" s="5">
        <f t="shared" ca="1" si="70"/>
        <v>0.15534285999999992</v>
      </c>
      <c r="AB51" s="5">
        <f t="shared" ca="1" si="70"/>
        <v>0.15987389999999993</v>
      </c>
      <c r="AC51" s="5">
        <f t="shared" ca="1" si="70"/>
        <v>0.16440493999999989</v>
      </c>
      <c r="AD51" s="5">
        <f t="shared" ca="1" si="70"/>
        <v>0.1689359799999999</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71">IF(K54=Yr_Start,"Start Year",IF(K54=Yr_End,"End Year",""))</f>
        <v>Start Year</v>
      </c>
      <c r="L53" s="205" t="str">
        <f t="shared" si="71"/>
        <v/>
      </c>
      <c r="M53" s="205" t="str">
        <f t="shared" si="71"/>
        <v/>
      </c>
      <c r="N53" s="205" t="str">
        <f t="shared" si="71"/>
        <v>End Year</v>
      </c>
      <c r="O53" s="205" t="str">
        <f t="shared" si="71"/>
        <v/>
      </c>
      <c r="P53" s="205" t="str">
        <f t="shared" si="71"/>
        <v/>
      </c>
      <c r="Q53" s="205" t="str">
        <f t="shared" si="71"/>
        <v/>
      </c>
      <c r="R53" s="205" t="str">
        <f t="shared" si="71"/>
        <v/>
      </c>
      <c r="S53" s="205" t="str">
        <f t="shared" si="71"/>
        <v/>
      </c>
      <c r="T53" s="205" t="str">
        <f t="shared" si="71"/>
        <v/>
      </c>
      <c r="U53" s="205" t="str">
        <f t="shared" si="71"/>
        <v/>
      </c>
      <c r="V53" s="205" t="str">
        <f t="shared" si="71"/>
        <v/>
      </c>
      <c r="W53" s="205" t="str">
        <f t="shared" si="71"/>
        <v/>
      </c>
      <c r="X53" s="205" t="str">
        <f t="shared" si="71"/>
        <v/>
      </c>
      <c r="Y53" s="205" t="str">
        <f t="shared" si="71"/>
        <v/>
      </c>
      <c r="Z53" s="205" t="str">
        <f t="shared" si="71"/>
        <v/>
      </c>
      <c r="AA53" s="205" t="str">
        <f t="shared" si="71"/>
        <v/>
      </c>
      <c r="AB53" s="205" t="str">
        <f t="shared" si="71"/>
        <v/>
      </c>
      <c r="AC53" s="205" t="str">
        <f t="shared" si="71"/>
        <v/>
      </c>
      <c r="AD53" s="205" t="str">
        <f t="shared" si="71"/>
        <v/>
      </c>
      <c r="AE53" s="35"/>
      <c r="AF53" s="6" t="str">
        <f>A53</f>
        <v>Other</v>
      </c>
      <c r="AI53" s="205" t="str">
        <f t="shared" ref="AI53:BB53" si="72">IF(AI54=Yr_Start,"Start Year",IF(AI54=Yr_End,"End Year",""))</f>
        <v>Start Year</v>
      </c>
      <c r="AJ53" s="205" t="str">
        <f t="shared" si="72"/>
        <v/>
      </c>
      <c r="AK53" s="205" t="str">
        <f t="shared" si="72"/>
        <v/>
      </c>
      <c r="AL53" s="205" t="str">
        <f t="shared" si="72"/>
        <v>End Year</v>
      </c>
      <c r="AM53" s="205" t="str">
        <f t="shared" si="72"/>
        <v/>
      </c>
      <c r="AN53" s="205" t="str">
        <f t="shared" si="72"/>
        <v/>
      </c>
      <c r="AO53" s="205" t="str">
        <f t="shared" si="72"/>
        <v/>
      </c>
      <c r="AP53" s="205" t="str">
        <f t="shared" si="72"/>
        <v/>
      </c>
      <c r="AQ53" s="205" t="str">
        <f t="shared" si="72"/>
        <v/>
      </c>
      <c r="AR53" s="205" t="str">
        <f t="shared" si="72"/>
        <v/>
      </c>
      <c r="AS53" s="205" t="str">
        <f t="shared" si="72"/>
        <v/>
      </c>
      <c r="AT53" s="205" t="str">
        <f t="shared" si="72"/>
        <v/>
      </c>
      <c r="AU53" s="205" t="str">
        <f t="shared" si="72"/>
        <v/>
      </c>
      <c r="AV53" s="205" t="str">
        <f t="shared" si="72"/>
        <v/>
      </c>
      <c r="AW53" s="205" t="str">
        <f t="shared" si="72"/>
        <v/>
      </c>
      <c r="AX53" s="205" t="str">
        <f t="shared" si="72"/>
        <v/>
      </c>
      <c r="AY53" s="205" t="str">
        <f t="shared" si="72"/>
        <v/>
      </c>
      <c r="AZ53" s="205" t="str">
        <f t="shared" si="72"/>
        <v/>
      </c>
      <c r="BA53" s="205" t="str">
        <f t="shared" si="72"/>
        <v/>
      </c>
      <c r="BB53" s="205" t="str">
        <f t="shared" si="72"/>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73">L54+1</f>
        <v>2021</v>
      </c>
      <c r="N54" s="130">
        <f t="shared" si="73"/>
        <v>2022</v>
      </c>
      <c r="O54" s="130">
        <f t="shared" si="73"/>
        <v>2023</v>
      </c>
      <c r="P54" s="130">
        <f t="shared" si="73"/>
        <v>2024</v>
      </c>
      <c r="Q54" s="130">
        <f t="shared" si="73"/>
        <v>2025</v>
      </c>
      <c r="R54" s="130">
        <f t="shared" si="73"/>
        <v>2026</v>
      </c>
      <c r="S54" s="130">
        <f t="shared" si="73"/>
        <v>2027</v>
      </c>
      <c r="T54" s="130">
        <f t="shared" si="73"/>
        <v>2028</v>
      </c>
      <c r="U54" s="130">
        <f t="shared" si="73"/>
        <v>2029</v>
      </c>
      <c r="V54" s="130">
        <f t="shared" si="73"/>
        <v>2030</v>
      </c>
      <c r="W54" s="130">
        <f t="shared" si="73"/>
        <v>2031</v>
      </c>
      <c r="X54" s="130">
        <f t="shared" si="73"/>
        <v>2032</v>
      </c>
      <c r="Y54" s="130">
        <f t="shared" si="73"/>
        <v>2033</v>
      </c>
      <c r="Z54" s="130">
        <f t="shared" si="73"/>
        <v>2034</v>
      </c>
      <c r="AA54" s="130">
        <f t="shared" si="73"/>
        <v>2035</v>
      </c>
      <c r="AB54" s="130">
        <f t="shared" si="73"/>
        <v>2036</v>
      </c>
      <c r="AC54" s="130">
        <f t="shared" si="73"/>
        <v>2037</v>
      </c>
      <c r="AD54" s="130">
        <f t="shared" si="73"/>
        <v>2038</v>
      </c>
      <c r="AE54" s="6"/>
      <c r="AF54" s="6" t="str">
        <f>A54</f>
        <v>Rural</v>
      </c>
      <c r="AG54" s="38"/>
      <c r="AH54" s="161">
        <f>AI54-1</f>
        <v>2018</v>
      </c>
      <c r="AI54" s="36">
        <f>Yr_Start</f>
        <v>2019</v>
      </c>
      <c r="AJ54" s="36">
        <f>AI54+1</f>
        <v>2020</v>
      </c>
      <c r="AK54" s="36">
        <f t="shared" ref="AK54:BB54" si="74">AJ54+1</f>
        <v>2021</v>
      </c>
      <c r="AL54" s="36">
        <f t="shared" si="74"/>
        <v>2022</v>
      </c>
      <c r="AM54" s="36">
        <f t="shared" si="74"/>
        <v>2023</v>
      </c>
      <c r="AN54" s="36">
        <f t="shared" si="74"/>
        <v>2024</v>
      </c>
      <c r="AO54" s="36">
        <f t="shared" si="74"/>
        <v>2025</v>
      </c>
      <c r="AP54" s="36">
        <f t="shared" si="74"/>
        <v>2026</v>
      </c>
      <c r="AQ54" s="36">
        <f t="shared" si="74"/>
        <v>2027</v>
      </c>
      <c r="AR54" s="36">
        <f t="shared" si="74"/>
        <v>2028</v>
      </c>
      <c r="AS54" s="36">
        <f t="shared" si="74"/>
        <v>2029</v>
      </c>
      <c r="AT54" s="36">
        <f t="shared" si="74"/>
        <v>2030</v>
      </c>
      <c r="AU54" s="36">
        <f t="shared" si="74"/>
        <v>2031</v>
      </c>
      <c r="AV54" s="36">
        <f t="shared" si="74"/>
        <v>2032</v>
      </c>
      <c r="AW54" s="36">
        <f t="shared" si="74"/>
        <v>2033</v>
      </c>
      <c r="AX54" s="36">
        <f t="shared" si="74"/>
        <v>2034</v>
      </c>
      <c r="AY54" s="36">
        <f t="shared" si="74"/>
        <v>2035</v>
      </c>
      <c r="AZ54" s="36">
        <f t="shared" si="74"/>
        <v>2036</v>
      </c>
      <c r="BA54" s="36">
        <f t="shared" si="74"/>
        <v>2037</v>
      </c>
      <c r="BB54" s="36">
        <f t="shared" si="74"/>
        <v>2038</v>
      </c>
    </row>
    <row r="55" spans="1:54" x14ac:dyDescent="0.25">
      <c r="B55" s="1" t="s">
        <v>52</v>
      </c>
      <c r="C55" s="14">
        <f ca="1">Injectable_Base!C55</f>
        <v>4.2379899999999998E-2</v>
      </c>
      <c r="D55" s="14">
        <f ca="1">Injectable_Base!D55</f>
        <v>7.94879E-2</v>
      </c>
      <c r="E55" s="14">
        <f ca="1">IF('User Settings'!$N$7="On",($D55-$C55)/($D$4-$C$4),0)</f>
        <v>7.4216000000000004E-3</v>
      </c>
      <c r="F55" s="14">
        <f ca="1">Injectable_Base!F55</f>
        <v>0.1017527</v>
      </c>
      <c r="G55" s="14"/>
      <c r="H55" s="14">
        <f ca="1">MAX(0,MIN(1,($D55+$E55*(H$4-$D$4))*$H$1))</f>
        <v>0.1240175</v>
      </c>
      <c r="I55" s="14">
        <f ca="1">($H55-$F55)/($H$4-$F$4)</f>
        <v>7.4216000000000004E-3</v>
      </c>
      <c r="J55" s="14">
        <f ca="1">K55-E55</f>
        <v>9.4331100000000001E-2</v>
      </c>
      <c r="K55" s="14">
        <f ca="1">MAX(0,MIN(1,D55+(K$4-D$4)*E55))</f>
        <v>0.1017527</v>
      </c>
      <c r="L55" s="15">
        <f ca="1">MAX(0,MIN(1,K55+$I55))</f>
        <v>0.1091743</v>
      </c>
      <c r="M55" s="15">
        <f t="shared" ref="M55:AD55" ca="1" si="75">MAX(0,MIN(1,L55+$I55))</f>
        <v>0.1165959</v>
      </c>
      <c r="N55" s="15">
        <f ca="1">MAX(0,MIN(1,M55+$I55))</f>
        <v>0.1240175</v>
      </c>
      <c r="O55" s="15">
        <f t="shared" ca="1" si="75"/>
        <v>0.1314391</v>
      </c>
      <c r="P55" s="15">
        <f t="shared" ca="1" si="75"/>
        <v>0.1388607</v>
      </c>
      <c r="Q55" s="15">
        <f t="shared" ca="1" si="75"/>
        <v>0.1462823</v>
      </c>
      <c r="R55" s="15">
        <f t="shared" ca="1" si="75"/>
        <v>0.1537039</v>
      </c>
      <c r="S55" s="15">
        <f t="shared" ca="1" si="75"/>
        <v>0.1611255</v>
      </c>
      <c r="T55" s="15">
        <f t="shared" ca="1" si="75"/>
        <v>0.16854710000000001</v>
      </c>
      <c r="U55" s="15">
        <f t="shared" ca="1" si="75"/>
        <v>0.17596870000000001</v>
      </c>
      <c r="V55" s="15">
        <f t="shared" ca="1" si="75"/>
        <v>0.18339030000000001</v>
      </c>
      <c r="W55" s="15">
        <f t="shared" ca="1" si="75"/>
        <v>0.19081190000000001</v>
      </c>
      <c r="X55" s="15">
        <f t="shared" ca="1" si="75"/>
        <v>0.19823350000000001</v>
      </c>
      <c r="Y55" s="15">
        <f t="shared" ca="1" si="75"/>
        <v>0.20565510000000001</v>
      </c>
      <c r="Z55" s="15">
        <f t="shared" ca="1" si="75"/>
        <v>0.21307670000000001</v>
      </c>
      <c r="AA55" s="15">
        <f t="shared" ca="1" si="75"/>
        <v>0.22049830000000001</v>
      </c>
      <c r="AB55" s="15">
        <f t="shared" ca="1" si="75"/>
        <v>0.22791990000000001</v>
      </c>
      <c r="AC55" s="15">
        <f t="shared" ca="1" si="75"/>
        <v>0.23534150000000001</v>
      </c>
      <c r="AD55" s="15">
        <f t="shared" ca="1" si="75"/>
        <v>0.24276310000000001</v>
      </c>
      <c r="AE55" s="5"/>
      <c r="AG55" s="1" t="s">
        <v>52</v>
      </c>
      <c r="AH55" s="37">
        <f ca="1">J55*AH$61</f>
        <v>401211.29716942285</v>
      </c>
      <c r="AI55" s="37">
        <f t="shared" ref="AI55:AI60" ca="1" si="76">K55*AI$61</f>
        <v>449419.64376730495</v>
      </c>
      <c r="AJ55" s="37">
        <f t="shared" ref="AJ55:AS60" ca="1" si="77">L55*AJ$61</f>
        <v>500632.60855731257</v>
      </c>
      <c r="AK55" s="37">
        <f t="shared" ca="1" si="77"/>
        <v>554280.7930036966</v>
      </c>
      <c r="AL55" s="37">
        <f t="shared" ca="1" si="77"/>
        <v>611189.48895107757</v>
      </c>
      <c r="AM55" s="37">
        <f t="shared" ca="1" si="77"/>
        <v>671416.57926037977</v>
      </c>
      <c r="AN55" s="37">
        <f t="shared" ca="1" si="77"/>
        <v>734990.6015393507</v>
      </c>
      <c r="AO55" s="37">
        <f t="shared" ca="1" si="77"/>
        <v>801969.6697144697</v>
      </c>
      <c r="AP55" s="37">
        <f t="shared" ca="1" si="77"/>
        <v>871856.55849944754</v>
      </c>
      <c r="AQ55" s="37">
        <f t="shared" ca="1" si="77"/>
        <v>945365.8995317989</v>
      </c>
      <c r="AR55" s="37">
        <f t="shared" ca="1" si="77"/>
        <v>1022622.1035539368</v>
      </c>
      <c r="AS55" s="37">
        <f t="shared" ca="1" si="77"/>
        <v>1103799.0863063596</v>
      </c>
      <c r="AT55" s="37">
        <f t="shared" ref="AT55:BB60" ca="1" si="78">V55*AT$61</f>
        <v>1189043.8885036288</v>
      </c>
      <c r="AU55" s="37">
        <f t="shared" ca="1" si="78"/>
        <v>1277730.4216404099</v>
      </c>
      <c r="AV55" s="37">
        <f t="shared" ca="1" si="78"/>
        <v>1370750.5702999027</v>
      </c>
      <c r="AW55" s="37">
        <f t="shared" ca="1" si="78"/>
        <v>1468150.6942692681</v>
      </c>
      <c r="AX55" s="37">
        <f t="shared" ca="1" si="78"/>
        <v>1569952.6918608926</v>
      </c>
      <c r="AY55" s="37">
        <f t="shared" ca="1" si="78"/>
        <v>1676198.9405803238</v>
      </c>
      <c r="AZ55" s="37" t="e">
        <f t="shared" ca="1" si="78"/>
        <v>#N/A</v>
      </c>
      <c r="BA55" s="37" t="e">
        <f t="shared" ca="1" si="78"/>
        <v>#N/A</v>
      </c>
      <c r="BB55" s="37" t="e">
        <f t="shared" ca="1" si="78"/>
        <v>#N/A</v>
      </c>
    </row>
    <row r="56" spans="1:54" x14ac:dyDescent="0.25">
      <c r="B56" s="1" t="s">
        <v>54</v>
      </c>
      <c r="C56" s="14">
        <f ca="1">Injectable_Base!C56</f>
        <v>2.2580000000000001E-4</v>
      </c>
      <c r="D56" s="14">
        <f ca="1">Injectable_Base!D56</f>
        <v>3.6278999999999999E-3</v>
      </c>
      <c r="E56" s="14">
        <f ca="1">IF('User Settings'!$N$7="On",($D56-$C56)/($D$4-$C$4),0)</f>
        <v>6.8041999999999994E-4</v>
      </c>
      <c r="F56" s="14">
        <f ca="1">Injectable_Base!F56</f>
        <v>5.6691599999999995E-3</v>
      </c>
      <c r="G56" s="14"/>
      <c r="H56" s="14">
        <f t="shared" ref="H56:H60" ca="1" si="79">MAX(0,MIN(1,($D56+$E56*(H$4-$D$4))*$H$1))</f>
        <v>7.7104199999999991E-3</v>
      </c>
      <c r="I56" s="14">
        <f ca="1">($H56-$F56)/($H$4-$F$4)</f>
        <v>6.8041999999999983E-4</v>
      </c>
      <c r="J56" s="14">
        <f t="shared" ref="J56:J60" ca="1" si="80">K56-E56</f>
        <v>4.9887399999999993E-3</v>
      </c>
      <c r="K56" s="14">
        <f t="shared" ref="K56:K60" ca="1" si="81">MAX(0,MIN(1,D56+(K$4-D$4)*E56))</f>
        <v>5.6691599999999995E-3</v>
      </c>
      <c r="L56" s="15">
        <f t="shared" ref="L56:AD60" ca="1" si="82">MAX(0,MIN(1,K56+$I56))</f>
        <v>6.3495799999999996E-3</v>
      </c>
      <c r="M56" s="15">
        <f t="shared" ca="1" si="82"/>
        <v>7.0299999999999998E-3</v>
      </c>
      <c r="N56" s="15">
        <f t="shared" ca="1" si="82"/>
        <v>7.7104199999999999E-3</v>
      </c>
      <c r="O56" s="15">
        <f t="shared" ca="1" si="82"/>
        <v>8.3908400000000001E-3</v>
      </c>
      <c r="P56" s="15">
        <f t="shared" ca="1" si="82"/>
        <v>9.0712599999999994E-3</v>
      </c>
      <c r="Q56" s="15">
        <f t="shared" ca="1" si="82"/>
        <v>9.7516799999999987E-3</v>
      </c>
      <c r="R56" s="15">
        <f t="shared" ca="1" si="82"/>
        <v>1.0432099999999998E-2</v>
      </c>
      <c r="S56" s="15">
        <f t="shared" ca="1" si="82"/>
        <v>1.1112519999999997E-2</v>
      </c>
      <c r="T56" s="15">
        <f t="shared" ca="1" si="82"/>
        <v>1.1792939999999997E-2</v>
      </c>
      <c r="U56" s="15">
        <f t="shared" ca="1" si="82"/>
        <v>1.2473359999999996E-2</v>
      </c>
      <c r="V56" s="15">
        <f t="shared" ca="1" si="82"/>
        <v>1.3153779999999995E-2</v>
      </c>
      <c r="W56" s="15">
        <f t="shared" ca="1" si="82"/>
        <v>1.3834199999999994E-2</v>
      </c>
      <c r="X56" s="15">
        <f t="shared" ca="1" si="82"/>
        <v>1.4514619999999994E-2</v>
      </c>
      <c r="Y56" s="15">
        <f t="shared" ca="1" si="82"/>
        <v>1.5195039999999993E-2</v>
      </c>
      <c r="Z56" s="15">
        <f t="shared" ca="1" si="82"/>
        <v>1.5875459999999994E-2</v>
      </c>
      <c r="AA56" s="15">
        <f t="shared" ca="1" si="82"/>
        <v>1.6555879999999995E-2</v>
      </c>
      <c r="AB56" s="15">
        <f t="shared" ca="1" si="82"/>
        <v>1.7236299999999996E-2</v>
      </c>
      <c r="AC56" s="15">
        <f t="shared" ca="1" si="82"/>
        <v>1.7916719999999997E-2</v>
      </c>
      <c r="AD56" s="15">
        <f t="shared" ca="1" si="82"/>
        <v>1.8597139999999998E-2</v>
      </c>
      <c r="AE56" s="5"/>
      <c r="AG56" s="1" t="s">
        <v>54</v>
      </c>
      <c r="AH56" s="37">
        <f t="shared" ref="AH56:AH60" ca="1" si="83">J56*AH$61</f>
        <v>21218.228629168814</v>
      </c>
      <c r="AI56" s="37">
        <f t="shared" ca="1" si="76"/>
        <v>25039.452197925504</v>
      </c>
      <c r="AJ56" s="37">
        <f t="shared" ca="1" si="77"/>
        <v>29116.804949913494</v>
      </c>
      <c r="AK56" s="37">
        <f t="shared" ca="1" si="77"/>
        <v>33419.648330824559</v>
      </c>
      <c r="AL56" s="37">
        <f t="shared" ca="1" si="77"/>
        <v>37998.892570791766</v>
      </c>
      <c r="AM56" s="37">
        <f t="shared" ca="1" si="77"/>
        <v>42862.048583116935</v>
      </c>
      <c r="AN56" s="37">
        <f t="shared" ca="1" si="77"/>
        <v>48014.239047620023</v>
      </c>
      <c r="AO56" s="37">
        <f t="shared" ca="1" si="77"/>
        <v>53462.049672183159</v>
      </c>
      <c r="AP56" s="37">
        <f t="shared" ca="1" si="77"/>
        <v>59174.13158626479</v>
      </c>
      <c r="AQ56" s="37">
        <f t="shared" ca="1" si="77"/>
        <v>65200.092262646838</v>
      </c>
      <c r="AR56" s="37">
        <f t="shared" ca="1" si="77"/>
        <v>71551.044840791437</v>
      </c>
      <c r="AS56" s="37">
        <f t="shared" ca="1" si="77"/>
        <v>78241.660995224083</v>
      </c>
      <c r="AT56" s="37">
        <f t="shared" ca="1" si="78"/>
        <v>85284.890856938757</v>
      </c>
      <c r="AU56" s="37">
        <f t="shared" ca="1" si="78"/>
        <v>92637.713890264451</v>
      </c>
      <c r="AV56" s="37">
        <f t="shared" ca="1" si="78"/>
        <v>100366.10180764786</v>
      </c>
      <c r="AW56" s="37">
        <f t="shared" ca="1" si="78"/>
        <v>108475.83417794787</v>
      </c>
      <c r="AX56" s="37">
        <f t="shared" ca="1" si="78"/>
        <v>116970.65498728822</v>
      </c>
      <c r="AY56" s="37">
        <f t="shared" ca="1" si="78"/>
        <v>125855.6121129957</v>
      </c>
      <c r="AZ56" s="37" t="e">
        <f t="shared" ca="1" si="78"/>
        <v>#N/A</v>
      </c>
      <c r="BA56" s="37" t="e">
        <f t="shared" ca="1" si="78"/>
        <v>#N/A</v>
      </c>
      <c r="BB56" s="37" t="e">
        <f t="shared" ca="1" si="78"/>
        <v>#N/A</v>
      </c>
    </row>
    <row r="57" spans="1:54" x14ac:dyDescent="0.25">
      <c r="B57" s="1" t="s">
        <v>170</v>
      </c>
      <c r="C57" s="14">
        <f ca="1">Injectable_Base!C57</f>
        <v>4.3649999999999998E-4</v>
      </c>
      <c r="D57" s="14">
        <f ca="1">Injectable_Base!D57</f>
        <v>8.3299999999999997E-4</v>
      </c>
      <c r="E57" s="14">
        <f ca="1">IF('User Settings'!$N$7="On",($D57-$C57)/($D$4-$C$4),0)</f>
        <v>7.9300000000000003E-5</v>
      </c>
      <c r="F57" s="14">
        <f ca="1">Injectable_Base!F57</f>
        <v>1.0709000000000001E-3</v>
      </c>
      <c r="G57" s="14"/>
      <c r="H57" s="14">
        <f t="shared" ca="1" si="79"/>
        <v>1.3087999999999999E-3</v>
      </c>
      <c r="I57" s="14">
        <f t="shared" ref="I57:I60" ca="1" si="84">($H57-$F57)/($H$4-$F$4)</f>
        <v>7.9299999999999962E-5</v>
      </c>
      <c r="J57" s="14">
        <f t="shared" ca="1" si="80"/>
        <v>9.9160000000000003E-4</v>
      </c>
      <c r="K57" s="14">
        <f t="shared" ca="1" si="81"/>
        <v>1.0709000000000001E-3</v>
      </c>
      <c r="L57" s="15">
        <f t="shared" ca="1" si="82"/>
        <v>1.1502000000000001E-3</v>
      </c>
      <c r="M57" s="15">
        <f t="shared" ca="1" si="82"/>
        <v>1.2295000000000001E-3</v>
      </c>
      <c r="N57" s="15">
        <f t="shared" ca="1" si="82"/>
        <v>1.3088000000000002E-3</v>
      </c>
      <c r="O57" s="15">
        <f t="shared" ca="1" si="82"/>
        <v>1.3881000000000002E-3</v>
      </c>
      <c r="P57" s="15">
        <f t="shared" ca="1" si="82"/>
        <v>1.4674000000000002E-3</v>
      </c>
      <c r="Q57" s="15">
        <f t="shared" ca="1" si="82"/>
        <v>1.5467000000000002E-3</v>
      </c>
      <c r="R57" s="15">
        <f t="shared" ca="1" si="82"/>
        <v>1.6260000000000003E-3</v>
      </c>
      <c r="S57" s="15">
        <f t="shared" ca="1" si="82"/>
        <v>1.7053000000000003E-3</v>
      </c>
      <c r="T57" s="15">
        <f t="shared" ca="1" si="82"/>
        <v>1.7846000000000003E-3</v>
      </c>
      <c r="U57" s="15">
        <f t="shared" ca="1" si="82"/>
        <v>1.8639000000000004E-3</v>
      </c>
      <c r="V57" s="15">
        <f t="shared" ca="1" si="82"/>
        <v>1.9432000000000004E-3</v>
      </c>
      <c r="W57" s="15">
        <f t="shared" ca="1" si="82"/>
        <v>2.0225000000000004E-3</v>
      </c>
      <c r="X57" s="15">
        <f t="shared" ca="1" si="82"/>
        <v>2.1018000000000005E-3</v>
      </c>
      <c r="Y57" s="15">
        <f t="shared" ca="1" si="82"/>
        <v>2.1811000000000005E-3</v>
      </c>
      <c r="Z57" s="15">
        <f t="shared" ca="1" si="82"/>
        <v>2.2604000000000005E-3</v>
      </c>
      <c r="AA57" s="15">
        <f t="shared" ca="1" si="82"/>
        <v>2.3397000000000005E-3</v>
      </c>
      <c r="AB57" s="15">
        <f t="shared" ca="1" si="82"/>
        <v>2.4190000000000006E-3</v>
      </c>
      <c r="AC57" s="15">
        <f t="shared" ca="1" si="82"/>
        <v>2.4983000000000006E-3</v>
      </c>
      <c r="AD57" s="15">
        <f t="shared" ca="1" si="82"/>
        <v>2.5776000000000006E-3</v>
      </c>
      <c r="AE57" s="5"/>
      <c r="AG57" s="1" t="s">
        <v>170</v>
      </c>
      <c r="AH57" s="37">
        <f t="shared" ca="1" si="83"/>
        <v>4217.4969047662935</v>
      </c>
      <c r="AI57" s="37">
        <f t="shared" ca="1" si="76"/>
        <v>4729.9334220163882</v>
      </c>
      <c r="AJ57" s="37">
        <f t="shared" ca="1" si="77"/>
        <v>5274.3880781706039</v>
      </c>
      <c r="AK57" s="37">
        <f t="shared" ca="1" si="77"/>
        <v>5844.8730615574386</v>
      </c>
      <c r="AL57" s="37">
        <f t="shared" ca="1" si="77"/>
        <v>6450.0961810967847</v>
      </c>
      <c r="AM57" s="37">
        <f t="shared" ca="1" si="77"/>
        <v>7090.6857523471581</v>
      </c>
      <c r="AN57" s="37">
        <f t="shared" ca="1" si="77"/>
        <v>7766.9578844038906</v>
      </c>
      <c r="AO57" s="37">
        <f t="shared" ca="1" si="77"/>
        <v>8479.5391386884839</v>
      </c>
      <c r="AP57" s="37">
        <f t="shared" ca="1" si="77"/>
        <v>9223.1801803344097</v>
      </c>
      <c r="AQ57" s="37">
        <f t="shared" ca="1" si="77"/>
        <v>10005.44586965798</v>
      </c>
      <c r="AR57" s="37">
        <f t="shared" ca="1" si="77"/>
        <v>10827.664231555191</v>
      </c>
      <c r="AS57" s="37">
        <f t="shared" ca="1" si="77"/>
        <v>11691.68787952871</v>
      </c>
      <c r="AT57" s="37">
        <f t="shared" ca="1" si="78"/>
        <v>12599.085579445869</v>
      </c>
      <c r="AU57" s="37">
        <f t="shared" ca="1" si="78"/>
        <v>13543.231725944395</v>
      </c>
      <c r="AV57" s="37">
        <f t="shared" ca="1" si="78"/>
        <v>14533.58563843314</v>
      </c>
      <c r="AW57" s="37">
        <f t="shared" ca="1" si="78"/>
        <v>15570.649496514801</v>
      </c>
      <c r="AX57" s="37">
        <f t="shared" ca="1" si="78"/>
        <v>16654.665032274115</v>
      </c>
      <c r="AY57" s="37">
        <f t="shared" ca="1" si="78"/>
        <v>17786.090238681132</v>
      </c>
      <c r="AZ57" s="37" t="e">
        <f t="shared" ca="1" si="78"/>
        <v>#N/A</v>
      </c>
      <c r="BA57" s="37" t="e">
        <f t="shared" ca="1" si="78"/>
        <v>#N/A</v>
      </c>
      <c r="BB57" s="37" t="e">
        <f t="shared" ca="1" si="78"/>
        <v>#N/A</v>
      </c>
    </row>
    <row r="58" spans="1:54" x14ac:dyDescent="0.25">
      <c r="B58" s="1" t="s">
        <v>59</v>
      </c>
      <c r="C58" s="14">
        <f ca="1">Injectable_Base!C58</f>
        <v>4.2891400000000003E-2</v>
      </c>
      <c r="D58" s="14">
        <f ca="1">Injectable_Base!D58</f>
        <v>4.5521800000000001E-2</v>
      </c>
      <c r="E58" s="14">
        <f ca="1">IF('User Settings'!$N$7="On",($D58-$C58)/($D$4-$C$4),0)</f>
        <v>5.2607999999999963E-4</v>
      </c>
      <c r="F58" s="14">
        <f ca="1">Injectable_Base!F58</f>
        <v>4.7100040000000003E-2</v>
      </c>
      <c r="G58" s="14"/>
      <c r="H58" s="14">
        <f t="shared" ca="1" si="79"/>
        <v>4.8678279999999997E-2</v>
      </c>
      <c r="I58" s="14">
        <f t="shared" ca="1" si="84"/>
        <v>5.2607999999999822E-4</v>
      </c>
      <c r="J58" s="14">
        <f t="shared" ca="1" si="80"/>
        <v>4.6573960000000005E-2</v>
      </c>
      <c r="K58" s="14">
        <f t="shared" ca="1" si="81"/>
        <v>4.7100040000000003E-2</v>
      </c>
      <c r="L58" s="15">
        <f t="shared" ca="1" si="82"/>
        <v>4.7626120000000001E-2</v>
      </c>
      <c r="M58" s="15">
        <f t="shared" ca="1" si="82"/>
        <v>4.8152199999999999E-2</v>
      </c>
      <c r="N58" s="15">
        <f t="shared" ca="1" si="82"/>
        <v>4.8678279999999997E-2</v>
      </c>
      <c r="O58" s="15">
        <f t="shared" ca="1" si="82"/>
        <v>4.9204359999999996E-2</v>
      </c>
      <c r="P58" s="15">
        <f t="shared" ca="1" si="82"/>
        <v>4.9730439999999994E-2</v>
      </c>
      <c r="Q58" s="15">
        <f t="shared" ca="1" si="82"/>
        <v>5.0256519999999992E-2</v>
      </c>
      <c r="R58" s="15">
        <f t="shared" ca="1" si="82"/>
        <v>5.078259999999999E-2</v>
      </c>
      <c r="S58" s="15">
        <f t="shared" ca="1" si="82"/>
        <v>5.1308679999999988E-2</v>
      </c>
      <c r="T58" s="15">
        <f t="shared" ca="1" si="82"/>
        <v>5.1834759999999987E-2</v>
      </c>
      <c r="U58" s="15">
        <f t="shared" ca="1" si="82"/>
        <v>5.2360839999999985E-2</v>
      </c>
      <c r="V58" s="15">
        <f t="shared" ca="1" si="82"/>
        <v>5.2886919999999983E-2</v>
      </c>
      <c r="W58" s="15">
        <f t="shared" ca="1" si="82"/>
        <v>5.3412999999999981E-2</v>
      </c>
      <c r="X58" s="15">
        <f t="shared" ca="1" si="82"/>
        <v>5.393907999999998E-2</v>
      </c>
      <c r="Y58" s="15">
        <f t="shared" ca="1" si="82"/>
        <v>5.4465159999999978E-2</v>
      </c>
      <c r="Z58" s="15">
        <f t="shared" ca="1" si="82"/>
        <v>5.4991239999999976E-2</v>
      </c>
      <c r="AA58" s="15">
        <f t="shared" ca="1" si="82"/>
        <v>5.5517319999999974E-2</v>
      </c>
      <c r="AB58" s="15">
        <f t="shared" ca="1" si="82"/>
        <v>5.6043399999999972E-2</v>
      </c>
      <c r="AC58" s="15">
        <f t="shared" ca="1" si="82"/>
        <v>5.6569479999999971E-2</v>
      </c>
      <c r="AD58" s="15">
        <f t="shared" ca="1" si="82"/>
        <v>5.7095559999999969E-2</v>
      </c>
      <c r="AE58" s="5"/>
      <c r="AG58" s="1" t="s">
        <v>59</v>
      </c>
      <c r="AH58" s="37">
        <f t="shared" ca="1" si="83"/>
        <v>198089.48380668534</v>
      </c>
      <c r="AI58" s="37">
        <f t="shared" ca="1" si="76"/>
        <v>208030.67828397494</v>
      </c>
      <c r="AJ58" s="37">
        <f t="shared" ca="1" si="77"/>
        <v>218395.61775128025</v>
      </c>
      <c r="AK58" s="37">
        <f t="shared" ca="1" si="77"/>
        <v>228908.90332226604</v>
      </c>
      <c r="AL58" s="37">
        <f t="shared" ca="1" si="77"/>
        <v>239898.82940889359</v>
      </c>
      <c r="AM58" s="37">
        <f t="shared" ca="1" si="77"/>
        <v>251345.4754018877</v>
      </c>
      <c r="AN58" s="37">
        <f t="shared" ca="1" si="77"/>
        <v>263223.54712612409</v>
      </c>
      <c r="AO58" s="37">
        <f t="shared" ca="1" si="77"/>
        <v>275523.45530114468</v>
      </c>
      <c r="AP58" s="37">
        <f t="shared" ca="1" si="77"/>
        <v>288054.77849068266</v>
      </c>
      <c r="AQ58" s="37">
        <f t="shared" ca="1" si="77"/>
        <v>301041.58821533032</v>
      </c>
      <c r="AR58" s="37">
        <f t="shared" ca="1" si="77"/>
        <v>314495.8964492029</v>
      </c>
      <c r="AS58" s="37">
        <f t="shared" ca="1" si="77"/>
        <v>328443.90707116359</v>
      </c>
      <c r="AT58" s="37">
        <f t="shared" ca="1" si="78"/>
        <v>342901.82745641575</v>
      </c>
      <c r="AU58" s="37">
        <f t="shared" ca="1" si="78"/>
        <v>357668.54693590489</v>
      </c>
      <c r="AV58" s="37">
        <f t="shared" ca="1" si="78"/>
        <v>372979.46447725559</v>
      </c>
      <c r="AW58" s="37">
        <f t="shared" ca="1" si="78"/>
        <v>388821.19853816769</v>
      </c>
      <c r="AX58" s="37">
        <f t="shared" ca="1" si="78"/>
        <v>405176.37670739385</v>
      </c>
      <c r="AY58" s="37">
        <f t="shared" ca="1" si="78"/>
        <v>422035.33073887089</v>
      </c>
      <c r="AZ58" s="37" t="e">
        <f t="shared" ca="1" si="78"/>
        <v>#N/A</v>
      </c>
      <c r="BA58" s="37" t="e">
        <f t="shared" ca="1" si="78"/>
        <v>#N/A</v>
      </c>
      <c r="BB58" s="37" t="e">
        <f t="shared" ca="1" si="78"/>
        <v>#N/A</v>
      </c>
    </row>
    <row r="59" spans="1:54" x14ac:dyDescent="0.25">
      <c r="B59" s="1" t="s">
        <v>171</v>
      </c>
      <c r="C59" s="14">
        <f ca="1">Injectable_Base!C59</f>
        <v>6.6549999999999997E-4</v>
      </c>
      <c r="D59" s="14">
        <f ca="1">Injectable_Base!D59</f>
        <v>0</v>
      </c>
      <c r="E59" s="14">
        <f ca="1">IF('User Settings'!$N$7="On",($D59-$C59)/($D$4-$C$4),0)</f>
        <v>-1.3309999999999998E-4</v>
      </c>
      <c r="F59" s="14">
        <f ca="1">Injectable_Base!F59</f>
        <v>0</v>
      </c>
      <c r="G59" s="14"/>
      <c r="H59" s="14">
        <f t="shared" ca="1" si="79"/>
        <v>0</v>
      </c>
      <c r="I59" s="14">
        <f t="shared" ca="1" si="84"/>
        <v>0</v>
      </c>
      <c r="J59" s="14">
        <f t="shared" ca="1" si="80"/>
        <v>1.3309999999999998E-4</v>
      </c>
      <c r="K59" s="14">
        <f t="shared" ca="1" si="81"/>
        <v>0</v>
      </c>
      <c r="L59" s="15">
        <f t="shared" ca="1" si="82"/>
        <v>0</v>
      </c>
      <c r="M59" s="15">
        <f t="shared" ca="1" si="82"/>
        <v>0</v>
      </c>
      <c r="N59" s="15">
        <f t="shared" ca="1" si="82"/>
        <v>0</v>
      </c>
      <c r="O59" s="15">
        <f t="shared" ca="1" si="82"/>
        <v>0</v>
      </c>
      <c r="P59" s="15">
        <f t="shared" ca="1" si="82"/>
        <v>0</v>
      </c>
      <c r="Q59" s="15">
        <f t="shared" ca="1" si="82"/>
        <v>0</v>
      </c>
      <c r="R59" s="15">
        <f t="shared" ca="1" si="82"/>
        <v>0</v>
      </c>
      <c r="S59" s="15">
        <f t="shared" ca="1" si="82"/>
        <v>0</v>
      </c>
      <c r="T59" s="15">
        <f t="shared" ca="1" si="82"/>
        <v>0</v>
      </c>
      <c r="U59" s="15">
        <f t="shared" ca="1" si="82"/>
        <v>0</v>
      </c>
      <c r="V59" s="15">
        <f t="shared" ca="1" si="82"/>
        <v>0</v>
      </c>
      <c r="W59" s="15">
        <f t="shared" ca="1" si="82"/>
        <v>0</v>
      </c>
      <c r="X59" s="15">
        <f t="shared" ca="1" si="82"/>
        <v>0</v>
      </c>
      <c r="Y59" s="15">
        <f t="shared" ca="1" si="82"/>
        <v>0</v>
      </c>
      <c r="Z59" s="15">
        <f t="shared" ca="1" si="82"/>
        <v>0</v>
      </c>
      <c r="AA59" s="15">
        <f t="shared" ca="1" si="82"/>
        <v>0</v>
      </c>
      <c r="AB59" s="15">
        <f t="shared" ca="1" si="82"/>
        <v>0</v>
      </c>
      <c r="AC59" s="15">
        <f t="shared" ca="1" si="82"/>
        <v>0</v>
      </c>
      <c r="AD59" s="15">
        <f t="shared" ca="1" si="82"/>
        <v>0</v>
      </c>
      <c r="AE59" s="5"/>
      <c r="AG59" s="1" t="s">
        <v>171</v>
      </c>
      <c r="AH59" s="37">
        <f t="shared" ca="1" si="83"/>
        <v>566.10411256998145</v>
      </c>
      <c r="AI59" s="37">
        <f t="shared" ca="1" si="76"/>
        <v>0</v>
      </c>
      <c r="AJ59" s="37">
        <f t="shared" ca="1" si="77"/>
        <v>0</v>
      </c>
      <c r="AK59" s="37">
        <f t="shared" ca="1" si="77"/>
        <v>0</v>
      </c>
      <c r="AL59" s="37">
        <f t="shared" ca="1" si="77"/>
        <v>0</v>
      </c>
      <c r="AM59" s="37">
        <f t="shared" ca="1" si="77"/>
        <v>0</v>
      </c>
      <c r="AN59" s="37">
        <f t="shared" ca="1" si="77"/>
        <v>0</v>
      </c>
      <c r="AO59" s="37">
        <f t="shared" ca="1" si="77"/>
        <v>0</v>
      </c>
      <c r="AP59" s="37">
        <f t="shared" ca="1" si="77"/>
        <v>0</v>
      </c>
      <c r="AQ59" s="37">
        <f t="shared" ca="1" si="77"/>
        <v>0</v>
      </c>
      <c r="AR59" s="37">
        <f t="shared" ca="1" si="77"/>
        <v>0</v>
      </c>
      <c r="AS59" s="37">
        <f t="shared" ca="1" si="77"/>
        <v>0</v>
      </c>
      <c r="AT59" s="37">
        <f t="shared" ca="1" si="78"/>
        <v>0</v>
      </c>
      <c r="AU59" s="37">
        <f t="shared" ca="1" si="78"/>
        <v>0</v>
      </c>
      <c r="AV59" s="37">
        <f t="shared" ca="1" si="78"/>
        <v>0</v>
      </c>
      <c r="AW59" s="37">
        <f t="shared" ca="1" si="78"/>
        <v>0</v>
      </c>
      <c r="AX59" s="37">
        <f t="shared" ca="1" si="78"/>
        <v>0</v>
      </c>
      <c r="AY59" s="37">
        <f t="shared" ca="1" si="78"/>
        <v>0</v>
      </c>
      <c r="AZ59" s="37" t="e">
        <f t="shared" ca="1" si="78"/>
        <v>#N/A</v>
      </c>
      <c r="BA59" s="37" t="e">
        <f t="shared" ca="1" si="78"/>
        <v>#N/A</v>
      </c>
      <c r="BB59" s="37" t="e">
        <f t="shared" ca="1" si="78"/>
        <v>#N/A</v>
      </c>
    </row>
    <row r="60" spans="1:54" x14ac:dyDescent="0.25">
      <c r="B60" s="1" t="s">
        <v>116</v>
      </c>
      <c r="C60" s="14">
        <f ca="1">Injectable_Base!C60</f>
        <v>2.898E-4</v>
      </c>
      <c r="D60" s="14">
        <f ca="1">Injectable_Base!D60</f>
        <v>3.2279999999999999E-4</v>
      </c>
      <c r="E60" s="14">
        <f ca="1">IF('User Settings'!$N$7="On",($D60-$C60)/($D$4-$C$4),0)</f>
        <v>6.5999999999999978E-6</v>
      </c>
      <c r="F60" s="14">
        <f ca="1">Injectable_Base!F60</f>
        <v>3.4259999999999998E-4</v>
      </c>
      <c r="G60" s="14"/>
      <c r="H60" s="14">
        <f t="shared" ca="1" si="79"/>
        <v>3.6239999999999997E-4</v>
      </c>
      <c r="I60" s="14">
        <f t="shared" ca="1" si="84"/>
        <v>6.5999999999999978E-6</v>
      </c>
      <c r="J60" s="14">
        <f t="shared" ca="1" si="80"/>
        <v>3.3599999999999998E-4</v>
      </c>
      <c r="K60" s="14">
        <f t="shared" ca="1" si="81"/>
        <v>3.4259999999999998E-4</v>
      </c>
      <c r="L60" s="15">
        <f t="shared" ca="1" si="82"/>
        <v>3.4919999999999998E-4</v>
      </c>
      <c r="M60" s="15">
        <f t="shared" ca="1" si="82"/>
        <v>3.5579999999999997E-4</v>
      </c>
      <c r="N60" s="15">
        <f t="shared" ca="1" si="82"/>
        <v>3.6239999999999997E-4</v>
      </c>
      <c r="O60" s="15">
        <f t="shared" ca="1" si="82"/>
        <v>3.6899999999999997E-4</v>
      </c>
      <c r="P60" s="15">
        <f t="shared" ca="1" si="82"/>
        <v>3.7559999999999997E-4</v>
      </c>
      <c r="Q60" s="15">
        <f t="shared" ca="1" si="82"/>
        <v>3.8219999999999997E-4</v>
      </c>
      <c r="R60" s="15">
        <f t="shared" ca="1" si="82"/>
        <v>3.8879999999999996E-4</v>
      </c>
      <c r="S60" s="15">
        <f t="shared" ca="1" si="82"/>
        <v>3.9539999999999996E-4</v>
      </c>
      <c r="T60" s="15">
        <f t="shared" ca="1" si="82"/>
        <v>4.0199999999999996E-4</v>
      </c>
      <c r="U60" s="15">
        <f t="shared" ca="1" si="82"/>
        <v>4.0859999999999996E-4</v>
      </c>
      <c r="V60" s="15">
        <f t="shared" ca="1" si="82"/>
        <v>4.1519999999999995E-4</v>
      </c>
      <c r="W60" s="15">
        <f t="shared" ca="1" si="82"/>
        <v>4.2179999999999995E-4</v>
      </c>
      <c r="X60" s="15">
        <f t="shared" ca="1" si="82"/>
        <v>4.2839999999999995E-4</v>
      </c>
      <c r="Y60" s="15">
        <f t="shared" ca="1" si="82"/>
        <v>4.3499999999999995E-4</v>
      </c>
      <c r="Z60" s="15">
        <f t="shared" ca="1" si="82"/>
        <v>4.4159999999999995E-4</v>
      </c>
      <c r="AA60" s="15">
        <f t="shared" ca="1" si="82"/>
        <v>4.4819999999999994E-4</v>
      </c>
      <c r="AB60" s="15">
        <f t="shared" ca="1" si="82"/>
        <v>4.5479999999999994E-4</v>
      </c>
      <c r="AC60" s="15">
        <f t="shared" ca="1" si="82"/>
        <v>4.6139999999999994E-4</v>
      </c>
      <c r="AD60" s="15">
        <f t="shared" ca="1" si="82"/>
        <v>4.6799999999999994E-4</v>
      </c>
      <c r="AE60" s="5"/>
      <c r="AG60" s="1" t="s">
        <v>116</v>
      </c>
      <c r="AH60" s="37">
        <f t="shared" ca="1" si="83"/>
        <v>1429.0832593802688</v>
      </c>
      <c r="AI60" s="37">
        <f t="shared" ca="1" si="76"/>
        <v>1513.1900180995558</v>
      </c>
      <c r="AJ60" s="37">
        <f t="shared" ca="1" si="77"/>
        <v>1601.3009188812159</v>
      </c>
      <c r="AK60" s="37">
        <f t="shared" ca="1" si="77"/>
        <v>1691.4240222058856</v>
      </c>
      <c r="AL60" s="37">
        <f t="shared" ca="1" si="77"/>
        <v>1785.9985146924466</v>
      </c>
      <c r="AM60" s="37">
        <f t="shared" ca="1" si="77"/>
        <v>1884.9240275312302</v>
      </c>
      <c r="AN60" s="37">
        <f t="shared" ca="1" si="77"/>
        <v>1988.0532788483717</v>
      </c>
      <c r="AO60" s="37">
        <f t="shared" ca="1" si="77"/>
        <v>2095.3513020021583</v>
      </c>
      <c r="AP60" s="37">
        <f t="shared" ca="1" si="77"/>
        <v>2205.3951132312532</v>
      </c>
      <c r="AQ60" s="37">
        <f t="shared" ca="1" si="77"/>
        <v>2319.9163178694448</v>
      </c>
      <c r="AR60" s="37">
        <f t="shared" ca="1" si="77"/>
        <v>2439.0457363471846</v>
      </c>
      <c r="AS60" s="37">
        <f t="shared" ca="1" si="77"/>
        <v>2563.025735058442</v>
      </c>
      <c r="AT60" s="37">
        <f t="shared" ca="1" si="78"/>
        <v>2692.0236376008252</v>
      </c>
      <c r="AU60" s="37">
        <f t="shared" ca="1" si="78"/>
        <v>2824.4920356011589</v>
      </c>
      <c r="AV60" s="37">
        <f t="shared" ca="1" si="78"/>
        <v>2962.3123453728972</v>
      </c>
      <c r="AW60" s="37">
        <f t="shared" ca="1" si="78"/>
        <v>3105.4204442638743</v>
      </c>
      <c r="AX60" s="37">
        <f t="shared" ca="1" si="78"/>
        <v>3253.7161910512509</v>
      </c>
      <c r="AY60" s="37">
        <f t="shared" ca="1" si="78"/>
        <v>3407.1571761238115</v>
      </c>
      <c r="AZ60" s="37" t="e">
        <f t="shared" ca="1" si="78"/>
        <v>#N/A</v>
      </c>
      <c r="BA60" s="37" t="e">
        <f t="shared" ca="1" si="78"/>
        <v>#N/A</v>
      </c>
      <c r="BB60" s="37" t="e">
        <f t="shared" ca="1" si="78"/>
        <v>#N/A</v>
      </c>
    </row>
    <row r="61" spans="1:54" x14ac:dyDescent="0.25">
      <c r="D61" s="5">
        <f ca="1">SUM(D55:D60)</f>
        <v>0.1297934</v>
      </c>
      <c r="F61" s="132">
        <f ca="1">SUM(F55:F60)</f>
        <v>0.1559354</v>
      </c>
      <c r="G61" s="132"/>
      <c r="H61" s="132">
        <f ca="1">SUM(H55:H60)</f>
        <v>0.1820774</v>
      </c>
      <c r="I61" s="132"/>
      <c r="J61" s="132">
        <f ca="1">SUM(J55:J60)</f>
        <v>0.1473545</v>
      </c>
      <c r="K61" s="132">
        <f ca="1">SUM(K55:K60)</f>
        <v>0.1559354</v>
      </c>
      <c r="L61" s="5">
        <f t="shared" ref="L61:AD61" ca="1" si="85">SUM(L55:L60)</f>
        <v>0.1646494</v>
      </c>
      <c r="M61" s="5">
        <f t="shared" ca="1" si="85"/>
        <v>0.17336339999999997</v>
      </c>
      <c r="N61" s="5">
        <f t="shared" ca="1" si="85"/>
        <v>0.1820774</v>
      </c>
      <c r="O61" s="5">
        <f t="shared" ca="1" si="85"/>
        <v>0.19079140000000003</v>
      </c>
      <c r="P61" s="5">
        <f t="shared" ca="1" si="85"/>
        <v>0.1995054</v>
      </c>
      <c r="Q61" s="5">
        <f t="shared" ca="1" si="85"/>
        <v>0.20821940000000003</v>
      </c>
      <c r="R61" s="5">
        <f t="shared" ca="1" si="85"/>
        <v>0.21693339999999997</v>
      </c>
      <c r="S61" s="5">
        <f t="shared" ca="1" si="85"/>
        <v>0.22564739999999997</v>
      </c>
      <c r="T61" s="5">
        <f t="shared" ca="1" si="85"/>
        <v>0.2343614</v>
      </c>
      <c r="U61" s="5">
        <f t="shared" ca="1" si="85"/>
        <v>0.2430754</v>
      </c>
      <c r="V61" s="5">
        <f t="shared" ca="1" si="85"/>
        <v>0.2517894</v>
      </c>
      <c r="W61" s="5">
        <f t="shared" ca="1" si="85"/>
        <v>0.26050339999999994</v>
      </c>
      <c r="X61" s="5">
        <f t="shared" ca="1" si="85"/>
        <v>0.2692174</v>
      </c>
      <c r="Y61" s="5">
        <f t="shared" ca="1" si="85"/>
        <v>0.2779314</v>
      </c>
      <c r="Z61" s="5">
        <f t="shared" ca="1" si="85"/>
        <v>0.28664539999999999</v>
      </c>
      <c r="AA61" s="5">
        <f t="shared" ca="1" si="85"/>
        <v>0.29535939999999999</v>
      </c>
      <c r="AB61" s="5">
        <f t="shared" ca="1" si="85"/>
        <v>0.30407339999999994</v>
      </c>
      <c r="AC61" s="5">
        <f t="shared" ca="1" si="85"/>
        <v>0.31278739999999994</v>
      </c>
      <c r="AD61" s="5">
        <f t="shared" ca="1" si="85"/>
        <v>0.32150140000000005</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86">AJ66+1</f>
        <v>2021</v>
      </c>
      <c r="AL66" s="36">
        <f t="shared" si="86"/>
        <v>2022</v>
      </c>
      <c r="AM66" s="36">
        <f t="shared" si="86"/>
        <v>2023</v>
      </c>
      <c r="AN66" s="36">
        <f t="shared" si="86"/>
        <v>2024</v>
      </c>
      <c r="AO66" s="36">
        <f t="shared" si="86"/>
        <v>2025</v>
      </c>
      <c r="AP66" s="36">
        <f t="shared" si="86"/>
        <v>2026</v>
      </c>
      <c r="AQ66" s="36">
        <f t="shared" si="86"/>
        <v>2027</v>
      </c>
      <c r="AR66" s="36">
        <f t="shared" si="86"/>
        <v>2028</v>
      </c>
      <c r="AS66" s="36">
        <f t="shared" si="86"/>
        <v>2029</v>
      </c>
      <c r="AT66" s="36">
        <f t="shared" si="86"/>
        <v>2030</v>
      </c>
      <c r="AU66" s="36">
        <f t="shared" si="86"/>
        <v>2031</v>
      </c>
      <c r="AV66" s="36">
        <f t="shared" si="86"/>
        <v>2032</v>
      </c>
      <c r="AW66" s="36">
        <f t="shared" si="86"/>
        <v>2033</v>
      </c>
      <c r="AX66" s="36">
        <f t="shared" si="86"/>
        <v>2034</v>
      </c>
      <c r="AY66" s="36">
        <f t="shared" si="86"/>
        <v>2035</v>
      </c>
      <c r="AZ66" s="36">
        <f t="shared" si="86"/>
        <v>2036</v>
      </c>
      <c r="BA66" s="36">
        <f t="shared" si="86"/>
        <v>2037</v>
      </c>
      <c r="BB66" s="36">
        <f t="shared" si="86"/>
        <v>2038</v>
      </c>
    </row>
    <row r="67" spans="1:54" x14ac:dyDescent="0.25">
      <c r="A67"/>
      <c r="AF67"/>
      <c r="AH67" s="128">
        <f>AI67</f>
        <v>1</v>
      </c>
      <c r="AI67" s="128">
        <f>1-VLOOKUP($A$1,Dashboard!$U$4:$W$9,2,FALSE)</f>
        <v>1</v>
      </c>
      <c r="AJ67" s="128">
        <f>MAX(0,AI67-(VLOOKUP($A$1,Dashboard!$U$4:$W$9,3,FALSE)-VLOOKUP($A$1,Dashboard!$U$4:$W$9,2,FALSE))/(Yr_End-Yr_Start))</f>
        <v>0.96666666666666667</v>
      </c>
      <c r="AK67" s="128">
        <f>MAX(0,AJ67-(VLOOKUP($A$1,Dashboard!$U$4:$W$9,3,FALSE)-VLOOKUP($A$1,Dashboard!$U$4:$W$9,2,FALSE))/(Yr_End-Yr_Start))</f>
        <v>0.93333333333333335</v>
      </c>
      <c r="AL67" s="128">
        <f>MAX(0,AK67-(VLOOKUP($A$1,Dashboard!$U$4:$W$9,3,FALSE)-VLOOKUP($A$1,Dashboard!$U$4:$W$9,2,FALSE))/(Yr_End-Yr_Start))</f>
        <v>0.9</v>
      </c>
      <c r="AM67" s="128">
        <f>MAX(0,AL67-(VLOOKUP($A$1,Dashboard!$U$4:$W$9,3,FALSE)-VLOOKUP($A$1,Dashboard!$U$4:$W$9,2,FALSE))/(Yr_End-Yr_Start))</f>
        <v>0.8666666666666667</v>
      </c>
      <c r="AN67" s="128">
        <f>MAX(0,AM67-(VLOOKUP($A$1,Dashboard!$U$4:$W$9,3,FALSE)-VLOOKUP($A$1,Dashboard!$U$4:$W$9,2,FALSE))/(Yr_End-Yr_Start))</f>
        <v>0.83333333333333337</v>
      </c>
      <c r="AO67" s="128">
        <f>MAX(0,AN67-(VLOOKUP($A$1,Dashboard!$U$4:$W$9,3,FALSE)-VLOOKUP($A$1,Dashboard!$U$4:$W$9,2,FALSE))/(Yr_End-Yr_Start))</f>
        <v>0.8</v>
      </c>
      <c r="AP67" s="128">
        <f>MAX(0,AO67-(VLOOKUP($A$1,Dashboard!$U$4:$W$9,3,FALSE)-VLOOKUP($A$1,Dashboard!$U$4:$W$9,2,FALSE))/(Yr_End-Yr_Start))</f>
        <v>0.76666666666666672</v>
      </c>
      <c r="AQ67" s="128">
        <f>MAX(0,AP67-(VLOOKUP($A$1,Dashboard!$U$4:$W$9,3,FALSE)-VLOOKUP($A$1,Dashboard!$U$4:$W$9,2,FALSE))/(Yr_End-Yr_Start))</f>
        <v>0.73333333333333339</v>
      </c>
      <c r="AR67" s="128">
        <f>MAX(0,AQ67-(VLOOKUP($A$1,Dashboard!$U$4:$W$9,3,FALSE)-VLOOKUP($A$1,Dashboard!$U$4:$W$9,2,FALSE))/(Yr_End-Yr_Start))</f>
        <v>0.70000000000000007</v>
      </c>
      <c r="AS67" s="128">
        <f>MAX(0,AR67-(VLOOKUP($A$1,Dashboard!$U$4:$W$9,3,FALSE)-VLOOKUP($A$1,Dashboard!$U$4:$W$9,2,FALSE))/(Yr_End-Yr_Start))</f>
        <v>0.66666666666666674</v>
      </c>
      <c r="AT67" s="128">
        <f>MAX(0,AS67-(VLOOKUP($A$1,Dashboard!$U$4:$W$9,3,FALSE)-VLOOKUP($A$1,Dashboard!$U$4:$W$9,2,FALSE))/(Yr_End-Yr_Start))</f>
        <v>0.63333333333333341</v>
      </c>
      <c r="AU67" s="128">
        <f>MAX(0,AT67-(VLOOKUP($A$1,Dashboard!$U$4:$W$9,3,FALSE)-VLOOKUP($A$1,Dashboard!$U$4:$W$9,2,FALSE))/(Yr_End-Yr_Start))</f>
        <v>0.60000000000000009</v>
      </c>
      <c r="AV67" s="128">
        <f>MAX(0,AU67-(VLOOKUP($A$1,Dashboard!$U$4:$W$9,3,FALSE)-VLOOKUP($A$1,Dashboard!$U$4:$W$9,2,FALSE))/(Yr_End-Yr_Start))</f>
        <v>0.56666666666666676</v>
      </c>
      <c r="AW67" s="128">
        <f>MAX(0,AV67-(VLOOKUP($A$1,Dashboard!$U$4:$W$9,3,FALSE)-VLOOKUP($A$1,Dashboard!$U$4:$W$9,2,FALSE))/(Yr_End-Yr_Start))</f>
        <v>0.53333333333333344</v>
      </c>
      <c r="AX67" s="128">
        <f>MAX(0,AW67-(VLOOKUP($A$1,Dashboard!$U$4:$W$9,3,FALSE)-VLOOKUP($A$1,Dashboard!$U$4:$W$9,2,FALSE))/(Yr_End-Yr_Start))</f>
        <v>0.50000000000000011</v>
      </c>
      <c r="AY67" s="128">
        <f>MAX(0,AX67-(VLOOKUP($A$1,Dashboard!$U$4:$W$9,3,FALSE)-VLOOKUP($A$1,Dashboard!$U$4:$W$9,2,FALSE))/(Yr_End-Yr_Start))</f>
        <v>0.46666666666666679</v>
      </c>
      <c r="AZ67" s="128">
        <f>MAX(0,AY67-(VLOOKUP($A$1,Dashboard!$U$4:$W$9,3,FALSE)-VLOOKUP($A$1,Dashboard!$U$4:$W$9,2,FALSE))/(Yr_End-Yr_Start))</f>
        <v>0.43333333333333346</v>
      </c>
      <c r="BA67" s="128">
        <f>MAX(0,AZ67-(VLOOKUP($A$1,Dashboard!$U$4:$W$9,3,FALSE)-VLOOKUP($A$1,Dashboard!$U$4:$W$9,2,FALSE))/(Yr_End-Yr_Start))</f>
        <v>0.40000000000000013</v>
      </c>
      <c r="BB67" s="128">
        <f>MAX(0,BA67-(VLOOKUP($A$1,Dashboard!$U$4:$W$9,3,FALSE)-VLOOKUP($A$1,Dashboard!$U$4:$W$9,2,FALSE))/(Yr_End-Yr_Start))</f>
        <v>0.36666666666666681</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87">AJ70+1</f>
        <v>2021</v>
      </c>
      <c r="AL70" s="36">
        <f t="shared" si="87"/>
        <v>2022</v>
      </c>
      <c r="AM70" s="36">
        <f t="shared" si="87"/>
        <v>2023</v>
      </c>
      <c r="AN70" s="36">
        <f t="shared" si="87"/>
        <v>2024</v>
      </c>
      <c r="AO70" s="36">
        <f t="shared" si="87"/>
        <v>2025</v>
      </c>
      <c r="AP70" s="36">
        <f t="shared" si="87"/>
        <v>2026</v>
      </c>
      <c r="AQ70" s="36">
        <f t="shared" si="87"/>
        <v>2027</v>
      </c>
      <c r="AR70" s="36">
        <f t="shared" si="87"/>
        <v>2028</v>
      </c>
      <c r="AS70" s="36">
        <f t="shared" si="87"/>
        <v>2029</v>
      </c>
      <c r="AT70" s="36">
        <f t="shared" si="87"/>
        <v>2030</v>
      </c>
      <c r="AU70" s="36">
        <f t="shared" si="87"/>
        <v>2031</v>
      </c>
      <c r="AV70" s="36">
        <f t="shared" si="87"/>
        <v>2032</v>
      </c>
      <c r="AW70" s="36">
        <f t="shared" si="87"/>
        <v>2033</v>
      </c>
      <c r="AX70" s="36">
        <f t="shared" si="87"/>
        <v>2034</v>
      </c>
      <c r="AY70" s="36">
        <f t="shared" si="87"/>
        <v>2035</v>
      </c>
      <c r="AZ70" s="36">
        <f t="shared" si="87"/>
        <v>2036</v>
      </c>
      <c r="BA70" s="36">
        <f t="shared" si="87"/>
        <v>2037</v>
      </c>
      <c r="BB70" s="36">
        <f t="shared" si="87"/>
        <v>2038</v>
      </c>
    </row>
    <row r="71" spans="1:54" x14ac:dyDescent="0.25">
      <c r="A71"/>
      <c r="AF71" s="6" t="s">
        <v>179</v>
      </c>
      <c r="AG71" s="1" t="s">
        <v>52</v>
      </c>
      <c r="AH71" s="37">
        <f ca="1">SUM(AH35,AH25,AH15,AH5)</f>
        <v>351100.55398908409</v>
      </c>
      <c r="AI71" s="37">
        <f ca="1">SUM(AI35,AI25,AI15,AI5)</f>
        <v>392193.09137986804</v>
      </c>
      <c r="AJ71" s="37">
        <f t="shared" ref="AJ71:BB71" ca="1" si="88">SUM(AJ35,AJ25,AJ15,AJ5)</f>
        <v>406185.93413953652</v>
      </c>
      <c r="AK71" s="37">
        <f t="shared" ca="1" si="88"/>
        <v>420051.37808113225</v>
      </c>
      <c r="AL71" s="37">
        <f t="shared" ca="1" si="88"/>
        <v>434386.00472989638</v>
      </c>
      <c r="AM71" s="37">
        <f t="shared" ca="1" si="88"/>
        <v>449132.83245308476</v>
      </c>
      <c r="AN71" s="37">
        <f t="shared" ca="1" si="88"/>
        <v>464228.16314589285</v>
      </c>
      <c r="AO71" s="37">
        <f t="shared" ca="1" si="88"/>
        <v>479638.7442876334</v>
      </c>
      <c r="AP71" s="37">
        <f t="shared" ca="1" si="88"/>
        <v>495022.10590989888</v>
      </c>
      <c r="AQ71" s="37">
        <f t="shared" ca="1" si="88"/>
        <v>510756.30174397246</v>
      </c>
      <c r="AR71" s="37">
        <f t="shared" ca="1" si="88"/>
        <v>529490.17136813491</v>
      </c>
      <c r="AS71" s="37">
        <f ca="1">SUM(AS35,AS25,AS15,AS5)</f>
        <v>550928.28147498914</v>
      </c>
      <c r="AT71" s="37">
        <f t="shared" ca="1" si="88"/>
        <v>573087.32076285384</v>
      </c>
      <c r="AU71" s="37">
        <f t="shared" ca="1" si="88"/>
        <v>595627.10650690226</v>
      </c>
      <c r="AV71" s="37">
        <f t="shared" ca="1" si="88"/>
        <v>618936.74131623306</v>
      </c>
      <c r="AW71" s="37">
        <f t="shared" ca="1" si="88"/>
        <v>642988.56549453037</v>
      </c>
      <c r="AX71" s="37">
        <f t="shared" ca="1" si="88"/>
        <v>667748.85586024576</v>
      </c>
      <c r="AY71" s="37">
        <f t="shared" ca="1" si="88"/>
        <v>693197.12106824643</v>
      </c>
      <c r="AZ71" s="37" t="e">
        <f t="shared" ca="1" si="88"/>
        <v>#N/A</v>
      </c>
      <c r="BA71" s="37" t="e">
        <f t="shared" ca="1" si="88"/>
        <v>#N/A</v>
      </c>
      <c r="BB71" s="37" t="e">
        <f t="shared" ca="1" si="88"/>
        <v>#N/A</v>
      </c>
    </row>
    <row r="72" spans="1:54" x14ac:dyDescent="0.25">
      <c r="B72" s="6"/>
      <c r="AG72" s="1" t="s">
        <v>54</v>
      </c>
      <c r="AH72" s="37">
        <f ca="1">SUM(AH36,AH26,AH16,AH6)+SUM(AH40,AH30,AH20,AH10)</f>
        <v>19502.661157884933</v>
      </c>
      <c r="AI72" s="37">
        <f ca="1">SUM(AI36,AI26,AI16,AI6)+SUM(AI40,AI30,AI20,AI10)</f>
        <v>22720.312007238903</v>
      </c>
      <c r="AJ72" s="37">
        <f t="shared" ref="AJ72:BB72" ca="1" si="89">SUM(AJ36,AJ26,AJ16,AJ6)+SUM(AJ40,AJ30,AJ20,AJ10)</f>
        <v>24332.355439129831</v>
      </c>
      <c r="AK72" s="37">
        <f t="shared" ca="1" si="89"/>
        <v>25995.822396209776</v>
      </c>
      <c r="AL72" s="37">
        <f t="shared" ca="1" si="89"/>
        <v>27748.500955749052</v>
      </c>
      <c r="AM72" s="37">
        <f t="shared" ca="1" si="89"/>
        <v>29589.89629674103</v>
      </c>
      <c r="AN72" s="37">
        <f t="shared" ca="1" si="89"/>
        <v>31566.23149191936</v>
      </c>
      <c r="AO72" s="37">
        <f t="shared" ca="1" si="89"/>
        <v>33658.025547231962</v>
      </c>
      <c r="AP72" s="37">
        <f t="shared" ca="1" si="89"/>
        <v>35820.314825329922</v>
      </c>
      <c r="AQ72" s="37">
        <f t="shared" ca="1" si="89"/>
        <v>38081.651733109175</v>
      </c>
      <c r="AR72" s="37">
        <f t="shared" ca="1" si="89"/>
        <v>40445.194147396134</v>
      </c>
      <c r="AS72" s="37">
        <f t="shared" ca="1" si="89"/>
        <v>43059.558553824201</v>
      </c>
      <c r="AT72" s="37">
        <f t="shared" ca="1" si="89"/>
        <v>46017.298325359909</v>
      </c>
      <c r="AU72" s="37">
        <f t="shared" ca="1" si="89"/>
        <v>49085.187783634938</v>
      </c>
      <c r="AV72" s="37">
        <f t="shared" ca="1" si="89"/>
        <v>52333.701285619172</v>
      </c>
      <c r="AW72" s="37">
        <f t="shared" ca="1" si="89"/>
        <v>55752.582444009895</v>
      </c>
      <c r="AX72" s="37">
        <f t="shared" ca="1" si="89"/>
        <v>59320.28182276724</v>
      </c>
      <c r="AY72" s="37">
        <f t="shared" ca="1" si="89"/>
        <v>63037.821296048773</v>
      </c>
      <c r="AZ72" s="37" t="e">
        <f t="shared" ca="1" si="89"/>
        <v>#N/A</v>
      </c>
      <c r="BA72" s="37" t="e">
        <f t="shared" ca="1" si="89"/>
        <v>#N/A</v>
      </c>
      <c r="BB72" s="37" t="e">
        <f t="shared" ca="1" si="89"/>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353933.91576617153</v>
      </c>
      <c r="AI73" s="39">
        <f ca="1">SUM(AI37,AI27,AI17,AI7)+SUM(AI38,AI28,AI18,AI8)*AI67</f>
        <v>370854.83391392021</v>
      </c>
      <c r="AJ73" s="39">
        <f t="shared" ref="AJ73:BB73" ca="1" si="90">SUM(AJ37,AJ27,AJ17,AJ7)+SUM(AJ38,AJ28,AJ18,AJ8)*AJ67</f>
        <v>406401.58377987874</v>
      </c>
      <c r="AK73" s="39">
        <f t="shared" ca="1" si="90"/>
        <v>441052.91445082467</v>
      </c>
      <c r="AL73" s="39">
        <f t="shared" ca="1" si="90"/>
        <v>475197.32979701494</v>
      </c>
      <c r="AM73" s="39">
        <f t="shared" ca="1" si="90"/>
        <v>508576.69834506593</v>
      </c>
      <c r="AN73" s="39">
        <f t="shared" ca="1" si="90"/>
        <v>540899.37288016861</v>
      </c>
      <c r="AO73" s="39">
        <f t="shared" ca="1" si="90"/>
        <v>571886.57231854764</v>
      </c>
      <c r="AP73" s="39">
        <f t="shared" ca="1" si="90"/>
        <v>600866.77511055686</v>
      </c>
      <c r="AQ73" s="39">
        <f t="shared" ca="1" si="90"/>
        <v>628019.21590096585</v>
      </c>
      <c r="AR73" s="39">
        <f t="shared" ca="1" si="90"/>
        <v>653072.28916150832</v>
      </c>
      <c r="AS73" s="39">
        <f ca="1">SUM(AS37,AS27,AS17,AS7)+SUM(AS38,AS28,AS18,AS8)*AS67</f>
        <v>675768.10435975576</v>
      </c>
      <c r="AT73" s="39">
        <f t="shared" ca="1" si="90"/>
        <v>695811.01269194309</v>
      </c>
      <c r="AU73" s="39">
        <f t="shared" ca="1" si="90"/>
        <v>712454.86718973226</v>
      </c>
      <c r="AV73" s="39">
        <f t="shared" ca="1" si="90"/>
        <v>725824.61765663605</v>
      </c>
      <c r="AW73" s="39">
        <f t="shared" ca="1" si="90"/>
        <v>735519.03450928361</v>
      </c>
      <c r="AX73" s="39">
        <f t="shared" ca="1" si="90"/>
        <v>741117.19058840652</v>
      </c>
      <c r="AY73" s="39">
        <f ca="1">SUM(AY37,AY27,AY17,AY7)+SUM(AY38,AY28,AY18,AY8)*AY67</f>
        <v>742202.24558125029</v>
      </c>
      <c r="AZ73" s="39" t="e">
        <f t="shared" ca="1" si="90"/>
        <v>#N/A</v>
      </c>
      <c r="BA73" s="39" t="e">
        <f t="shared" ca="1" si="90"/>
        <v>#N/A</v>
      </c>
      <c r="BB73" s="39" t="e">
        <f t="shared" ca="1" si="90"/>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285.6377125345619</v>
      </c>
      <c r="AI74" s="37">
        <f ca="1">SUM(AI39,AI29,AI19,AI9)</f>
        <v>0</v>
      </c>
      <c r="AJ74" s="37">
        <f t="shared" ref="AJ74:BB74" ca="1" si="91">SUM(AJ39,AJ29,AJ19,AJ9)</f>
        <v>0</v>
      </c>
      <c r="AK74" s="37">
        <f t="shared" ca="1" si="91"/>
        <v>0</v>
      </c>
      <c r="AL74" s="37">
        <f t="shared" ca="1" si="91"/>
        <v>0</v>
      </c>
      <c r="AM74" s="37">
        <f t="shared" ca="1" si="91"/>
        <v>0</v>
      </c>
      <c r="AN74" s="37">
        <f t="shared" ca="1" si="91"/>
        <v>0</v>
      </c>
      <c r="AO74" s="37">
        <f t="shared" ca="1" si="91"/>
        <v>0</v>
      </c>
      <c r="AP74" s="37">
        <f t="shared" ca="1" si="91"/>
        <v>0</v>
      </c>
      <c r="AQ74" s="37">
        <f t="shared" ca="1" si="91"/>
        <v>0</v>
      </c>
      <c r="AR74" s="37">
        <f t="shared" ca="1" si="91"/>
        <v>0</v>
      </c>
      <c r="AS74" s="37">
        <f t="shared" ca="1" si="91"/>
        <v>0</v>
      </c>
      <c r="AT74" s="37">
        <f t="shared" ca="1" si="91"/>
        <v>0</v>
      </c>
      <c r="AU74" s="37">
        <f t="shared" ca="1" si="91"/>
        <v>0</v>
      </c>
      <c r="AV74" s="37">
        <f t="shared" ca="1" si="91"/>
        <v>0</v>
      </c>
      <c r="AW74" s="37">
        <f t="shared" ca="1" si="91"/>
        <v>0</v>
      </c>
      <c r="AX74" s="37">
        <f t="shared" ca="1" si="91"/>
        <v>0</v>
      </c>
      <c r="AY74" s="37">
        <f t="shared" ca="1" si="91"/>
        <v>0</v>
      </c>
      <c r="AZ74" s="37" t="e">
        <f t="shared" ca="1" si="91"/>
        <v>#N/A</v>
      </c>
      <c r="BA74" s="37" t="e">
        <f t="shared" ca="1" si="91"/>
        <v>#N/A</v>
      </c>
      <c r="BB74" s="37" t="e">
        <f t="shared" ca="1" si="91"/>
        <v>#N/A</v>
      </c>
    </row>
    <row r="75" spans="1:54" x14ac:dyDescent="0.25">
      <c r="AG75" s="1" t="s">
        <v>59</v>
      </c>
      <c r="AH75" s="37">
        <f ca="1">+SUM(AH38,AH28,AH18,AH8)*(1-AH67)</f>
        <v>0</v>
      </c>
      <c r="AI75" s="37">
        <f ca="1">+SUM(AI38,AI28,AI18,AI8)*(1-AI67)</f>
        <v>0</v>
      </c>
      <c r="AJ75" s="37">
        <f t="shared" ref="AJ75:BB75" ca="1" si="92">+SUM(AJ38,AJ28,AJ18,AJ8)*(1-AJ67)</f>
        <v>13745.18459690433</v>
      </c>
      <c r="AK75" s="37">
        <f t="shared" ca="1" si="92"/>
        <v>30911.248402218855</v>
      </c>
      <c r="AL75" s="37">
        <f t="shared" ca="1" si="92"/>
        <v>51819.023039525215</v>
      </c>
      <c r="AM75" s="37">
        <f t="shared" ca="1" si="92"/>
        <v>76799.026015927331</v>
      </c>
      <c r="AN75" s="37">
        <f t="shared" ca="1" si="92"/>
        <v>106186.74797489561</v>
      </c>
      <c r="AO75" s="37">
        <f t="shared" ca="1" si="92"/>
        <v>140328.15765213888</v>
      </c>
      <c r="AP75" s="37">
        <f t="shared" ca="1" si="92"/>
        <v>179463.52820651719</v>
      </c>
      <c r="AQ75" s="37">
        <f t="shared" ca="1" si="92"/>
        <v>224059.58025460909</v>
      </c>
      <c r="AR75" s="37">
        <f t="shared" ca="1" si="92"/>
        <v>274514.60359940893</v>
      </c>
      <c r="AS75" s="37">
        <f ca="1">+SUM(AS38,AS28,AS18,AS8)*(1-AS67)</f>
        <v>331258.62177141989</v>
      </c>
      <c r="AT75" s="37">
        <f t="shared" ca="1" si="92"/>
        <v>394735.95170095738</v>
      </c>
      <c r="AU75" s="37">
        <f t="shared" ca="1" si="92"/>
        <v>465129.35007185396</v>
      </c>
      <c r="AV75" s="37">
        <f t="shared" ca="1" si="92"/>
        <v>543143.36441925855</v>
      </c>
      <c r="AW75" s="37">
        <f t="shared" ca="1" si="92"/>
        <v>629235.84369361587</v>
      </c>
      <c r="AX75" s="37">
        <f t="shared" ca="1" si="92"/>
        <v>723860.28458739561</v>
      </c>
      <c r="AY75" s="37">
        <f t="shared" ca="1" si="92"/>
        <v>827483.93186536606</v>
      </c>
      <c r="AZ75" s="37" t="e">
        <f t="shared" ca="1" si="92"/>
        <v>#N/A</v>
      </c>
      <c r="BA75" s="37" t="e">
        <f t="shared" ca="1" si="92"/>
        <v>#N/A</v>
      </c>
      <c r="BB75" s="37" t="e">
        <f t="shared" ca="1" si="92"/>
        <v>#N/A</v>
      </c>
    </row>
    <row r="76" spans="1:54" x14ac:dyDescent="0.25">
      <c r="AG76" s="12" t="s">
        <v>60</v>
      </c>
      <c r="AH76" s="45">
        <f ca="1">SUM(AH71:AH75)</f>
        <v>724822.768625675</v>
      </c>
      <c r="AI76" s="45">
        <f ca="1">SUM(AI71:AI75)</f>
        <v>785768.23730102717</v>
      </c>
      <c r="AJ76" s="45">
        <f t="shared" ref="AJ76:BB76" ca="1" si="93">SUM(AJ71:AJ75)</f>
        <v>850665.05795544945</v>
      </c>
      <c r="AK76" s="45">
        <f t="shared" ca="1" si="93"/>
        <v>918011.36333038541</v>
      </c>
      <c r="AL76" s="45">
        <f t="shared" ca="1" si="93"/>
        <v>989150.85852218571</v>
      </c>
      <c r="AM76" s="45">
        <f t="shared" ca="1" si="93"/>
        <v>1064098.453110819</v>
      </c>
      <c r="AN76" s="45">
        <f t="shared" ca="1" si="93"/>
        <v>1142880.5154928765</v>
      </c>
      <c r="AO76" s="45">
        <f t="shared" ca="1" si="93"/>
        <v>1225511.499805552</v>
      </c>
      <c r="AP76" s="45">
        <f t="shared" ca="1" si="93"/>
        <v>1311172.7240523028</v>
      </c>
      <c r="AQ76" s="45">
        <f t="shared" ca="1" si="93"/>
        <v>1400916.7496326563</v>
      </c>
      <c r="AR76" s="45">
        <f t="shared" ca="1" si="93"/>
        <v>1497522.2582764484</v>
      </c>
      <c r="AS76" s="45">
        <f ca="1">SUM(AS71:AS75)</f>
        <v>1601014.566159989</v>
      </c>
      <c r="AT76" s="45">
        <f t="shared" ca="1" si="93"/>
        <v>1709651.5834811144</v>
      </c>
      <c r="AU76" s="45">
        <f t="shared" ca="1" si="93"/>
        <v>1822296.5115521234</v>
      </c>
      <c r="AV76" s="45">
        <f t="shared" ca="1" si="93"/>
        <v>1940238.4246777468</v>
      </c>
      <c r="AW76" s="45">
        <f t="shared" ca="1" si="93"/>
        <v>2063496.0261414396</v>
      </c>
      <c r="AX76" s="45">
        <f t="shared" ca="1" si="93"/>
        <v>2192046.6128588151</v>
      </c>
      <c r="AY76" s="45">
        <f t="shared" ca="1" si="93"/>
        <v>2325921.1198109118</v>
      </c>
      <c r="AZ76" s="45" t="e">
        <f t="shared" ca="1" si="93"/>
        <v>#N/A</v>
      </c>
      <c r="BA76" s="45" t="e">
        <f t="shared" ca="1" si="93"/>
        <v>#N/A</v>
      </c>
      <c r="BB76" s="45" t="e">
        <f t="shared" ca="1" si="93"/>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94">AJ79+1</f>
        <v>2021</v>
      </c>
      <c r="AL79" s="36">
        <f t="shared" si="94"/>
        <v>2022</v>
      </c>
      <c r="AM79" s="36">
        <f t="shared" si="94"/>
        <v>2023</v>
      </c>
      <c r="AN79" s="36">
        <f t="shared" si="94"/>
        <v>2024</v>
      </c>
      <c r="AO79" s="36">
        <f t="shared" si="94"/>
        <v>2025</v>
      </c>
      <c r="AP79" s="36">
        <f t="shared" si="94"/>
        <v>2026</v>
      </c>
      <c r="AQ79" s="36">
        <f t="shared" si="94"/>
        <v>2027</v>
      </c>
      <c r="AR79" s="36">
        <f t="shared" si="94"/>
        <v>2028</v>
      </c>
      <c r="AS79" s="36">
        <f t="shared" si="94"/>
        <v>2029</v>
      </c>
      <c r="AT79" s="36">
        <f t="shared" si="94"/>
        <v>2030</v>
      </c>
      <c r="AU79" s="36">
        <f t="shared" si="94"/>
        <v>2031</v>
      </c>
      <c r="AV79" s="36">
        <f t="shared" si="94"/>
        <v>2032</v>
      </c>
      <c r="AW79" s="36">
        <f t="shared" si="94"/>
        <v>2033</v>
      </c>
      <c r="AX79" s="36">
        <f t="shared" si="94"/>
        <v>2034</v>
      </c>
      <c r="AY79" s="36">
        <f t="shared" si="94"/>
        <v>2035</v>
      </c>
      <c r="AZ79" s="36">
        <f t="shared" si="94"/>
        <v>2036</v>
      </c>
      <c r="BA79" s="36">
        <f t="shared" si="94"/>
        <v>2037</v>
      </c>
      <c r="BB79" s="36">
        <f t="shared" si="94"/>
        <v>2038</v>
      </c>
    </row>
    <row r="80" spans="1:54" x14ac:dyDescent="0.25">
      <c r="AG80" s="1" t="s">
        <v>52</v>
      </c>
      <c r="AH80" s="37">
        <f ca="1">SUM(AH55,AH45)</f>
        <v>512715.14905514568</v>
      </c>
      <c r="AI80" s="37">
        <f ca="1">SUM(AI55,AI45)</f>
        <v>571617.9933902059</v>
      </c>
      <c r="AJ80" s="37">
        <f t="shared" ref="AJ80:BB80" ca="1" si="95">SUM(AJ55,AJ45)</f>
        <v>634153.79857261502</v>
      </c>
      <c r="AK80" s="37">
        <f t="shared" ca="1" si="95"/>
        <v>699596.03745758592</v>
      </c>
      <c r="AL80" s="37">
        <f t="shared" ca="1" si="95"/>
        <v>768983.92241188325</v>
      </c>
      <c r="AM80" s="37">
        <f t="shared" ca="1" si="95"/>
        <v>842381.96341799572</v>
      </c>
      <c r="AN80" s="37">
        <f t="shared" ca="1" si="95"/>
        <v>919818.94748444157</v>
      </c>
      <c r="AO80" s="37">
        <f t="shared" ca="1" si="95"/>
        <v>1001361.6727149732</v>
      </c>
      <c r="AP80" s="37">
        <f t="shared" ca="1" si="95"/>
        <v>1086385.4677318516</v>
      </c>
      <c r="AQ80" s="37">
        <f t="shared" ca="1" si="95"/>
        <v>1175778.4584970851</v>
      </c>
      <c r="AR80" s="37">
        <f t="shared" ca="1" si="95"/>
        <v>1269689.9938736819</v>
      </c>
      <c r="AS80" s="37">
        <f t="shared" ca="1" si="95"/>
        <v>1368330.6868020603</v>
      </c>
      <c r="AT80" s="37">
        <f t="shared" ca="1" si="95"/>
        <v>1471877.44442549</v>
      </c>
      <c r="AU80" s="37">
        <f t="shared" ca="1" si="95"/>
        <v>1579551.2433729577</v>
      </c>
      <c r="AV80" s="37">
        <f t="shared" ca="1" si="95"/>
        <v>1692451.864251791</v>
      </c>
      <c r="AW80" s="37">
        <f t="shared" ca="1" si="95"/>
        <v>1810631.47659591</v>
      </c>
      <c r="AX80" s="37">
        <f t="shared" ca="1" si="95"/>
        <v>1934112.5674158479</v>
      </c>
      <c r="AY80" s="37">
        <f t="shared" ca="1" si="95"/>
        <v>2062943.3249756326</v>
      </c>
      <c r="AZ80" s="37" t="e">
        <f t="shared" ca="1" si="95"/>
        <v>#N/A</v>
      </c>
      <c r="BA80" s="37" t="e">
        <f t="shared" ca="1" si="95"/>
        <v>#N/A</v>
      </c>
      <c r="BB80" s="37" t="e">
        <f t="shared" ca="1" si="95"/>
        <v>#N/A</v>
      </c>
    </row>
    <row r="81" spans="12:54" x14ac:dyDescent="0.25">
      <c r="AG81" s="1" t="s">
        <v>54</v>
      </c>
      <c r="AH81" s="37">
        <f ca="1">SUM(AH56,AH46,AH50,AH60)</f>
        <v>23754.884875202511</v>
      </c>
      <c r="AI81" s="37">
        <f ca="1">SUM(AI56,AI46,AI50,AI60)</f>
        <v>27867.116689093928</v>
      </c>
      <c r="AJ81" s="37">
        <f t="shared" ref="AJ81:BB81" ca="1" si="96">SUM(AJ56,AJ46,AJ50,AJ60)</f>
        <v>32253.420143120948</v>
      </c>
      <c r="AK81" s="37">
        <f t="shared" ca="1" si="96"/>
        <v>36879.562363558973</v>
      </c>
      <c r="AL81" s="37">
        <f t="shared" ca="1" si="96"/>
        <v>41801.592718582324</v>
      </c>
      <c r="AM81" s="37">
        <f t="shared" ca="1" si="96"/>
        <v>47027.339838045067</v>
      </c>
      <c r="AN81" s="37">
        <f t="shared" ca="1" si="96"/>
        <v>52562.067650870464</v>
      </c>
      <c r="AO81" s="37">
        <f t="shared" ca="1" si="96"/>
        <v>58412.691206663272</v>
      </c>
      <c r="AP81" s="37">
        <f t="shared" ca="1" si="96"/>
        <v>64544.772718007545</v>
      </c>
      <c r="AQ81" s="37">
        <f t="shared" ca="1" si="96"/>
        <v>71012.30981753541</v>
      </c>
      <c r="AR81" s="37">
        <f t="shared" ca="1" si="96"/>
        <v>77827.153074037997</v>
      </c>
      <c r="AS81" s="37">
        <f t="shared" ca="1" si="96"/>
        <v>85005.014389479533</v>
      </c>
      <c r="AT81" s="37">
        <f t="shared" ca="1" si="96"/>
        <v>92559.717460581393</v>
      </c>
      <c r="AU81" s="37">
        <f t="shared" ca="1" si="96"/>
        <v>100444.39075750633</v>
      </c>
      <c r="AV81" s="37">
        <f t="shared" ca="1" si="96"/>
        <v>108730.44104103846</v>
      </c>
      <c r="AW81" s="37">
        <f t="shared" ca="1" si="96"/>
        <v>117423.90490694065</v>
      </c>
      <c r="AX81" s="37">
        <f t="shared" ca="1" si="96"/>
        <v>126528.6367552241</v>
      </c>
      <c r="AY81" s="37">
        <f t="shared" ca="1" si="96"/>
        <v>136049.92196217517</v>
      </c>
      <c r="AZ81" s="37" t="e">
        <f t="shared" ca="1" si="96"/>
        <v>#N/A</v>
      </c>
      <c r="BA81" s="37" t="e">
        <f t="shared" ca="1" si="96"/>
        <v>#N/A</v>
      </c>
      <c r="BB81" s="37" t="e">
        <f t="shared" ca="1" si="96"/>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275907.36381742416</v>
      </c>
      <c r="AI82" s="39">
        <f ca="1">SUM(AI57,AI47)+SUM(AI48,AI58)*AI67</f>
        <v>275578.53314446029</v>
      </c>
      <c r="AJ82" s="39">
        <f t="shared" ref="AJ82:BB82" ca="1" si="97">SUM(AJ57,AJ47)+SUM(AJ48,AJ58)*AJ67</f>
        <v>265875.46640292316</v>
      </c>
      <c r="AK82" s="39">
        <f t="shared" ca="1" si="97"/>
        <v>255483.04701299849</v>
      </c>
      <c r="AL82" s="39">
        <f t="shared" ca="1" si="97"/>
        <v>244833.53721396837</v>
      </c>
      <c r="AM82" s="39">
        <f t="shared" ca="1" si="97"/>
        <v>233916.07175216381</v>
      </c>
      <c r="AN82" s="39">
        <f t="shared" ca="1" si="97"/>
        <v>232224.75857189379</v>
      </c>
      <c r="AO82" s="39">
        <f t="shared" ca="1" si="97"/>
        <v>234592.48021275757</v>
      </c>
      <c r="AP82" s="39">
        <f t="shared" ca="1" si="97"/>
        <v>236377.48473356961</v>
      </c>
      <c r="AQ82" s="39">
        <f t="shared" ca="1" si="97"/>
        <v>237733.81644394255</v>
      </c>
      <c r="AR82" s="39">
        <f t="shared" ca="1" si="97"/>
        <v>238626.8728299732</v>
      </c>
      <c r="AS82" s="39">
        <f t="shared" ca="1" si="97"/>
        <v>239030.81704519805</v>
      </c>
      <c r="AT82" s="39">
        <f t="shared" ca="1" si="97"/>
        <v>238909.52071453881</v>
      </c>
      <c r="AU82" s="39">
        <f t="shared" ca="1" si="97"/>
        <v>238080.10691737724</v>
      </c>
      <c r="AV82" s="39">
        <f t="shared" ca="1" si="97"/>
        <v>236661.6346604641</v>
      </c>
      <c r="AW82" s="39">
        <f t="shared" ca="1" si="97"/>
        <v>234593.68994876515</v>
      </c>
      <c r="AX82" s="39">
        <f t="shared" ca="1" si="97"/>
        <v>231815.1665573676</v>
      </c>
      <c r="AY82" s="39">
        <f t="shared" ca="1" si="97"/>
        <v>228271.22442931513</v>
      </c>
      <c r="AZ82" s="39" t="e">
        <f t="shared" ca="1" si="97"/>
        <v>#N/A</v>
      </c>
      <c r="BA82" s="39" t="e">
        <f t="shared" ca="1" si="97"/>
        <v>#N/A</v>
      </c>
      <c r="BB82" s="39" t="e">
        <f t="shared" ca="1" si="97"/>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566.10411256998145</v>
      </c>
      <c r="AI83" s="37">
        <f ca="1">SUM(AI59,AI49)</f>
        <v>0</v>
      </c>
      <c r="AJ83" s="37">
        <f t="shared" ref="AJ83:BB83" ca="1" si="98">SUM(AJ59,AJ49)</f>
        <v>0</v>
      </c>
      <c r="AK83" s="37">
        <f t="shared" ca="1" si="98"/>
        <v>0</v>
      </c>
      <c r="AL83" s="37">
        <f t="shared" ca="1" si="98"/>
        <v>0</v>
      </c>
      <c r="AM83" s="37">
        <f t="shared" ca="1" si="98"/>
        <v>0</v>
      </c>
      <c r="AN83" s="37">
        <f t="shared" ca="1" si="98"/>
        <v>0</v>
      </c>
      <c r="AO83" s="37">
        <f t="shared" ca="1" si="98"/>
        <v>0</v>
      </c>
      <c r="AP83" s="37">
        <f t="shared" ca="1" si="98"/>
        <v>0</v>
      </c>
      <c r="AQ83" s="37">
        <f t="shared" ca="1" si="98"/>
        <v>0</v>
      </c>
      <c r="AR83" s="37">
        <f t="shared" ca="1" si="98"/>
        <v>0</v>
      </c>
      <c r="AS83" s="37">
        <f t="shared" ca="1" si="98"/>
        <v>0</v>
      </c>
      <c r="AT83" s="37">
        <f t="shared" ca="1" si="98"/>
        <v>0</v>
      </c>
      <c r="AU83" s="37">
        <f t="shared" ca="1" si="98"/>
        <v>0</v>
      </c>
      <c r="AV83" s="37">
        <f t="shared" ca="1" si="98"/>
        <v>0</v>
      </c>
      <c r="AW83" s="37">
        <f t="shared" ca="1" si="98"/>
        <v>0</v>
      </c>
      <c r="AX83" s="37">
        <f t="shared" ca="1" si="98"/>
        <v>0</v>
      </c>
      <c r="AY83" s="37">
        <f t="shared" ca="1" si="98"/>
        <v>0</v>
      </c>
      <c r="AZ83" s="37" t="e">
        <f t="shared" ca="1" si="98"/>
        <v>#N/A</v>
      </c>
      <c r="BA83" s="37" t="e">
        <f t="shared" ca="1" si="98"/>
        <v>#N/A</v>
      </c>
      <c r="BB83" s="37" t="e">
        <f t="shared" ca="1" si="98"/>
        <v>#N/A</v>
      </c>
    </row>
    <row r="84" spans="12:54" x14ac:dyDescent="0.25">
      <c r="AG84" s="1" t="s">
        <v>59</v>
      </c>
      <c r="AH84" s="37">
        <f ca="1">SUM(AH48,AH58)*(1-AH67)</f>
        <v>0</v>
      </c>
      <c r="AI84" s="37">
        <f ca="1">SUM(AI48,AI58)*(1-AI67)</f>
        <v>0</v>
      </c>
      <c r="AJ84" s="37">
        <f t="shared" ref="AJ84:BB84" ca="1" si="99">SUM(AJ48,AJ58)*(1-AJ67)</f>
        <v>8880.6644879626037</v>
      </c>
      <c r="AK84" s="37">
        <f t="shared" ca="1" si="99"/>
        <v>17579.382421352828</v>
      </c>
      <c r="AL84" s="37">
        <f t="shared" ca="1" si="99"/>
        <v>26040.180412231406</v>
      </c>
      <c r="AM84" s="37">
        <f t="shared" ca="1" si="99"/>
        <v>34196.57726866033</v>
      </c>
      <c r="AN84" s="37">
        <f t="shared" ca="1" si="99"/>
        <v>43870.591187687336</v>
      </c>
      <c r="AO84" s="37">
        <f t="shared" ca="1" si="99"/>
        <v>55104.691060228928</v>
      </c>
      <c r="AP84" s="37">
        <f t="shared" ca="1" si="99"/>
        <v>67212.781647825934</v>
      </c>
      <c r="AQ84" s="37">
        <f t="shared" ca="1" si="99"/>
        <v>80277.756857421409</v>
      </c>
      <c r="AR84" s="37">
        <f t="shared" ca="1" si="99"/>
        <v>94348.768934760854</v>
      </c>
      <c r="AS84" s="37">
        <f t="shared" ca="1" si="99"/>
        <v>109481.3023570545</v>
      </c>
      <c r="AT84" s="37">
        <f t="shared" ca="1" si="99"/>
        <v>125730.67006735242</v>
      </c>
      <c r="AU84" s="37">
        <f t="shared" ca="1" si="99"/>
        <v>143067.41877436193</v>
      </c>
      <c r="AV84" s="37">
        <f t="shared" ca="1" si="99"/>
        <v>161624.43460681071</v>
      </c>
      <c r="AW84" s="37">
        <f t="shared" ca="1" si="99"/>
        <v>181449.89265114488</v>
      </c>
      <c r="AX84" s="37">
        <f t="shared" ca="1" si="99"/>
        <v>202588.18835369687</v>
      </c>
      <c r="AY84" s="37">
        <f t="shared" ca="1" si="99"/>
        <v>225085.50972739776</v>
      </c>
      <c r="AZ84" s="37" t="e">
        <f t="shared" ca="1" si="99"/>
        <v>#N/A</v>
      </c>
      <c r="BA84" s="37" t="e">
        <f t="shared" ca="1" si="99"/>
        <v>#N/A</v>
      </c>
      <c r="BB84" s="37" t="e">
        <f t="shared" ca="1" si="99"/>
        <v>#N/A</v>
      </c>
    </row>
    <row r="85" spans="12:54" x14ac:dyDescent="0.25">
      <c r="AG85" s="12" t="s">
        <v>60</v>
      </c>
      <c r="AH85" s="45">
        <f ca="1">SUM(AH80:AH84)</f>
        <v>812943.50186034234</v>
      </c>
      <c r="AI85" s="45">
        <f ca="1">SUM(AI80:AI84)</f>
        <v>875063.64322376007</v>
      </c>
      <c r="AJ85" s="45">
        <f t="shared" ref="AJ85:BB85" ca="1" si="100">SUM(AJ80:AJ84)</f>
        <v>941163.34960662178</v>
      </c>
      <c r="AK85" s="45">
        <f t="shared" ca="1" si="100"/>
        <v>1009538.0292554962</v>
      </c>
      <c r="AL85" s="45">
        <f t="shared" ca="1" si="100"/>
        <v>1081659.2327566654</v>
      </c>
      <c r="AM85" s="45">
        <f t="shared" ca="1" si="100"/>
        <v>1157521.9522768648</v>
      </c>
      <c r="AN85" s="45">
        <f t="shared" ca="1" si="100"/>
        <v>1248476.3648948933</v>
      </c>
      <c r="AO85" s="45">
        <f t="shared" ca="1" si="100"/>
        <v>1349471.5351946231</v>
      </c>
      <c r="AP85" s="45">
        <f t="shared" ca="1" si="100"/>
        <v>1454520.5068312546</v>
      </c>
      <c r="AQ85" s="45">
        <f t="shared" ca="1" si="100"/>
        <v>1564802.3416159844</v>
      </c>
      <c r="AR85" s="45">
        <f t="shared" ca="1" si="100"/>
        <v>1680492.788712454</v>
      </c>
      <c r="AS85" s="45">
        <f t="shared" ca="1" si="100"/>
        <v>1801847.8205937925</v>
      </c>
      <c r="AT85" s="45">
        <f t="shared" ca="1" si="100"/>
        <v>1929077.3526679627</v>
      </c>
      <c r="AU85" s="45">
        <f t="shared" ca="1" si="100"/>
        <v>2061143.1598222032</v>
      </c>
      <c r="AV85" s="45">
        <f t="shared" ca="1" si="100"/>
        <v>2199468.3745601042</v>
      </c>
      <c r="AW85" s="45">
        <f t="shared" ca="1" si="100"/>
        <v>2344098.9641027609</v>
      </c>
      <c r="AX85" s="45">
        <f t="shared" ca="1" si="100"/>
        <v>2495044.5590821365</v>
      </c>
      <c r="AY85" s="45">
        <f t="shared" ca="1" si="100"/>
        <v>2652349.9810945205</v>
      </c>
      <c r="AZ85" s="45" t="e">
        <f t="shared" ca="1" si="100"/>
        <v>#N/A</v>
      </c>
      <c r="BA85" s="45" t="e">
        <f t="shared" ca="1" si="100"/>
        <v>#N/A</v>
      </c>
      <c r="BB85" s="45" t="e">
        <f t="shared" ca="1" si="100"/>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183</v>
      </c>
      <c r="AH87" s="6"/>
    </row>
    <row r="88" spans="12:54" x14ac:dyDescent="0.25">
      <c r="AF88" s="6" t="s">
        <v>178</v>
      </c>
      <c r="AG88" s="38"/>
      <c r="AH88" s="36">
        <f>AI88-1</f>
        <v>2018</v>
      </c>
      <c r="AI88" s="36">
        <f>Yr_Start</f>
        <v>2019</v>
      </c>
      <c r="AJ88" s="36">
        <f>AI88+1</f>
        <v>2020</v>
      </c>
      <c r="AK88" s="36">
        <f t="shared" ref="AK88:BB88" si="101">AJ88+1</f>
        <v>2021</v>
      </c>
      <c r="AL88" s="36">
        <f t="shared" si="101"/>
        <v>2022</v>
      </c>
      <c r="AM88" s="36">
        <f t="shared" si="101"/>
        <v>2023</v>
      </c>
      <c r="AN88" s="36">
        <f t="shared" si="101"/>
        <v>2024</v>
      </c>
      <c r="AO88" s="36">
        <f t="shared" si="101"/>
        <v>2025</v>
      </c>
      <c r="AP88" s="36">
        <f t="shared" si="101"/>
        <v>2026</v>
      </c>
      <c r="AQ88" s="36">
        <f t="shared" si="101"/>
        <v>2027</v>
      </c>
      <c r="AR88" s="36">
        <f t="shared" si="101"/>
        <v>2028</v>
      </c>
      <c r="AS88" s="36">
        <f t="shared" si="101"/>
        <v>2029</v>
      </c>
      <c r="AT88" s="36">
        <f t="shared" si="101"/>
        <v>2030</v>
      </c>
      <c r="AU88" s="36">
        <f t="shared" si="101"/>
        <v>2031</v>
      </c>
      <c r="AV88" s="36">
        <f t="shared" si="101"/>
        <v>2032</v>
      </c>
      <c r="AW88" s="36">
        <f t="shared" si="101"/>
        <v>2033</v>
      </c>
      <c r="AX88" s="36">
        <f t="shared" si="101"/>
        <v>2034</v>
      </c>
      <c r="AY88" s="36">
        <f t="shared" si="101"/>
        <v>2035</v>
      </c>
      <c r="AZ88" s="36">
        <f t="shared" si="101"/>
        <v>2036</v>
      </c>
      <c r="BA88" s="36">
        <f t="shared" si="101"/>
        <v>2037</v>
      </c>
      <c r="BB88" s="36">
        <f t="shared" si="101"/>
        <v>2038</v>
      </c>
    </row>
    <row r="89" spans="12:54" x14ac:dyDescent="0.25">
      <c r="AG89" s="1" t="s">
        <v>52</v>
      </c>
      <c r="AH89" s="1"/>
      <c r="AI89" s="39">
        <f ca="1">AI71*4</f>
        <v>1568772.3655194722</v>
      </c>
      <c r="AJ89" s="39">
        <f t="shared" ref="AJ89:BB93" ca="1" si="102">AJ71*4</f>
        <v>1624743.7365581461</v>
      </c>
      <c r="AK89" s="39">
        <f t="shared" ca="1" si="102"/>
        <v>1680205.512324529</v>
      </c>
      <c r="AL89" s="39">
        <f t="shared" ca="1" si="102"/>
        <v>1737544.0189195855</v>
      </c>
      <c r="AM89" s="39">
        <f t="shared" ca="1" si="102"/>
        <v>1796531.329812339</v>
      </c>
      <c r="AN89" s="39">
        <f t="shared" ca="1" si="102"/>
        <v>1856912.6525835714</v>
      </c>
      <c r="AO89" s="39">
        <f t="shared" ca="1" si="102"/>
        <v>1918554.9771505336</v>
      </c>
      <c r="AP89" s="39">
        <f t="shared" ca="1" si="102"/>
        <v>1980088.4236395955</v>
      </c>
      <c r="AQ89" s="39">
        <f t="shared" ca="1" si="102"/>
        <v>2043025.2069758899</v>
      </c>
      <c r="AR89" s="39">
        <f t="shared" ca="1" si="102"/>
        <v>2117960.6854725396</v>
      </c>
      <c r="AS89" s="39">
        <f t="shared" ca="1" si="102"/>
        <v>2203713.1258999566</v>
      </c>
      <c r="AT89" s="39">
        <f t="shared" ca="1" si="102"/>
        <v>2292349.2830514153</v>
      </c>
      <c r="AU89" s="39">
        <f t="shared" ca="1" si="102"/>
        <v>2382508.426027609</v>
      </c>
      <c r="AV89" s="39">
        <f t="shared" ca="1" si="102"/>
        <v>2475746.9652649323</v>
      </c>
      <c r="AW89" s="39">
        <f t="shared" ca="1" si="102"/>
        <v>2571954.2619781215</v>
      </c>
      <c r="AX89" s="39">
        <f t="shared" ca="1" si="102"/>
        <v>2670995.4234409831</v>
      </c>
      <c r="AY89" s="39">
        <f t="shared" ca="1" si="102"/>
        <v>2772788.4842729857</v>
      </c>
      <c r="AZ89" s="39" t="e">
        <f t="shared" ca="1" si="102"/>
        <v>#N/A</v>
      </c>
      <c r="BA89" s="39" t="e">
        <f t="shared" ca="1" si="102"/>
        <v>#N/A</v>
      </c>
      <c r="BB89" s="39" t="e">
        <f t="shared" ca="1" si="102"/>
        <v>#N/A</v>
      </c>
    </row>
    <row r="90" spans="12:54" x14ac:dyDescent="0.25">
      <c r="AG90" s="1" t="s">
        <v>54</v>
      </c>
      <c r="AH90" s="1"/>
      <c r="AI90" s="39">
        <f t="shared" ref="AI90:AX93" ca="1" si="103">AI72*4</f>
        <v>90881.248028955612</v>
      </c>
      <c r="AJ90" s="39">
        <f t="shared" ca="1" si="103"/>
        <v>97329.421756519325</v>
      </c>
      <c r="AK90" s="39">
        <f t="shared" ca="1" si="103"/>
        <v>103983.28958483911</v>
      </c>
      <c r="AL90" s="39">
        <f t="shared" ca="1" si="103"/>
        <v>110994.00382299621</v>
      </c>
      <c r="AM90" s="39">
        <f t="shared" ca="1" si="103"/>
        <v>118359.58518696412</v>
      </c>
      <c r="AN90" s="39">
        <f t="shared" ca="1" si="103"/>
        <v>126264.92596767744</v>
      </c>
      <c r="AO90" s="39">
        <f t="shared" ca="1" si="103"/>
        <v>134632.10218892785</v>
      </c>
      <c r="AP90" s="39">
        <f t="shared" ca="1" si="103"/>
        <v>143281.25930131969</v>
      </c>
      <c r="AQ90" s="39">
        <f t="shared" ca="1" si="103"/>
        <v>152326.6069324367</v>
      </c>
      <c r="AR90" s="39">
        <f t="shared" ca="1" si="103"/>
        <v>161780.77658958454</v>
      </c>
      <c r="AS90" s="39">
        <f t="shared" ca="1" si="103"/>
        <v>172238.2342152968</v>
      </c>
      <c r="AT90" s="39">
        <f t="shared" ca="1" si="103"/>
        <v>184069.19330143963</v>
      </c>
      <c r="AU90" s="39">
        <f t="shared" ca="1" si="103"/>
        <v>196340.75113453975</v>
      </c>
      <c r="AV90" s="39">
        <f t="shared" ca="1" si="103"/>
        <v>209334.80514247669</v>
      </c>
      <c r="AW90" s="39">
        <f t="shared" ca="1" si="103"/>
        <v>223010.32977603958</v>
      </c>
      <c r="AX90" s="39">
        <f t="shared" ca="1" si="103"/>
        <v>237281.12729106896</v>
      </c>
      <c r="AY90" s="39">
        <f t="shared" ca="1" si="102"/>
        <v>252151.28518419509</v>
      </c>
      <c r="AZ90" s="39" t="e">
        <f t="shared" ca="1" si="102"/>
        <v>#N/A</v>
      </c>
      <c r="BA90" s="39" t="e">
        <f t="shared" ca="1" si="102"/>
        <v>#N/A</v>
      </c>
      <c r="BB90" s="39" t="e">
        <f t="shared" ca="1" si="102"/>
        <v>#N/A</v>
      </c>
    </row>
    <row r="91" spans="12:54" x14ac:dyDescent="0.25">
      <c r="AG91" s="1" t="s">
        <v>56</v>
      </c>
      <c r="AH91" s="1"/>
      <c r="AI91" s="39">
        <f t="shared" ca="1" si="103"/>
        <v>1483419.3356556809</v>
      </c>
      <c r="AJ91" s="39">
        <f t="shared" ca="1" si="102"/>
        <v>1625606.335119515</v>
      </c>
      <c r="AK91" s="39">
        <f t="shared" ca="1" si="102"/>
        <v>1764211.6578032987</v>
      </c>
      <c r="AL91" s="39">
        <f t="shared" ca="1" si="102"/>
        <v>1900789.3191880598</v>
      </c>
      <c r="AM91" s="39">
        <f t="shared" ca="1" si="102"/>
        <v>2034306.7933802637</v>
      </c>
      <c r="AN91" s="39">
        <f t="shared" ca="1" si="102"/>
        <v>2163597.4915206744</v>
      </c>
      <c r="AO91" s="39">
        <f t="shared" ca="1" si="102"/>
        <v>2287546.2892741906</v>
      </c>
      <c r="AP91" s="39">
        <f t="shared" ca="1" si="102"/>
        <v>2403467.1004422274</v>
      </c>
      <c r="AQ91" s="39">
        <f t="shared" ca="1" si="102"/>
        <v>2512076.8636038634</v>
      </c>
      <c r="AR91" s="39">
        <f t="shared" ca="1" si="102"/>
        <v>2612289.1566460333</v>
      </c>
      <c r="AS91" s="39">
        <f t="shared" ca="1" si="102"/>
        <v>2703072.417439023</v>
      </c>
      <c r="AT91" s="39">
        <f t="shared" ca="1" si="102"/>
        <v>2783244.0507677724</v>
      </c>
      <c r="AU91" s="39">
        <f t="shared" ca="1" si="102"/>
        <v>2849819.4687589291</v>
      </c>
      <c r="AV91" s="39">
        <f t="shared" ca="1" si="102"/>
        <v>2903298.4706265442</v>
      </c>
      <c r="AW91" s="39">
        <f t="shared" ca="1" si="102"/>
        <v>2942076.1380371344</v>
      </c>
      <c r="AX91" s="39">
        <f t="shared" ca="1" si="102"/>
        <v>2964468.7623536261</v>
      </c>
      <c r="AY91" s="39">
        <f t="shared" ca="1" si="102"/>
        <v>2968808.9823250012</v>
      </c>
      <c r="AZ91" s="39" t="e">
        <f t="shared" ca="1" si="102"/>
        <v>#N/A</v>
      </c>
      <c r="BA91" s="39" t="e">
        <f t="shared" ca="1" si="102"/>
        <v>#N/A</v>
      </c>
      <c r="BB91" s="39" t="e">
        <f t="shared" ca="1" si="102"/>
        <v>#N/A</v>
      </c>
    </row>
    <row r="92" spans="12:54" x14ac:dyDescent="0.25">
      <c r="AG92" s="1" t="s">
        <v>57</v>
      </c>
      <c r="AH92" s="1"/>
      <c r="AI92" s="39">
        <f t="shared" ca="1" si="103"/>
        <v>0</v>
      </c>
      <c r="AJ92" s="39">
        <f t="shared" ca="1" si="102"/>
        <v>0</v>
      </c>
      <c r="AK92" s="39">
        <f t="shared" ca="1" si="102"/>
        <v>0</v>
      </c>
      <c r="AL92" s="39">
        <f t="shared" ca="1" si="102"/>
        <v>0</v>
      </c>
      <c r="AM92" s="39">
        <f t="shared" ca="1" si="102"/>
        <v>0</v>
      </c>
      <c r="AN92" s="39">
        <f t="shared" ca="1" si="102"/>
        <v>0</v>
      </c>
      <c r="AO92" s="39">
        <f t="shared" ca="1" si="102"/>
        <v>0</v>
      </c>
      <c r="AP92" s="39">
        <f t="shared" ca="1" si="102"/>
        <v>0</v>
      </c>
      <c r="AQ92" s="39">
        <f t="shared" ca="1" si="102"/>
        <v>0</v>
      </c>
      <c r="AR92" s="39">
        <f t="shared" ca="1" si="102"/>
        <v>0</v>
      </c>
      <c r="AS92" s="39">
        <f t="shared" ca="1" si="102"/>
        <v>0</v>
      </c>
      <c r="AT92" s="39">
        <f t="shared" ca="1" si="102"/>
        <v>0</v>
      </c>
      <c r="AU92" s="39">
        <f t="shared" ca="1" si="102"/>
        <v>0</v>
      </c>
      <c r="AV92" s="39">
        <f t="shared" ca="1" si="102"/>
        <v>0</v>
      </c>
      <c r="AW92" s="39">
        <f t="shared" ca="1" si="102"/>
        <v>0</v>
      </c>
      <c r="AX92" s="39">
        <f t="shared" ca="1" si="102"/>
        <v>0</v>
      </c>
      <c r="AY92" s="39">
        <f t="shared" ca="1" si="102"/>
        <v>0</v>
      </c>
      <c r="AZ92" s="39" t="e">
        <f t="shared" ca="1" si="102"/>
        <v>#N/A</v>
      </c>
      <c r="BA92" s="39" t="e">
        <f t="shared" ca="1" si="102"/>
        <v>#N/A</v>
      </c>
      <c r="BB92" s="39" t="e">
        <f t="shared" ca="1" si="102"/>
        <v>#N/A</v>
      </c>
    </row>
    <row r="93" spans="12:54" x14ac:dyDescent="0.25">
      <c r="AG93" s="1" t="s">
        <v>59</v>
      </c>
      <c r="AH93" s="1"/>
      <c r="AI93" s="39">
        <f t="shared" ca="1" si="103"/>
        <v>0</v>
      </c>
      <c r="AJ93" s="39">
        <f t="shared" ca="1" si="102"/>
        <v>54980.738387617319</v>
      </c>
      <c r="AK93" s="39">
        <f t="shared" ca="1" si="102"/>
        <v>123644.99360887542</v>
      </c>
      <c r="AL93" s="39">
        <f t="shared" ca="1" si="102"/>
        <v>207276.09215810086</v>
      </c>
      <c r="AM93" s="39">
        <f t="shared" ca="1" si="102"/>
        <v>307196.10406370932</v>
      </c>
      <c r="AN93" s="39">
        <f t="shared" ca="1" si="102"/>
        <v>424746.99189958244</v>
      </c>
      <c r="AO93" s="39">
        <f t="shared" ca="1" si="102"/>
        <v>561312.63060855551</v>
      </c>
      <c r="AP93" s="39">
        <f t="shared" ca="1" si="102"/>
        <v>717854.11282606877</v>
      </c>
      <c r="AQ93" s="39">
        <f t="shared" ca="1" si="102"/>
        <v>896238.32101843634</v>
      </c>
      <c r="AR93" s="39">
        <f t="shared" ca="1" si="102"/>
        <v>1098058.4143976357</v>
      </c>
      <c r="AS93" s="39">
        <f t="shared" ca="1" si="102"/>
        <v>1325034.4870856795</v>
      </c>
      <c r="AT93" s="39">
        <f t="shared" ca="1" si="102"/>
        <v>1578943.8068038295</v>
      </c>
      <c r="AU93" s="39">
        <f t="shared" ca="1" si="102"/>
        <v>1860517.4002874158</v>
      </c>
      <c r="AV93" s="39">
        <f t="shared" ca="1" si="102"/>
        <v>2172573.4576770342</v>
      </c>
      <c r="AW93" s="39">
        <f t="shared" ca="1" si="102"/>
        <v>2516943.3747744635</v>
      </c>
      <c r="AX93" s="39">
        <f t="shared" ca="1" si="102"/>
        <v>2895441.1383495824</v>
      </c>
      <c r="AY93" s="39">
        <f t="shared" ca="1" si="102"/>
        <v>3309935.7274614642</v>
      </c>
      <c r="AZ93" s="39" t="e">
        <f t="shared" ca="1" si="102"/>
        <v>#N/A</v>
      </c>
      <c r="BA93" s="39" t="e">
        <f t="shared" ca="1" si="102"/>
        <v>#N/A</v>
      </c>
      <c r="BB93" s="39" t="e">
        <f t="shared" ca="1" si="102"/>
        <v>#N/A</v>
      </c>
    </row>
    <row r="94" spans="12:54" x14ac:dyDescent="0.25">
      <c r="AG94" s="12" t="s">
        <v>60</v>
      </c>
      <c r="AH94" s="12"/>
      <c r="AI94" s="45">
        <f ca="1">SUM(AI89:AI93)</f>
        <v>3143072.9492041087</v>
      </c>
      <c r="AJ94" s="45">
        <f ca="1">SUM(AJ89:AJ93)</f>
        <v>3402660.2318217978</v>
      </c>
      <c r="AK94" s="45">
        <f t="shared" ref="AK94:BB94" ca="1" si="104">SUM(AK89:AK93)</f>
        <v>3672045.4533215417</v>
      </c>
      <c r="AL94" s="45">
        <f t="shared" ca="1" si="104"/>
        <v>3956603.4340887428</v>
      </c>
      <c r="AM94" s="45">
        <f t="shared" ca="1" si="104"/>
        <v>4256393.8124432759</v>
      </c>
      <c r="AN94" s="45">
        <f t="shared" ca="1" si="104"/>
        <v>4571522.0619715061</v>
      </c>
      <c r="AO94" s="45">
        <f t="shared" ca="1" si="104"/>
        <v>4902045.9992222078</v>
      </c>
      <c r="AP94" s="45">
        <f t="shared" ca="1" si="104"/>
        <v>5244690.8962092111</v>
      </c>
      <c r="AQ94" s="45">
        <f t="shared" ca="1" si="104"/>
        <v>5603666.9985306254</v>
      </c>
      <c r="AR94" s="45">
        <f t="shared" ca="1" si="104"/>
        <v>5990089.0331057934</v>
      </c>
      <c r="AS94" s="45">
        <f t="shared" ca="1" si="104"/>
        <v>6404058.2646399559</v>
      </c>
      <c r="AT94" s="45">
        <f t="shared" ca="1" si="104"/>
        <v>6838606.3339244574</v>
      </c>
      <c r="AU94" s="45">
        <f t="shared" ca="1" si="104"/>
        <v>7289186.0462084934</v>
      </c>
      <c r="AV94" s="45">
        <f t="shared" ca="1" si="104"/>
        <v>7760953.6987109873</v>
      </c>
      <c r="AW94" s="45">
        <f t="shared" ca="1" si="104"/>
        <v>8253984.1045657583</v>
      </c>
      <c r="AX94" s="45">
        <f t="shared" ca="1" si="104"/>
        <v>8768186.4514352605</v>
      </c>
      <c r="AY94" s="45">
        <f t="shared" ca="1" si="104"/>
        <v>9303684.4792436473</v>
      </c>
      <c r="AZ94" s="45" t="e">
        <f t="shared" ca="1" si="104"/>
        <v>#N/A</v>
      </c>
      <c r="BA94" s="45" t="e">
        <f t="shared" ca="1" si="104"/>
        <v>#N/A</v>
      </c>
      <c r="BB94" s="45" t="e">
        <f t="shared" ca="1" si="104"/>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184</v>
      </c>
      <c r="AH96" s="6"/>
      <c r="AS96" s="142"/>
    </row>
    <row r="97" spans="32:54" x14ac:dyDescent="0.25">
      <c r="AF97" s="6" t="s">
        <v>178</v>
      </c>
      <c r="AG97" s="38"/>
      <c r="AH97" s="36">
        <f>AI97-1</f>
        <v>2018</v>
      </c>
      <c r="AI97" s="36">
        <f>Yr_Start</f>
        <v>2019</v>
      </c>
      <c r="AJ97" s="36">
        <f>AI97+1</f>
        <v>2020</v>
      </c>
      <c r="AK97" s="36">
        <f t="shared" ref="AK97:BB97" si="105">AJ97+1</f>
        <v>2021</v>
      </c>
      <c r="AL97" s="36">
        <f t="shared" si="105"/>
        <v>2022</v>
      </c>
      <c r="AM97" s="36">
        <f t="shared" si="105"/>
        <v>2023</v>
      </c>
      <c r="AN97" s="36">
        <f t="shared" si="105"/>
        <v>2024</v>
      </c>
      <c r="AO97" s="36">
        <f t="shared" si="105"/>
        <v>2025</v>
      </c>
      <c r="AP97" s="36">
        <f t="shared" si="105"/>
        <v>2026</v>
      </c>
      <c r="AQ97" s="36">
        <f t="shared" si="105"/>
        <v>2027</v>
      </c>
      <c r="AR97" s="36">
        <f t="shared" si="105"/>
        <v>2028</v>
      </c>
      <c r="AS97" s="36">
        <f t="shared" si="105"/>
        <v>2029</v>
      </c>
      <c r="AT97" s="36">
        <f t="shared" si="105"/>
        <v>2030</v>
      </c>
      <c r="AU97" s="36">
        <f t="shared" si="105"/>
        <v>2031</v>
      </c>
      <c r="AV97" s="36">
        <f t="shared" si="105"/>
        <v>2032</v>
      </c>
      <c r="AW97" s="36">
        <f t="shared" si="105"/>
        <v>2033</v>
      </c>
      <c r="AX97" s="36">
        <f t="shared" si="105"/>
        <v>2034</v>
      </c>
      <c r="AY97" s="36">
        <f t="shared" si="105"/>
        <v>2035</v>
      </c>
      <c r="AZ97" s="36">
        <f t="shared" si="105"/>
        <v>2036</v>
      </c>
      <c r="BA97" s="36">
        <f t="shared" si="105"/>
        <v>2037</v>
      </c>
      <c r="BB97" s="36">
        <f t="shared" si="105"/>
        <v>2038</v>
      </c>
    </row>
    <row r="98" spans="32:54" x14ac:dyDescent="0.25">
      <c r="AG98" s="1" t="s">
        <v>52</v>
      </c>
      <c r="AH98" s="1"/>
      <c r="AI98" s="39">
        <f ca="1">AI80*4</f>
        <v>2286471.9735608236</v>
      </c>
      <c r="AJ98" s="39">
        <f t="shared" ref="AJ98:BB98" ca="1" si="106">AJ80*4</f>
        <v>2536615.1942904601</v>
      </c>
      <c r="AK98" s="39">
        <f t="shared" ca="1" si="106"/>
        <v>2798384.1498303437</v>
      </c>
      <c r="AL98" s="39">
        <f t="shared" ca="1" si="106"/>
        <v>3075935.689647533</v>
      </c>
      <c r="AM98" s="39">
        <f t="shared" ca="1" si="106"/>
        <v>3369527.8536719829</v>
      </c>
      <c r="AN98" s="39">
        <f t="shared" ca="1" si="106"/>
        <v>3679275.7899377663</v>
      </c>
      <c r="AO98" s="39">
        <f t="shared" ca="1" si="106"/>
        <v>4005446.6908598929</v>
      </c>
      <c r="AP98" s="39">
        <f t="shared" ca="1" si="106"/>
        <v>4345541.8709274065</v>
      </c>
      <c r="AQ98" s="39">
        <f t="shared" ca="1" si="106"/>
        <v>4703113.8339883406</v>
      </c>
      <c r="AR98" s="39">
        <f t="shared" ca="1" si="106"/>
        <v>5078759.9754947275</v>
      </c>
      <c r="AS98" s="39">
        <f t="shared" ca="1" si="106"/>
        <v>5473322.7472082414</v>
      </c>
      <c r="AT98" s="39">
        <f t="shared" ca="1" si="106"/>
        <v>5887509.7777019599</v>
      </c>
      <c r="AU98" s="39">
        <f t="shared" ca="1" si="106"/>
        <v>6318204.9734918308</v>
      </c>
      <c r="AV98" s="39">
        <f t="shared" ca="1" si="106"/>
        <v>6769807.4570071641</v>
      </c>
      <c r="AW98" s="39">
        <f t="shared" ca="1" si="106"/>
        <v>7242525.9063836401</v>
      </c>
      <c r="AX98" s="39">
        <f t="shared" ca="1" si="106"/>
        <v>7736450.2696633916</v>
      </c>
      <c r="AY98" s="39">
        <f t="shared" ca="1" si="106"/>
        <v>8251773.2999025304</v>
      </c>
      <c r="AZ98" s="39" t="e">
        <f t="shared" ca="1" si="106"/>
        <v>#N/A</v>
      </c>
      <c r="BA98" s="39" t="e">
        <f t="shared" ca="1" si="106"/>
        <v>#N/A</v>
      </c>
      <c r="BB98" s="39" t="e">
        <f t="shared" ca="1" si="106"/>
        <v>#N/A</v>
      </c>
    </row>
    <row r="99" spans="32:54" x14ac:dyDescent="0.25">
      <c r="AG99" s="1" t="s">
        <v>54</v>
      </c>
      <c r="AH99" s="1"/>
      <c r="AI99" s="39">
        <f t="shared" ref="AI99:BB102" ca="1" si="107">AI81*4</f>
        <v>111468.46675637571</v>
      </c>
      <c r="AJ99" s="39">
        <f t="shared" ca="1" si="107"/>
        <v>129013.68057248379</v>
      </c>
      <c r="AK99" s="39">
        <f t="shared" ca="1" si="107"/>
        <v>147518.24945423589</v>
      </c>
      <c r="AL99" s="39">
        <f t="shared" ca="1" si="107"/>
        <v>167206.3708743293</v>
      </c>
      <c r="AM99" s="39">
        <f t="shared" ca="1" si="107"/>
        <v>188109.35935218027</v>
      </c>
      <c r="AN99" s="39">
        <f t="shared" ca="1" si="107"/>
        <v>210248.27060348185</v>
      </c>
      <c r="AO99" s="39">
        <f t="shared" ca="1" si="107"/>
        <v>233650.76482665309</v>
      </c>
      <c r="AP99" s="39">
        <f t="shared" ca="1" si="107"/>
        <v>258179.09087203018</v>
      </c>
      <c r="AQ99" s="39">
        <f t="shared" ca="1" si="107"/>
        <v>284049.23927014164</v>
      </c>
      <c r="AR99" s="39">
        <f t="shared" ca="1" si="107"/>
        <v>311308.61229615199</v>
      </c>
      <c r="AS99" s="39">
        <f t="shared" ca="1" si="107"/>
        <v>340020.05755791813</v>
      </c>
      <c r="AT99" s="39">
        <f t="shared" ca="1" si="107"/>
        <v>370238.86984232557</v>
      </c>
      <c r="AU99" s="39">
        <f t="shared" ca="1" si="107"/>
        <v>401777.56303002534</v>
      </c>
      <c r="AV99" s="39">
        <f t="shared" ca="1" si="107"/>
        <v>434921.76416415384</v>
      </c>
      <c r="AW99" s="39">
        <f t="shared" ca="1" si="107"/>
        <v>469695.61962776259</v>
      </c>
      <c r="AX99" s="39">
        <f t="shared" ca="1" si="107"/>
        <v>506114.5470208964</v>
      </c>
      <c r="AY99" s="39">
        <f t="shared" ca="1" si="107"/>
        <v>544199.68784870068</v>
      </c>
      <c r="AZ99" s="39" t="e">
        <f t="shared" ca="1" si="107"/>
        <v>#N/A</v>
      </c>
      <c r="BA99" s="39" t="e">
        <f t="shared" ca="1" si="107"/>
        <v>#N/A</v>
      </c>
      <c r="BB99" s="39" t="e">
        <f t="shared" ca="1" si="107"/>
        <v>#N/A</v>
      </c>
    </row>
    <row r="100" spans="32:54" x14ac:dyDescent="0.25">
      <c r="AG100" s="1" t="s">
        <v>56</v>
      </c>
      <c r="AH100" s="1"/>
      <c r="AI100" s="39">
        <f t="shared" ca="1" si="107"/>
        <v>1102314.1325778412</v>
      </c>
      <c r="AJ100" s="39">
        <f t="shared" ca="1" si="107"/>
        <v>1063501.8656116927</v>
      </c>
      <c r="AK100" s="39">
        <f t="shared" ca="1" si="107"/>
        <v>1021932.188051994</v>
      </c>
      <c r="AL100" s="39">
        <f t="shared" ca="1" si="107"/>
        <v>979334.1488558735</v>
      </c>
      <c r="AM100" s="39">
        <f t="shared" ca="1" si="107"/>
        <v>935664.28700865526</v>
      </c>
      <c r="AN100" s="39">
        <f t="shared" ca="1" si="107"/>
        <v>928899.03428757517</v>
      </c>
      <c r="AO100" s="39">
        <f t="shared" ca="1" si="107"/>
        <v>938369.92085103027</v>
      </c>
      <c r="AP100" s="39">
        <f t="shared" ca="1" si="107"/>
        <v>945509.93893427844</v>
      </c>
      <c r="AQ100" s="39">
        <f t="shared" ca="1" si="107"/>
        <v>950935.26577577018</v>
      </c>
      <c r="AR100" s="39">
        <f t="shared" ca="1" si="107"/>
        <v>954507.49131989281</v>
      </c>
      <c r="AS100" s="39">
        <f t="shared" ca="1" si="107"/>
        <v>956123.26818079222</v>
      </c>
      <c r="AT100" s="39">
        <f t="shared" ca="1" si="107"/>
        <v>955638.08285815525</v>
      </c>
      <c r="AU100" s="39">
        <f t="shared" ca="1" si="107"/>
        <v>952320.42766950896</v>
      </c>
      <c r="AV100" s="39">
        <f t="shared" ca="1" si="107"/>
        <v>946646.5386418564</v>
      </c>
      <c r="AW100" s="39">
        <f t="shared" ca="1" si="107"/>
        <v>938374.75979506061</v>
      </c>
      <c r="AX100" s="39">
        <f t="shared" ca="1" si="107"/>
        <v>927260.6662294704</v>
      </c>
      <c r="AY100" s="39">
        <f t="shared" ca="1" si="107"/>
        <v>913084.89771726052</v>
      </c>
      <c r="AZ100" s="39" t="e">
        <f t="shared" ca="1" si="107"/>
        <v>#N/A</v>
      </c>
      <c r="BA100" s="39" t="e">
        <f t="shared" ca="1" si="107"/>
        <v>#N/A</v>
      </c>
      <c r="BB100" s="39" t="e">
        <f t="shared" ca="1" si="107"/>
        <v>#N/A</v>
      </c>
    </row>
    <row r="101" spans="32:54" x14ac:dyDescent="0.25">
      <c r="AG101" s="1" t="s">
        <v>57</v>
      </c>
      <c r="AH101" s="1"/>
      <c r="AI101" s="39">
        <f t="shared" ca="1" si="107"/>
        <v>0</v>
      </c>
      <c r="AJ101" s="39">
        <f t="shared" ca="1" si="107"/>
        <v>0</v>
      </c>
      <c r="AK101" s="39">
        <f t="shared" ca="1" si="107"/>
        <v>0</v>
      </c>
      <c r="AL101" s="39">
        <f t="shared" ca="1" si="107"/>
        <v>0</v>
      </c>
      <c r="AM101" s="39">
        <f t="shared" ca="1" si="107"/>
        <v>0</v>
      </c>
      <c r="AN101" s="39">
        <f t="shared" ca="1" si="107"/>
        <v>0</v>
      </c>
      <c r="AO101" s="39">
        <f t="shared" ca="1" si="107"/>
        <v>0</v>
      </c>
      <c r="AP101" s="39">
        <f t="shared" ca="1" si="107"/>
        <v>0</v>
      </c>
      <c r="AQ101" s="39">
        <f t="shared" ca="1" si="107"/>
        <v>0</v>
      </c>
      <c r="AR101" s="39">
        <f t="shared" ca="1" si="107"/>
        <v>0</v>
      </c>
      <c r="AS101" s="39">
        <f t="shared" ca="1" si="107"/>
        <v>0</v>
      </c>
      <c r="AT101" s="39">
        <f t="shared" ca="1" si="107"/>
        <v>0</v>
      </c>
      <c r="AU101" s="39">
        <f t="shared" ca="1" si="107"/>
        <v>0</v>
      </c>
      <c r="AV101" s="39">
        <f t="shared" ca="1" si="107"/>
        <v>0</v>
      </c>
      <c r="AW101" s="39">
        <f t="shared" ca="1" si="107"/>
        <v>0</v>
      </c>
      <c r="AX101" s="39">
        <f t="shared" ca="1" si="107"/>
        <v>0</v>
      </c>
      <c r="AY101" s="39">
        <f t="shared" ca="1" si="107"/>
        <v>0</v>
      </c>
      <c r="AZ101" s="39" t="e">
        <f t="shared" ca="1" si="107"/>
        <v>#N/A</v>
      </c>
      <c r="BA101" s="39" t="e">
        <f t="shared" ca="1" si="107"/>
        <v>#N/A</v>
      </c>
      <c r="BB101" s="39" t="e">
        <f t="shared" ca="1" si="107"/>
        <v>#N/A</v>
      </c>
    </row>
    <row r="102" spans="32:54" x14ac:dyDescent="0.25">
      <c r="AG102" s="1" t="s">
        <v>59</v>
      </c>
      <c r="AH102" s="1"/>
      <c r="AI102" s="39">
        <f t="shared" ca="1" si="107"/>
        <v>0</v>
      </c>
      <c r="AJ102" s="39">
        <f t="shared" ca="1" si="107"/>
        <v>35522.657951850415</v>
      </c>
      <c r="AK102" s="39">
        <f t="shared" ca="1" si="107"/>
        <v>70317.529685411311</v>
      </c>
      <c r="AL102" s="39">
        <f t="shared" ca="1" si="107"/>
        <v>104160.72164892562</v>
      </c>
      <c r="AM102" s="39">
        <f t="shared" ca="1" si="107"/>
        <v>136786.30907464132</v>
      </c>
      <c r="AN102" s="39">
        <f t="shared" ca="1" si="107"/>
        <v>175482.36475074934</v>
      </c>
      <c r="AO102" s="39">
        <f t="shared" ca="1" si="107"/>
        <v>220418.76424091571</v>
      </c>
      <c r="AP102" s="39">
        <f t="shared" ca="1" si="107"/>
        <v>268851.12659130374</v>
      </c>
      <c r="AQ102" s="39">
        <f t="shared" ca="1" si="107"/>
        <v>321111.02742968564</v>
      </c>
      <c r="AR102" s="39">
        <f t="shared" ca="1" si="107"/>
        <v>377395.07573904342</v>
      </c>
      <c r="AS102" s="39">
        <f t="shared" ca="1" si="107"/>
        <v>437925.20942821802</v>
      </c>
      <c r="AT102" s="39">
        <f t="shared" ca="1" si="107"/>
        <v>502922.68026940967</v>
      </c>
      <c r="AU102" s="39">
        <f t="shared" ca="1" si="107"/>
        <v>572269.6750974477</v>
      </c>
      <c r="AV102" s="39">
        <f t="shared" ca="1" si="107"/>
        <v>646497.73842724285</v>
      </c>
      <c r="AW102" s="39">
        <f t="shared" ca="1" si="107"/>
        <v>725799.57060457952</v>
      </c>
      <c r="AX102" s="39">
        <f t="shared" ca="1" si="107"/>
        <v>810352.75341478747</v>
      </c>
      <c r="AY102" s="39">
        <f t="shared" ca="1" si="107"/>
        <v>900342.03890959104</v>
      </c>
      <c r="AZ102" s="39" t="e">
        <f t="shared" ca="1" si="107"/>
        <v>#N/A</v>
      </c>
      <c r="BA102" s="39" t="e">
        <f t="shared" ca="1" si="107"/>
        <v>#N/A</v>
      </c>
      <c r="BB102" s="39" t="e">
        <f t="shared" ca="1" si="107"/>
        <v>#N/A</v>
      </c>
    </row>
    <row r="103" spans="32:54" x14ac:dyDescent="0.25">
      <c r="AG103" s="12" t="s">
        <v>60</v>
      </c>
      <c r="AH103" s="12"/>
      <c r="AI103" s="45">
        <f ca="1">SUM(AI98:AI102)</f>
        <v>3500254.5728950403</v>
      </c>
      <c r="AJ103" s="45">
        <f ca="1">SUM(AJ98:AJ102)</f>
        <v>3764653.3984264871</v>
      </c>
      <c r="AK103" s="45">
        <f t="shared" ref="AK103:BB103" ca="1" si="108">SUM(AK98:AK102)</f>
        <v>4038152.1170219849</v>
      </c>
      <c r="AL103" s="45">
        <f t="shared" ca="1" si="108"/>
        <v>4326636.9310266618</v>
      </c>
      <c r="AM103" s="45">
        <f t="shared" ca="1" si="108"/>
        <v>4630087.8091074592</v>
      </c>
      <c r="AN103" s="45">
        <f t="shared" ca="1" si="108"/>
        <v>4993905.459579573</v>
      </c>
      <c r="AO103" s="45">
        <f t="shared" ca="1" si="108"/>
        <v>5397886.1407784922</v>
      </c>
      <c r="AP103" s="45">
        <f t="shared" ca="1" si="108"/>
        <v>5818082.0273250183</v>
      </c>
      <c r="AQ103" s="45">
        <f t="shared" ca="1" si="108"/>
        <v>6259209.3664639378</v>
      </c>
      <c r="AR103" s="45">
        <f t="shared" ca="1" si="108"/>
        <v>6721971.1548498161</v>
      </c>
      <c r="AS103" s="45">
        <f t="shared" ca="1" si="108"/>
        <v>7207391.2823751699</v>
      </c>
      <c r="AT103" s="45">
        <f t="shared" ca="1" si="108"/>
        <v>7716309.4106718507</v>
      </c>
      <c r="AU103" s="45">
        <f t="shared" ca="1" si="108"/>
        <v>8244572.6392888129</v>
      </c>
      <c r="AV103" s="45">
        <f t="shared" ca="1" si="108"/>
        <v>8797873.4982404169</v>
      </c>
      <c r="AW103" s="45">
        <f t="shared" ca="1" si="108"/>
        <v>9376395.8564110436</v>
      </c>
      <c r="AX103" s="45">
        <f t="shared" ca="1" si="108"/>
        <v>9980178.236328546</v>
      </c>
      <c r="AY103" s="45">
        <f t="shared" ca="1" si="108"/>
        <v>10609399.924378082</v>
      </c>
      <c r="AZ103" s="45" t="e">
        <f t="shared" ca="1" si="108"/>
        <v>#N/A</v>
      </c>
      <c r="BA103" s="45" t="e">
        <f t="shared" ca="1" si="108"/>
        <v>#N/A</v>
      </c>
      <c r="BB103" s="45" t="e">
        <f t="shared" ca="1" si="108"/>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09">AJ107+1</f>
        <v>2021</v>
      </c>
      <c r="AL107" s="36">
        <f t="shared" si="109"/>
        <v>2022</v>
      </c>
      <c r="AM107" s="36">
        <f t="shared" si="109"/>
        <v>2023</v>
      </c>
      <c r="AN107" s="36">
        <f t="shared" si="109"/>
        <v>2024</v>
      </c>
      <c r="AO107" s="36">
        <f t="shared" si="109"/>
        <v>2025</v>
      </c>
      <c r="AP107" s="36">
        <f t="shared" si="109"/>
        <v>2026</v>
      </c>
      <c r="AQ107" s="36">
        <f t="shared" si="109"/>
        <v>2027</v>
      </c>
      <c r="AR107" s="36">
        <f t="shared" si="109"/>
        <v>2028</v>
      </c>
      <c r="AS107" s="36">
        <f t="shared" si="109"/>
        <v>2029</v>
      </c>
      <c r="AT107" s="36">
        <f t="shared" si="109"/>
        <v>2030</v>
      </c>
      <c r="AU107" s="36">
        <f t="shared" si="109"/>
        <v>2031</v>
      </c>
      <c r="AV107" s="36">
        <f t="shared" si="109"/>
        <v>2032</v>
      </c>
      <c r="AW107" s="36">
        <f t="shared" si="109"/>
        <v>2033</v>
      </c>
      <c r="AX107" s="36">
        <f t="shared" si="109"/>
        <v>2034</v>
      </c>
      <c r="AY107" s="36">
        <f t="shared" si="109"/>
        <v>2035</v>
      </c>
      <c r="AZ107" s="36">
        <f t="shared" si="109"/>
        <v>2036</v>
      </c>
      <c r="BA107" s="36">
        <f t="shared" si="109"/>
        <v>2037</v>
      </c>
      <c r="BB107" s="36">
        <f t="shared" si="109"/>
        <v>2038</v>
      </c>
    </row>
    <row r="108" spans="32:54" x14ac:dyDescent="0.25">
      <c r="AF108"/>
      <c r="AG108" s="1" t="s">
        <v>52</v>
      </c>
      <c r="AH108" s="1"/>
      <c r="AI108" s="37">
        <f ca="1">AI89+AI98</f>
        <v>3855244.3390802955</v>
      </c>
      <c r="AJ108" s="37">
        <f ca="1">AJ89+AJ98</f>
        <v>4161358.9308486059</v>
      </c>
      <c r="AK108" s="37">
        <f t="shared" ref="AK108:BB108" ca="1" si="110">AK89+AK98</f>
        <v>4478589.6621548729</v>
      </c>
      <c r="AL108" s="37">
        <f t="shared" ca="1" si="110"/>
        <v>4813479.7085671183</v>
      </c>
      <c r="AM108" s="37">
        <f t="shared" ca="1" si="110"/>
        <v>5166059.1834843215</v>
      </c>
      <c r="AN108" s="37">
        <f t="shared" ca="1" si="110"/>
        <v>5536188.4425213374</v>
      </c>
      <c r="AO108" s="37">
        <f t="shared" ca="1" si="110"/>
        <v>5924001.6680104267</v>
      </c>
      <c r="AP108" s="37">
        <f t="shared" ca="1" si="110"/>
        <v>6325630.294567002</v>
      </c>
      <c r="AQ108" s="37">
        <f t="shared" ca="1" si="110"/>
        <v>6746139.0409642309</v>
      </c>
      <c r="AR108" s="37">
        <f t="shared" ca="1" si="110"/>
        <v>7196720.6609672671</v>
      </c>
      <c r="AS108" s="37">
        <f t="shared" ca="1" si="110"/>
        <v>7677035.8731081979</v>
      </c>
      <c r="AT108" s="37">
        <f t="shared" ca="1" si="110"/>
        <v>8179859.0607533753</v>
      </c>
      <c r="AU108" s="37">
        <f t="shared" ca="1" si="110"/>
        <v>8700713.3995194398</v>
      </c>
      <c r="AV108" s="37">
        <f t="shared" ca="1" si="110"/>
        <v>9245554.4222720973</v>
      </c>
      <c r="AW108" s="37">
        <f t="shared" ca="1" si="110"/>
        <v>9814480.1683617607</v>
      </c>
      <c r="AX108" s="37">
        <f t="shared" ca="1" si="110"/>
        <v>10407445.693104375</v>
      </c>
      <c r="AY108" s="37">
        <f t="shared" ca="1" si="110"/>
        <v>11024561.784175515</v>
      </c>
      <c r="AZ108" s="37" t="e">
        <f t="shared" ca="1" si="110"/>
        <v>#N/A</v>
      </c>
      <c r="BA108" s="37" t="e">
        <f t="shared" ca="1" si="110"/>
        <v>#N/A</v>
      </c>
      <c r="BB108" s="37" t="e">
        <f t="shared" ca="1" si="110"/>
        <v>#N/A</v>
      </c>
    </row>
    <row r="109" spans="32:54" x14ac:dyDescent="0.25">
      <c r="AF109"/>
      <c r="AG109" s="1" t="s">
        <v>54</v>
      </c>
      <c r="AH109" s="1"/>
      <c r="AI109" s="37">
        <f t="shared" ref="AI109:BB112" ca="1" si="111">AI90+AI99</f>
        <v>202349.71478533134</v>
      </c>
      <c r="AJ109" s="37">
        <f t="shared" ca="1" si="111"/>
        <v>226343.1023290031</v>
      </c>
      <c r="AK109" s="37">
        <f t="shared" ca="1" si="111"/>
        <v>251501.539039075</v>
      </c>
      <c r="AL109" s="37">
        <f t="shared" ca="1" si="111"/>
        <v>278200.37469732552</v>
      </c>
      <c r="AM109" s="37">
        <f t="shared" ca="1" si="111"/>
        <v>306468.9445391444</v>
      </c>
      <c r="AN109" s="37">
        <f t="shared" ca="1" si="111"/>
        <v>336513.19657115929</v>
      </c>
      <c r="AO109" s="37">
        <f t="shared" ca="1" si="111"/>
        <v>368282.86701558094</v>
      </c>
      <c r="AP109" s="37">
        <f t="shared" ca="1" si="111"/>
        <v>401460.35017334984</v>
      </c>
      <c r="AQ109" s="37">
        <f t="shared" ca="1" si="111"/>
        <v>436375.84620257834</v>
      </c>
      <c r="AR109" s="37">
        <f t="shared" ca="1" si="111"/>
        <v>473089.38888573652</v>
      </c>
      <c r="AS109" s="37">
        <f t="shared" ca="1" si="111"/>
        <v>512258.29177321494</v>
      </c>
      <c r="AT109" s="37">
        <f t="shared" ca="1" si="111"/>
        <v>554308.0631437652</v>
      </c>
      <c r="AU109" s="37">
        <f t="shared" ca="1" si="111"/>
        <v>598118.31416456506</v>
      </c>
      <c r="AV109" s="37">
        <f t="shared" ca="1" si="111"/>
        <v>644256.56930663052</v>
      </c>
      <c r="AW109" s="37">
        <f t="shared" ca="1" si="111"/>
        <v>692705.94940380217</v>
      </c>
      <c r="AX109" s="37">
        <f t="shared" ca="1" si="111"/>
        <v>743395.67431196535</v>
      </c>
      <c r="AY109" s="37">
        <f t="shared" ca="1" si="111"/>
        <v>796350.97303289571</v>
      </c>
      <c r="AZ109" s="37" t="e">
        <f t="shared" ca="1" si="111"/>
        <v>#N/A</v>
      </c>
      <c r="BA109" s="37" t="e">
        <f t="shared" ca="1" si="111"/>
        <v>#N/A</v>
      </c>
      <c r="BB109" s="37" t="e">
        <f t="shared" ca="1" si="111"/>
        <v>#N/A</v>
      </c>
    </row>
    <row r="110" spans="32:54" x14ac:dyDescent="0.25">
      <c r="AF110"/>
      <c r="AG110" s="1" t="s">
        <v>56</v>
      </c>
      <c r="AH110" s="1"/>
      <c r="AI110" s="37">
        <f t="shared" ca="1" si="111"/>
        <v>2585733.468233522</v>
      </c>
      <c r="AJ110" s="37">
        <f t="shared" ca="1" si="111"/>
        <v>2689108.2007312076</v>
      </c>
      <c r="AK110" s="37">
        <f t="shared" ca="1" si="111"/>
        <v>2786143.8458552929</v>
      </c>
      <c r="AL110" s="37">
        <f t="shared" ca="1" si="111"/>
        <v>2880123.4680439332</v>
      </c>
      <c r="AM110" s="37">
        <f t="shared" ca="1" si="111"/>
        <v>2969971.080388919</v>
      </c>
      <c r="AN110" s="37">
        <f t="shared" ca="1" si="111"/>
        <v>3092496.5258082496</v>
      </c>
      <c r="AO110" s="37">
        <f t="shared" ca="1" si="111"/>
        <v>3225916.2101252209</v>
      </c>
      <c r="AP110" s="37">
        <f t="shared" ca="1" si="111"/>
        <v>3348977.0393765057</v>
      </c>
      <c r="AQ110" s="37">
        <f t="shared" ca="1" si="111"/>
        <v>3463012.1293796338</v>
      </c>
      <c r="AR110" s="37">
        <f t="shared" ca="1" si="111"/>
        <v>3566796.6479659262</v>
      </c>
      <c r="AS110" s="37">
        <f t="shared" ca="1" si="111"/>
        <v>3659195.6856198153</v>
      </c>
      <c r="AT110" s="37">
        <f t="shared" ca="1" si="111"/>
        <v>3738882.1336259274</v>
      </c>
      <c r="AU110" s="37">
        <f t="shared" ca="1" si="111"/>
        <v>3802139.8964284379</v>
      </c>
      <c r="AV110" s="37">
        <f t="shared" ca="1" si="111"/>
        <v>3849945.0092684007</v>
      </c>
      <c r="AW110" s="37">
        <f t="shared" ca="1" si="111"/>
        <v>3880450.8978321953</v>
      </c>
      <c r="AX110" s="37">
        <f t="shared" ca="1" si="111"/>
        <v>3891729.4285830967</v>
      </c>
      <c r="AY110" s="37">
        <f t="shared" ca="1" si="111"/>
        <v>3881893.8800422614</v>
      </c>
      <c r="AZ110" s="37" t="e">
        <f t="shared" ca="1" si="111"/>
        <v>#N/A</v>
      </c>
      <c r="BA110" s="37" t="e">
        <f t="shared" ca="1" si="111"/>
        <v>#N/A</v>
      </c>
      <c r="BB110" s="37" t="e">
        <f t="shared" ca="1" si="111"/>
        <v>#N/A</v>
      </c>
    </row>
    <row r="111" spans="32:54" x14ac:dyDescent="0.25">
      <c r="AF111"/>
      <c r="AG111" s="1" t="s">
        <v>57</v>
      </c>
      <c r="AH111" s="1"/>
      <c r="AI111" s="37">
        <f t="shared" ca="1" si="111"/>
        <v>0</v>
      </c>
      <c r="AJ111" s="37">
        <f t="shared" ca="1" si="111"/>
        <v>0</v>
      </c>
      <c r="AK111" s="37">
        <f t="shared" ca="1" si="111"/>
        <v>0</v>
      </c>
      <c r="AL111" s="37">
        <f t="shared" ca="1" si="111"/>
        <v>0</v>
      </c>
      <c r="AM111" s="37">
        <f t="shared" ca="1" si="111"/>
        <v>0</v>
      </c>
      <c r="AN111" s="37">
        <f t="shared" ca="1" si="111"/>
        <v>0</v>
      </c>
      <c r="AO111" s="37">
        <f t="shared" ca="1" si="111"/>
        <v>0</v>
      </c>
      <c r="AP111" s="37">
        <f t="shared" ca="1" si="111"/>
        <v>0</v>
      </c>
      <c r="AQ111" s="37">
        <f t="shared" ca="1" si="111"/>
        <v>0</v>
      </c>
      <c r="AR111" s="37">
        <f t="shared" ca="1" si="111"/>
        <v>0</v>
      </c>
      <c r="AS111" s="37">
        <f t="shared" ca="1" si="111"/>
        <v>0</v>
      </c>
      <c r="AT111" s="37">
        <f t="shared" ca="1" si="111"/>
        <v>0</v>
      </c>
      <c r="AU111" s="37">
        <f t="shared" ca="1" si="111"/>
        <v>0</v>
      </c>
      <c r="AV111" s="37">
        <f t="shared" ca="1" si="111"/>
        <v>0</v>
      </c>
      <c r="AW111" s="37">
        <f t="shared" ca="1" si="111"/>
        <v>0</v>
      </c>
      <c r="AX111" s="37">
        <f t="shared" ca="1" si="111"/>
        <v>0</v>
      </c>
      <c r="AY111" s="37">
        <f t="shared" ca="1" si="111"/>
        <v>0</v>
      </c>
      <c r="AZ111" s="37" t="e">
        <f t="shared" ca="1" si="111"/>
        <v>#N/A</v>
      </c>
      <c r="BA111" s="37" t="e">
        <f t="shared" ca="1" si="111"/>
        <v>#N/A</v>
      </c>
      <c r="BB111" s="37" t="e">
        <f t="shared" ca="1" si="111"/>
        <v>#N/A</v>
      </c>
    </row>
    <row r="112" spans="32:54" x14ac:dyDescent="0.25">
      <c r="AF112"/>
      <c r="AG112" s="1" t="s">
        <v>59</v>
      </c>
      <c r="AH112" s="1"/>
      <c r="AI112" s="37">
        <f t="shared" ca="1" si="111"/>
        <v>0</v>
      </c>
      <c r="AJ112" s="37">
        <f ca="1">AJ93+AJ102</f>
        <v>90503.396339467727</v>
      </c>
      <c r="AK112" s="37">
        <f t="shared" ca="1" si="111"/>
        <v>193962.52329428674</v>
      </c>
      <c r="AL112" s="37">
        <f t="shared" ca="1" si="111"/>
        <v>311436.81380702648</v>
      </c>
      <c r="AM112" s="37">
        <f t="shared" ca="1" si="111"/>
        <v>443982.41313835065</v>
      </c>
      <c r="AN112" s="37">
        <f t="shared" ca="1" si="111"/>
        <v>600229.35665033176</v>
      </c>
      <c r="AO112" s="37">
        <f t="shared" ca="1" si="111"/>
        <v>781731.39484947128</v>
      </c>
      <c r="AP112" s="37">
        <f t="shared" ca="1" si="111"/>
        <v>986705.2394173725</v>
      </c>
      <c r="AQ112" s="37">
        <f t="shared" ca="1" si="111"/>
        <v>1217349.3484481219</v>
      </c>
      <c r="AR112" s="37">
        <f t="shared" ca="1" si="111"/>
        <v>1475453.4901366793</v>
      </c>
      <c r="AS112" s="37">
        <f t="shared" ca="1" si="111"/>
        <v>1762959.6965138975</v>
      </c>
      <c r="AT112" s="37">
        <f t="shared" ca="1" si="111"/>
        <v>2081866.4870732392</v>
      </c>
      <c r="AU112" s="37">
        <f t="shared" ca="1" si="111"/>
        <v>2432787.0753848637</v>
      </c>
      <c r="AV112" s="37">
        <f t="shared" ca="1" si="111"/>
        <v>2819071.1961042769</v>
      </c>
      <c r="AW112" s="37">
        <f t="shared" ca="1" si="111"/>
        <v>3242742.945379043</v>
      </c>
      <c r="AX112" s="37">
        <f t="shared" ca="1" si="111"/>
        <v>3705793.8917643698</v>
      </c>
      <c r="AY112" s="37">
        <f t="shared" ca="1" si="111"/>
        <v>4210277.7663710555</v>
      </c>
      <c r="AZ112" s="37" t="e">
        <f t="shared" ca="1" si="111"/>
        <v>#N/A</v>
      </c>
      <c r="BA112" s="37" t="e">
        <f t="shared" ca="1" si="111"/>
        <v>#N/A</v>
      </c>
      <c r="BB112" s="37" t="e">
        <f t="shared" ca="1" si="111"/>
        <v>#N/A</v>
      </c>
    </row>
    <row r="113" spans="32:54" x14ac:dyDescent="0.25">
      <c r="AF113"/>
      <c r="AG113" s="12" t="s">
        <v>60</v>
      </c>
      <c r="AH113" s="12"/>
      <c r="AI113" s="45">
        <f ca="1">SUM(AI108:AI112)</f>
        <v>6643327.5220991485</v>
      </c>
      <c r="AJ113" s="45">
        <f ca="1">SUM(AJ108:AJ112)</f>
        <v>7167313.630248284</v>
      </c>
      <c r="AK113" s="45">
        <f t="shared" ref="AK113:BB113" ca="1" si="112">SUM(AK108:AK112)</f>
        <v>7710197.5703435279</v>
      </c>
      <c r="AL113" s="45">
        <f t="shared" ca="1" si="112"/>
        <v>8283240.3651154032</v>
      </c>
      <c r="AM113" s="45">
        <f t="shared" ca="1" si="112"/>
        <v>8886481.6215507351</v>
      </c>
      <c r="AN113" s="45">
        <f t="shared" ca="1" si="112"/>
        <v>9565427.5215510782</v>
      </c>
      <c r="AO113" s="45">
        <f t="shared" ca="1" si="112"/>
        <v>10299932.140000701</v>
      </c>
      <c r="AP113" s="45">
        <f t="shared" ca="1" si="112"/>
        <v>11062772.923534229</v>
      </c>
      <c r="AQ113" s="45">
        <f t="shared" ca="1" si="112"/>
        <v>11862876.364994565</v>
      </c>
      <c r="AR113" s="45">
        <f t="shared" ca="1" si="112"/>
        <v>12712060.187955609</v>
      </c>
      <c r="AS113" s="45">
        <f t="shared" ca="1" si="112"/>
        <v>13611449.547015125</v>
      </c>
      <c r="AT113" s="45">
        <f t="shared" ca="1" si="112"/>
        <v>14554915.744596306</v>
      </c>
      <c r="AU113" s="45">
        <f t="shared" ca="1" si="112"/>
        <v>15533758.685497306</v>
      </c>
      <c r="AV113" s="45">
        <f t="shared" ca="1" si="112"/>
        <v>16558827.196951406</v>
      </c>
      <c r="AW113" s="45">
        <f t="shared" ca="1" si="112"/>
        <v>17630379.960976802</v>
      </c>
      <c r="AX113" s="45">
        <f t="shared" ca="1" si="112"/>
        <v>18748364.687763806</v>
      </c>
      <c r="AY113" s="45">
        <f t="shared" ca="1" si="112"/>
        <v>19913084.403621729</v>
      </c>
      <c r="AZ113" s="45" t="e">
        <f t="shared" ca="1" si="112"/>
        <v>#N/A</v>
      </c>
      <c r="BA113" s="45" t="e">
        <f t="shared" ca="1" si="112"/>
        <v>#N/A</v>
      </c>
      <c r="BB113" s="45" t="e">
        <f t="shared" ca="1" si="112"/>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13">AJ116+1</f>
        <v>2021</v>
      </c>
      <c r="AL116" s="36">
        <f t="shared" si="113"/>
        <v>2022</v>
      </c>
      <c r="AM116" s="36">
        <f t="shared" si="113"/>
        <v>2023</v>
      </c>
      <c r="AN116" s="36">
        <f t="shared" si="113"/>
        <v>2024</v>
      </c>
      <c r="AO116" s="36">
        <f t="shared" si="113"/>
        <v>2025</v>
      </c>
      <c r="AP116" s="36">
        <f t="shared" si="113"/>
        <v>2026</v>
      </c>
      <c r="AQ116" s="36">
        <f t="shared" si="113"/>
        <v>2027</v>
      </c>
      <c r="AR116" s="36">
        <f t="shared" si="113"/>
        <v>2028</v>
      </c>
      <c r="AS116" s="36">
        <f t="shared" si="113"/>
        <v>2029</v>
      </c>
      <c r="AT116" s="36">
        <f t="shared" si="113"/>
        <v>2030</v>
      </c>
      <c r="AU116" s="36">
        <f t="shared" si="113"/>
        <v>2031</v>
      </c>
      <c r="AV116" s="36">
        <f t="shared" si="113"/>
        <v>2032</v>
      </c>
      <c r="AW116" s="36">
        <f t="shared" si="113"/>
        <v>2033</v>
      </c>
      <c r="AX116" s="36">
        <f t="shared" si="113"/>
        <v>2034</v>
      </c>
      <c r="AY116" s="36">
        <f t="shared" si="113"/>
        <v>2035</v>
      </c>
      <c r="AZ116" s="36">
        <f t="shared" si="113"/>
        <v>2036</v>
      </c>
      <c r="BA116" s="36">
        <f t="shared" si="113"/>
        <v>2037</v>
      </c>
      <c r="BB116" s="36">
        <f t="shared" si="113"/>
        <v>2038</v>
      </c>
    </row>
    <row r="117" spans="32:54" x14ac:dyDescent="0.25">
      <c r="AF117"/>
      <c r="AG117" s="1" t="s">
        <v>52</v>
      </c>
      <c r="AH117" s="1"/>
      <c r="AI117" s="37">
        <f ca="1">AI71+AI80</f>
        <v>963811.08477007388</v>
      </c>
      <c r="AJ117" s="37">
        <f t="shared" ref="AJ117:BB117" ca="1" si="114">AJ71+AJ80</f>
        <v>1040339.7327121515</v>
      </c>
      <c r="AK117" s="37">
        <f t="shared" ca="1" si="114"/>
        <v>1119647.4155387182</v>
      </c>
      <c r="AL117" s="37">
        <f t="shared" ca="1" si="114"/>
        <v>1203369.9271417796</v>
      </c>
      <c r="AM117" s="37">
        <f t="shared" ca="1" si="114"/>
        <v>1291514.7958710804</v>
      </c>
      <c r="AN117" s="37">
        <f t="shared" ca="1" si="114"/>
        <v>1384047.1106303344</v>
      </c>
      <c r="AO117" s="37">
        <f t="shared" ca="1" si="114"/>
        <v>1481000.4170026067</v>
      </c>
      <c r="AP117" s="37">
        <f t="shared" ca="1" si="114"/>
        <v>1581407.5736417505</v>
      </c>
      <c r="AQ117" s="37">
        <f t="shared" ca="1" si="114"/>
        <v>1686534.7602410577</v>
      </c>
      <c r="AR117" s="37">
        <f t="shared" ca="1" si="114"/>
        <v>1799180.1652418168</v>
      </c>
      <c r="AS117" s="37">
        <f t="shared" ca="1" si="114"/>
        <v>1919258.9682770495</v>
      </c>
      <c r="AT117" s="37">
        <f t="shared" ca="1" si="114"/>
        <v>2044964.7651883438</v>
      </c>
      <c r="AU117" s="37">
        <f t="shared" ca="1" si="114"/>
        <v>2175178.3498798599</v>
      </c>
      <c r="AV117" s="37">
        <f t="shared" ca="1" si="114"/>
        <v>2311388.6055680243</v>
      </c>
      <c r="AW117" s="37">
        <f t="shared" ca="1" si="114"/>
        <v>2453620.0420904402</v>
      </c>
      <c r="AX117" s="37">
        <f t="shared" ca="1" si="114"/>
        <v>2601861.4232760938</v>
      </c>
      <c r="AY117" s="37">
        <f t="shared" ca="1" si="114"/>
        <v>2756140.4460438788</v>
      </c>
      <c r="AZ117" s="37" t="e">
        <f t="shared" ca="1" si="114"/>
        <v>#N/A</v>
      </c>
      <c r="BA117" s="37" t="e">
        <f t="shared" ca="1" si="114"/>
        <v>#N/A</v>
      </c>
      <c r="BB117" s="37" t="e">
        <f t="shared" ca="1" si="114"/>
        <v>#N/A</v>
      </c>
    </row>
    <row r="118" spans="32:54" x14ac:dyDescent="0.25">
      <c r="AF118"/>
      <c r="AG118" s="1" t="s">
        <v>54</v>
      </c>
      <c r="AH118" s="1"/>
      <c r="AI118" s="37">
        <f t="shared" ref="AI118:BB121" ca="1" si="115">AI72+AI81</f>
        <v>50587.428696332834</v>
      </c>
      <c r="AJ118" s="37">
        <f t="shared" ca="1" si="115"/>
        <v>56585.775582250775</v>
      </c>
      <c r="AK118" s="37">
        <f t="shared" ca="1" si="115"/>
        <v>62875.384759768749</v>
      </c>
      <c r="AL118" s="37">
        <f t="shared" ca="1" si="115"/>
        <v>69550.09367433138</v>
      </c>
      <c r="AM118" s="37">
        <f t="shared" ca="1" si="115"/>
        <v>76617.236134786101</v>
      </c>
      <c r="AN118" s="37">
        <f t="shared" ca="1" si="115"/>
        <v>84128.299142789823</v>
      </c>
      <c r="AO118" s="37">
        <f t="shared" ca="1" si="115"/>
        <v>92070.716753895234</v>
      </c>
      <c r="AP118" s="37">
        <f t="shared" ca="1" si="115"/>
        <v>100365.08754333746</v>
      </c>
      <c r="AQ118" s="37">
        <f t="shared" ca="1" si="115"/>
        <v>109093.96155064458</v>
      </c>
      <c r="AR118" s="37">
        <f t="shared" ca="1" si="115"/>
        <v>118272.34722143413</v>
      </c>
      <c r="AS118" s="37">
        <f t="shared" ca="1" si="115"/>
        <v>128064.57294330373</v>
      </c>
      <c r="AT118" s="37">
        <f t="shared" ca="1" si="115"/>
        <v>138577.0157859413</v>
      </c>
      <c r="AU118" s="37">
        <f t="shared" ca="1" si="115"/>
        <v>149529.57854114127</v>
      </c>
      <c r="AV118" s="37">
        <f t="shared" ca="1" si="115"/>
        <v>161064.14232665763</v>
      </c>
      <c r="AW118" s="37">
        <f t="shared" ca="1" si="115"/>
        <v>173176.48735095054</v>
      </c>
      <c r="AX118" s="37">
        <f t="shared" ca="1" si="115"/>
        <v>185848.91857799134</v>
      </c>
      <c r="AY118" s="37">
        <f t="shared" ca="1" si="115"/>
        <v>199087.74325822393</v>
      </c>
      <c r="AZ118" s="37" t="e">
        <f t="shared" ca="1" si="115"/>
        <v>#N/A</v>
      </c>
      <c r="BA118" s="37" t="e">
        <f t="shared" ca="1" si="115"/>
        <v>#N/A</v>
      </c>
      <c r="BB118" s="37" t="e">
        <f t="shared" ca="1" si="115"/>
        <v>#N/A</v>
      </c>
    </row>
    <row r="119" spans="32:54" x14ac:dyDescent="0.25">
      <c r="AF119"/>
      <c r="AG119" s="1" t="s">
        <v>56</v>
      </c>
      <c r="AH119" s="1"/>
      <c r="AI119" s="37">
        <f t="shared" ca="1" si="115"/>
        <v>646433.36705838051</v>
      </c>
      <c r="AJ119" s="37">
        <f t="shared" ca="1" si="115"/>
        <v>672277.0501828019</v>
      </c>
      <c r="AK119" s="37">
        <f t="shared" ca="1" si="115"/>
        <v>696535.96146382322</v>
      </c>
      <c r="AL119" s="37">
        <f t="shared" ca="1" si="115"/>
        <v>720030.86701098329</v>
      </c>
      <c r="AM119" s="37">
        <f t="shared" ca="1" si="115"/>
        <v>742492.77009722975</v>
      </c>
      <c r="AN119" s="37">
        <f t="shared" ca="1" si="115"/>
        <v>773124.1314520624</v>
      </c>
      <c r="AO119" s="37">
        <f t="shared" ca="1" si="115"/>
        <v>806479.05253130523</v>
      </c>
      <c r="AP119" s="37">
        <f t="shared" ca="1" si="115"/>
        <v>837244.25984412641</v>
      </c>
      <c r="AQ119" s="37">
        <f t="shared" ca="1" si="115"/>
        <v>865753.03234490845</v>
      </c>
      <c r="AR119" s="37">
        <f t="shared" ca="1" si="115"/>
        <v>891699.16199148155</v>
      </c>
      <c r="AS119" s="37">
        <f t="shared" ca="1" si="115"/>
        <v>914798.92140495381</v>
      </c>
      <c r="AT119" s="37">
        <f t="shared" ca="1" si="115"/>
        <v>934720.53340648185</v>
      </c>
      <c r="AU119" s="37">
        <f t="shared" ca="1" si="115"/>
        <v>950534.97410710948</v>
      </c>
      <c r="AV119" s="37">
        <f t="shared" ca="1" si="115"/>
        <v>962486.25231710018</v>
      </c>
      <c r="AW119" s="37">
        <f t="shared" ca="1" si="115"/>
        <v>970112.72445804882</v>
      </c>
      <c r="AX119" s="37">
        <f t="shared" ca="1" si="115"/>
        <v>972932.35714577418</v>
      </c>
      <c r="AY119" s="37">
        <f t="shared" ca="1" si="115"/>
        <v>970473.47001056536</v>
      </c>
      <c r="AZ119" s="37" t="e">
        <f t="shared" ca="1" si="115"/>
        <v>#N/A</v>
      </c>
      <c r="BA119" s="37" t="e">
        <f t="shared" ca="1" si="115"/>
        <v>#N/A</v>
      </c>
      <c r="BB119" s="37" t="e">
        <f t="shared" ca="1" si="115"/>
        <v>#N/A</v>
      </c>
    </row>
    <row r="120" spans="32:54" x14ac:dyDescent="0.25">
      <c r="AF120"/>
      <c r="AG120" s="1" t="s">
        <v>57</v>
      </c>
      <c r="AH120" s="1"/>
      <c r="AI120" s="37">
        <f t="shared" ca="1" si="115"/>
        <v>0</v>
      </c>
      <c r="AJ120" s="37">
        <f t="shared" ca="1" si="115"/>
        <v>0</v>
      </c>
      <c r="AK120" s="37">
        <f t="shared" ca="1" si="115"/>
        <v>0</v>
      </c>
      <c r="AL120" s="37">
        <f t="shared" ca="1" si="115"/>
        <v>0</v>
      </c>
      <c r="AM120" s="37">
        <f t="shared" ca="1" si="115"/>
        <v>0</v>
      </c>
      <c r="AN120" s="37">
        <f t="shared" ca="1" si="115"/>
        <v>0</v>
      </c>
      <c r="AO120" s="37">
        <f t="shared" ca="1" si="115"/>
        <v>0</v>
      </c>
      <c r="AP120" s="37">
        <f t="shared" ca="1" si="115"/>
        <v>0</v>
      </c>
      <c r="AQ120" s="37">
        <f t="shared" ca="1" si="115"/>
        <v>0</v>
      </c>
      <c r="AR120" s="37">
        <f t="shared" ca="1" si="115"/>
        <v>0</v>
      </c>
      <c r="AS120" s="37">
        <f t="shared" ca="1" si="115"/>
        <v>0</v>
      </c>
      <c r="AT120" s="37">
        <f t="shared" ca="1" si="115"/>
        <v>0</v>
      </c>
      <c r="AU120" s="37">
        <f t="shared" ca="1" si="115"/>
        <v>0</v>
      </c>
      <c r="AV120" s="37">
        <f t="shared" ca="1" si="115"/>
        <v>0</v>
      </c>
      <c r="AW120" s="37">
        <f t="shared" ca="1" si="115"/>
        <v>0</v>
      </c>
      <c r="AX120" s="37">
        <f t="shared" ca="1" si="115"/>
        <v>0</v>
      </c>
      <c r="AY120" s="37">
        <f t="shared" ca="1" si="115"/>
        <v>0</v>
      </c>
      <c r="AZ120" s="37" t="e">
        <f t="shared" ca="1" si="115"/>
        <v>#N/A</v>
      </c>
      <c r="BA120" s="37" t="e">
        <f t="shared" ca="1" si="115"/>
        <v>#N/A</v>
      </c>
      <c r="BB120" s="37" t="e">
        <f t="shared" ca="1" si="115"/>
        <v>#N/A</v>
      </c>
    </row>
    <row r="121" spans="32:54" x14ac:dyDescent="0.25">
      <c r="AF121"/>
      <c r="AG121" s="1" t="s">
        <v>59</v>
      </c>
      <c r="AH121" s="1"/>
      <c r="AI121" s="37">
        <f t="shared" ca="1" si="115"/>
        <v>0</v>
      </c>
      <c r="AJ121" s="37">
        <f t="shared" ca="1" si="115"/>
        <v>22625.849084866932</v>
      </c>
      <c r="AK121" s="37">
        <f t="shared" ca="1" si="115"/>
        <v>48490.630823571686</v>
      </c>
      <c r="AL121" s="37">
        <f t="shared" ca="1" si="115"/>
        <v>77859.203451756621</v>
      </c>
      <c r="AM121" s="37">
        <f t="shared" ca="1" si="115"/>
        <v>110995.60328458766</v>
      </c>
      <c r="AN121" s="37">
        <f t="shared" ca="1" si="115"/>
        <v>150057.33916258294</v>
      </c>
      <c r="AO121" s="37">
        <f t="shared" ca="1" si="115"/>
        <v>195432.84871236782</v>
      </c>
      <c r="AP121" s="37">
        <f t="shared" ca="1" si="115"/>
        <v>246676.30985434313</v>
      </c>
      <c r="AQ121" s="37">
        <f t="shared" ca="1" si="115"/>
        <v>304337.33711203048</v>
      </c>
      <c r="AR121" s="37">
        <f t="shared" ca="1" si="115"/>
        <v>368863.37253416982</v>
      </c>
      <c r="AS121" s="37">
        <f t="shared" ca="1" si="115"/>
        <v>440739.92412847438</v>
      </c>
      <c r="AT121" s="37">
        <f t="shared" ca="1" si="115"/>
        <v>520466.62176830979</v>
      </c>
      <c r="AU121" s="37">
        <f t="shared" ca="1" si="115"/>
        <v>608196.76884621591</v>
      </c>
      <c r="AV121" s="37">
        <f t="shared" ca="1" si="115"/>
        <v>704767.79902606923</v>
      </c>
      <c r="AW121" s="37">
        <f t="shared" ca="1" si="115"/>
        <v>810685.73634476075</v>
      </c>
      <c r="AX121" s="37">
        <f t="shared" ca="1" si="115"/>
        <v>926448.47294109245</v>
      </c>
      <c r="AY121" s="37">
        <f t="shared" ca="1" si="115"/>
        <v>1052569.4415927639</v>
      </c>
      <c r="AZ121" s="37" t="e">
        <f t="shared" ca="1" si="115"/>
        <v>#N/A</v>
      </c>
      <c r="BA121" s="37" t="e">
        <f t="shared" ca="1" si="115"/>
        <v>#N/A</v>
      </c>
      <c r="BB121" s="37" t="e">
        <f t="shared" ca="1" si="115"/>
        <v>#N/A</v>
      </c>
    </row>
    <row r="122" spans="32:54" x14ac:dyDescent="0.25">
      <c r="AF122"/>
      <c r="AG122" s="12" t="s">
        <v>60</v>
      </c>
      <c r="AH122" s="12"/>
      <c r="AI122" s="45">
        <f ca="1">SUM(AI117:AI121)</f>
        <v>1660831.8805247871</v>
      </c>
      <c r="AJ122" s="45">
        <f ca="1">SUM(AJ117:AJ121)</f>
        <v>1791828.407562071</v>
      </c>
      <c r="AK122" s="45">
        <f t="shared" ref="AK122:BB122" ca="1" si="116">SUM(AK117:AK121)</f>
        <v>1927549.392585882</v>
      </c>
      <c r="AL122" s="45">
        <f t="shared" ca="1" si="116"/>
        <v>2070810.0912788508</v>
      </c>
      <c r="AM122" s="45">
        <f t="shared" ca="1" si="116"/>
        <v>2221620.4053876838</v>
      </c>
      <c r="AN122" s="45">
        <f t="shared" ca="1" si="116"/>
        <v>2391356.8803877695</v>
      </c>
      <c r="AO122" s="45">
        <f t="shared" ca="1" si="116"/>
        <v>2574983.0350001752</v>
      </c>
      <c r="AP122" s="45">
        <f t="shared" ca="1" si="116"/>
        <v>2765693.2308835573</v>
      </c>
      <c r="AQ122" s="45">
        <f t="shared" ca="1" si="116"/>
        <v>2965719.0912486413</v>
      </c>
      <c r="AR122" s="45">
        <f t="shared" ca="1" si="116"/>
        <v>3178015.0469889021</v>
      </c>
      <c r="AS122" s="45">
        <f t="shared" ca="1" si="116"/>
        <v>3402862.3867537812</v>
      </c>
      <c r="AT122" s="45">
        <f t="shared" ca="1" si="116"/>
        <v>3638728.9361490766</v>
      </c>
      <c r="AU122" s="45">
        <f t="shared" ca="1" si="116"/>
        <v>3883439.6713743266</v>
      </c>
      <c r="AV122" s="45">
        <f t="shared" ca="1" si="116"/>
        <v>4139706.7992378515</v>
      </c>
      <c r="AW122" s="45">
        <f t="shared" ca="1" si="116"/>
        <v>4407594.9902442005</v>
      </c>
      <c r="AX122" s="45">
        <f t="shared" ca="1" si="116"/>
        <v>4687091.1719409516</v>
      </c>
      <c r="AY122" s="45">
        <f t="shared" ca="1" si="116"/>
        <v>4978271.1009054324</v>
      </c>
      <c r="AZ122" s="45" t="e">
        <f t="shared" ca="1" si="116"/>
        <v>#N/A</v>
      </c>
      <c r="BA122" s="45" t="e">
        <f t="shared" ca="1" si="116"/>
        <v>#N/A</v>
      </c>
      <c r="BB122" s="45" t="e">
        <f t="shared" ca="1" si="116"/>
        <v>#N/A</v>
      </c>
    </row>
    <row r="123" spans="32:54" x14ac:dyDescent="0.25">
      <c r="AF123"/>
    </row>
  </sheetData>
  <conditionalFormatting sqref="AJ77">
    <cfRule type="cellIs" dxfId="44" priority="11" operator="equal">
      <formula>"Check"</formula>
    </cfRule>
  </conditionalFormatting>
  <conditionalFormatting sqref="AK77:BB77">
    <cfRule type="cellIs" dxfId="43" priority="15" operator="equal">
      <formula>"Check"</formula>
    </cfRule>
  </conditionalFormatting>
  <conditionalFormatting sqref="AK86:BB86">
    <cfRule type="cellIs" dxfId="42" priority="14" operator="equal">
      <formula>"Check"</formula>
    </cfRule>
  </conditionalFormatting>
  <conditionalFormatting sqref="AK104:BB104">
    <cfRule type="cellIs" dxfId="41" priority="12" operator="equal">
      <formula>"Check"</formula>
    </cfRule>
  </conditionalFormatting>
  <conditionalFormatting sqref="AI77">
    <cfRule type="cellIs" dxfId="40" priority="10" operator="equal">
      <formula>"Check"</formula>
    </cfRule>
  </conditionalFormatting>
  <conditionalFormatting sqref="AI86:AJ86">
    <cfRule type="cellIs" dxfId="39" priority="9" operator="equal">
      <formula>"Check"</formula>
    </cfRule>
  </conditionalFormatting>
  <conditionalFormatting sqref="AK95:BB95">
    <cfRule type="cellIs" dxfId="38" priority="8" operator="equal">
      <formula>"Check"</formula>
    </cfRule>
  </conditionalFormatting>
  <conditionalFormatting sqref="K11:AE11 K21:AE21 K31:AE31 K41:AE41 K51:AE51 K61:AE61">
    <cfRule type="expression" dxfId="37" priority="7">
      <formula>K11&gt;1</formula>
    </cfRule>
  </conditionalFormatting>
  <conditionalFormatting sqref="J11">
    <cfRule type="expression" dxfId="36" priority="6">
      <formula>J11&gt;1</formula>
    </cfRule>
  </conditionalFormatting>
  <conditionalFormatting sqref="J21">
    <cfRule type="expression" dxfId="35" priority="5">
      <formula>J21&gt;1</formula>
    </cfRule>
  </conditionalFormatting>
  <conditionalFormatting sqref="J31">
    <cfRule type="expression" dxfId="34" priority="4">
      <formula>J31&gt;1</formula>
    </cfRule>
  </conditionalFormatting>
  <conditionalFormatting sqref="J41">
    <cfRule type="expression" dxfId="33" priority="3">
      <formula>J41&gt;1</formula>
    </cfRule>
  </conditionalFormatting>
  <conditionalFormatting sqref="J51">
    <cfRule type="expression" dxfId="32" priority="2">
      <formula>J51&gt;1</formula>
    </cfRule>
  </conditionalFormatting>
  <conditionalFormatting sqref="J61">
    <cfRule type="expression" dxfId="31" priority="1">
      <formula>J61&gt;1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zoomScale="70" zoomScaleNormal="70" workbookViewId="0">
      <pane xSplit="1" topLeftCell="B1" activePane="topRight" state="frozen"/>
      <selection activeCell="G24" sqref="G24"/>
      <selection pane="topRight" activeCell="G24" sqref="G24"/>
    </sheetView>
  </sheetViews>
  <sheetFormatPr defaultColWidth="19.5703125" defaultRowHeight="15" outlineLevelCol="1" x14ac:dyDescent="0.25"/>
  <cols>
    <col min="1" max="1" width="9.42578125" style="6" customWidth="1"/>
    <col min="2" max="4" width="12.42578125" customWidth="1"/>
    <col min="5" max="5" width="22.5703125" customWidth="1"/>
    <col min="6" max="6" width="12.42578125" customWidth="1"/>
    <col min="7" max="7" width="12.42578125"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s>
  <sheetData>
    <row r="1" spans="1:54" x14ac:dyDescent="0.25">
      <c r="A1" s="6" t="s">
        <v>25</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36"/>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INDEX(Data_FP!$2:$1048576,MATCH(C$4&amp;$A$4&amp;$B5&amp;$A$1,Data_FP!$A$2:$A$1048576,0),MATCH($A$3,Data_FP!$2:$2,0))</f>
        <v>7.8581999999999992E-3</v>
      </c>
      <c r="D5" s="14">
        <f ca="1">INDEX(Data_FP!$2:$1048576,MATCH(D$4&amp;$A$4&amp;$B5&amp;$A$1,Data_FP!$A$2:$A$1048576,0),MATCH($A$3,Data_FP!$2:$2,0))</f>
        <v>9.5756000000000001E-3</v>
      </c>
      <c r="E5" s="14">
        <f ca="1">IF('User Settings'!$N$7="On",($D5-$C5)/($D$4-$C$4),0)</f>
        <v>3.4348000000000017E-4</v>
      </c>
      <c r="F5" s="14">
        <f ca="1">MAX(0,MIN(1,($D5+$E5*(F$4-$D$4))))</f>
        <v>1.0606040000000001E-2</v>
      </c>
      <c r="G5" s="14"/>
      <c r="H5" s="14">
        <f ca="1">MAX(0,MIN(1,($D5+$E5*(H$4-$D$4))*$H$1))</f>
        <v>1.1636480000000001E-2</v>
      </c>
      <c r="I5" s="14">
        <f t="shared" ref="I5:I10" ca="1" si="4">($H5-$F5)/($H$4-$F$4)</f>
        <v>3.4348000000000017E-4</v>
      </c>
      <c r="J5" s="14">
        <f ca="1">K5-E5</f>
        <v>1.026256E-2</v>
      </c>
      <c r="K5" s="14">
        <f ca="1">MAX(0,MIN(1,D5+(K$4-D$4)*E5))</f>
        <v>1.0606040000000001E-2</v>
      </c>
      <c r="L5" s="15">
        <f ca="1">MAX(0,MIN(1,K5+$I5))</f>
        <v>1.0949520000000001E-2</v>
      </c>
      <c r="M5" s="15">
        <f t="shared" ref="M5:AD5" ca="1" si="5">MAX(0,MIN(1,L5+$I5))</f>
        <v>1.1293000000000001E-2</v>
      </c>
      <c r="N5" s="15">
        <f ca="1">MAX(0,MIN(1,M5+$I5))</f>
        <v>1.1636480000000001E-2</v>
      </c>
      <c r="O5" s="15">
        <f t="shared" ca="1" si="5"/>
        <v>1.1979960000000001E-2</v>
      </c>
      <c r="P5" s="15">
        <f t="shared" ca="1" si="5"/>
        <v>1.2323440000000001E-2</v>
      </c>
      <c r="Q5" s="15">
        <f t="shared" ca="1" si="5"/>
        <v>1.2666920000000002E-2</v>
      </c>
      <c r="R5" s="15">
        <f t="shared" ca="1" si="5"/>
        <v>1.3010400000000002E-2</v>
      </c>
      <c r="S5" s="15">
        <f t="shared" ca="1" si="5"/>
        <v>1.3353880000000002E-2</v>
      </c>
      <c r="T5" s="15">
        <f t="shared" ca="1" si="5"/>
        <v>1.3697360000000002E-2</v>
      </c>
      <c r="U5" s="15">
        <f t="shared" ca="1" si="5"/>
        <v>1.4040840000000002E-2</v>
      </c>
      <c r="V5" s="15">
        <f t="shared" ca="1" si="5"/>
        <v>1.4384320000000003E-2</v>
      </c>
      <c r="W5" s="15">
        <f t="shared" ca="1" si="5"/>
        <v>1.4727800000000003E-2</v>
      </c>
      <c r="X5" s="15">
        <f t="shared" ca="1" si="5"/>
        <v>1.5071280000000003E-2</v>
      </c>
      <c r="Y5" s="15">
        <f t="shared" ca="1" si="5"/>
        <v>1.5414760000000003E-2</v>
      </c>
      <c r="Z5" s="15">
        <f t="shared" ca="1" si="5"/>
        <v>1.5758240000000003E-2</v>
      </c>
      <c r="AA5" s="15">
        <f t="shared" ca="1" si="5"/>
        <v>1.6101720000000003E-2</v>
      </c>
      <c r="AB5" s="15">
        <f t="shared" ca="1" si="5"/>
        <v>1.6445200000000004E-2</v>
      </c>
      <c r="AC5" s="15">
        <f t="shared" ca="1" si="5"/>
        <v>1.6788680000000004E-2</v>
      </c>
      <c r="AD5" s="15">
        <f t="shared" ca="1" si="5"/>
        <v>1.7132160000000004E-2</v>
      </c>
      <c r="AE5" s="5"/>
      <c r="AG5" s="1" t="s">
        <v>52</v>
      </c>
      <c r="AH5" s="37">
        <f ca="1">J5*AH$11</f>
        <v>6586.2118560693225</v>
      </c>
      <c r="AI5" s="37">
        <f t="shared" ref="AI5:AI10" ca="1" si="6">K5*AI$11</f>
        <v>7068.3997450558709</v>
      </c>
      <c r="AJ5" s="37">
        <f t="shared" ref="AJ5:AS10" ca="1" si="7">L5*AJ$11</f>
        <v>7576.271539524977</v>
      </c>
      <c r="AK5" s="37">
        <f t="shared" ca="1" si="7"/>
        <v>8100.6079040406776</v>
      </c>
      <c r="AL5" s="37">
        <f t="shared" ca="1" si="7"/>
        <v>8653.1904935996263</v>
      </c>
      <c r="AM5" s="37">
        <f t="shared" ca="1" si="7"/>
        <v>9233.8876271550162</v>
      </c>
      <c r="AN5" s="37">
        <f t="shared" ca="1" si="7"/>
        <v>9842.2892275998129</v>
      </c>
      <c r="AO5" s="37">
        <f t="shared" ca="1" si="7"/>
        <v>10478.495324723513</v>
      </c>
      <c r="AP5" s="37">
        <f t="shared" ca="1" si="7"/>
        <v>11135.572078305871</v>
      </c>
      <c r="AQ5" s="37">
        <f t="shared" ca="1" si="7"/>
        <v>11822.378425205205</v>
      </c>
      <c r="AR5" s="37">
        <f t="shared" ca="1" si="7"/>
        <v>12539.854402295672</v>
      </c>
      <c r="AS5" s="37">
        <f t="shared" ca="1" si="7"/>
        <v>13289.524060296681</v>
      </c>
      <c r="AT5" s="37">
        <f t="shared" ref="AT5:BB10" ca="1" si="8">V5*AT$11</f>
        <v>14072.543273767096</v>
      </c>
      <c r="AU5" s="37">
        <f t="shared" ca="1" si="8"/>
        <v>14881.043619324437</v>
      </c>
      <c r="AV5" s="37">
        <f t="shared" ca="1" si="8"/>
        <v>15725.094261664293</v>
      </c>
      <c r="AW5" s="37">
        <f t="shared" ca="1" si="8"/>
        <v>16604.647138520548</v>
      </c>
      <c r="AX5" s="37">
        <f t="shared" ca="1" si="8"/>
        <v>17519.433018445285</v>
      </c>
      <c r="AY5" s="37">
        <f t="shared" ca="1" si="8"/>
        <v>18469.465159429259</v>
      </c>
      <c r="AZ5" s="37" t="e">
        <f t="shared" ca="1" si="8"/>
        <v>#N/A</v>
      </c>
      <c r="BA5" s="37" t="e">
        <f t="shared" ca="1" si="8"/>
        <v>#N/A</v>
      </c>
      <c r="BB5" s="37" t="e">
        <f t="shared" ca="1" si="8"/>
        <v>#N/A</v>
      </c>
    </row>
    <row r="6" spans="1:54" x14ac:dyDescent="0.25">
      <c r="B6" s="1" t="s">
        <v>54</v>
      </c>
      <c r="C6" s="14">
        <f ca="1">INDEX(Data_FP!$2:$1048576,MATCH(C$4&amp;$A$4&amp;$B6&amp;$A$1,Data_FP!$A$2:$A$1048576,0),MATCH($A$3,Data_FP!$2:$2,0))</f>
        <v>0</v>
      </c>
      <c r="D6" s="14">
        <f ca="1">INDEX(Data_FP!$2:$1048576,MATCH(D$4&amp;$A$4&amp;$B6&amp;$A$1,Data_FP!$A$2:$A$1048576,0),MATCH($A$3,Data_FP!$2:$2,0))</f>
        <v>3.2417000000000001E-3</v>
      </c>
      <c r="E6" s="14">
        <f ca="1">IF('User Settings'!$N$7="On",($D6-$C6)/($D$4-$C$4),0)</f>
        <v>6.4834000000000007E-4</v>
      </c>
      <c r="F6" s="14">
        <f t="shared" ref="F6:F10" ca="1" si="9">MAX(0,MIN(1,($D6+$E6*(F$4-$D$4))))</f>
        <v>5.1867200000000006E-3</v>
      </c>
      <c r="G6" s="14"/>
      <c r="H6" s="14">
        <f t="shared" ref="H6:H10" ca="1" si="10">MAX(0,MIN(1,($D6+$E6*(H$4-$D$4))*$H$1))</f>
        <v>7.131740000000001E-3</v>
      </c>
      <c r="I6" s="14">
        <f t="shared" ca="1" si="4"/>
        <v>6.4834000000000018E-4</v>
      </c>
      <c r="J6" s="14">
        <f t="shared" ref="J6:J10" ca="1" si="11">K6-E6</f>
        <v>4.5383800000000007E-3</v>
      </c>
      <c r="K6" s="14">
        <f t="shared" ref="K6:K10" ca="1" si="12">MAX(0,MIN(1,D6+(K$4-D$4)*E6))</f>
        <v>5.1867200000000006E-3</v>
      </c>
      <c r="L6" s="15">
        <f t="shared" ref="L6:AD10" ca="1" si="13">MAX(0,MIN(1,K6+$I6))</f>
        <v>5.8350600000000004E-3</v>
      </c>
      <c r="M6" s="15">
        <f t="shared" ca="1" si="13"/>
        <v>6.4834000000000003E-3</v>
      </c>
      <c r="N6" s="15">
        <f t="shared" ca="1" si="13"/>
        <v>7.1317400000000001E-3</v>
      </c>
      <c r="O6" s="15">
        <f t="shared" ca="1" si="13"/>
        <v>7.78008E-3</v>
      </c>
      <c r="P6" s="15">
        <f t="shared" ca="1" si="13"/>
        <v>8.4284200000000007E-3</v>
      </c>
      <c r="Q6" s="15">
        <f t="shared" ca="1" si="13"/>
        <v>9.0767600000000014E-3</v>
      </c>
      <c r="R6" s="15">
        <f t="shared" ca="1" si="13"/>
        <v>9.7251000000000021E-3</v>
      </c>
      <c r="S6" s="15">
        <f t="shared" ca="1" si="13"/>
        <v>1.0373440000000003E-2</v>
      </c>
      <c r="T6" s="15">
        <f t="shared" ca="1" si="13"/>
        <v>1.1021780000000004E-2</v>
      </c>
      <c r="U6" s="15">
        <f t="shared" ca="1" si="13"/>
        <v>1.1670120000000004E-2</v>
      </c>
      <c r="V6" s="15">
        <f t="shared" ca="1" si="13"/>
        <v>1.2318460000000005E-2</v>
      </c>
      <c r="W6" s="15">
        <f t="shared" ca="1" si="13"/>
        <v>1.2966800000000006E-2</v>
      </c>
      <c r="X6" s="15">
        <f t="shared" ca="1" si="13"/>
        <v>1.3615140000000006E-2</v>
      </c>
      <c r="Y6" s="15">
        <f t="shared" ca="1" si="13"/>
        <v>1.4263480000000007E-2</v>
      </c>
      <c r="Z6" s="15">
        <f t="shared" ca="1" si="13"/>
        <v>1.4911820000000008E-2</v>
      </c>
      <c r="AA6" s="15">
        <f t="shared" ca="1" si="13"/>
        <v>1.5560160000000009E-2</v>
      </c>
      <c r="AB6" s="15">
        <f t="shared" ca="1" si="13"/>
        <v>1.6208500000000008E-2</v>
      </c>
      <c r="AC6" s="15">
        <f t="shared" ca="1" si="13"/>
        <v>1.6856840000000008E-2</v>
      </c>
      <c r="AD6" s="15">
        <f t="shared" ca="1" si="13"/>
        <v>1.7505180000000009E-2</v>
      </c>
      <c r="AE6" s="5"/>
      <c r="AG6" s="1" t="s">
        <v>54</v>
      </c>
      <c r="AH6" s="37">
        <f t="shared" ref="AH6:AH10" ca="1" si="14">J6*AH$11</f>
        <v>2912.599990971833</v>
      </c>
      <c r="AI6" s="37">
        <f t="shared" ca="1" si="6"/>
        <v>3456.6916894218944</v>
      </c>
      <c r="AJ6" s="37">
        <f t="shared" ca="1" si="7"/>
        <v>4037.4371670557807</v>
      </c>
      <c r="AK6" s="37">
        <f t="shared" ca="1" si="7"/>
        <v>4650.6226233115494</v>
      </c>
      <c r="AL6" s="37">
        <f t="shared" ca="1" si="7"/>
        <v>5303.3481577611274</v>
      </c>
      <c r="AM6" s="37">
        <f t="shared" ca="1" si="7"/>
        <v>5996.7132152591657</v>
      </c>
      <c r="AN6" s="37">
        <f t="shared" ca="1" si="7"/>
        <v>6731.4765497042063</v>
      </c>
      <c r="AO6" s="37">
        <f t="shared" ca="1" si="7"/>
        <v>7508.5961878370908</v>
      </c>
      <c r="AP6" s="37">
        <f t="shared" ca="1" si="7"/>
        <v>8323.6912023252517</v>
      </c>
      <c r="AQ6" s="37">
        <f t="shared" ca="1" si="7"/>
        <v>9183.7528307249049</v>
      </c>
      <c r="AR6" s="37">
        <f t="shared" ca="1" si="7"/>
        <v>10090.376280840572</v>
      </c>
      <c r="AS6" s="37">
        <f t="shared" ca="1" si="7"/>
        <v>11045.659698889065</v>
      </c>
      <c r="AT6" s="37">
        <f t="shared" ca="1" si="8"/>
        <v>12051.460299560151</v>
      </c>
      <c r="AU6" s="37">
        <f t="shared" ca="1" si="8"/>
        <v>13101.720311455627</v>
      </c>
      <c r="AV6" s="37">
        <f t="shared" ca="1" si="8"/>
        <v>14205.784769824199</v>
      </c>
      <c r="AW6" s="37">
        <f t="shared" ca="1" si="8"/>
        <v>15364.498206092416</v>
      </c>
      <c r="AX6" s="37">
        <f t="shared" ca="1" si="8"/>
        <v>16578.414319943906</v>
      </c>
      <c r="AY6" s="37">
        <f t="shared" ca="1" si="8"/>
        <v>17848.269190815943</v>
      </c>
      <c r="AZ6" s="37" t="e">
        <f t="shared" ca="1" si="8"/>
        <v>#N/A</v>
      </c>
      <c r="BA6" s="37" t="e">
        <f t="shared" ca="1" si="8"/>
        <v>#N/A</v>
      </c>
      <c r="BB6" s="37" t="e">
        <f t="shared" ca="1" si="8"/>
        <v>#N/A</v>
      </c>
    </row>
    <row r="7" spans="1:54" x14ac:dyDescent="0.25">
      <c r="B7" s="1" t="s">
        <v>170</v>
      </c>
      <c r="C7" s="14">
        <f ca="1">INDEX(Data_FP!$2:$1048576,MATCH(C$4&amp;$A$4&amp;$B7&amp;$A$1,Data_FP!$A$2:$A$1048576,0),MATCH($A$3,Data_FP!$2:$2,0))</f>
        <v>0</v>
      </c>
      <c r="D7" s="14">
        <f ca="1">INDEX(Data_FP!$2:$1048576,MATCH(D$4&amp;$A$4&amp;$B7&amp;$A$1,Data_FP!$A$2:$A$1048576,0),MATCH($A$3,Data_FP!$2:$2,0))</f>
        <v>0</v>
      </c>
      <c r="E7" s="14">
        <f ca="1">IF('User Settings'!$N$7="On",($D7-$C7)/($D$4-$C$4),0)</f>
        <v>0</v>
      </c>
      <c r="F7" s="14">
        <f t="shared" ca="1" si="9"/>
        <v>0</v>
      </c>
      <c r="G7" s="14"/>
      <c r="H7" s="14">
        <f t="shared" ca="1" si="10"/>
        <v>0</v>
      </c>
      <c r="I7" s="14">
        <f t="shared" ca="1" si="4"/>
        <v>0</v>
      </c>
      <c r="J7" s="14">
        <f t="shared" ca="1" si="11"/>
        <v>0</v>
      </c>
      <c r="K7" s="14">
        <f t="shared" ca="1" si="12"/>
        <v>0</v>
      </c>
      <c r="L7" s="15">
        <f t="shared" ca="1" si="13"/>
        <v>0</v>
      </c>
      <c r="M7" s="15">
        <f t="shared" ca="1" si="13"/>
        <v>0</v>
      </c>
      <c r="N7" s="15">
        <f t="shared" ca="1" si="13"/>
        <v>0</v>
      </c>
      <c r="O7" s="15">
        <f t="shared" ca="1" si="13"/>
        <v>0</v>
      </c>
      <c r="P7" s="15">
        <f t="shared" ca="1" si="13"/>
        <v>0</v>
      </c>
      <c r="Q7" s="15">
        <f t="shared" ca="1" si="13"/>
        <v>0</v>
      </c>
      <c r="R7" s="15">
        <f t="shared" ca="1" si="13"/>
        <v>0</v>
      </c>
      <c r="S7" s="15">
        <f t="shared" ca="1" si="13"/>
        <v>0</v>
      </c>
      <c r="T7" s="15">
        <f t="shared" ca="1" si="13"/>
        <v>0</v>
      </c>
      <c r="U7" s="15">
        <f t="shared" ca="1" si="13"/>
        <v>0</v>
      </c>
      <c r="V7" s="15">
        <f t="shared" ca="1" si="13"/>
        <v>0</v>
      </c>
      <c r="W7" s="15">
        <f t="shared" ca="1" si="13"/>
        <v>0</v>
      </c>
      <c r="X7" s="15">
        <f t="shared" ca="1" si="13"/>
        <v>0</v>
      </c>
      <c r="Y7" s="15">
        <f t="shared" ca="1" si="13"/>
        <v>0</v>
      </c>
      <c r="Z7" s="15">
        <f t="shared" ca="1" si="13"/>
        <v>0</v>
      </c>
      <c r="AA7" s="15">
        <f t="shared" ca="1" si="13"/>
        <v>0</v>
      </c>
      <c r="AB7" s="15">
        <f t="shared" ca="1" si="13"/>
        <v>0</v>
      </c>
      <c r="AC7" s="15">
        <f t="shared" ca="1" si="13"/>
        <v>0</v>
      </c>
      <c r="AD7" s="15">
        <f t="shared" ca="1" si="13"/>
        <v>0</v>
      </c>
      <c r="AE7" s="5"/>
      <c r="AG7" s="1" t="s">
        <v>170</v>
      </c>
      <c r="AH7" s="37">
        <f t="shared" ca="1" si="14"/>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INDEX(Data_FP!$2:$1048576,MATCH(C$4&amp;$A$4&amp;$B8&amp;$A$1,Data_FP!$A$2:$A$1048576,0),MATCH($A$3,Data_FP!$2:$2,0))</f>
        <v>3.3749800000000003E-2</v>
      </c>
      <c r="D8" s="14">
        <f ca="1">INDEX(Data_FP!$2:$1048576,MATCH(D$4&amp;$A$4&amp;$B8&amp;$A$1,Data_FP!$A$2:$A$1048576,0),MATCH($A$3,Data_FP!$2:$2,0))</f>
        <v>3.7331999999999997E-2</v>
      </c>
      <c r="E8" s="14">
        <f ca="1">IF('User Settings'!$N$7="On",($D8-$C8)/($D$4-$C$4),0)</f>
        <v>7.1643999999999874E-4</v>
      </c>
      <c r="F8" s="14">
        <f t="shared" ca="1" si="9"/>
        <v>3.9481319999999993E-2</v>
      </c>
      <c r="G8" s="14"/>
      <c r="H8" s="14">
        <f t="shared" ca="1" si="10"/>
        <v>4.163063999999999E-2</v>
      </c>
      <c r="I8" s="14">
        <f t="shared" ca="1" si="4"/>
        <v>7.1643999999999874E-4</v>
      </c>
      <c r="J8" s="14">
        <f t="shared" ca="1" si="11"/>
        <v>3.8764879999999995E-2</v>
      </c>
      <c r="K8" s="14">
        <f t="shared" ca="1" si="12"/>
        <v>3.9481319999999993E-2</v>
      </c>
      <c r="L8" s="15">
        <f t="shared" ca="1" si="13"/>
        <v>4.0197759999999992E-2</v>
      </c>
      <c r="M8" s="15">
        <f t="shared" ca="1" si="13"/>
        <v>4.0914199999999991E-2</v>
      </c>
      <c r="N8" s="15">
        <f t="shared" ca="1" si="13"/>
        <v>4.163063999999999E-2</v>
      </c>
      <c r="O8" s="15">
        <f t="shared" ca="1" si="13"/>
        <v>4.2347079999999988E-2</v>
      </c>
      <c r="P8" s="15">
        <f t="shared" ca="1" si="13"/>
        <v>4.3063519999999987E-2</v>
      </c>
      <c r="Q8" s="15">
        <f t="shared" ca="1" si="13"/>
        <v>4.3779959999999986E-2</v>
      </c>
      <c r="R8" s="15">
        <f t="shared" ca="1" si="13"/>
        <v>4.4496399999999985E-2</v>
      </c>
      <c r="S8" s="15">
        <f t="shared" ca="1" si="13"/>
        <v>4.5212839999999983E-2</v>
      </c>
      <c r="T8" s="15">
        <f t="shared" ca="1" si="13"/>
        <v>4.5929279999999982E-2</v>
      </c>
      <c r="U8" s="15">
        <f t="shared" ca="1" si="13"/>
        <v>4.6645719999999981E-2</v>
      </c>
      <c r="V8" s="15">
        <f t="shared" ca="1" si="13"/>
        <v>4.736215999999998E-2</v>
      </c>
      <c r="W8" s="15">
        <f t="shared" ca="1" si="13"/>
        <v>4.8078599999999978E-2</v>
      </c>
      <c r="X8" s="15">
        <f t="shared" ca="1" si="13"/>
        <v>4.8795039999999977E-2</v>
      </c>
      <c r="Y8" s="15">
        <f t="shared" ca="1" si="13"/>
        <v>4.9511479999999976E-2</v>
      </c>
      <c r="Z8" s="15">
        <f t="shared" ca="1" si="13"/>
        <v>5.0227919999999975E-2</v>
      </c>
      <c r="AA8" s="15">
        <f t="shared" ca="1" si="13"/>
        <v>5.0944359999999973E-2</v>
      </c>
      <c r="AB8" s="15">
        <f t="shared" ca="1" si="13"/>
        <v>5.1660799999999972E-2</v>
      </c>
      <c r="AC8" s="15">
        <f t="shared" ca="1" si="13"/>
        <v>5.2377239999999971E-2</v>
      </c>
      <c r="AD8" s="15">
        <f t="shared" ca="1" si="13"/>
        <v>5.309367999999997E-2</v>
      </c>
      <c r="AE8" s="5"/>
      <c r="AG8" s="1" t="s">
        <v>59</v>
      </c>
      <c r="AH8" s="37">
        <f t="shared" ca="1" si="14"/>
        <v>24878.169994144198</v>
      </c>
      <c r="AI8" s="37">
        <f t="shared" ca="1" si="6"/>
        <v>26312.342044954497</v>
      </c>
      <c r="AJ8" s="37">
        <f t="shared" ca="1" si="7"/>
        <v>27813.926550264801</v>
      </c>
      <c r="AK8" s="37">
        <f t="shared" ca="1" si="7"/>
        <v>29348.259267466659</v>
      </c>
      <c r="AL8" s="37">
        <f t="shared" ca="1" si="7"/>
        <v>30957.63137052341</v>
      </c>
      <c r="AM8" s="37">
        <f t="shared" ca="1" si="7"/>
        <v>32640.190623186012</v>
      </c>
      <c r="AN8" s="37">
        <f t="shared" ca="1" si="7"/>
        <v>34393.287831849622</v>
      </c>
      <c r="AO8" s="37">
        <f t="shared" ca="1" si="7"/>
        <v>36216.231426154285</v>
      </c>
      <c r="AP8" s="37">
        <f t="shared" ca="1" si="7"/>
        <v>38084.368614733532</v>
      </c>
      <c r="AQ8" s="37">
        <f t="shared" ca="1" si="7"/>
        <v>40027.565333689876</v>
      </c>
      <c r="AR8" s="37">
        <f t="shared" ca="1" si="7"/>
        <v>42047.992021986007</v>
      </c>
      <c r="AS8" s="37">
        <f t="shared" ca="1" si="7"/>
        <v>44149.738779863721</v>
      </c>
      <c r="AT8" s="37">
        <f t="shared" ca="1" si="8"/>
        <v>46335.596409081598</v>
      </c>
      <c r="AU8" s="37">
        <f t="shared" ca="1" si="8"/>
        <v>48578.86064151139</v>
      </c>
      <c r="AV8" s="37">
        <f t="shared" ca="1" si="8"/>
        <v>50911.84050071919</v>
      </c>
      <c r="AW8" s="37">
        <f t="shared" ca="1" si="8"/>
        <v>53333.341207123347</v>
      </c>
      <c r="AX8" s="37">
        <f t="shared" ca="1" si="8"/>
        <v>55841.558454232691</v>
      </c>
      <c r="AY8" s="37">
        <f t="shared" ca="1" si="8"/>
        <v>58435.687745745236</v>
      </c>
      <c r="AZ8" s="37" t="e">
        <f t="shared" ca="1" si="8"/>
        <v>#N/A</v>
      </c>
      <c r="BA8" s="37" t="e">
        <f t="shared" ca="1" si="8"/>
        <v>#N/A</v>
      </c>
      <c r="BB8" s="37" t="e">
        <f t="shared" ca="1" si="8"/>
        <v>#N/A</v>
      </c>
    </row>
    <row r="9" spans="1:54" x14ac:dyDescent="0.25">
      <c r="B9" s="1" t="s">
        <v>171</v>
      </c>
      <c r="C9" s="14">
        <f ca="1">INDEX(Data_FP!$2:$1048576,MATCH(C$4&amp;$A$4&amp;$B9&amp;$A$1,Data_FP!$A$2:$A$1048576,0),MATCH($A$3,Data_FP!$2:$2,0))</f>
        <v>3.03095E-2</v>
      </c>
      <c r="D9" s="14">
        <f ca="1">INDEX(Data_FP!$2:$1048576,MATCH(D$4&amp;$A$4&amp;$B9&amp;$A$1,Data_FP!$A$2:$A$1048576,0),MATCH($A$3,Data_FP!$2:$2,0))</f>
        <v>1.35592E-2</v>
      </c>
      <c r="E9" s="14">
        <f ca="1">IF('User Settings'!$N$7="On",($D9-$C9)/($D$4-$C$4),0)</f>
        <v>-3.3500599999999998E-3</v>
      </c>
      <c r="F9" s="14">
        <f t="shared" ca="1" si="9"/>
        <v>3.5090200000000016E-3</v>
      </c>
      <c r="G9" s="14"/>
      <c r="H9" s="14">
        <f t="shared" ca="1" si="10"/>
        <v>0</v>
      </c>
      <c r="I9" s="14">
        <f t="shared" ca="1" si="4"/>
        <v>-1.1696733333333338E-3</v>
      </c>
      <c r="J9" s="14">
        <f t="shared" ca="1" si="11"/>
        <v>6.8590800000000018E-3</v>
      </c>
      <c r="K9" s="14">
        <f t="shared" ca="1" si="12"/>
        <v>3.5090200000000016E-3</v>
      </c>
      <c r="L9" s="15">
        <f t="shared" ca="1" si="13"/>
        <v>2.339346666666668E-3</v>
      </c>
      <c r="M9" s="15">
        <f t="shared" ca="1" si="13"/>
        <v>1.1696733333333342E-3</v>
      </c>
      <c r="N9" s="15">
        <f t="shared" ca="1" si="13"/>
        <v>4.3368086899420177E-19</v>
      </c>
      <c r="O9" s="15">
        <f t="shared" ca="1" si="13"/>
        <v>0</v>
      </c>
      <c r="P9" s="15">
        <f t="shared" ca="1" si="13"/>
        <v>0</v>
      </c>
      <c r="Q9" s="15">
        <f t="shared" ca="1" si="13"/>
        <v>0</v>
      </c>
      <c r="R9" s="15">
        <f t="shared" ca="1" si="13"/>
        <v>0</v>
      </c>
      <c r="S9" s="15">
        <f t="shared" ca="1" si="13"/>
        <v>0</v>
      </c>
      <c r="T9" s="15">
        <f t="shared" ca="1" si="13"/>
        <v>0</v>
      </c>
      <c r="U9" s="15">
        <f t="shared" ca="1" si="13"/>
        <v>0</v>
      </c>
      <c r="V9" s="15">
        <f t="shared" ca="1" si="13"/>
        <v>0</v>
      </c>
      <c r="W9" s="15">
        <f t="shared" ca="1" si="13"/>
        <v>0</v>
      </c>
      <c r="X9" s="15">
        <f t="shared" ca="1" si="13"/>
        <v>0</v>
      </c>
      <c r="Y9" s="15">
        <f t="shared" ca="1" si="13"/>
        <v>0</v>
      </c>
      <c r="Z9" s="15">
        <f t="shared" ca="1" si="13"/>
        <v>0</v>
      </c>
      <c r="AA9" s="15">
        <f t="shared" ca="1" si="13"/>
        <v>0</v>
      </c>
      <c r="AB9" s="15">
        <f t="shared" ca="1" si="13"/>
        <v>0</v>
      </c>
      <c r="AC9" s="15">
        <f t="shared" ca="1" si="13"/>
        <v>0</v>
      </c>
      <c r="AD9" s="15">
        <f t="shared" ca="1" si="13"/>
        <v>0</v>
      </c>
      <c r="AE9" s="5"/>
      <c r="AG9" s="1" t="s">
        <v>171</v>
      </c>
      <c r="AH9" s="37">
        <f t="shared" ca="1" si="14"/>
        <v>4401.9576029497493</v>
      </c>
      <c r="AI9" s="37">
        <f t="shared" ca="1" si="6"/>
        <v>2338.5878304622615</v>
      </c>
      <c r="AJ9" s="37">
        <f t="shared" ca="1" si="7"/>
        <v>1618.6577650663498</v>
      </c>
      <c r="AK9" s="37">
        <f t="shared" ca="1" si="7"/>
        <v>839.02107935407889</v>
      </c>
      <c r="AL9" s="37">
        <f t="shared" ca="1" si="7"/>
        <v>3.2249642270142274E-13</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INDEX(Data_FP!$2:$1048576,MATCH(C$4&amp;$A$4&amp;$B10&amp;$A$1,Data_FP!$A$2:$A$1048576,0),MATCH($A$3,Data_FP!$2:$2,0))</f>
        <v>6.1181999999999999E-3</v>
      </c>
      <c r="D10" s="14">
        <f ca="1">INDEX(Data_FP!$2:$1048576,MATCH(D$4&amp;$A$4&amp;$B10&amp;$A$1,Data_FP!$A$2:$A$1048576,0),MATCH($A$3,Data_FP!$2:$2,0))</f>
        <v>4.8342000000000003E-3</v>
      </c>
      <c r="E10" s="14">
        <f ca="1">IF('User Settings'!$N$7="On",($D10-$C10)/($D$4-$C$4),0)</f>
        <v>-2.567999999999999E-4</v>
      </c>
      <c r="F10" s="14">
        <f t="shared" ca="1" si="9"/>
        <v>4.0638000000000011E-3</v>
      </c>
      <c r="G10" s="14"/>
      <c r="H10" s="14">
        <f t="shared" ca="1" si="10"/>
        <v>3.293400000000001E-3</v>
      </c>
      <c r="I10" s="14">
        <f t="shared" ca="1" si="4"/>
        <v>-2.5680000000000001E-4</v>
      </c>
      <c r="J10" s="14">
        <f t="shared" ca="1" si="11"/>
        <v>4.3206000000000008E-3</v>
      </c>
      <c r="K10" s="14">
        <f t="shared" ca="1" si="12"/>
        <v>4.0638000000000011E-3</v>
      </c>
      <c r="L10" s="15">
        <f t="shared" ca="1" si="13"/>
        <v>3.8070000000000009E-3</v>
      </c>
      <c r="M10" s="15">
        <f t="shared" ca="1" si="13"/>
        <v>3.5502000000000008E-3</v>
      </c>
      <c r="N10" s="15">
        <f t="shared" ca="1" si="13"/>
        <v>3.2934000000000006E-3</v>
      </c>
      <c r="O10" s="15">
        <f t="shared" ca="1" si="13"/>
        <v>3.0366000000000004E-3</v>
      </c>
      <c r="P10" s="15">
        <f t="shared" ca="1" si="13"/>
        <v>2.7798000000000002E-3</v>
      </c>
      <c r="Q10" s="15">
        <f t="shared" ca="1" si="13"/>
        <v>2.5230000000000001E-3</v>
      </c>
      <c r="R10" s="15">
        <f t="shared" ca="1" si="13"/>
        <v>2.2661999999999999E-3</v>
      </c>
      <c r="S10" s="15">
        <f t="shared" ca="1" si="13"/>
        <v>2.0093999999999997E-3</v>
      </c>
      <c r="T10" s="15">
        <f t="shared" ca="1" si="13"/>
        <v>1.7525999999999998E-3</v>
      </c>
      <c r="U10" s="15">
        <f t="shared" ca="1" si="13"/>
        <v>1.4957999999999998E-3</v>
      </c>
      <c r="V10" s="15">
        <f t="shared" ca="1" si="13"/>
        <v>1.2389999999999999E-3</v>
      </c>
      <c r="W10" s="15">
        <f t="shared" ca="1" si="13"/>
        <v>9.8219999999999991E-4</v>
      </c>
      <c r="X10" s="15">
        <f t="shared" ca="1" si="13"/>
        <v>7.2539999999999996E-4</v>
      </c>
      <c r="Y10" s="15">
        <f t="shared" ca="1" si="13"/>
        <v>4.6859999999999995E-4</v>
      </c>
      <c r="Z10" s="15">
        <f t="shared" ca="1" si="13"/>
        <v>2.1179999999999994E-4</v>
      </c>
      <c r="AA10" s="15">
        <f t="shared" ca="1" si="13"/>
        <v>0</v>
      </c>
      <c r="AB10" s="15">
        <f t="shared" ca="1" si="13"/>
        <v>0</v>
      </c>
      <c r="AC10" s="15">
        <f t="shared" ca="1" si="13"/>
        <v>0</v>
      </c>
      <c r="AD10" s="15">
        <f t="shared" ca="1" si="13"/>
        <v>0</v>
      </c>
      <c r="AE10" s="5"/>
      <c r="AG10" s="1" t="s">
        <v>116</v>
      </c>
      <c r="AH10" s="37">
        <f t="shared" ca="1" si="14"/>
        <v>2772.8351352228992</v>
      </c>
      <c r="AI10" s="37">
        <f t="shared" ca="1" si="6"/>
        <v>2708.3211909400734</v>
      </c>
      <c r="AJ10" s="37">
        <f t="shared" ca="1" si="7"/>
        <v>2634.1671370956528</v>
      </c>
      <c r="AK10" s="37">
        <f t="shared" ca="1" si="7"/>
        <v>2546.602158941399</v>
      </c>
      <c r="AL10" s="37">
        <f t="shared" ca="1" si="7"/>
        <v>2449.0582694784862</v>
      </c>
      <c r="AM10" s="37">
        <f t="shared" ca="1" si="7"/>
        <v>2340.5439724856278</v>
      </c>
      <c r="AN10" s="37">
        <f t="shared" ca="1" si="7"/>
        <v>2220.1264902398971</v>
      </c>
      <c r="AO10" s="37">
        <f t="shared" ca="1" si="7"/>
        <v>2087.1090765772124</v>
      </c>
      <c r="AP10" s="37">
        <f t="shared" ca="1" si="7"/>
        <v>1939.6354796052974</v>
      </c>
      <c r="AQ10" s="37">
        <f t="shared" ca="1" si="7"/>
        <v>1778.950178345719</v>
      </c>
      <c r="AR10" s="37">
        <f t="shared" ca="1" si="7"/>
        <v>1604.4952330568365</v>
      </c>
      <c r="AS10" s="37">
        <f t="shared" ca="1" si="7"/>
        <v>1415.7607443281008</v>
      </c>
      <c r="AT10" s="37">
        <f t="shared" ca="1" si="8"/>
        <v>1212.1449687018521</v>
      </c>
      <c r="AU10" s="37">
        <f t="shared" ca="1" si="8"/>
        <v>992.41984837521272</v>
      </c>
      <c r="AV10" s="37">
        <f t="shared" ca="1" si="8"/>
        <v>756.86891739860687</v>
      </c>
      <c r="AW10" s="37">
        <f t="shared" ca="1" si="8"/>
        <v>504.77189713694702</v>
      </c>
      <c r="AX10" s="37">
        <f t="shared" ca="1" si="8"/>
        <v>235.47146847025491</v>
      </c>
      <c r="AY10" s="37">
        <f t="shared" ca="1" si="8"/>
        <v>0</v>
      </c>
      <c r="AZ10" s="37" t="e">
        <f t="shared" ca="1" si="8"/>
        <v>#N/A</v>
      </c>
      <c r="BA10" s="37" t="e">
        <f t="shared" ca="1" si="8"/>
        <v>#N/A</v>
      </c>
      <c r="BB10" s="37" t="e">
        <f t="shared" ca="1" si="8"/>
        <v>#N/A</v>
      </c>
    </row>
    <row r="11" spans="1:54" x14ac:dyDescent="0.25">
      <c r="C11" s="5">
        <f ca="1">SUM(C5:C10)</f>
        <v>7.8035700000000013E-2</v>
      </c>
      <c r="D11" s="5">
        <f ca="1">SUM(D5:D10)</f>
        <v>6.8542699999999998E-2</v>
      </c>
      <c r="E11" s="143"/>
      <c r="F11" s="132">
        <f ca="1">SUM(F5:F10)</f>
        <v>6.2846899999999997E-2</v>
      </c>
      <c r="G11" s="132"/>
      <c r="H11" s="132">
        <f ca="1">SUM(H5:H10)</f>
        <v>6.3692259999999987E-2</v>
      </c>
      <c r="I11" s="132"/>
      <c r="J11" s="132">
        <f ca="1">SUM(J5:J10)</f>
        <v>6.4745500000000011E-2</v>
      </c>
      <c r="K11" s="132">
        <f ca="1">SUM(K5:K10)</f>
        <v>6.2846899999999997E-2</v>
      </c>
      <c r="L11" s="5">
        <f t="shared" ref="L11:AD11" ca="1" si="15">SUM(L5:L10)</f>
        <v>6.3128686666666656E-2</v>
      </c>
      <c r="M11" s="5">
        <f t="shared" ca="1" si="15"/>
        <v>6.3410473333333328E-2</v>
      </c>
      <c r="N11" s="5">
        <f t="shared" ca="1" si="15"/>
        <v>6.3692259999999987E-2</v>
      </c>
      <c r="O11" s="5">
        <f t="shared" ca="1" si="15"/>
        <v>6.5143719999999988E-2</v>
      </c>
      <c r="P11" s="5">
        <f t="shared" ca="1" si="15"/>
        <v>6.659517999999999E-2</v>
      </c>
      <c r="Q11" s="5">
        <f t="shared" ca="1" si="15"/>
        <v>6.8046639999999992E-2</v>
      </c>
      <c r="R11" s="5">
        <f t="shared" ca="1" si="15"/>
        <v>6.9498099999999979E-2</v>
      </c>
      <c r="S11" s="5">
        <f t="shared" ca="1" si="15"/>
        <v>7.0949559999999981E-2</v>
      </c>
      <c r="T11" s="5">
        <f t="shared" ca="1" si="15"/>
        <v>7.2401019999999983E-2</v>
      </c>
      <c r="U11" s="5">
        <f t="shared" ca="1" si="15"/>
        <v>7.3852479999999984E-2</v>
      </c>
      <c r="V11" s="5">
        <f t="shared" ca="1" si="15"/>
        <v>7.530394E-2</v>
      </c>
      <c r="W11" s="5">
        <f t="shared" ca="1" si="15"/>
        <v>7.6755399999999988E-2</v>
      </c>
      <c r="X11" s="5">
        <f t="shared" ca="1" si="15"/>
        <v>7.8206859999999989E-2</v>
      </c>
      <c r="Y11" s="5">
        <f t="shared" ca="1" si="15"/>
        <v>7.9658319999999991E-2</v>
      </c>
      <c r="Z11" s="5">
        <f t="shared" ca="1" si="15"/>
        <v>8.1109779999999979E-2</v>
      </c>
      <c r="AA11" s="5">
        <f t="shared" ca="1" si="15"/>
        <v>8.2606239999999984E-2</v>
      </c>
      <c r="AB11" s="5">
        <f t="shared" ca="1" si="15"/>
        <v>8.4314499999999987E-2</v>
      </c>
      <c r="AC11" s="5">
        <f t="shared" ca="1" si="15"/>
        <v>8.6022759999999976E-2</v>
      </c>
      <c r="AD11" s="5">
        <f t="shared" ca="1" si="15"/>
        <v>8.7731019999999993E-2</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AI12" s="7"/>
      <c r="AJ12" s="7"/>
      <c r="AK12" s="7"/>
      <c r="AL12" s="7"/>
      <c r="AM12" s="7"/>
      <c r="AN12" s="7"/>
      <c r="AO12" s="7"/>
      <c r="AP12" s="7"/>
      <c r="AQ12" s="7"/>
      <c r="AR12" s="7"/>
      <c r="AS12" s="7"/>
      <c r="AT12" s="7"/>
    </row>
    <row r="13" spans="1:54" x14ac:dyDescent="0.25">
      <c r="A13" s="6" t="s">
        <v>162</v>
      </c>
      <c r="C13" s="4" t="s">
        <v>163</v>
      </c>
      <c r="D13" s="4" t="s">
        <v>164</v>
      </c>
      <c r="F13" s="4" t="s">
        <v>165</v>
      </c>
      <c r="G13" s="4"/>
      <c r="H13" s="4" t="s">
        <v>167</v>
      </c>
      <c r="K13" s="205" t="str">
        <f t="shared" ref="K13:AD13" si="16">IF(K14=Yr_Start,"Start Year",IF(K14=Yr_End,"End Year",""))</f>
        <v>Start Year</v>
      </c>
      <c r="L13" s="205" t="str">
        <f t="shared" si="16"/>
        <v/>
      </c>
      <c r="M13" s="205" t="str">
        <f t="shared" si="16"/>
        <v/>
      </c>
      <c r="N13" s="205" t="str">
        <f t="shared" si="16"/>
        <v>End Year</v>
      </c>
      <c r="O13" s="205" t="str">
        <f t="shared" si="16"/>
        <v/>
      </c>
      <c r="P13" s="205" t="str">
        <f t="shared" si="16"/>
        <v/>
      </c>
      <c r="Q13" s="205" t="str">
        <f t="shared" si="16"/>
        <v/>
      </c>
      <c r="R13" s="205" t="str">
        <f t="shared" si="16"/>
        <v/>
      </c>
      <c r="S13" s="205" t="str">
        <f t="shared" si="16"/>
        <v/>
      </c>
      <c r="T13" s="205" t="str">
        <f t="shared" si="16"/>
        <v/>
      </c>
      <c r="U13" s="205" t="str">
        <f t="shared" si="16"/>
        <v/>
      </c>
      <c r="V13" s="205" t="str">
        <f t="shared" si="16"/>
        <v/>
      </c>
      <c r="W13" s="205" t="str">
        <f t="shared" si="16"/>
        <v/>
      </c>
      <c r="X13" s="205" t="str">
        <f t="shared" si="16"/>
        <v/>
      </c>
      <c r="Y13" s="205" t="str">
        <f t="shared" si="16"/>
        <v/>
      </c>
      <c r="Z13" s="205" t="str">
        <f t="shared" si="16"/>
        <v/>
      </c>
      <c r="AA13" s="205" t="str">
        <f t="shared" si="16"/>
        <v/>
      </c>
      <c r="AB13" s="205" t="str">
        <f t="shared" si="16"/>
        <v/>
      </c>
      <c r="AC13" s="205" t="str">
        <f t="shared" si="16"/>
        <v/>
      </c>
      <c r="AD13" s="205" t="str">
        <f t="shared" si="16"/>
        <v/>
      </c>
      <c r="AE13" s="35"/>
      <c r="AF13" s="6" t="str">
        <f>A13</f>
        <v>Richest</v>
      </c>
      <c r="AI13" s="205" t="str">
        <f t="shared" ref="AI13:BB13" si="17">IF(AI14=Yr_Start,"Start Year",IF(AI14=Yr_End,"End Year",""))</f>
        <v>Start Year</v>
      </c>
      <c r="AJ13" s="205" t="str">
        <f t="shared" si="17"/>
        <v/>
      </c>
      <c r="AK13" s="205" t="str">
        <f t="shared" si="17"/>
        <v/>
      </c>
      <c r="AL13" s="205" t="str">
        <f t="shared" si="17"/>
        <v>End Year</v>
      </c>
      <c r="AM13" s="205" t="str">
        <f t="shared" si="17"/>
        <v/>
      </c>
      <c r="AN13" s="205" t="str">
        <f t="shared" si="17"/>
        <v/>
      </c>
      <c r="AO13" s="205" t="str">
        <f t="shared" si="17"/>
        <v/>
      </c>
      <c r="AP13" s="205" t="str">
        <f t="shared" si="17"/>
        <v/>
      </c>
      <c r="AQ13" s="205" t="str">
        <f t="shared" si="17"/>
        <v/>
      </c>
      <c r="AR13" s="205" t="str">
        <f t="shared" si="17"/>
        <v/>
      </c>
      <c r="AS13" s="205" t="str">
        <f t="shared" si="17"/>
        <v/>
      </c>
      <c r="AT13" s="205" t="str">
        <f t="shared" si="17"/>
        <v/>
      </c>
      <c r="AU13" s="205" t="str">
        <f t="shared" si="17"/>
        <v/>
      </c>
      <c r="AV13" s="205" t="str">
        <f t="shared" si="17"/>
        <v/>
      </c>
      <c r="AW13" s="205" t="str">
        <f t="shared" si="17"/>
        <v/>
      </c>
      <c r="AX13" s="205" t="str">
        <f t="shared" si="17"/>
        <v/>
      </c>
      <c r="AY13" s="205" t="str">
        <f t="shared" si="17"/>
        <v/>
      </c>
      <c r="AZ13" s="205" t="str">
        <f t="shared" si="17"/>
        <v/>
      </c>
      <c r="BA13" s="205" t="str">
        <f t="shared" si="17"/>
        <v/>
      </c>
      <c r="BB13" s="205" t="str">
        <f t="shared" si="17"/>
        <v/>
      </c>
    </row>
    <row r="14" spans="1:54" x14ac:dyDescent="0.25">
      <c r="A14" s="6" t="s">
        <v>21</v>
      </c>
      <c r="B14" s="36"/>
      <c r="C14" s="36">
        <f>Yr_DHS1</f>
        <v>2011</v>
      </c>
      <c r="D14" s="36">
        <f>Yr_DHS2</f>
        <v>2016</v>
      </c>
      <c r="E14" s="36" t="s">
        <v>168</v>
      </c>
      <c r="F14" s="36">
        <f>Yr_Start</f>
        <v>2019</v>
      </c>
      <c r="G14" s="36"/>
      <c r="H14" s="36">
        <f>Yr_End</f>
        <v>2022</v>
      </c>
      <c r="I14" s="36" t="s">
        <v>169</v>
      </c>
      <c r="J14" s="130">
        <f>K14-1</f>
        <v>2018</v>
      </c>
      <c r="K14" s="130">
        <f>Yr_Start</f>
        <v>2019</v>
      </c>
      <c r="L14" s="130">
        <f>K14+1</f>
        <v>2020</v>
      </c>
      <c r="M14" s="130">
        <f t="shared" ref="M14:AD14" si="18">L14+1</f>
        <v>2021</v>
      </c>
      <c r="N14" s="130">
        <f t="shared" si="18"/>
        <v>2022</v>
      </c>
      <c r="O14" s="130">
        <f t="shared" si="18"/>
        <v>2023</v>
      </c>
      <c r="P14" s="130">
        <f t="shared" si="18"/>
        <v>2024</v>
      </c>
      <c r="Q14" s="130">
        <f t="shared" si="18"/>
        <v>2025</v>
      </c>
      <c r="R14" s="130">
        <f t="shared" si="18"/>
        <v>2026</v>
      </c>
      <c r="S14" s="130">
        <f t="shared" si="18"/>
        <v>2027</v>
      </c>
      <c r="T14" s="130">
        <f t="shared" si="18"/>
        <v>2028</v>
      </c>
      <c r="U14" s="130">
        <f t="shared" si="18"/>
        <v>2029</v>
      </c>
      <c r="V14" s="130">
        <f t="shared" si="18"/>
        <v>2030</v>
      </c>
      <c r="W14" s="130">
        <f t="shared" si="18"/>
        <v>2031</v>
      </c>
      <c r="X14" s="130">
        <f t="shared" si="18"/>
        <v>2032</v>
      </c>
      <c r="Y14" s="130">
        <f t="shared" si="18"/>
        <v>2033</v>
      </c>
      <c r="Z14" s="130">
        <f t="shared" si="18"/>
        <v>2034</v>
      </c>
      <c r="AA14" s="130">
        <f t="shared" si="18"/>
        <v>2035</v>
      </c>
      <c r="AB14" s="130">
        <f t="shared" si="18"/>
        <v>2036</v>
      </c>
      <c r="AC14" s="130">
        <f t="shared" si="18"/>
        <v>2037</v>
      </c>
      <c r="AD14" s="130">
        <f t="shared" si="18"/>
        <v>2038</v>
      </c>
      <c r="AE14" s="6"/>
      <c r="AF14" s="6" t="str">
        <f>A14</f>
        <v>Rural</v>
      </c>
      <c r="AG14" s="38"/>
      <c r="AH14" s="161">
        <f>AI14-1</f>
        <v>2018</v>
      </c>
      <c r="AI14" s="36">
        <f>Yr_Start</f>
        <v>2019</v>
      </c>
      <c r="AJ14" s="36">
        <f>AI14+1</f>
        <v>2020</v>
      </c>
      <c r="AK14" s="36">
        <f t="shared" ref="AK14:BB14" si="19">AJ14+1</f>
        <v>2021</v>
      </c>
      <c r="AL14" s="36">
        <f t="shared" si="19"/>
        <v>2022</v>
      </c>
      <c r="AM14" s="36">
        <f t="shared" si="19"/>
        <v>2023</v>
      </c>
      <c r="AN14" s="36">
        <f t="shared" si="19"/>
        <v>2024</v>
      </c>
      <c r="AO14" s="36">
        <f t="shared" si="19"/>
        <v>2025</v>
      </c>
      <c r="AP14" s="36">
        <f t="shared" si="19"/>
        <v>2026</v>
      </c>
      <c r="AQ14" s="36">
        <f t="shared" si="19"/>
        <v>2027</v>
      </c>
      <c r="AR14" s="36">
        <f t="shared" si="19"/>
        <v>2028</v>
      </c>
      <c r="AS14" s="36">
        <f t="shared" si="19"/>
        <v>2029</v>
      </c>
      <c r="AT14" s="36">
        <f t="shared" si="19"/>
        <v>2030</v>
      </c>
      <c r="AU14" s="36">
        <f t="shared" si="19"/>
        <v>2031</v>
      </c>
      <c r="AV14" s="36">
        <f t="shared" si="19"/>
        <v>2032</v>
      </c>
      <c r="AW14" s="36">
        <f t="shared" si="19"/>
        <v>2033</v>
      </c>
      <c r="AX14" s="36">
        <f t="shared" si="19"/>
        <v>2034</v>
      </c>
      <c r="AY14" s="36">
        <f t="shared" si="19"/>
        <v>2035</v>
      </c>
      <c r="AZ14" s="36">
        <f t="shared" si="19"/>
        <v>2036</v>
      </c>
      <c r="BA14" s="36">
        <f t="shared" si="19"/>
        <v>2037</v>
      </c>
      <c r="BB14" s="36">
        <f t="shared" si="19"/>
        <v>2038</v>
      </c>
    </row>
    <row r="15" spans="1:54" x14ac:dyDescent="0.25">
      <c r="B15" s="1" t="s">
        <v>52</v>
      </c>
      <c r="C15" s="14">
        <f ca="1">INDEX(Data_FP!$2:$1048576,MATCH(C$4&amp;$A$14&amp;$B15&amp;$A$1,Data_FP!$A$2:$A$1048576,0),MATCH($A$13,Data_FP!$2:$2,0))</f>
        <v>1.2071E-2</v>
      </c>
      <c r="D15" s="14">
        <f ca="1">INDEX(Data_FP!$2:$1048576,MATCH(D$4&amp;$A$14&amp;$B15&amp;$A$1,Data_FP!$A$2:$A$1048576,0),MATCH($A$13,Data_FP!$2:$2,0))</f>
        <v>1.3306E-2</v>
      </c>
      <c r="E15" s="14">
        <f ca="1">IF('User Settings'!$N$7="On",($D15-$C15)/($D$4-$C$4),0)</f>
        <v>2.4699999999999999E-4</v>
      </c>
      <c r="F15" s="14">
        <f ca="1">MAX(0,MIN(1,($D15+$E15*(F$4-$D$4))))</f>
        <v>1.4047E-2</v>
      </c>
      <c r="G15" s="14"/>
      <c r="H15" s="14">
        <f ca="1">MAX(0,MIN(1,($D15+$E15*(H$4-$D$4))*$H$1))</f>
        <v>1.4787999999999999E-2</v>
      </c>
      <c r="I15" s="14">
        <f ca="1">($H15-$F15)/($H$4-$F$4)</f>
        <v>2.4699999999999955E-4</v>
      </c>
      <c r="J15" s="14">
        <f ca="1">K15-E15</f>
        <v>1.38E-2</v>
      </c>
      <c r="K15" s="14">
        <f ca="1">MAX(0,MIN(1,D15+(K$4-D$4)*E15))</f>
        <v>1.4047E-2</v>
      </c>
      <c r="L15" s="15">
        <f ca="1">MAX(0,MIN(1,K15+$I15))</f>
        <v>1.4293999999999999E-2</v>
      </c>
      <c r="M15" s="15">
        <f t="shared" ref="M15:AD15" ca="1" si="20">MAX(0,MIN(1,L15+$I15))</f>
        <v>1.4540999999999998E-2</v>
      </c>
      <c r="N15" s="15">
        <f ca="1">MAX(0,MIN(1,M15+$I15))</f>
        <v>1.4787999999999997E-2</v>
      </c>
      <c r="O15" s="15">
        <f t="shared" ca="1" si="20"/>
        <v>1.5034999999999996E-2</v>
      </c>
      <c r="P15" s="15">
        <f t="shared" ca="1" si="20"/>
        <v>1.5281999999999995E-2</v>
      </c>
      <c r="Q15" s="15">
        <f t="shared" ca="1" si="20"/>
        <v>1.5528999999999994E-2</v>
      </c>
      <c r="R15" s="15">
        <f t="shared" ca="1" si="20"/>
        <v>1.5775999999999995E-2</v>
      </c>
      <c r="S15" s="15">
        <f t="shared" ca="1" si="20"/>
        <v>1.6022999999999996E-2</v>
      </c>
      <c r="T15" s="15">
        <f t="shared" ca="1" si="20"/>
        <v>1.6269999999999996E-2</v>
      </c>
      <c r="U15" s="15">
        <f t="shared" ca="1" si="20"/>
        <v>1.6516999999999997E-2</v>
      </c>
      <c r="V15" s="15">
        <f t="shared" ca="1" si="20"/>
        <v>1.6763999999999998E-2</v>
      </c>
      <c r="W15" s="15">
        <f t="shared" ca="1" si="20"/>
        <v>1.7010999999999998E-2</v>
      </c>
      <c r="X15" s="15">
        <f t="shared" ca="1" si="20"/>
        <v>1.7257999999999999E-2</v>
      </c>
      <c r="Y15" s="15">
        <f t="shared" ca="1" si="20"/>
        <v>1.7505E-2</v>
      </c>
      <c r="Z15" s="15">
        <f t="shared" ca="1" si="20"/>
        <v>1.7752E-2</v>
      </c>
      <c r="AA15" s="15">
        <f t="shared" ca="1" si="20"/>
        <v>1.7999000000000001E-2</v>
      </c>
      <c r="AB15" s="15">
        <f t="shared" ca="1" si="20"/>
        <v>1.8246000000000002E-2</v>
      </c>
      <c r="AC15" s="15">
        <f t="shared" ca="1" si="20"/>
        <v>1.8493000000000002E-2</v>
      </c>
      <c r="AD15" s="15">
        <f t="shared" ca="1" si="20"/>
        <v>1.8740000000000003E-2</v>
      </c>
      <c r="AE15" s="5"/>
      <c r="AG15" s="1" t="s">
        <v>52</v>
      </c>
      <c r="AH15" s="37">
        <f ca="1">J15*AH$21</f>
        <v>22859.29306938672</v>
      </c>
      <c r="AI15" s="37">
        <f t="shared" ref="AI15:AI20" ca="1" si="21">K15*AI$21</f>
        <v>24163.238819141341</v>
      </c>
      <c r="AJ15" s="37">
        <f t="shared" ref="AJ15:AS20" ca="1" si="22">L15*AJ$21</f>
        <v>25528.068135328602</v>
      </c>
      <c r="AK15" s="37">
        <f t="shared" ca="1" si="22"/>
        <v>26921.935519269526</v>
      </c>
      <c r="AL15" s="37">
        <f t="shared" ca="1" si="22"/>
        <v>28383.62112141637</v>
      </c>
      <c r="AM15" s="37">
        <f t="shared" ca="1" si="22"/>
        <v>29911.374580069001</v>
      </c>
      <c r="AN15" s="37">
        <f t="shared" ca="1" si="22"/>
        <v>31502.722352760527</v>
      </c>
      <c r="AO15" s="37">
        <f t="shared" ca="1" si="22"/>
        <v>33156.990758861066</v>
      </c>
      <c r="AP15" s="37">
        <f t="shared" ca="1" si="22"/>
        <v>34851.58259499821</v>
      </c>
      <c r="AQ15" s="37">
        <f t="shared" ca="1" si="22"/>
        <v>36613.811566774682</v>
      </c>
      <c r="AR15" s="37">
        <f t="shared" ca="1" si="22"/>
        <v>38445.622632503058</v>
      </c>
      <c r="AS15" s="37">
        <f t="shared" ca="1" si="22"/>
        <v>40350.714393541944</v>
      </c>
      <c r="AT15" s="37">
        <f t="shared" ref="AT15:BB20" ca="1" si="23">V15*AT$21</f>
        <v>42331.594859712735</v>
      </c>
      <c r="AU15" s="37">
        <f t="shared" ca="1" si="23"/>
        <v>44363.834694122743</v>
      </c>
      <c r="AV15" s="37">
        <f t="shared" ca="1" si="23"/>
        <v>46476.91634449811</v>
      </c>
      <c r="AW15" s="37">
        <f t="shared" ca="1" si="23"/>
        <v>48669.705765142244</v>
      </c>
      <c r="AX15" s="37">
        <f t="shared" ca="1" si="23"/>
        <v>50940.516922741153</v>
      </c>
      <c r="AY15" s="37">
        <f t="shared" ca="1" si="23"/>
        <v>53288.5800551926</v>
      </c>
      <c r="AZ15" s="37" t="e">
        <f t="shared" ca="1" si="23"/>
        <v>#N/A</v>
      </c>
      <c r="BA15" s="37" t="e">
        <f t="shared" ca="1" si="23"/>
        <v>#N/A</v>
      </c>
      <c r="BB15" s="37" t="e">
        <f t="shared" ca="1" si="23"/>
        <v>#N/A</v>
      </c>
    </row>
    <row r="16" spans="1:54" x14ac:dyDescent="0.25">
      <c r="B16" s="1" t="s">
        <v>54</v>
      </c>
      <c r="C16" s="14">
        <f ca="1">INDEX(Data_FP!$2:$1048576,MATCH(C$4&amp;$A$14&amp;$B16&amp;$A$1,Data_FP!$A$2:$A$1048576,0),MATCH($A$13,Data_FP!$2:$2,0))</f>
        <v>1.8146E-3</v>
      </c>
      <c r="D16" s="14">
        <f ca="1">INDEX(Data_FP!$2:$1048576,MATCH(D$4&amp;$A$14&amp;$B16&amp;$A$1,Data_FP!$A$2:$A$1048576,0),MATCH($A$13,Data_FP!$2:$2,0))</f>
        <v>2.053E-4</v>
      </c>
      <c r="E16" s="14">
        <f ca="1">IF('User Settings'!$N$7="On",($D16-$C16)/($D$4-$C$4),0)</f>
        <v>-3.2185999999999998E-4</v>
      </c>
      <c r="F16" s="14">
        <f t="shared" ref="F16:F20" ca="1" si="24">MAX(0,MIN(1,($D16+$E16*(F$4-$D$4))))</f>
        <v>0</v>
      </c>
      <c r="G16" s="14"/>
      <c r="H16" s="14">
        <f t="shared" ref="H16:H20" ca="1" si="25">MAX(0,MIN(1,($D16+$E16*(H$4-$D$4))*$H$1))</f>
        <v>0</v>
      </c>
      <c r="I16" s="14">
        <f ca="1">($H16-$F16)/($H$4-$F$4)</f>
        <v>0</v>
      </c>
      <c r="J16" s="14">
        <f t="shared" ref="J16:J20" ca="1" si="26">K16-E16</f>
        <v>3.2185999999999998E-4</v>
      </c>
      <c r="K16" s="14">
        <f t="shared" ref="K16:K20" ca="1" si="27">MAX(0,MIN(1,D16+(K$4-D$4)*E16))</f>
        <v>0</v>
      </c>
      <c r="L16" s="15">
        <f t="shared" ref="L16:AD20" ca="1" si="28">MAX(0,MIN(1,K16+$I16))</f>
        <v>0</v>
      </c>
      <c r="M16" s="15">
        <f t="shared" ca="1" si="28"/>
        <v>0</v>
      </c>
      <c r="N16" s="15">
        <f t="shared" ca="1" si="28"/>
        <v>0</v>
      </c>
      <c r="O16" s="15">
        <f t="shared" ca="1" si="28"/>
        <v>0</v>
      </c>
      <c r="P16" s="15">
        <f t="shared" ca="1" si="28"/>
        <v>0</v>
      </c>
      <c r="Q16" s="15">
        <f t="shared" ca="1" si="28"/>
        <v>0</v>
      </c>
      <c r="R16" s="15">
        <f t="shared" ca="1" si="28"/>
        <v>0</v>
      </c>
      <c r="S16" s="15">
        <f t="shared" ca="1" si="28"/>
        <v>0</v>
      </c>
      <c r="T16" s="15">
        <f t="shared" ca="1" si="28"/>
        <v>0</v>
      </c>
      <c r="U16" s="15">
        <f t="shared" ca="1" si="28"/>
        <v>0</v>
      </c>
      <c r="V16" s="15">
        <f t="shared" ca="1" si="28"/>
        <v>0</v>
      </c>
      <c r="W16" s="15">
        <f t="shared" ca="1" si="28"/>
        <v>0</v>
      </c>
      <c r="X16" s="15">
        <f t="shared" ca="1" si="28"/>
        <v>0</v>
      </c>
      <c r="Y16" s="15">
        <f t="shared" ca="1" si="28"/>
        <v>0</v>
      </c>
      <c r="Z16" s="15">
        <f t="shared" ca="1" si="28"/>
        <v>0</v>
      </c>
      <c r="AA16" s="15">
        <f t="shared" ca="1" si="28"/>
        <v>0</v>
      </c>
      <c r="AB16" s="15">
        <f t="shared" ca="1" si="28"/>
        <v>0</v>
      </c>
      <c r="AC16" s="15">
        <f t="shared" ca="1" si="28"/>
        <v>0</v>
      </c>
      <c r="AD16" s="15">
        <f t="shared" ca="1" si="28"/>
        <v>0</v>
      </c>
      <c r="AE16" s="5"/>
      <c r="AG16" s="1" t="s">
        <v>54</v>
      </c>
      <c r="AH16" s="37">
        <f t="shared" ref="AH16:AH20" ca="1" si="29">J16*AH$21</f>
        <v>533.15159908063833</v>
      </c>
      <c r="AI16" s="37">
        <f t="shared" ca="1" si="21"/>
        <v>0</v>
      </c>
      <c r="AJ16" s="37">
        <f t="shared" ca="1" si="22"/>
        <v>0</v>
      </c>
      <c r="AK16" s="37">
        <f t="shared" ca="1" si="22"/>
        <v>0</v>
      </c>
      <c r="AL16" s="37">
        <f t="shared" ca="1" si="22"/>
        <v>0</v>
      </c>
      <c r="AM16" s="37">
        <f t="shared" ca="1" si="22"/>
        <v>0</v>
      </c>
      <c r="AN16" s="37">
        <f t="shared" ca="1" si="22"/>
        <v>0</v>
      </c>
      <c r="AO16" s="37">
        <f t="shared" ca="1" si="22"/>
        <v>0</v>
      </c>
      <c r="AP16" s="37">
        <f t="shared" ca="1" si="22"/>
        <v>0</v>
      </c>
      <c r="AQ16" s="37">
        <f t="shared" ca="1" si="22"/>
        <v>0</v>
      </c>
      <c r="AR16" s="37">
        <f t="shared" ca="1" si="22"/>
        <v>0</v>
      </c>
      <c r="AS16" s="37">
        <f t="shared" ca="1" si="22"/>
        <v>0</v>
      </c>
      <c r="AT16" s="37">
        <f t="shared" ca="1" si="23"/>
        <v>0</v>
      </c>
      <c r="AU16" s="37">
        <f t="shared" ca="1" si="23"/>
        <v>0</v>
      </c>
      <c r="AV16" s="37">
        <f t="shared" ca="1" si="23"/>
        <v>0</v>
      </c>
      <c r="AW16" s="37">
        <f t="shared" ca="1" si="23"/>
        <v>0</v>
      </c>
      <c r="AX16" s="37">
        <f t="shared" ca="1" si="23"/>
        <v>0</v>
      </c>
      <c r="AY16" s="37">
        <f t="shared" ca="1" si="23"/>
        <v>0</v>
      </c>
      <c r="AZ16" s="37" t="e">
        <f t="shared" ca="1" si="23"/>
        <v>#N/A</v>
      </c>
      <c r="BA16" s="37" t="e">
        <f t="shared" ca="1" si="23"/>
        <v>#N/A</v>
      </c>
      <c r="BB16" s="37" t="e">
        <f t="shared" ca="1" si="23"/>
        <v>#N/A</v>
      </c>
    </row>
    <row r="17" spans="1:54" x14ac:dyDescent="0.25">
      <c r="B17" s="1" t="s">
        <v>170</v>
      </c>
      <c r="C17" s="14">
        <f ca="1">INDEX(Data_FP!$2:$1048576,MATCH(C$4&amp;$A$14&amp;$B17&amp;$A$1,Data_FP!$A$2:$A$1048576,0),MATCH($A$13,Data_FP!$2:$2,0))</f>
        <v>1.1183E-3</v>
      </c>
      <c r="D17" s="14">
        <f ca="1">INDEX(Data_FP!$2:$1048576,MATCH(D$4&amp;$A$14&amp;$B17&amp;$A$1,Data_FP!$A$2:$A$1048576,0),MATCH($A$13,Data_FP!$2:$2,0))</f>
        <v>1.2817E-3</v>
      </c>
      <c r="E17" s="14">
        <f ca="1">IF('User Settings'!$N$7="On",($D17-$C17)/($D$4-$C$4),0)</f>
        <v>3.2679999999999992E-5</v>
      </c>
      <c r="F17" s="14">
        <f t="shared" ca="1" si="24"/>
        <v>1.37974E-3</v>
      </c>
      <c r="G17" s="14"/>
      <c r="H17" s="14">
        <f t="shared" ca="1" si="25"/>
        <v>1.4777799999999999E-3</v>
      </c>
      <c r="I17" s="14">
        <f t="shared" ref="I17:I20" ca="1" si="30">($H17-$F17)/($H$4-$F$4)</f>
        <v>3.2679999999999992E-5</v>
      </c>
      <c r="J17" s="14">
        <f t="shared" ca="1" si="26"/>
        <v>1.34706E-3</v>
      </c>
      <c r="K17" s="14">
        <f t="shared" ca="1" si="27"/>
        <v>1.37974E-3</v>
      </c>
      <c r="L17" s="15">
        <f t="shared" ca="1" si="28"/>
        <v>1.41242E-3</v>
      </c>
      <c r="M17" s="15">
        <f t="shared" ca="1" si="28"/>
        <v>1.4450999999999999E-3</v>
      </c>
      <c r="N17" s="15">
        <f t="shared" ca="1" si="28"/>
        <v>1.4777799999999999E-3</v>
      </c>
      <c r="O17" s="15">
        <f t="shared" ca="1" si="28"/>
        <v>1.5104599999999999E-3</v>
      </c>
      <c r="P17" s="15">
        <f t="shared" ca="1" si="28"/>
        <v>1.5431399999999999E-3</v>
      </c>
      <c r="Q17" s="15">
        <f t="shared" ca="1" si="28"/>
        <v>1.5758199999999999E-3</v>
      </c>
      <c r="R17" s="15">
        <f t="shared" ca="1" si="28"/>
        <v>1.6084999999999999E-3</v>
      </c>
      <c r="S17" s="15">
        <f t="shared" ca="1" si="28"/>
        <v>1.6411799999999999E-3</v>
      </c>
      <c r="T17" s="15">
        <f t="shared" ca="1" si="28"/>
        <v>1.6738599999999999E-3</v>
      </c>
      <c r="U17" s="15">
        <f t="shared" ca="1" si="28"/>
        <v>1.7065399999999999E-3</v>
      </c>
      <c r="V17" s="15">
        <f t="shared" ca="1" si="28"/>
        <v>1.7392199999999999E-3</v>
      </c>
      <c r="W17" s="15">
        <f t="shared" ca="1" si="28"/>
        <v>1.7718999999999999E-3</v>
      </c>
      <c r="X17" s="15">
        <f t="shared" ca="1" si="28"/>
        <v>1.8045799999999999E-3</v>
      </c>
      <c r="Y17" s="15">
        <f t="shared" ca="1" si="28"/>
        <v>1.8372599999999998E-3</v>
      </c>
      <c r="Z17" s="15">
        <f t="shared" ca="1" si="28"/>
        <v>1.8699399999999998E-3</v>
      </c>
      <c r="AA17" s="15">
        <f t="shared" ca="1" si="28"/>
        <v>1.9026199999999998E-3</v>
      </c>
      <c r="AB17" s="15">
        <f t="shared" ca="1" si="28"/>
        <v>1.9352999999999998E-3</v>
      </c>
      <c r="AC17" s="15">
        <f t="shared" ca="1" si="28"/>
        <v>1.9679799999999998E-3</v>
      </c>
      <c r="AD17" s="15">
        <f t="shared" ca="1" si="28"/>
        <v>2.0006599999999996E-3</v>
      </c>
      <c r="AE17" s="5"/>
      <c r="AG17" s="1" t="s">
        <v>170</v>
      </c>
      <c r="AH17" s="37">
        <f t="shared" ca="1" si="29"/>
        <v>2231.3651682643535</v>
      </c>
      <c r="AI17" s="37">
        <f t="shared" ca="1" si="21"/>
        <v>2373.3884194719208</v>
      </c>
      <c r="AJ17" s="37">
        <f t="shared" ca="1" si="22"/>
        <v>2522.4817402896897</v>
      </c>
      <c r="AK17" s="37">
        <f t="shared" ca="1" si="22"/>
        <v>2675.5305012651397</v>
      </c>
      <c r="AL17" s="37">
        <f t="shared" ca="1" si="22"/>
        <v>2836.4043562893353</v>
      </c>
      <c r="AM17" s="37">
        <f t="shared" ca="1" si="22"/>
        <v>3004.9840271507173</v>
      </c>
      <c r="AN17" s="37">
        <f t="shared" ca="1" si="22"/>
        <v>3181.0699497080809</v>
      </c>
      <c r="AO17" s="37">
        <f t="shared" ca="1" si="22"/>
        <v>3364.6370775728292</v>
      </c>
      <c r="AP17" s="37">
        <f t="shared" ca="1" si="22"/>
        <v>3553.4210575592438</v>
      </c>
      <c r="AQ17" s="37">
        <f t="shared" ca="1" si="22"/>
        <v>3750.2250057516876</v>
      </c>
      <c r="AR17" s="37">
        <f t="shared" ca="1" si="22"/>
        <v>3955.2913275747742</v>
      </c>
      <c r="AS17" s="37">
        <f t="shared" ca="1" si="22"/>
        <v>4169.044508152514</v>
      </c>
      <c r="AT17" s="37">
        <f t="shared" ca="1" si="23"/>
        <v>4391.789334998186</v>
      </c>
      <c r="AU17" s="37">
        <f t="shared" ca="1" si="23"/>
        <v>4621.0263179422782</v>
      </c>
      <c r="AV17" s="37">
        <f t="shared" ca="1" si="23"/>
        <v>4859.851297772303</v>
      </c>
      <c r="AW17" s="37">
        <f t="shared" ca="1" si="23"/>
        <v>5108.1921516175516</v>
      </c>
      <c r="AX17" s="37">
        <f t="shared" ca="1" si="23"/>
        <v>5365.9142752653552</v>
      </c>
      <c r="AY17" s="37">
        <f t="shared" ca="1" si="23"/>
        <v>5632.9750644263868</v>
      </c>
      <c r="AZ17" s="37" t="e">
        <f t="shared" ca="1" si="23"/>
        <v>#N/A</v>
      </c>
      <c r="BA17" s="37" t="e">
        <f t="shared" ca="1" si="23"/>
        <v>#N/A</v>
      </c>
      <c r="BB17" s="37" t="e">
        <f t="shared" ca="1" si="23"/>
        <v>#N/A</v>
      </c>
    </row>
    <row r="18" spans="1:54" x14ac:dyDescent="0.25">
      <c r="B18" s="1" t="s">
        <v>59</v>
      </c>
      <c r="C18" s="14">
        <f ca="1">INDEX(Data_FP!$2:$1048576,MATCH(C$4&amp;$A$14&amp;$B18&amp;$A$1,Data_FP!$A$2:$A$1048576,0),MATCH($A$13,Data_FP!$2:$2,0))</f>
        <v>1.2739199999999999E-2</v>
      </c>
      <c r="D18" s="14">
        <f ca="1">INDEX(Data_FP!$2:$1048576,MATCH(D$4&amp;$A$14&amp;$B18&amp;$A$1,Data_FP!$A$2:$A$1048576,0),MATCH($A$13,Data_FP!$2:$2,0))</f>
        <v>1.34132E-2</v>
      </c>
      <c r="E18" s="14">
        <f ca="1">IF('User Settings'!$N$7="On",($D18-$C18)/($D$4-$C$4),0)</f>
        <v>1.3480000000000019E-4</v>
      </c>
      <c r="F18" s="14">
        <f t="shared" ca="1" si="24"/>
        <v>1.3817600000000001E-2</v>
      </c>
      <c r="G18" s="14"/>
      <c r="H18" s="14">
        <f t="shared" ca="1" si="25"/>
        <v>1.4222000000000002E-2</v>
      </c>
      <c r="I18" s="14">
        <f t="shared" ca="1" si="30"/>
        <v>1.3480000000000032E-4</v>
      </c>
      <c r="J18" s="14">
        <f t="shared" ca="1" si="26"/>
        <v>1.36828E-2</v>
      </c>
      <c r="K18" s="14">
        <f t="shared" ca="1" si="27"/>
        <v>1.3817600000000001E-2</v>
      </c>
      <c r="L18" s="15">
        <f t="shared" ca="1" si="28"/>
        <v>1.3952400000000002E-2</v>
      </c>
      <c r="M18" s="15">
        <f t="shared" ca="1" si="28"/>
        <v>1.4087200000000003E-2</v>
      </c>
      <c r="N18" s="15">
        <f t="shared" ca="1" si="28"/>
        <v>1.4222000000000004E-2</v>
      </c>
      <c r="O18" s="15">
        <f t="shared" ca="1" si="28"/>
        <v>1.4356800000000005E-2</v>
      </c>
      <c r="P18" s="15">
        <f t="shared" ca="1" si="28"/>
        <v>1.4491600000000006E-2</v>
      </c>
      <c r="Q18" s="15">
        <f t="shared" ca="1" si="28"/>
        <v>1.4626400000000006E-2</v>
      </c>
      <c r="R18" s="15">
        <f t="shared" ca="1" si="28"/>
        <v>1.4761200000000007E-2</v>
      </c>
      <c r="S18" s="15">
        <f t="shared" ca="1" si="28"/>
        <v>1.4896000000000008E-2</v>
      </c>
      <c r="T18" s="15">
        <f t="shared" ca="1" si="28"/>
        <v>1.5030800000000009E-2</v>
      </c>
      <c r="U18" s="15">
        <f t="shared" ca="1" si="28"/>
        <v>1.516560000000001E-2</v>
      </c>
      <c r="V18" s="15">
        <f t="shared" ca="1" si="28"/>
        <v>1.5300400000000011E-2</v>
      </c>
      <c r="W18" s="15">
        <f t="shared" ca="1" si="28"/>
        <v>1.5435200000000012E-2</v>
      </c>
      <c r="X18" s="15">
        <f t="shared" ca="1" si="28"/>
        <v>1.5570000000000013E-2</v>
      </c>
      <c r="Y18" s="15">
        <f t="shared" ca="1" si="28"/>
        <v>1.5704800000000012E-2</v>
      </c>
      <c r="Z18" s="15">
        <f t="shared" ca="1" si="28"/>
        <v>1.5839600000000013E-2</v>
      </c>
      <c r="AA18" s="15">
        <f t="shared" ca="1" si="28"/>
        <v>1.5974400000000014E-2</v>
      </c>
      <c r="AB18" s="15">
        <f t="shared" ca="1" si="28"/>
        <v>1.6109200000000014E-2</v>
      </c>
      <c r="AC18" s="15">
        <f t="shared" ca="1" si="28"/>
        <v>1.6244000000000015E-2</v>
      </c>
      <c r="AD18" s="15">
        <f t="shared" ca="1" si="28"/>
        <v>1.6378800000000016E-2</v>
      </c>
      <c r="AE18" s="5"/>
      <c r="AG18" s="1" t="s">
        <v>59</v>
      </c>
      <c r="AH18" s="37">
        <f t="shared" ca="1" si="29"/>
        <v>22665.154725348162</v>
      </c>
      <c r="AI18" s="37">
        <f t="shared" ca="1" si="21"/>
        <v>23768.631644291836</v>
      </c>
      <c r="AJ18" s="37">
        <f t="shared" ca="1" si="22"/>
        <v>24917.994812603807</v>
      </c>
      <c r="AK18" s="37">
        <f t="shared" ca="1" si="22"/>
        <v>26081.747475899443</v>
      </c>
      <c r="AL18" s="37">
        <f t="shared" ca="1" si="22"/>
        <v>27297.258560236936</v>
      </c>
      <c r="AM18" s="37">
        <f t="shared" ca="1" si="22"/>
        <v>28562.129868382766</v>
      </c>
      <c r="AN18" s="37">
        <f t="shared" ca="1" si="22"/>
        <v>29873.370713732806</v>
      </c>
      <c r="AO18" s="37">
        <f t="shared" ca="1" si="22"/>
        <v>31229.790046712984</v>
      </c>
      <c r="AP18" s="37">
        <f t="shared" ca="1" si="22"/>
        <v>32609.735104037016</v>
      </c>
      <c r="AQ18" s="37">
        <f t="shared" ca="1" si="22"/>
        <v>34038.528184402181</v>
      </c>
      <c r="AR18" s="37">
        <f t="shared" ca="1" si="22"/>
        <v>35517.422536240163</v>
      </c>
      <c r="AS18" s="37">
        <f t="shared" ca="1" si="22"/>
        <v>37049.270097880981</v>
      </c>
      <c r="AT18" s="37">
        <f t="shared" ca="1" si="23"/>
        <v>38635.787043160897</v>
      </c>
      <c r="AU18" s="37">
        <f t="shared" ca="1" si="23"/>
        <v>40254.227339411198</v>
      </c>
      <c r="AV18" s="37">
        <f t="shared" ca="1" si="23"/>
        <v>41931.022568306653</v>
      </c>
      <c r="AW18" s="37">
        <f t="shared" ca="1" si="23"/>
        <v>43664.55270496467</v>
      </c>
      <c r="AX18" s="37">
        <f t="shared" ca="1" si="23"/>
        <v>45452.760919865446</v>
      </c>
      <c r="AY18" s="37">
        <f t="shared" ca="1" si="23"/>
        <v>47294.465983314039</v>
      </c>
      <c r="AZ18" s="37" t="e">
        <f t="shared" ca="1" si="23"/>
        <v>#N/A</v>
      </c>
      <c r="BA18" s="37" t="e">
        <f t="shared" ca="1" si="23"/>
        <v>#N/A</v>
      </c>
      <c r="BB18" s="37" t="e">
        <f t="shared" ca="1" si="23"/>
        <v>#N/A</v>
      </c>
    </row>
    <row r="19" spans="1:54" x14ac:dyDescent="0.25">
      <c r="B19" s="1" t="s">
        <v>171</v>
      </c>
      <c r="C19" s="14">
        <f ca="1">INDEX(Data_FP!$2:$1048576,MATCH(C$4&amp;$A$14&amp;$B19&amp;$A$1,Data_FP!$A$2:$A$1048576,0),MATCH($A$13,Data_FP!$2:$2,0))</f>
        <v>1.34869E-2</v>
      </c>
      <c r="D19" s="14">
        <f ca="1">INDEX(Data_FP!$2:$1048576,MATCH(D$4&amp;$A$14&amp;$B19&amp;$A$1,Data_FP!$A$2:$A$1048576,0),MATCH($A$13,Data_FP!$2:$2,0))</f>
        <v>2.0517999999999999E-3</v>
      </c>
      <c r="E19" s="14">
        <f ca="1">IF('User Settings'!$N$7="On",($D19-$C19)/($D$4-$C$4),0)</f>
        <v>-2.2870199999999999E-3</v>
      </c>
      <c r="F19" s="14">
        <f t="shared" ca="1" si="24"/>
        <v>0</v>
      </c>
      <c r="G19" s="14"/>
      <c r="H19" s="14">
        <f t="shared" ca="1" si="25"/>
        <v>0</v>
      </c>
      <c r="I19" s="14">
        <f t="shared" ca="1" si="30"/>
        <v>0</v>
      </c>
      <c r="J19" s="14">
        <f t="shared" ca="1" si="26"/>
        <v>2.2870199999999999E-3</v>
      </c>
      <c r="K19" s="14">
        <f t="shared" ca="1" si="27"/>
        <v>0</v>
      </c>
      <c r="L19" s="15">
        <f t="shared" ca="1" si="28"/>
        <v>0</v>
      </c>
      <c r="M19" s="15">
        <f t="shared" ca="1" si="28"/>
        <v>0</v>
      </c>
      <c r="N19" s="15">
        <f t="shared" ca="1" si="28"/>
        <v>0</v>
      </c>
      <c r="O19" s="15">
        <f t="shared" ca="1" si="28"/>
        <v>0</v>
      </c>
      <c r="P19" s="15">
        <f t="shared" ca="1" si="28"/>
        <v>0</v>
      </c>
      <c r="Q19" s="15">
        <f t="shared" ca="1" si="28"/>
        <v>0</v>
      </c>
      <c r="R19" s="15">
        <f t="shared" ca="1" si="28"/>
        <v>0</v>
      </c>
      <c r="S19" s="15">
        <f t="shared" ca="1" si="28"/>
        <v>0</v>
      </c>
      <c r="T19" s="15">
        <f t="shared" ca="1" si="28"/>
        <v>0</v>
      </c>
      <c r="U19" s="15">
        <f t="shared" ca="1" si="28"/>
        <v>0</v>
      </c>
      <c r="V19" s="15">
        <f t="shared" ca="1" si="28"/>
        <v>0</v>
      </c>
      <c r="W19" s="15">
        <f t="shared" ca="1" si="28"/>
        <v>0</v>
      </c>
      <c r="X19" s="15">
        <f t="shared" ca="1" si="28"/>
        <v>0</v>
      </c>
      <c r="Y19" s="15">
        <f t="shared" ca="1" si="28"/>
        <v>0</v>
      </c>
      <c r="Z19" s="15">
        <f t="shared" ca="1" si="28"/>
        <v>0</v>
      </c>
      <c r="AA19" s="15">
        <f t="shared" ca="1" si="28"/>
        <v>0</v>
      </c>
      <c r="AB19" s="15">
        <f t="shared" ca="1" si="28"/>
        <v>0</v>
      </c>
      <c r="AC19" s="15">
        <f t="shared" ca="1" si="28"/>
        <v>0</v>
      </c>
      <c r="AD19" s="15">
        <f t="shared" ca="1" si="28"/>
        <v>0</v>
      </c>
      <c r="AE19" s="5"/>
      <c r="AG19" s="1" t="s">
        <v>171</v>
      </c>
      <c r="AH19" s="37">
        <f t="shared" ca="1" si="29"/>
        <v>3788.3811909817982</v>
      </c>
      <c r="AI19" s="37">
        <f t="shared" ca="1" si="21"/>
        <v>0</v>
      </c>
      <c r="AJ19" s="37">
        <f t="shared" ca="1" si="22"/>
        <v>0</v>
      </c>
      <c r="AK19" s="37">
        <f t="shared" ca="1" si="22"/>
        <v>0</v>
      </c>
      <c r="AL19" s="37">
        <f t="shared" ca="1" si="22"/>
        <v>0</v>
      </c>
      <c r="AM19" s="37">
        <f t="shared" ca="1" si="22"/>
        <v>0</v>
      </c>
      <c r="AN19" s="37">
        <f t="shared" ca="1" si="22"/>
        <v>0</v>
      </c>
      <c r="AO19" s="37">
        <f t="shared" ca="1" si="22"/>
        <v>0</v>
      </c>
      <c r="AP19" s="37">
        <f t="shared" ca="1" si="22"/>
        <v>0</v>
      </c>
      <c r="AQ19" s="37">
        <f t="shared" ca="1" si="22"/>
        <v>0</v>
      </c>
      <c r="AR19" s="37">
        <f t="shared" ca="1" si="22"/>
        <v>0</v>
      </c>
      <c r="AS19" s="37">
        <f t="shared" ca="1" si="22"/>
        <v>0</v>
      </c>
      <c r="AT19" s="37">
        <f t="shared" ca="1" si="23"/>
        <v>0</v>
      </c>
      <c r="AU19" s="37">
        <f t="shared" ca="1" si="23"/>
        <v>0</v>
      </c>
      <c r="AV19" s="37">
        <f t="shared" ca="1" si="23"/>
        <v>0</v>
      </c>
      <c r="AW19" s="37">
        <f t="shared" ca="1" si="23"/>
        <v>0</v>
      </c>
      <c r="AX19" s="37">
        <f t="shared" ca="1" si="23"/>
        <v>0</v>
      </c>
      <c r="AY19" s="37">
        <f t="shared" ca="1" si="23"/>
        <v>0</v>
      </c>
      <c r="AZ19" s="37" t="e">
        <f t="shared" ca="1" si="23"/>
        <v>#N/A</v>
      </c>
      <c r="BA19" s="37" t="e">
        <f t="shared" ca="1" si="23"/>
        <v>#N/A</v>
      </c>
      <c r="BB19" s="37" t="e">
        <f t="shared" ca="1" si="23"/>
        <v>#N/A</v>
      </c>
    </row>
    <row r="20" spans="1:54" x14ac:dyDescent="0.25">
      <c r="B20" s="1" t="s">
        <v>116</v>
      </c>
      <c r="C20" s="14">
        <f ca="1">INDEX(Data_FP!$2:$1048576,MATCH(C$4&amp;$A$14&amp;$B20&amp;$A$1,Data_FP!$A$2:$A$1048576,0),MATCH($A$13,Data_FP!$2:$2,0))</f>
        <v>4.9890000000000004E-3</v>
      </c>
      <c r="D20" s="14">
        <f ca="1">INDEX(Data_FP!$2:$1048576,MATCH(D$4&amp;$A$14&amp;$B20&amp;$A$1,Data_FP!$A$2:$A$1048576,0),MATCH($A$13,Data_FP!$2:$2,0))</f>
        <v>3.8332000000000001E-3</v>
      </c>
      <c r="E20" s="14">
        <f ca="1">IF('User Settings'!$N$7="On",($D20-$C20)/($D$4-$C$4),0)</f>
        <v>-2.3116000000000006E-4</v>
      </c>
      <c r="F20" s="14">
        <f t="shared" ca="1" si="24"/>
        <v>3.1397199999999999E-3</v>
      </c>
      <c r="G20" s="14"/>
      <c r="H20" s="14">
        <f t="shared" ca="1" si="25"/>
        <v>2.4462399999999997E-3</v>
      </c>
      <c r="I20" s="14">
        <f t="shared" ca="1" si="30"/>
        <v>-2.3116000000000008E-4</v>
      </c>
      <c r="J20" s="14">
        <f t="shared" ca="1" si="26"/>
        <v>3.3708800000000001E-3</v>
      </c>
      <c r="K20" s="14">
        <f t="shared" ca="1" si="27"/>
        <v>3.1397199999999999E-3</v>
      </c>
      <c r="L20" s="15">
        <f t="shared" ca="1" si="28"/>
        <v>2.9085599999999997E-3</v>
      </c>
      <c r="M20" s="15">
        <f t="shared" ca="1" si="28"/>
        <v>2.6773999999999995E-3</v>
      </c>
      <c r="N20" s="15">
        <f t="shared" ca="1" si="28"/>
        <v>2.4462399999999993E-3</v>
      </c>
      <c r="O20" s="15">
        <f t="shared" ca="1" si="28"/>
        <v>2.215079999999999E-3</v>
      </c>
      <c r="P20" s="15">
        <f t="shared" ca="1" si="28"/>
        <v>1.9839199999999988E-3</v>
      </c>
      <c r="Q20" s="15">
        <f t="shared" ca="1" si="28"/>
        <v>1.7527599999999988E-3</v>
      </c>
      <c r="R20" s="15">
        <f t="shared" ca="1" si="28"/>
        <v>1.5215999999999988E-3</v>
      </c>
      <c r="S20" s="15">
        <f t="shared" ca="1" si="28"/>
        <v>1.2904399999999988E-3</v>
      </c>
      <c r="T20" s="15">
        <f t="shared" ca="1" si="28"/>
        <v>1.0592799999999988E-3</v>
      </c>
      <c r="U20" s="15">
        <f t="shared" ca="1" si="28"/>
        <v>8.2811999999999871E-4</v>
      </c>
      <c r="V20" s="15">
        <f t="shared" ca="1" si="28"/>
        <v>5.9695999999999859E-4</v>
      </c>
      <c r="W20" s="15">
        <f t="shared" ca="1" si="28"/>
        <v>3.6579999999999848E-4</v>
      </c>
      <c r="X20" s="15">
        <f t="shared" ca="1" si="28"/>
        <v>1.346399999999984E-4</v>
      </c>
      <c r="Y20" s="15">
        <f t="shared" ca="1" si="28"/>
        <v>0</v>
      </c>
      <c r="Z20" s="15">
        <f t="shared" ca="1" si="28"/>
        <v>0</v>
      </c>
      <c r="AA20" s="15">
        <f t="shared" ca="1" si="28"/>
        <v>0</v>
      </c>
      <c r="AB20" s="15">
        <f t="shared" ca="1" si="28"/>
        <v>0</v>
      </c>
      <c r="AC20" s="15">
        <f t="shared" ca="1" si="28"/>
        <v>0</v>
      </c>
      <c r="AD20" s="15">
        <f t="shared" ca="1" si="28"/>
        <v>0</v>
      </c>
      <c r="AE20" s="5"/>
      <c r="AG20" s="1" t="s">
        <v>116</v>
      </c>
      <c r="AH20" s="37">
        <f t="shared" ca="1" si="29"/>
        <v>5583.76332041553</v>
      </c>
      <c r="AI20" s="37">
        <f t="shared" ca="1" si="21"/>
        <v>5400.8545728792233</v>
      </c>
      <c r="AJ20" s="37">
        <f t="shared" ca="1" si="22"/>
        <v>5194.4814506570137</v>
      </c>
      <c r="AK20" s="37">
        <f t="shared" ca="1" si="22"/>
        <v>4957.0724268820732</v>
      </c>
      <c r="AL20" s="37">
        <f t="shared" ca="1" si="22"/>
        <v>4695.2359569957789</v>
      </c>
      <c r="AM20" s="37">
        <f t="shared" ca="1" si="22"/>
        <v>4406.7899969949603</v>
      </c>
      <c r="AN20" s="37">
        <f t="shared" ca="1" si="22"/>
        <v>4089.7055967863266</v>
      </c>
      <c r="AO20" s="37">
        <f t="shared" ca="1" si="22"/>
        <v>3742.4333261962333</v>
      </c>
      <c r="AP20" s="37">
        <f t="shared" ca="1" si="22"/>
        <v>3361.445745217371</v>
      </c>
      <c r="AQ20" s="37">
        <f t="shared" ca="1" si="22"/>
        <v>2948.7565997771139</v>
      </c>
      <c r="AR20" s="37">
        <f t="shared" ca="1" si="22"/>
        <v>2503.0534199236508</v>
      </c>
      <c r="AS20" s="37">
        <f t="shared" ca="1" si="22"/>
        <v>2023.081286164552</v>
      </c>
      <c r="AT20" s="37">
        <f t="shared" ca="1" si="23"/>
        <v>1507.4128410554795</v>
      </c>
      <c r="AU20" s="37">
        <f t="shared" ca="1" si="23"/>
        <v>953.98805073834774</v>
      </c>
      <c r="AV20" s="37">
        <f t="shared" ca="1" si="23"/>
        <v>362.59427608199974</v>
      </c>
      <c r="AW20" s="37">
        <f t="shared" ca="1" si="23"/>
        <v>0</v>
      </c>
      <c r="AX20" s="37">
        <f t="shared" ca="1" si="23"/>
        <v>0</v>
      </c>
      <c r="AY20" s="37">
        <f t="shared" ca="1" si="23"/>
        <v>0</v>
      </c>
      <c r="AZ20" s="37" t="e">
        <f t="shared" ca="1" si="23"/>
        <v>#N/A</v>
      </c>
      <c r="BA20" s="37" t="e">
        <f t="shared" ca="1" si="23"/>
        <v>#N/A</v>
      </c>
      <c r="BB20" s="37" t="e">
        <f t="shared" ca="1" si="23"/>
        <v>#N/A</v>
      </c>
    </row>
    <row r="21" spans="1:54" x14ac:dyDescent="0.25">
      <c r="C21" s="5">
        <f ca="1">SUM(C15:C20)</f>
        <v>4.6219000000000003E-2</v>
      </c>
      <c r="D21" s="5">
        <f ca="1">SUM(D15:D20)</f>
        <v>3.4091200000000002E-2</v>
      </c>
      <c r="E21" s="131"/>
      <c r="F21" s="132">
        <f ca="1">SUM(F15:F20)</f>
        <v>3.2384059999999999E-2</v>
      </c>
      <c r="G21" s="132"/>
      <c r="H21" s="132">
        <f ca="1">SUM(H15:H20)</f>
        <v>3.2934020000000001E-2</v>
      </c>
      <c r="I21" s="132"/>
      <c r="J21" s="132">
        <f ca="1">SUM(J15:J20)</f>
        <v>3.4809619999999999E-2</v>
      </c>
      <c r="K21" s="132">
        <f ca="1">SUM(K15:K20)</f>
        <v>3.2384059999999999E-2</v>
      </c>
      <c r="L21" s="5">
        <f t="shared" ref="L21:AD21" ca="1" si="31">SUM(L15:L20)</f>
        <v>3.256738E-2</v>
      </c>
      <c r="M21" s="5">
        <f t="shared" ca="1" si="31"/>
        <v>3.2750700000000001E-2</v>
      </c>
      <c r="N21" s="5">
        <f t="shared" ca="1" si="31"/>
        <v>3.2934020000000001E-2</v>
      </c>
      <c r="O21" s="5">
        <f t="shared" ca="1" si="31"/>
        <v>3.3117340000000002E-2</v>
      </c>
      <c r="P21" s="5">
        <f t="shared" ca="1" si="31"/>
        <v>3.3300660000000003E-2</v>
      </c>
      <c r="Q21" s="5">
        <f t="shared" ca="1" si="31"/>
        <v>3.3483979999999997E-2</v>
      </c>
      <c r="R21" s="5">
        <f t="shared" ca="1" si="31"/>
        <v>3.3667299999999997E-2</v>
      </c>
      <c r="S21" s="5">
        <f t="shared" ca="1" si="31"/>
        <v>3.3850619999999998E-2</v>
      </c>
      <c r="T21" s="5">
        <f t="shared" ca="1" si="31"/>
        <v>3.4033939999999999E-2</v>
      </c>
      <c r="U21" s="5">
        <f t="shared" ca="1" si="31"/>
        <v>3.4217260000000006E-2</v>
      </c>
      <c r="V21" s="5">
        <f t="shared" ca="1" si="31"/>
        <v>3.4400580000000007E-2</v>
      </c>
      <c r="W21" s="5">
        <f t="shared" ca="1" si="31"/>
        <v>3.4583900000000008E-2</v>
      </c>
      <c r="X21" s="5">
        <f t="shared" ca="1" si="31"/>
        <v>3.4767220000000008E-2</v>
      </c>
      <c r="Y21" s="5">
        <f t="shared" ca="1" si="31"/>
        <v>3.5047060000000012E-2</v>
      </c>
      <c r="Z21" s="5">
        <f t="shared" ca="1" si="31"/>
        <v>3.5461540000000014E-2</v>
      </c>
      <c r="AA21" s="5">
        <f t="shared" ca="1" si="31"/>
        <v>3.5876020000000015E-2</v>
      </c>
      <c r="AB21" s="5">
        <f t="shared" ca="1" si="31"/>
        <v>3.6290500000000017E-2</v>
      </c>
      <c r="AC21" s="5">
        <f t="shared" ca="1" si="31"/>
        <v>3.6704980000000019E-2</v>
      </c>
      <c r="AD21" s="5">
        <f t="shared" ca="1" si="31"/>
        <v>3.7119460000000021E-2</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G23" s="4"/>
      <c r="H23" s="4" t="s">
        <v>167</v>
      </c>
      <c r="K23" s="205" t="str">
        <f t="shared" ref="K23:AD23" si="32">IF(K24=Yr_Start,"Start Year",IF(K24=Yr_End,"End Year",""))</f>
        <v>Start Year</v>
      </c>
      <c r="L23" s="205" t="str">
        <f t="shared" si="32"/>
        <v/>
      </c>
      <c r="M23" s="205" t="str">
        <f t="shared" si="32"/>
        <v/>
      </c>
      <c r="N23" s="205" t="str">
        <f t="shared" si="32"/>
        <v>End Year</v>
      </c>
      <c r="O23" s="205" t="str">
        <f t="shared" si="32"/>
        <v/>
      </c>
      <c r="P23" s="205" t="str">
        <f t="shared" si="32"/>
        <v/>
      </c>
      <c r="Q23" s="205" t="str">
        <f t="shared" si="32"/>
        <v/>
      </c>
      <c r="R23" s="205" t="str">
        <f t="shared" si="32"/>
        <v/>
      </c>
      <c r="S23" s="205" t="str">
        <f t="shared" si="32"/>
        <v/>
      </c>
      <c r="T23" s="205" t="str">
        <f t="shared" si="32"/>
        <v/>
      </c>
      <c r="U23" s="205" t="str">
        <f t="shared" si="32"/>
        <v/>
      </c>
      <c r="V23" s="205" t="str">
        <f t="shared" si="32"/>
        <v/>
      </c>
      <c r="W23" s="205" t="str">
        <f t="shared" si="32"/>
        <v/>
      </c>
      <c r="X23" s="205" t="str">
        <f t="shared" si="32"/>
        <v/>
      </c>
      <c r="Y23" s="205" t="str">
        <f t="shared" si="32"/>
        <v/>
      </c>
      <c r="Z23" s="205" t="str">
        <f t="shared" si="32"/>
        <v/>
      </c>
      <c r="AA23" s="205" t="str">
        <f t="shared" si="32"/>
        <v/>
      </c>
      <c r="AB23" s="205" t="str">
        <f t="shared" si="32"/>
        <v/>
      </c>
      <c r="AC23" s="205" t="str">
        <f t="shared" si="32"/>
        <v/>
      </c>
      <c r="AD23" s="205" t="str">
        <f t="shared" si="32"/>
        <v/>
      </c>
      <c r="AE23" s="35"/>
      <c r="AF23" s="6" t="str">
        <f>A23</f>
        <v>Richer</v>
      </c>
      <c r="AI23" s="205" t="str">
        <f t="shared" ref="AI23:BB23" si="33">IF(AI24=Yr_Start,"Start Year",IF(AI24=Yr_End,"End Year",""))</f>
        <v>Start Year</v>
      </c>
      <c r="AJ23" s="205" t="str">
        <f t="shared" si="33"/>
        <v/>
      </c>
      <c r="AK23" s="205" t="str">
        <f t="shared" si="33"/>
        <v/>
      </c>
      <c r="AL23" s="205" t="str">
        <f t="shared" si="33"/>
        <v>End Year</v>
      </c>
      <c r="AM23" s="205" t="str">
        <f t="shared" si="33"/>
        <v/>
      </c>
      <c r="AN23" s="205" t="str">
        <f t="shared" si="33"/>
        <v/>
      </c>
      <c r="AO23" s="205" t="str">
        <f t="shared" si="33"/>
        <v/>
      </c>
      <c r="AP23" s="205" t="str">
        <f t="shared" si="33"/>
        <v/>
      </c>
      <c r="AQ23" s="205" t="str">
        <f t="shared" si="33"/>
        <v/>
      </c>
      <c r="AR23" s="205" t="str">
        <f t="shared" si="33"/>
        <v/>
      </c>
      <c r="AS23" s="205" t="str">
        <f t="shared" si="33"/>
        <v/>
      </c>
      <c r="AT23" s="205" t="str">
        <f t="shared" si="33"/>
        <v/>
      </c>
      <c r="AU23" s="205" t="str">
        <f t="shared" si="33"/>
        <v/>
      </c>
      <c r="AV23" s="205" t="str">
        <f t="shared" si="33"/>
        <v/>
      </c>
      <c r="AW23" s="205" t="str">
        <f t="shared" si="33"/>
        <v/>
      </c>
      <c r="AX23" s="205" t="str">
        <f t="shared" si="33"/>
        <v/>
      </c>
      <c r="AY23" s="205" t="str">
        <f t="shared" si="33"/>
        <v/>
      </c>
      <c r="AZ23" s="205" t="str">
        <f t="shared" si="33"/>
        <v/>
      </c>
      <c r="BA23" s="205" t="str">
        <f t="shared" si="33"/>
        <v/>
      </c>
      <c r="BB23" s="205" t="str">
        <f t="shared" si="33"/>
        <v/>
      </c>
    </row>
    <row r="24" spans="1:54" x14ac:dyDescent="0.25">
      <c r="A24" s="6" t="s">
        <v>20</v>
      </c>
      <c r="B24" s="36"/>
      <c r="C24" s="36">
        <f>Yr_DHS1</f>
        <v>2011</v>
      </c>
      <c r="D24" s="36">
        <f>Yr_DHS2</f>
        <v>2016</v>
      </c>
      <c r="E24" s="36" t="s">
        <v>168</v>
      </c>
      <c r="F24" s="36">
        <f>Yr_Start</f>
        <v>2019</v>
      </c>
      <c r="G24" s="36"/>
      <c r="H24" s="36">
        <f>Yr_End</f>
        <v>2022</v>
      </c>
      <c r="I24" s="36" t="s">
        <v>169</v>
      </c>
      <c r="J24" s="130">
        <f>K24-1</f>
        <v>2018</v>
      </c>
      <c r="K24" s="130">
        <f>Yr_Start</f>
        <v>2019</v>
      </c>
      <c r="L24" s="130">
        <f>K24+1</f>
        <v>2020</v>
      </c>
      <c r="M24" s="130">
        <f t="shared" ref="M24:AD24" si="34">L24+1</f>
        <v>2021</v>
      </c>
      <c r="N24" s="130">
        <f t="shared" si="34"/>
        <v>2022</v>
      </c>
      <c r="O24" s="130">
        <f t="shared" si="34"/>
        <v>2023</v>
      </c>
      <c r="P24" s="130">
        <f t="shared" si="34"/>
        <v>2024</v>
      </c>
      <c r="Q24" s="130">
        <f t="shared" si="34"/>
        <v>2025</v>
      </c>
      <c r="R24" s="130">
        <f t="shared" si="34"/>
        <v>2026</v>
      </c>
      <c r="S24" s="130">
        <f t="shared" si="34"/>
        <v>2027</v>
      </c>
      <c r="T24" s="130">
        <f t="shared" si="34"/>
        <v>2028</v>
      </c>
      <c r="U24" s="130">
        <f t="shared" si="34"/>
        <v>2029</v>
      </c>
      <c r="V24" s="130">
        <f t="shared" si="34"/>
        <v>2030</v>
      </c>
      <c r="W24" s="130">
        <f t="shared" si="34"/>
        <v>2031</v>
      </c>
      <c r="X24" s="130">
        <f t="shared" si="34"/>
        <v>2032</v>
      </c>
      <c r="Y24" s="130">
        <f t="shared" si="34"/>
        <v>2033</v>
      </c>
      <c r="Z24" s="130">
        <f t="shared" si="34"/>
        <v>2034</v>
      </c>
      <c r="AA24" s="130">
        <f t="shared" si="34"/>
        <v>2035</v>
      </c>
      <c r="AB24" s="130">
        <f t="shared" si="34"/>
        <v>2036</v>
      </c>
      <c r="AC24" s="130">
        <f t="shared" si="34"/>
        <v>2037</v>
      </c>
      <c r="AD24" s="130">
        <f t="shared" si="34"/>
        <v>2038</v>
      </c>
      <c r="AE24" s="6"/>
      <c r="AF24" s="6" t="str">
        <f>A24</f>
        <v>Urban</v>
      </c>
      <c r="AG24" s="38"/>
      <c r="AH24" s="161">
        <f>AI24-1</f>
        <v>2018</v>
      </c>
      <c r="AI24" s="36">
        <f>Yr_Start</f>
        <v>2019</v>
      </c>
      <c r="AJ24" s="36">
        <f>AI24+1</f>
        <v>2020</v>
      </c>
      <c r="AK24" s="36">
        <f t="shared" ref="AK24:BB24" si="35">AJ24+1</f>
        <v>2021</v>
      </c>
      <c r="AL24" s="36">
        <f t="shared" si="35"/>
        <v>2022</v>
      </c>
      <c r="AM24" s="36">
        <f t="shared" si="35"/>
        <v>2023</v>
      </c>
      <c r="AN24" s="36">
        <f t="shared" si="35"/>
        <v>2024</v>
      </c>
      <c r="AO24" s="36">
        <f t="shared" si="35"/>
        <v>2025</v>
      </c>
      <c r="AP24" s="36">
        <f t="shared" si="35"/>
        <v>2026</v>
      </c>
      <c r="AQ24" s="36">
        <f t="shared" si="35"/>
        <v>2027</v>
      </c>
      <c r="AR24" s="36">
        <f t="shared" si="35"/>
        <v>2028</v>
      </c>
      <c r="AS24" s="36">
        <f t="shared" si="35"/>
        <v>2029</v>
      </c>
      <c r="AT24" s="36">
        <f t="shared" si="35"/>
        <v>2030</v>
      </c>
      <c r="AU24" s="36">
        <f t="shared" si="35"/>
        <v>2031</v>
      </c>
      <c r="AV24" s="36">
        <f t="shared" si="35"/>
        <v>2032</v>
      </c>
      <c r="AW24" s="36">
        <f t="shared" si="35"/>
        <v>2033</v>
      </c>
      <c r="AX24" s="36">
        <f t="shared" si="35"/>
        <v>2034</v>
      </c>
      <c r="AY24" s="36">
        <f t="shared" si="35"/>
        <v>2035</v>
      </c>
      <c r="AZ24" s="36">
        <f t="shared" si="35"/>
        <v>2036</v>
      </c>
      <c r="BA24" s="36">
        <f t="shared" si="35"/>
        <v>2037</v>
      </c>
      <c r="BB24" s="36">
        <f t="shared" si="35"/>
        <v>2038</v>
      </c>
    </row>
    <row r="25" spans="1:54" x14ac:dyDescent="0.25">
      <c r="B25" s="1" t="s">
        <v>52</v>
      </c>
      <c r="C25" s="14">
        <f ca="1">INDEX(Data_FP!$2:$1048576,MATCH(C$4&amp;$A$24&amp;$B25&amp;$A$1,Data_FP!$A$2:$A$1048576,0),MATCH($A$23,Data_FP!$2:$2,0))</f>
        <v>9.2235000000000008E-3</v>
      </c>
      <c r="D25" s="14">
        <f ca="1">INDEX(Data_FP!$2:$1048576,MATCH(D$4&amp;$A$24&amp;$B25&amp;$A$1,Data_FP!$A$2:$A$1048576,0),MATCH($A$23,Data_FP!$2:$2,0))</f>
        <v>1.58844E-2</v>
      </c>
      <c r="E25" s="14">
        <f ca="1">IF('User Settings'!$N$7="On",($D25-$C25)/($D$4-$C$4),0)</f>
        <v>1.3321799999999999E-3</v>
      </c>
      <c r="F25" s="14">
        <f ca="1">MAX(0,MIN(1,($D25+$E25*(F$4-$D$4))))</f>
        <v>1.988094E-2</v>
      </c>
      <c r="G25" s="14"/>
      <c r="H25" s="14">
        <f ca="1">MAX(0,MIN(1,($D25+$E25*(H$4-$D$4))*$H$1))</f>
        <v>2.387748E-2</v>
      </c>
      <c r="I25" s="14">
        <f ca="1">($H25-$F25)/($H$4-$F$4)</f>
        <v>1.3321799999999999E-3</v>
      </c>
      <c r="J25" s="14">
        <f ca="1">K25-E25</f>
        <v>1.8548760000000001E-2</v>
      </c>
      <c r="K25" s="14">
        <f ca="1">MAX(0,MIN(1,D25+(K$4-D$4)*E25))</f>
        <v>1.988094E-2</v>
      </c>
      <c r="L25" s="15">
        <f ca="1">MAX(0,MIN(1,K25+$I25))</f>
        <v>2.1213119999999999E-2</v>
      </c>
      <c r="M25" s="15">
        <f t="shared" ref="M25:AD25" ca="1" si="36">MAX(0,MIN(1,L25+$I25))</f>
        <v>2.2545299999999997E-2</v>
      </c>
      <c r="N25" s="15">
        <f ca="1">MAX(0,MIN(1,M25+$I25))</f>
        <v>2.3877479999999996E-2</v>
      </c>
      <c r="O25" s="15">
        <f t="shared" ca="1" si="36"/>
        <v>2.5209659999999995E-2</v>
      </c>
      <c r="P25" s="15">
        <f t="shared" ca="1" si="36"/>
        <v>2.6541839999999994E-2</v>
      </c>
      <c r="Q25" s="15">
        <f t="shared" ca="1" si="36"/>
        <v>2.7874019999999992E-2</v>
      </c>
      <c r="R25" s="15">
        <f t="shared" ca="1" si="36"/>
        <v>2.9206199999999991E-2</v>
      </c>
      <c r="S25" s="15">
        <f t="shared" ca="1" si="36"/>
        <v>3.053837999999999E-2</v>
      </c>
      <c r="T25" s="15">
        <f t="shared" ca="1" si="36"/>
        <v>3.1870559999999992E-2</v>
      </c>
      <c r="U25" s="15">
        <f t="shared" ca="1" si="36"/>
        <v>3.3202739999999994E-2</v>
      </c>
      <c r="V25" s="15">
        <f t="shared" ca="1" si="36"/>
        <v>3.4534919999999997E-2</v>
      </c>
      <c r="W25" s="15">
        <f t="shared" ca="1" si="36"/>
        <v>3.5867099999999999E-2</v>
      </c>
      <c r="X25" s="15">
        <f t="shared" ca="1" si="36"/>
        <v>3.7199280000000001E-2</v>
      </c>
      <c r="Y25" s="15">
        <f t="shared" ca="1" si="36"/>
        <v>3.8531460000000003E-2</v>
      </c>
      <c r="Z25" s="15">
        <f t="shared" ca="1" si="36"/>
        <v>3.9863640000000006E-2</v>
      </c>
      <c r="AA25" s="15">
        <f t="shared" ca="1" si="36"/>
        <v>4.1195820000000008E-2</v>
      </c>
      <c r="AB25" s="15">
        <f t="shared" ca="1" si="36"/>
        <v>4.252800000000001E-2</v>
      </c>
      <c r="AC25" s="15">
        <f t="shared" ca="1" si="36"/>
        <v>4.3860180000000012E-2</v>
      </c>
      <c r="AD25" s="15">
        <f t="shared" ca="1" si="36"/>
        <v>4.5192360000000015E-2</v>
      </c>
      <c r="AE25" s="5"/>
      <c r="AG25" s="1" t="s">
        <v>52</v>
      </c>
      <c r="AH25" s="37">
        <f ca="1">J25*AH$31</f>
        <v>11180.521179945516</v>
      </c>
      <c r="AI25" s="37">
        <f t="shared" ref="AI25:AI30" ca="1" si="37">K25*AI$31</f>
        <v>12444.341941784036</v>
      </c>
      <c r="AJ25" s="37">
        <f t="shared" ref="AJ25:AS30" ca="1" si="38">L25*AJ$31</f>
        <v>13785.806513625934</v>
      </c>
      <c r="AK25" s="37">
        <f t="shared" ca="1" si="38"/>
        <v>15189.08041710376</v>
      </c>
      <c r="AL25" s="37">
        <f t="shared" ca="1" si="38"/>
        <v>16676.707309564907</v>
      </c>
      <c r="AM25" s="37">
        <f t="shared" ca="1" si="38"/>
        <v>18250.021693713883</v>
      </c>
      <c r="AN25" s="37">
        <f t="shared" ca="1" si="38"/>
        <v>19909.59265517645</v>
      </c>
      <c r="AO25" s="37">
        <f t="shared" ca="1" si="38"/>
        <v>21656.819810036817</v>
      </c>
      <c r="AP25" s="37">
        <f t="shared" ca="1" si="38"/>
        <v>23478.16328905748</v>
      </c>
      <c r="AQ25" s="37">
        <f t="shared" ca="1" si="38"/>
        <v>25392.798230305627</v>
      </c>
      <c r="AR25" s="37">
        <f t="shared" ca="1" si="38"/>
        <v>27403.907813748221</v>
      </c>
      <c r="AS25" s="37">
        <f t="shared" ca="1" si="38"/>
        <v>29515.995907805118</v>
      </c>
      <c r="AT25" s="37">
        <f t="shared" ref="AT25:BB30" ca="1" si="39">V25*AT$31</f>
        <v>31732.836249522446</v>
      </c>
      <c r="AU25" s="37">
        <f t="shared" ca="1" si="39"/>
        <v>34037.601933181228</v>
      </c>
      <c r="AV25" s="37">
        <f t="shared" ca="1" si="39"/>
        <v>36453.970070352203</v>
      </c>
      <c r="AW25" s="37">
        <f t="shared" ca="1" si="39"/>
        <v>38983.024274563497</v>
      </c>
      <c r="AX25" s="37">
        <f t="shared" ca="1" si="39"/>
        <v>41625.212931395981</v>
      </c>
      <c r="AY25" s="37">
        <f t="shared" ca="1" si="39"/>
        <v>44381.541295768424</v>
      </c>
      <c r="AZ25" s="37" t="e">
        <f t="shared" ca="1" si="39"/>
        <v>#N/A</v>
      </c>
      <c r="BA25" s="37" t="e">
        <f t="shared" ca="1" si="39"/>
        <v>#N/A</v>
      </c>
      <c r="BB25" s="37" t="e">
        <f t="shared" ca="1" si="39"/>
        <v>#N/A</v>
      </c>
    </row>
    <row r="26" spans="1:54" x14ac:dyDescent="0.25">
      <c r="B26" s="1" t="s">
        <v>54</v>
      </c>
      <c r="C26" s="14">
        <f ca="1">INDEX(Data_FP!$2:$1048576,MATCH(C$4&amp;$A$24&amp;$B26&amp;$A$1,Data_FP!$A$2:$A$1048576,0),MATCH($A$23,Data_FP!$2:$2,0))</f>
        <v>1.0977000000000001E-2</v>
      </c>
      <c r="D26" s="14">
        <f ca="1">INDEX(Data_FP!$2:$1048576,MATCH(D$4&amp;$A$24&amp;$B26&amp;$A$1,Data_FP!$A$2:$A$1048576,0),MATCH($A$23,Data_FP!$2:$2,0))</f>
        <v>5.3459999999999998E-4</v>
      </c>
      <c r="E26" s="14">
        <f ca="1">IF('User Settings'!$N$7="On",($D26-$C26)/($D$4-$C$4),0)</f>
        <v>-2.0884800000000002E-3</v>
      </c>
      <c r="F26" s="14">
        <f t="shared" ref="F26:F30" ca="1" si="40">MAX(0,MIN(1,($D26+$E26*(F$4-$D$4))))</f>
        <v>0</v>
      </c>
      <c r="G26" s="14"/>
      <c r="H26" s="14">
        <f t="shared" ref="H26:H30" ca="1" si="41">MAX(0,MIN(1,($D26+$E26*(H$4-$D$4))*$H$1))</f>
        <v>0</v>
      </c>
      <c r="I26" s="14">
        <f ca="1">($H26-$F26)/($H$4-$F$4)</f>
        <v>0</v>
      </c>
      <c r="J26" s="14">
        <f t="shared" ref="J26:J30" ca="1" si="42">K26-E26</f>
        <v>2.0884800000000002E-3</v>
      </c>
      <c r="K26" s="14">
        <f t="shared" ref="K26:K30" ca="1" si="43">MAX(0,MIN(1,D26+(K$4-D$4)*E26))</f>
        <v>0</v>
      </c>
      <c r="L26" s="15">
        <f t="shared" ref="L26:AD30" ca="1" si="44">MAX(0,MIN(1,K26+$I26))</f>
        <v>0</v>
      </c>
      <c r="M26" s="15">
        <f t="shared" ca="1" si="44"/>
        <v>0</v>
      </c>
      <c r="N26" s="15">
        <f t="shared" ca="1" si="44"/>
        <v>0</v>
      </c>
      <c r="O26" s="15">
        <f t="shared" ca="1" si="44"/>
        <v>0</v>
      </c>
      <c r="P26" s="15">
        <f t="shared" ca="1" si="44"/>
        <v>0</v>
      </c>
      <c r="Q26" s="15">
        <f t="shared" ca="1" si="44"/>
        <v>0</v>
      </c>
      <c r="R26" s="15">
        <f t="shared" ca="1" si="44"/>
        <v>0</v>
      </c>
      <c r="S26" s="15">
        <f t="shared" ca="1" si="44"/>
        <v>0</v>
      </c>
      <c r="T26" s="15">
        <f t="shared" ca="1" si="44"/>
        <v>0</v>
      </c>
      <c r="U26" s="15">
        <f t="shared" ca="1" si="44"/>
        <v>0</v>
      </c>
      <c r="V26" s="15">
        <f t="shared" ca="1" si="44"/>
        <v>0</v>
      </c>
      <c r="W26" s="15">
        <f t="shared" ca="1" si="44"/>
        <v>0</v>
      </c>
      <c r="X26" s="15">
        <f t="shared" ca="1" si="44"/>
        <v>0</v>
      </c>
      <c r="Y26" s="15">
        <f t="shared" ca="1" si="44"/>
        <v>0</v>
      </c>
      <c r="Z26" s="15">
        <f t="shared" ca="1" si="44"/>
        <v>0</v>
      </c>
      <c r="AA26" s="15">
        <f t="shared" ca="1" si="44"/>
        <v>0</v>
      </c>
      <c r="AB26" s="15">
        <f t="shared" ca="1" si="44"/>
        <v>0</v>
      </c>
      <c r="AC26" s="15">
        <f t="shared" ca="1" si="44"/>
        <v>0</v>
      </c>
      <c r="AD26" s="15">
        <f t="shared" ca="1" si="44"/>
        <v>0</v>
      </c>
      <c r="AE26" s="5"/>
      <c r="AG26" s="1" t="s">
        <v>54</v>
      </c>
      <c r="AH26" s="37">
        <f t="shared" ref="AH26:AH30" ca="1" si="45">J26*AH$31</f>
        <v>1258.8601542039798</v>
      </c>
      <c r="AI26" s="37">
        <f t="shared" ca="1" si="37"/>
        <v>0</v>
      </c>
      <c r="AJ26" s="37">
        <f t="shared" ca="1" si="38"/>
        <v>0</v>
      </c>
      <c r="AK26" s="37">
        <f t="shared" ca="1" si="38"/>
        <v>0</v>
      </c>
      <c r="AL26" s="37">
        <f t="shared" ca="1" si="38"/>
        <v>0</v>
      </c>
      <c r="AM26" s="37">
        <f t="shared" ca="1" si="38"/>
        <v>0</v>
      </c>
      <c r="AN26" s="37">
        <f t="shared" ca="1" si="38"/>
        <v>0</v>
      </c>
      <c r="AO26" s="37">
        <f t="shared" ca="1" si="38"/>
        <v>0</v>
      </c>
      <c r="AP26" s="37">
        <f t="shared" ca="1" si="38"/>
        <v>0</v>
      </c>
      <c r="AQ26" s="37">
        <f t="shared" ca="1" si="38"/>
        <v>0</v>
      </c>
      <c r="AR26" s="37">
        <f t="shared" ca="1" si="38"/>
        <v>0</v>
      </c>
      <c r="AS26" s="37">
        <f t="shared" ca="1" si="38"/>
        <v>0</v>
      </c>
      <c r="AT26" s="37">
        <f t="shared" ca="1" si="39"/>
        <v>0</v>
      </c>
      <c r="AU26" s="37">
        <f t="shared" ca="1" si="39"/>
        <v>0</v>
      </c>
      <c r="AV26" s="37">
        <f t="shared" ca="1" si="39"/>
        <v>0</v>
      </c>
      <c r="AW26" s="37">
        <f t="shared" ca="1" si="39"/>
        <v>0</v>
      </c>
      <c r="AX26" s="37">
        <f t="shared" ca="1" si="39"/>
        <v>0</v>
      </c>
      <c r="AY26" s="37">
        <f t="shared" ca="1" si="39"/>
        <v>0</v>
      </c>
      <c r="AZ26" s="37" t="e">
        <f t="shared" ca="1" si="39"/>
        <v>#N/A</v>
      </c>
      <c r="BA26" s="37" t="e">
        <f t="shared" ca="1" si="39"/>
        <v>#N/A</v>
      </c>
      <c r="BB26" s="37" t="e">
        <f t="shared" ca="1" si="39"/>
        <v>#N/A</v>
      </c>
    </row>
    <row r="27" spans="1:54" x14ac:dyDescent="0.25">
      <c r="B27" s="1" t="s">
        <v>170</v>
      </c>
      <c r="C27" s="14">
        <f ca="1">INDEX(Data_FP!$2:$1048576,MATCH(C$4&amp;$A$24&amp;$B27&amp;$A$1,Data_FP!$A$2:$A$1048576,0),MATCH($A$23,Data_FP!$2:$2,0))</f>
        <v>1.5233E-3</v>
      </c>
      <c r="D27" s="14">
        <f ca="1">INDEX(Data_FP!$2:$1048576,MATCH(D$4&amp;$A$24&amp;$B27&amp;$A$1,Data_FP!$A$2:$A$1048576,0),MATCH($A$23,Data_FP!$2:$2,0))</f>
        <v>0</v>
      </c>
      <c r="E27" s="14">
        <f ca="1">IF('User Settings'!$N$7="On",($D27-$C27)/($D$4-$C$4),0)</f>
        <v>-3.0466E-4</v>
      </c>
      <c r="F27" s="14">
        <f t="shared" ca="1" si="40"/>
        <v>0</v>
      </c>
      <c r="G27" s="14"/>
      <c r="H27" s="14">
        <f t="shared" ca="1" si="41"/>
        <v>0</v>
      </c>
      <c r="I27" s="14">
        <f t="shared" ref="I27:I30" ca="1" si="46">($H27-$F27)/($H$4-$F$4)</f>
        <v>0</v>
      </c>
      <c r="J27" s="14">
        <f t="shared" ca="1" si="42"/>
        <v>3.0466E-4</v>
      </c>
      <c r="K27" s="14">
        <f t="shared" ca="1" si="43"/>
        <v>0</v>
      </c>
      <c r="L27" s="15">
        <f t="shared" ca="1" si="44"/>
        <v>0</v>
      </c>
      <c r="M27" s="15">
        <f t="shared" ca="1" si="44"/>
        <v>0</v>
      </c>
      <c r="N27" s="15">
        <f t="shared" ca="1" si="44"/>
        <v>0</v>
      </c>
      <c r="O27" s="15">
        <f t="shared" ca="1" si="44"/>
        <v>0</v>
      </c>
      <c r="P27" s="15">
        <f t="shared" ca="1" si="44"/>
        <v>0</v>
      </c>
      <c r="Q27" s="15">
        <f t="shared" ca="1" si="44"/>
        <v>0</v>
      </c>
      <c r="R27" s="15">
        <f t="shared" ca="1" si="44"/>
        <v>0</v>
      </c>
      <c r="S27" s="15">
        <f t="shared" ca="1" si="44"/>
        <v>0</v>
      </c>
      <c r="T27" s="15">
        <f t="shared" ca="1" si="44"/>
        <v>0</v>
      </c>
      <c r="U27" s="15">
        <f t="shared" ca="1" si="44"/>
        <v>0</v>
      </c>
      <c r="V27" s="15">
        <f t="shared" ca="1" si="44"/>
        <v>0</v>
      </c>
      <c r="W27" s="15">
        <f t="shared" ca="1" si="44"/>
        <v>0</v>
      </c>
      <c r="X27" s="15">
        <f t="shared" ca="1" si="44"/>
        <v>0</v>
      </c>
      <c r="Y27" s="15">
        <f t="shared" ca="1" si="44"/>
        <v>0</v>
      </c>
      <c r="Z27" s="15">
        <f t="shared" ca="1" si="44"/>
        <v>0</v>
      </c>
      <c r="AA27" s="15">
        <f t="shared" ca="1" si="44"/>
        <v>0</v>
      </c>
      <c r="AB27" s="15">
        <f t="shared" ca="1" si="44"/>
        <v>0</v>
      </c>
      <c r="AC27" s="15">
        <f t="shared" ca="1" si="44"/>
        <v>0</v>
      </c>
      <c r="AD27" s="15">
        <f t="shared" ca="1" si="44"/>
        <v>0</v>
      </c>
      <c r="AE27" s="5"/>
      <c r="AG27" s="1" t="s">
        <v>170</v>
      </c>
      <c r="AH27" s="37">
        <f t="shared" ca="1" si="45"/>
        <v>183.63802123064835</v>
      </c>
      <c r="AI27" s="37">
        <f t="shared" ca="1" si="37"/>
        <v>0</v>
      </c>
      <c r="AJ27" s="37">
        <f t="shared" ca="1" si="38"/>
        <v>0</v>
      </c>
      <c r="AK27" s="37">
        <f t="shared" ca="1" si="38"/>
        <v>0</v>
      </c>
      <c r="AL27" s="37">
        <f t="shared" ca="1" si="38"/>
        <v>0</v>
      </c>
      <c r="AM27" s="37">
        <f t="shared" ca="1" si="38"/>
        <v>0</v>
      </c>
      <c r="AN27" s="37">
        <f t="shared" ca="1" si="38"/>
        <v>0</v>
      </c>
      <c r="AO27" s="37">
        <f t="shared" ca="1" si="38"/>
        <v>0</v>
      </c>
      <c r="AP27" s="37">
        <f t="shared" ca="1" si="38"/>
        <v>0</v>
      </c>
      <c r="AQ27" s="37">
        <f t="shared" ca="1" si="38"/>
        <v>0</v>
      </c>
      <c r="AR27" s="37">
        <f t="shared" ca="1" si="38"/>
        <v>0</v>
      </c>
      <c r="AS27" s="37">
        <f t="shared" ca="1" si="38"/>
        <v>0</v>
      </c>
      <c r="AT27" s="37">
        <f t="shared" ca="1" si="39"/>
        <v>0</v>
      </c>
      <c r="AU27" s="37">
        <f t="shared" ca="1" si="39"/>
        <v>0</v>
      </c>
      <c r="AV27" s="37">
        <f t="shared" ca="1" si="39"/>
        <v>0</v>
      </c>
      <c r="AW27" s="37">
        <f t="shared" ca="1" si="39"/>
        <v>0</v>
      </c>
      <c r="AX27" s="37">
        <f t="shared" ca="1" si="39"/>
        <v>0</v>
      </c>
      <c r="AY27" s="37">
        <f t="shared" ca="1" si="39"/>
        <v>0</v>
      </c>
      <c r="AZ27" s="37" t="e">
        <f t="shared" ca="1" si="39"/>
        <v>#N/A</v>
      </c>
      <c r="BA27" s="37" t="e">
        <f t="shared" ca="1" si="39"/>
        <v>#N/A</v>
      </c>
      <c r="BB27" s="37" t="e">
        <f t="shared" ca="1" si="39"/>
        <v>#N/A</v>
      </c>
    </row>
    <row r="28" spans="1:54" x14ac:dyDescent="0.25">
      <c r="B28" s="1" t="s">
        <v>59</v>
      </c>
      <c r="C28" s="14">
        <f ca="1">INDEX(Data_FP!$2:$1048576,MATCH(C$4&amp;$A$24&amp;$B28&amp;$A$1,Data_FP!$A$2:$A$1048576,0),MATCH($A$23,Data_FP!$2:$2,0))</f>
        <v>1.7795999999999999E-2</v>
      </c>
      <c r="D28" s="14">
        <f ca="1">INDEX(Data_FP!$2:$1048576,MATCH(D$4&amp;$A$24&amp;$B28&amp;$A$1,Data_FP!$A$2:$A$1048576,0),MATCH($A$23,Data_FP!$2:$2,0))</f>
        <v>2.75567E-2</v>
      </c>
      <c r="E28" s="14">
        <f ca="1">IF('User Settings'!$N$7="On",($D28-$C28)/($D$4-$C$4),0)</f>
        <v>1.9521400000000002E-3</v>
      </c>
      <c r="F28" s="14">
        <f t="shared" ca="1" si="40"/>
        <v>3.3413120000000004E-2</v>
      </c>
      <c r="G28" s="14"/>
      <c r="H28" s="14">
        <f t="shared" ca="1" si="41"/>
        <v>3.9269540000000006E-2</v>
      </c>
      <c r="I28" s="14">
        <f t="shared" ca="1" si="46"/>
        <v>1.9521400000000004E-3</v>
      </c>
      <c r="J28" s="14">
        <f t="shared" ca="1" si="42"/>
        <v>3.1460980000000006E-2</v>
      </c>
      <c r="K28" s="14">
        <f t="shared" ca="1" si="43"/>
        <v>3.3413120000000004E-2</v>
      </c>
      <c r="L28" s="15">
        <f t="shared" ca="1" si="44"/>
        <v>3.5365260000000003E-2</v>
      </c>
      <c r="M28" s="15">
        <f t="shared" ca="1" si="44"/>
        <v>3.7317400000000001E-2</v>
      </c>
      <c r="N28" s="15">
        <f t="shared" ca="1" si="44"/>
        <v>3.9269539999999999E-2</v>
      </c>
      <c r="O28" s="15">
        <f t="shared" ca="1" si="44"/>
        <v>4.1221679999999997E-2</v>
      </c>
      <c r="P28" s="15">
        <f t="shared" ca="1" si="44"/>
        <v>4.3173819999999995E-2</v>
      </c>
      <c r="Q28" s="15">
        <f t="shared" ca="1" si="44"/>
        <v>4.5125959999999993E-2</v>
      </c>
      <c r="R28" s="15">
        <f t="shared" ca="1" si="44"/>
        <v>4.7078099999999991E-2</v>
      </c>
      <c r="S28" s="15">
        <f t="shared" ca="1" si="44"/>
        <v>4.9030239999999989E-2</v>
      </c>
      <c r="T28" s="15">
        <f t="shared" ca="1" si="44"/>
        <v>5.0982379999999987E-2</v>
      </c>
      <c r="U28" s="15">
        <f t="shared" ca="1" si="44"/>
        <v>5.2934519999999985E-2</v>
      </c>
      <c r="V28" s="15">
        <f t="shared" ca="1" si="44"/>
        <v>5.4886659999999983E-2</v>
      </c>
      <c r="W28" s="15">
        <f t="shared" ca="1" si="44"/>
        <v>5.6838799999999981E-2</v>
      </c>
      <c r="X28" s="15">
        <f t="shared" ca="1" si="44"/>
        <v>5.8790939999999979E-2</v>
      </c>
      <c r="Y28" s="15">
        <f t="shared" ca="1" si="44"/>
        <v>6.0743079999999977E-2</v>
      </c>
      <c r="Z28" s="15">
        <f t="shared" ca="1" si="44"/>
        <v>6.2695219999999982E-2</v>
      </c>
      <c r="AA28" s="15">
        <f t="shared" ca="1" si="44"/>
        <v>6.4647359999999987E-2</v>
      </c>
      <c r="AB28" s="15">
        <f t="shared" ca="1" si="44"/>
        <v>6.6599499999999992E-2</v>
      </c>
      <c r="AC28" s="15">
        <f t="shared" ca="1" si="44"/>
        <v>6.8551639999999997E-2</v>
      </c>
      <c r="AD28" s="15">
        <f t="shared" ca="1" si="44"/>
        <v>7.0503780000000002E-2</v>
      </c>
      <c r="AE28" s="5"/>
      <c r="AG28" s="1" t="s">
        <v>59</v>
      </c>
      <c r="AH28" s="37">
        <f t="shared" ca="1" si="45"/>
        <v>18963.540055067959</v>
      </c>
      <c r="AI28" s="37">
        <f t="shared" ca="1" si="37"/>
        <v>20914.71985841027</v>
      </c>
      <c r="AJ28" s="37">
        <f t="shared" ca="1" si="38"/>
        <v>22982.881898752978</v>
      </c>
      <c r="AK28" s="37">
        <f t="shared" ca="1" si="38"/>
        <v>25141.248488919107</v>
      </c>
      <c r="AL28" s="37">
        <f t="shared" ca="1" si="38"/>
        <v>27426.957315481013</v>
      </c>
      <c r="AM28" s="37">
        <f t="shared" ca="1" si="38"/>
        <v>29841.598587657736</v>
      </c>
      <c r="AN28" s="37">
        <f t="shared" ca="1" si="38"/>
        <v>32385.590809375317</v>
      </c>
      <c r="AO28" s="37">
        <f t="shared" ca="1" si="38"/>
        <v>35060.776467654439</v>
      </c>
      <c r="AP28" s="37">
        <f t="shared" ca="1" si="38"/>
        <v>37844.954808861716</v>
      </c>
      <c r="AQ28" s="37">
        <f t="shared" ca="1" si="38"/>
        <v>40768.861724278118</v>
      </c>
      <c r="AR28" s="37">
        <f t="shared" ca="1" si="38"/>
        <v>43837.210317154168</v>
      </c>
      <c r="AS28" s="37">
        <f t="shared" ca="1" si="38"/>
        <v>47056.811446935644</v>
      </c>
      <c r="AT28" s="37">
        <f t="shared" ca="1" si="39"/>
        <v>50433.283009290695</v>
      </c>
      <c r="AU28" s="37">
        <f t="shared" ca="1" si="39"/>
        <v>53939.583873792435</v>
      </c>
      <c r="AV28" s="37">
        <f t="shared" ca="1" si="39"/>
        <v>57613.028186778654</v>
      </c>
      <c r="AW28" s="37">
        <f t="shared" ca="1" si="39"/>
        <v>61454.950374362954</v>
      </c>
      <c r="AX28" s="37">
        <f t="shared" ca="1" si="39"/>
        <v>65465.719695459695</v>
      </c>
      <c r="AY28" s="37">
        <f t="shared" ca="1" si="39"/>
        <v>69646.616513578483</v>
      </c>
      <c r="AZ28" s="37" t="e">
        <f t="shared" ca="1" si="39"/>
        <v>#N/A</v>
      </c>
      <c r="BA28" s="37" t="e">
        <f t="shared" ca="1" si="39"/>
        <v>#N/A</v>
      </c>
      <c r="BB28" s="37" t="e">
        <f t="shared" ca="1" si="39"/>
        <v>#N/A</v>
      </c>
    </row>
    <row r="29" spans="1:54" x14ac:dyDescent="0.25">
      <c r="B29" s="1" t="s">
        <v>171</v>
      </c>
      <c r="C29" s="14">
        <f ca="1">INDEX(Data_FP!$2:$1048576,MATCH(C$4&amp;$A$24&amp;$B29&amp;$A$1,Data_FP!$A$2:$A$1048576,0),MATCH($A$23,Data_FP!$2:$2,0))</f>
        <v>2.08845E-2</v>
      </c>
      <c r="D29" s="14">
        <f ca="1">INDEX(Data_FP!$2:$1048576,MATCH(D$4&amp;$A$24&amp;$B29&amp;$A$1,Data_FP!$A$2:$A$1048576,0),MATCH($A$23,Data_FP!$2:$2,0))</f>
        <v>9.7976000000000001E-3</v>
      </c>
      <c r="E29" s="14">
        <f ca="1">IF('User Settings'!$N$7="On",($D29-$C29)/($D$4-$C$4),0)</f>
        <v>-2.2173800000000001E-3</v>
      </c>
      <c r="F29" s="14">
        <f t="shared" ca="1" si="40"/>
        <v>3.1454599999999992E-3</v>
      </c>
      <c r="G29" s="14"/>
      <c r="H29" s="14">
        <f t="shared" ca="1" si="41"/>
        <v>0</v>
      </c>
      <c r="I29" s="14">
        <f t="shared" ca="1" si="46"/>
        <v>-1.0484866666666665E-3</v>
      </c>
      <c r="J29" s="14">
        <f t="shared" ca="1" si="42"/>
        <v>5.3628399999999989E-3</v>
      </c>
      <c r="K29" s="14">
        <f t="shared" ca="1" si="43"/>
        <v>3.1454599999999992E-3</v>
      </c>
      <c r="L29" s="15">
        <f t="shared" ca="1" si="44"/>
        <v>2.0969733333333325E-3</v>
      </c>
      <c r="M29" s="15">
        <f t="shared" ca="1" si="44"/>
        <v>1.048486666666666E-3</v>
      </c>
      <c r="N29" s="15">
        <f t="shared" ca="1" si="44"/>
        <v>0</v>
      </c>
      <c r="O29" s="15">
        <f t="shared" ca="1" si="44"/>
        <v>0</v>
      </c>
      <c r="P29" s="15">
        <f t="shared" ca="1" si="44"/>
        <v>0</v>
      </c>
      <c r="Q29" s="15">
        <f t="shared" ca="1" si="44"/>
        <v>0</v>
      </c>
      <c r="R29" s="15">
        <f t="shared" ca="1" si="44"/>
        <v>0</v>
      </c>
      <c r="S29" s="15">
        <f t="shared" ca="1" si="44"/>
        <v>0</v>
      </c>
      <c r="T29" s="15">
        <f t="shared" ca="1" si="44"/>
        <v>0</v>
      </c>
      <c r="U29" s="15">
        <f t="shared" ca="1" si="44"/>
        <v>0</v>
      </c>
      <c r="V29" s="15">
        <f t="shared" ca="1" si="44"/>
        <v>0</v>
      </c>
      <c r="W29" s="15">
        <f t="shared" ca="1" si="44"/>
        <v>0</v>
      </c>
      <c r="X29" s="15">
        <f t="shared" ca="1" si="44"/>
        <v>0</v>
      </c>
      <c r="Y29" s="15">
        <f t="shared" ca="1" si="44"/>
        <v>0</v>
      </c>
      <c r="Z29" s="15">
        <f t="shared" ca="1" si="44"/>
        <v>0</v>
      </c>
      <c r="AA29" s="15">
        <f t="shared" ca="1" si="44"/>
        <v>0</v>
      </c>
      <c r="AB29" s="15">
        <f t="shared" ca="1" si="44"/>
        <v>0</v>
      </c>
      <c r="AC29" s="15">
        <f t="shared" ca="1" si="44"/>
        <v>0</v>
      </c>
      <c r="AD29" s="15">
        <f t="shared" ca="1" si="44"/>
        <v>0</v>
      </c>
      <c r="AE29" s="5"/>
      <c r="AG29" s="1" t="s">
        <v>171</v>
      </c>
      <c r="AH29" s="37">
        <f t="shared" ca="1" si="45"/>
        <v>3232.5258510358103</v>
      </c>
      <c r="AI29" s="37">
        <f t="shared" ca="1" si="37"/>
        <v>1968.8797312503334</v>
      </c>
      <c r="AJ29" s="37">
        <f t="shared" ca="1" si="38"/>
        <v>1362.7636405001501</v>
      </c>
      <c r="AK29" s="37">
        <f t="shared" ca="1" si="38"/>
        <v>706.37996816458667</v>
      </c>
      <c r="AL29" s="37">
        <f t="shared" ca="1" si="38"/>
        <v>0</v>
      </c>
      <c r="AM29" s="37">
        <f t="shared" ca="1" si="38"/>
        <v>0</v>
      </c>
      <c r="AN29" s="37">
        <f t="shared" ca="1" si="38"/>
        <v>0</v>
      </c>
      <c r="AO29" s="37">
        <f t="shared" ca="1" si="38"/>
        <v>0</v>
      </c>
      <c r="AP29" s="37">
        <f t="shared" ca="1" si="38"/>
        <v>0</v>
      </c>
      <c r="AQ29" s="37">
        <f t="shared" ca="1" si="38"/>
        <v>0</v>
      </c>
      <c r="AR29" s="37">
        <f t="shared" ca="1" si="38"/>
        <v>0</v>
      </c>
      <c r="AS29" s="37">
        <f t="shared" ca="1" si="38"/>
        <v>0</v>
      </c>
      <c r="AT29" s="37">
        <f t="shared" ca="1" si="39"/>
        <v>0</v>
      </c>
      <c r="AU29" s="37">
        <f t="shared" ca="1" si="39"/>
        <v>0</v>
      </c>
      <c r="AV29" s="37">
        <f t="shared" ca="1" si="39"/>
        <v>0</v>
      </c>
      <c r="AW29" s="37">
        <f t="shared" ca="1" si="39"/>
        <v>0</v>
      </c>
      <c r="AX29" s="37">
        <f t="shared" ca="1" si="39"/>
        <v>0</v>
      </c>
      <c r="AY29" s="37">
        <f t="shared" ca="1" si="39"/>
        <v>0</v>
      </c>
      <c r="AZ29" s="37" t="e">
        <f t="shared" ca="1" si="39"/>
        <v>#N/A</v>
      </c>
      <c r="BA29" s="37" t="e">
        <f t="shared" ca="1" si="39"/>
        <v>#N/A</v>
      </c>
      <c r="BB29" s="37" t="e">
        <f t="shared" ca="1" si="39"/>
        <v>#N/A</v>
      </c>
    </row>
    <row r="30" spans="1:54" ht="15.75" customHeight="1" x14ac:dyDescent="0.25">
      <c r="B30" s="1" t="s">
        <v>116</v>
      </c>
      <c r="C30" s="14">
        <f ca="1">INDEX(Data_FP!$2:$1048576,MATCH(C$4&amp;$A$24&amp;$B30&amp;$A$1,Data_FP!$A$2:$A$1048576,0),MATCH($A$23,Data_FP!$2:$2,0))</f>
        <v>1.5453E-2</v>
      </c>
      <c r="D30" s="14">
        <f ca="1">INDEX(Data_FP!$2:$1048576,MATCH(D$4&amp;$A$24&amp;$B30&amp;$A$1,Data_FP!$A$2:$A$1048576,0),MATCH($A$23,Data_FP!$2:$2,0))</f>
        <v>1.1969999999999999E-3</v>
      </c>
      <c r="E30" s="14">
        <f ca="1">IF('User Settings'!$N$7="On",($D30-$C30)/($D$4-$C$4),0)</f>
        <v>-2.8511999999999999E-3</v>
      </c>
      <c r="F30" s="14">
        <f t="shared" ca="1" si="40"/>
        <v>0</v>
      </c>
      <c r="G30" s="14"/>
      <c r="H30" s="14">
        <f t="shared" ca="1" si="41"/>
        <v>0</v>
      </c>
      <c r="I30" s="14">
        <f t="shared" ca="1" si="46"/>
        <v>0</v>
      </c>
      <c r="J30" s="14">
        <f t="shared" ca="1" si="42"/>
        <v>2.8511999999999999E-3</v>
      </c>
      <c r="K30" s="14">
        <f t="shared" ca="1" si="43"/>
        <v>0</v>
      </c>
      <c r="L30" s="15">
        <f t="shared" ca="1" si="44"/>
        <v>0</v>
      </c>
      <c r="M30" s="15">
        <f t="shared" ca="1" si="44"/>
        <v>0</v>
      </c>
      <c r="N30" s="15">
        <f t="shared" ca="1" si="44"/>
        <v>0</v>
      </c>
      <c r="O30" s="15">
        <f t="shared" ca="1" si="44"/>
        <v>0</v>
      </c>
      <c r="P30" s="15">
        <f t="shared" ca="1" si="44"/>
        <v>0</v>
      </c>
      <c r="Q30" s="15">
        <f t="shared" ca="1" si="44"/>
        <v>0</v>
      </c>
      <c r="R30" s="15">
        <f t="shared" ca="1" si="44"/>
        <v>0</v>
      </c>
      <c r="S30" s="15">
        <f t="shared" ca="1" si="44"/>
        <v>0</v>
      </c>
      <c r="T30" s="15">
        <f t="shared" ca="1" si="44"/>
        <v>0</v>
      </c>
      <c r="U30" s="15">
        <f t="shared" ca="1" si="44"/>
        <v>0</v>
      </c>
      <c r="V30" s="15">
        <f t="shared" ca="1" si="44"/>
        <v>0</v>
      </c>
      <c r="W30" s="15">
        <f t="shared" ca="1" si="44"/>
        <v>0</v>
      </c>
      <c r="X30" s="15">
        <f t="shared" ca="1" si="44"/>
        <v>0</v>
      </c>
      <c r="Y30" s="15">
        <f t="shared" ca="1" si="44"/>
        <v>0</v>
      </c>
      <c r="Z30" s="15">
        <f t="shared" ca="1" si="44"/>
        <v>0</v>
      </c>
      <c r="AA30" s="15">
        <f t="shared" ca="1" si="44"/>
        <v>0</v>
      </c>
      <c r="AB30" s="15">
        <f t="shared" ca="1" si="44"/>
        <v>0</v>
      </c>
      <c r="AC30" s="15">
        <f t="shared" ca="1" si="44"/>
        <v>0</v>
      </c>
      <c r="AD30" s="15">
        <f t="shared" ca="1" si="44"/>
        <v>0</v>
      </c>
      <c r="AE30" s="5"/>
      <c r="AG30" s="1" t="s">
        <v>116</v>
      </c>
      <c r="AH30" s="37">
        <f t="shared" ca="1" si="45"/>
        <v>1718.6001645533529</v>
      </c>
      <c r="AI30" s="37">
        <f t="shared" ca="1" si="37"/>
        <v>0</v>
      </c>
      <c r="AJ30" s="37">
        <f t="shared" ca="1" si="38"/>
        <v>0</v>
      </c>
      <c r="AK30" s="37">
        <f t="shared" ca="1" si="38"/>
        <v>0</v>
      </c>
      <c r="AL30" s="37">
        <f t="shared" ca="1" si="38"/>
        <v>0</v>
      </c>
      <c r="AM30" s="37">
        <f t="shared" ca="1" si="38"/>
        <v>0</v>
      </c>
      <c r="AN30" s="37">
        <f t="shared" ca="1" si="38"/>
        <v>0</v>
      </c>
      <c r="AO30" s="37">
        <f t="shared" ca="1" si="38"/>
        <v>0</v>
      </c>
      <c r="AP30" s="37">
        <f t="shared" ca="1" si="38"/>
        <v>0</v>
      </c>
      <c r="AQ30" s="37">
        <f t="shared" ca="1" si="38"/>
        <v>0</v>
      </c>
      <c r="AR30" s="37">
        <f t="shared" ca="1" si="38"/>
        <v>0</v>
      </c>
      <c r="AS30" s="37">
        <f t="shared" ca="1" si="38"/>
        <v>0</v>
      </c>
      <c r="AT30" s="37">
        <f t="shared" ca="1" si="39"/>
        <v>0</v>
      </c>
      <c r="AU30" s="37">
        <f t="shared" ca="1" si="39"/>
        <v>0</v>
      </c>
      <c r="AV30" s="37">
        <f t="shared" ca="1" si="39"/>
        <v>0</v>
      </c>
      <c r="AW30" s="37">
        <f t="shared" ca="1" si="39"/>
        <v>0</v>
      </c>
      <c r="AX30" s="37">
        <f t="shared" ca="1" si="39"/>
        <v>0</v>
      </c>
      <c r="AY30" s="37">
        <f t="shared" ca="1" si="39"/>
        <v>0</v>
      </c>
      <c r="AZ30" s="37" t="e">
        <f t="shared" ca="1" si="39"/>
        <v>#N/A</v>
      </c>
      <c r="BA30" s="37" t="e">
        <f t="shared" ca="1" si="39"/>
        <v>#N/A</v>
      </c>
      <c r="BB30" s="37" t="e">
        <f t="shared" ca="1" si="39"/>
        <v>#N/A</v>
      </c>
    </row>
    <row r="31" spans="1:54" x14ac:dyDescent="0.25">
      <c r="C31" s="5">
        <f ca="1">SUM(C25:C30)</f>
        <v>7.5857300000000003E-2</v>
      </c>
      <c r="D31" s="5">
        <f ca="1">SUM(D25:D30)</f>
        <v>5.4970299999999993E-2</v>
      </c>
      <c r="E31" s="131"/>
      <c r="F31" s="132">
        <f ca="1">SUM(F25:F30)</f>
        <v>5.6439520000000007E-2</v>
      </c>
      <c r="G31" s="132"/>
      <c r="H31" s="132">
        <f ca="1">SUM(H25:H30)</f>
        <v>6.3147019999999998E-2</v>
      </c>
      <c r="I31" s="132"/>
      <c r="J31" s="132">
        <f ca="1">SUM(J25:J30)</f>
        <v>6.0616920000000005E-2</v>
      </c>
      <c r="K31" s="132">
        <f ca="1">SUM(K25:K30)</f>
        <v>5.6439520000000007E-2</v>
      </c>
      <c r="L31" s="5">
        <f t="shared" ref="L31:AD31" ca="1" si="47">SUM(L25:L30)</f>
        <v>5.8675353333333333E-2</v>
      </c>
      <c r="M31" s="5">
        <f t="shared" ca="1" si="47"/>
        <v>6.0911186666666665E-2</v>
      </c>
      <c r="N31" s="5">
        <f t="shared" ca="1" si="47"/>
        <v>6.3147019999999998E-2</v>
      </c>
      <c r="O31" s="5">
        <f t="shared" ca="1" si="47"/>
        <v>6.6431339999999992E-2</v>
      </c>
      <c r="P31" s="5">
        <f t="shared" ca="1" si="47"/>
        <v>6.9715659999999985E-2</v>
      </c>
      <c r="Q31" s="5">
        <f t="shared" ca="1" si="47"/>
        <v>7.2999979999999992E-2</v>
      </c>
      <c r="R31" s="5">
        <f t="shared" ca="1" si="47"/>
        <v>7.6284299999999985E-2</v>
      </c>
      <c r="S31" s="5">
        <f t="shared" ca="1" si="47"/>
        <v>7.9568619999999979E-2</v>
      </c>
      <c r="T31" s="5">
        <f t="shared" ca="1" si="47"/>
        <v>8.2852939999999986E-2</v>
      </c>
      <c r="U31" s="5">
        <f t="shared" ca="1" si="47"/>
        <v>8.6137259999999979E-2</v>
      </c>
      <c r="V31" s="5">
        <f t="shared" ca="1" si="47"/>
        <v>8.9421579999999973E-2</v>
      </c>
      <c r="W31" s="5">
        <f t="shared" ca="1" si="47"/>
        <v>9.270589999999998E-2</v>
      </c>
      <c r="X31" s="5">
        <f t="shared" ca="1" si="47"/>
        <v>9.5990219999999987E-2</v>
      </c>
      <c r="Y31" s="5">
        <f t="shared" ca="1" si="47"/>
        <v>9.9274539999999981E-2</v>
      </c>
      <c r="Z31" s="5">
        <f t="shared" ca="1" si="47"/>
        <v>0.10255885999999999</v>
      </c>
      <c r="AA31" s="5">
        <f t="shared" ca="1" si="47"/>
        <v>0.10584318</v>
      </c>
      <c r="AB31" s="5">
        <f t="shared" ca="1" si="47"/>
        <v>0.1091275</v>
      </c>
      <c r="AC31" s="5">
        <f t="shared" ca="1" si="47"/>
        <v>0.11241182000000001</v>
      </c>
      <c r="AD31" s="5">
        <f t="shared" ca="1" si="47"/>
        <v>0.11569614000000002</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G33" s="4"/>
      <c r="H33" s="4" t="s">
        <v>167</v>
      </c>
      <c r="K33" s="205" t="str">
        <f t="shared" ref="K33:AD33" si="48">IF(K34=Yr_Start,"Start Year",IF(K34=Yr_End,"End Year",""))</f>
        <v>Start Year</v>
      </c>
      <c r="L33" s="205" t="str">
        <f t="shared" si="48"/>
        <v/>
      </c>
      <c r="M33" s="205" t="str">
        <f t="shared" si="48"/>
        <v/>
      </c>
      <c r="N33" s="205" t="str">
        <f t="shared" si="48"/>
        <v>End Year</v>
      </c>
      <c r="O33" s="205" t="str">
        <f t="shared" si="48"/>
        <v/>
      </c>
      <c r="P33" s="205" t="str">
        <f t="shared" si="48"/>
        <v/>
      </c>
      <c r="Q33" s="205" t="str">
        <f t="shared" si="48"/>
        <v/>
      </c>
      <c r="R33" s="205" t="str">
        <f t="shared" si="48"/>
        <v/>
      </c>
      <c r="S33" s="205" t="str">
        <f t="shared" si="48"/>
        <v/>
      </c>
      <c r="T33" s="205" t="str">
        <f t="shared" si="48"/>
        <v/>
      </c>
      <c r="U33" s="205" t="str">
        <f t="shared" si="48"/>
        <v/>
      </c>
      <c r="V33" s="205" t="str">
        <f t="shared" si="48"/>
        <v/>
      </c>
      <c r="W33" s="205" t="str">
        <f t="shared" si="48"/>
        <v/>
      </c>
      <c r="X33" s="205" t="str">
        <f t="shared" si="48"/>
        <v/>
      </c>
      <c r="Y33" s="205" t="str">
        <f t="shared" si="48"/>
        <v/>
      </c>
      <c r="Z33" s="205" t="str">
        <f t="shared" si="48"/>
        <v/>
      </c>
      <c r="AA33" s="205" t="str">
        <f t="shared" si="48"/>
        <v/>
      </c>
      <c r="AB33" s="205" t="str">
        <f t="shared" si="48"/>
        <v/>
      </c>
      <c r="AC33" s="205" t="str">
        <f t="shared" si="48"/>
        <v/>
      </c>
      <c r="AD33" s="205" t="str">
        <f t="shared" si="48"/>
        <v/>
      </c>
      <c r="AE33" s="35"/>
      <c r="AF33" s="6" t="str">
        <f>A33</f>
        <v>Richer</v>
      </c>
      <c r="AI33" s="205" t="str">
        <f t="shared" ref="AI33:BB33" si="49">IF(AI34=Yr_Start,"Start Year",IF(AI34=Yr_End,"End Year",""))</f>
        <v>Start Year</v>
      </c>
      <c r="AJ33" s="205" t="str">
        <f t="shared" si="49"/>
        <v/>
      </c>
      <c r="AK33" s="205" t="str">
        <f t="shared" si="49"/>
        <v/>
      </c>
      <c r="AL33" s="205" t="str">
        <f t="shared" si="49"/>
        <v>End Year</v>
      </c>
      <c r="AM33" s="205" t="str">
        <f t="shared" si="49"/>
        <v/>
      </c>
      <c r="AN33" s="205" t="str">
        <f t="shared" si="49"/>
        <v/>
      </c>
      <c r="AO33" s="205" t="str">
        <f t="shared" si="49"/>
        <v/>
      </c>
      <c r="AP33" s="205" t="str">
        <f t="shared" si="49"/>
        <v/>
      </c>
      <c r="AQ33" s="205" t="str">
        <f t="shared" si="49"/>
        <v/>
      </c>
      <c r="AR33" s="205" t="str">
        <f t="shared" si="49"/>
        <v/>
      </c>
      <c r="AS33" s="205" t="str">
        <f t="shared" si="49"/>
        <v/>
      </c>
      <c r="AT33" s="205" t="str">
        <f t="shared" si="49"/>
        <v/>
      </c>
      <c r="AU33" s="205" t="str">
        <f t="shared" si="49"/>
        <v/>
      </c>
      <c r="AV33" s="205" t="str">
        <f t="shared" si="49"/>
        <v/>
      </c>
      <c r="AW33" s="205" t="str">
        <f t="shared" si="49"/>
        <v/>
      </c>
      <c r="AX33" s="205" t="str">
        <f t="shared" si="49"/>
        <v/>
      </c>
      <c r="AY33" s="205" t="str">
        <f t="shared" si="49"/>
        <v/>
      </c>
      <c r="AZ33" s="205" t="str">
        <f t="shared" si="49"/>
        <v/>
      </c>
      <c r="BA33" s="205" t="str">
        <f t="shared" si="49"/>
        <v/>
      </c>
      <c r="BB33" s="205" t="str">
        <f t="shared" si="49"/>
        <v/>
      </c>
    </row>
    <row r="34" spans="1:54" x14ac:dyDescent="0.25">
      <c r="A34" s="6" t="s">
        <v>21</v>
      </c>
      <c r="B34" s="36"/>
      <c r="C34" s="36">
        <f>Yr_DHS1</f>
        <v>2011</v>
      </c>
      <c r="D34" s="36">
        <f>Yr_DHS2</f>
        <v>2016</v>
      </c>
      <c r="E34" s="36" t="s">
        <v>168</v>
      </c>
      <c r="F34" s="36">
        <f>Yr_Start</f>
        <v>2019</v>
      </c>
      <c r="G34" s="36"/>
      <c r="H34" s="36">
        <f>Yr_End</f>
        <v>2022</v>
      </c>
      <c r="I34" s="36" t="s">
        <v>169</v>
      </c>
      <c r="J34" s="130">
        <f>K34-1</f>
        <v>2018</v>
      </c>
      <c r="K34" s="130">
        <f>Yr_Start</f>
        <v>2019</v>
      </c>
      <c r="L34" s="130">
        <f>K34+1</f>
        <v>2020</v>
      </c>
      <c r="M34" s="130">
        <f t="shared" ref="M34:AD34" si="50">L34+1</f>
        <v>2021</v>
      </c>
      <c r="N34" s="130">
        <f t="shared" si="50"/>
        <v>2022</v>
      </c>
      <c r="O34" s="130">
        <f t="shared" si="50"/>
        <v>2023</v>
      </c>
      <c r="P34" s="130">
        <f t="shared" si="50"/>
        <v>2024</v>
      </c>
      <c r="Q34" s="130">
        <f t="shared" si="50"/>
        <v>2025</v>
      </c>
      <c r="R34" s="130">
        <f t="shared" si="50"/>
        <v>2026</v>
      </c>
      <c r="S34" s="130">
        <f t="shared" si="50"/>
        <v>2027</v>
      </c>
      <c r="T34" s="130">
        <f t="shared" si="50"/>
        <v>2028</v>
      </c>
      <c r="U34" s="130">
        <f t="shared" si="50"/>
        <v>2029</v>
      </c>
      <c r="V34" s="130">
        <f t="shared" si="50"/>
        <v>2030</v>
      </c>
      <c r="W34" s="130">
        <f t="shared" si="50"/>
        <v>2031</v>
      </c>
      <c r="X34" s="130">
        <f t="shared" si="50"/>
        <v>2032</v>
      </c>
      <c r="Y34" s="130">
        <f t="shared" si="50"/>
        <v>2033</v>
      </c>
      <c r="Z34" s="130">
        <f t="shared" si="50"/>
        <v>2034</v>
      </c>
      <c r="AA34" s="130">
        <f t="shared" si="50"/>
        <v>2035</v>
      </c>
      <c r="AB34" s="130">
        <f t="shared" si="50"/>
        <v>2036</v>
      </c>
      <c r="AC34" s="130">
        <f t="shared" si="50"/>
        <v>2037</v>
      </c>
      <c r="AD34" s="130">
        <f t="shared" si="50"/>
        <v>2038</v>
      </c>
      <c r="AE34" s="6"/>
      <c r="AF34" s="6" t="str">
        <f>A34</f>
        <v>Rural</v>
      </c>
      <c r="AG34" s="38"/>
      <c r="AH34" s="161">
        <f>AI34-1</f>
        <v>2018</v>
      </c>
      <c r="AI34" s="36">
        <f>Yr_Start</f>
        <v>2019</v>
      </c>
      <c r="AJ34" s="36">
        <f>AI34+1</f>
        <v>2020</v>
      </c>
      <c r="AK34" s="36">
        <f t="shared" ref="AK34:BB34" si="51">AJ34+1</f>
        <v>2021</v>
      </c>
      <c r="AL34" s="36">
        <f t="shared" si="51"/>
        <v>2022</v>
      </c>
      <c r="AM34" s="36">
        <f t="shared" si="51"/>
        <v>2023</v>
      </c>
      <c r="AN34" s="36">
        <f t="shared" si="51"/>
        <v>2024</v>
      </c>
      <c r="AO34" s="36">
        <f t="shared" si="51"/>
        <v>2025</v>
      </c>
      <c r="AP34" s="36">
        <f t="shared" si="51"/>
        <v>2026</v>
      </c>
      <c r="AQ34" s="36">
        <f t="shared" si="51"/>
        <v>2027</v>
      </c>
      <c r="AR34" s="36">
        <f t="shared" si="51"/>
        <v>2028</v>
      </c>
      <c r="AS34" s="36">
        <f t="shared" si="51"/>
        <v>2029</v>
      </c>
      <c r="AT34" s="36">
        <f t="shared" si="51"/>
        <v>2030</v>
      </c>
      <c r="AU34" s="36">
        <f t="shared" si="51"/>
        <v>2031</v>
      </c>
      <c r="AV34" s="36">
        <f t="shared" si="51"/>
        <v>2032</v>
      </c>
      <c r="AW34" s="36">
        <f t="shared" si="51"/>
        <v>2033</v>
      </c>
      <c r="AX34" s="36">
        <f t="shared" si="51"/>
        <v>2034</v>
      </c>
      <c r="AY34" s="36">
        <f t="shared" si="51"/>
        <v>2035</v>
      </c>
      <c r="AZ34" s="36">
        <f t="shared" si="51"/>
        <v>2036</v>
      </c>
      <c r="BA34" s="36">
        <f t="shared" si="51"/>
        <v>2037</v>
      </c>
      <c r="BB34" s="36">
        <f t="shared" si="51"/>
        <v>2038</v>
      </c>
    </row>
    <row r="35" spans="1:54" x14ac:dyDescent="0.25">
      <c r="B35" s="1" t="s">
        <v>52</v>
      </c>
      <c r="C35" s="14">
        <f ca="1">INDEX(Data_FP!$2:$1048576,MATCH(C$4&amp;$A$34&amp;$B35&amp;$A$1,Data_FP!$A$2:$A$1048576,0),MATCH($A$33,Data_FP!$2:$2,0))</f>
        <v>7.3207000000000003E-3</v>
      </c>
      <c r="D35" s="14">
        <f ca="1">INDEX(Data_FP!$2:$1048576,MATCH(D$4&amp;$A$34&amp;$B35&amp;$A$1,Data_FP!$A$2:$A$1048576,0),MATCH($A$33,Data_FP!$2:$2,0))</f>
        <v>1.5410999999999999E-2</v>
      </c>
      <c r="E35" s="14">
        <f ca="1">IF('User Settings'!$N$7="On",($D35-$C35)/($D$4-$C$4),0)</f>
        <v>1.6180599999999997E-3</v>
      </c>
      <c r="F35" s="14">
        <f ca="1">MAX(0,MIN(1,($D35+$E35*(F$4-$D$4))))</f>
        <v>2.0265180000000001E-2</v>
      </c>
      <c r="G35" s="14"/>
      <c r="H35" s="14">
        <f ca="1">MAX(0,MIN(1,($D35+$E35*(H$4-$D$4))*$H$1))</f>
        <v>2.511936E-2</v>
      </c>
      <c r="I35" s="14">
        <f ca="1">($H35-$F35)/($H$4-$F$4)</f>
        <v>1.6180599999999999E-3</v>
      </c>
      <c r="J35" s="14">
        <f ca="1">K35-E35</f>
        <v>1.864712E-2</v>
      </c>
      <c r="K35" s="14">
        <f ca="1">MAX(0,MIN(1,D35+(K$4-D$4)*E35))</f>
        <v>2.0265180000000001E-2</v>
      </c>
      <c r="L35" s="15">
        <f ca="1">MAX(0,MIN(1,K35+$I35))</f>
        <v>2.1883240000000002E-2</v>
      </c>
      <c r="M35" s="15">
        <f t="shared" ref="M35:AD35" ca="1" si="52">MAX(0,MIN(1,L35+$I35))</f>
        <v>2.3501300000000003E-2</v>
      </c>
      <c r="N35" s="15">
        <f ca="1">MAX(0,MIN(1,M35+$I35))</f>
        <v>2.5119360000000004E-2</v>
      </c>
      <c r="O35" s="15">
        <f t="shared" ca="1" si="52"/>
        <v>2.6737420000000005E-2</v>
      </c>
      <c r="P35" s="15">
        <f t="shared" ca="1" si="52"/>
        <v>2.8355480000000006E-2</v>
      </c>
      <c r="Q35" s="15">
        <f t="shared" ca="1" si="52"/>
        <v>2.9973540000000007E-2</v>
      </c>
      <c r="R35" s="15">
        <f t="shared" ca="1" si="52"/>
        <v>3.1591600000000004E-2</v>
      </c>
      <c r="S35" s="15">
        <f t="shared" ca="1" si="52"/>
        <v>3.3209660000000002E-2</v>
      </c>
      <c r="T35" s="15">
        <f t="shared" ca="1" si="52"/>
        <v>3.482772E-2</v>
      </c>
      <c r="U35" s="15">
        <f t="shared" ca="1" si="52"/>
        <v>3.6445779999999997E-2</v>
      </c>
      <c r="V35" s="15">
        <f t="shared" ca="1" si="52"/>
        <v>3.8063839999999995E-2</v>
      </c>
      <c r="W35" s="15">
        <f t="shared" ca="1" si="52"/>
        <v>3.9681899999999992E-2</v>
      </c>
      <c r="X35" s="15">
        <f t="shared" ca="1" si="52"/>
        <v>4.129995999999999E-2</v>
      </c>
      <c r="Y35" s="15">
        <f t="shared" ca="1" si="52"/>
        <v>4.2918019999999987E-2</v>
      </c>
      <c r="Z35" s="15">
        <f t="shared" ca="1" si="52"/>
        <v>4.4536079999999985E-2</v>
      </c>
      <c r="AA35" s="15">
        <f t="shared" ca="1" si="52"/>
        <v>4.6154139999999982E-2</v>
      </c>
      <c r="AB35" s="15">
        <f t="shared" ca="1" si="52"/>
        <v>4.777219999999998E-2</v>
      </c>
      <c r="AC35" s="15">
        <f t="shared" ca="1" si="52"/>
        <v>4.9390259999999978E-2</v>
      </c>
      <c r="AD35" s="15">
        <f t="shared" ca="1" si="52"/>
        <v>5.1008319999999975E-2</v>
      </c>
      <c r="AE35" s="5"/>
      <c r="AG35" s="1" t="s">
        <v>52</v>
      </c>
      <c r="AH35" s="37">
        <f ca="1">J35*AH$41</f>
        <v>28481.950001550416</v>
      </c>
      <c r="AI35" s="37">
        <f t="shared" ref="AI35:AI40" ca="1" si="53">K35*AI$41</f>
        <v>32143.730216553169</v>
      </c>
      <c r="AJ35" s="37">
        <f t="shared" ref="AJ35:AS40" ca="1" si="54">L35*AJ$41</f>
        <v>36037.117092383385</v>
      </c>
      <c r="AK35" s="37">
        <f t="shared" ca="1" si="54"/>
        <v>40121.590094418112</v>
      </c>
      <c r="AL35" s="37">
        <f t="shared" ca="1" si="54"/>
        <v>44457.104551725854</v>
      </c>
      <c r="AM35" s="37">
        <f t="shared" ca="1" si="54"/>
        <v>49048.607495124299</v>
      </c>
      <c r="AN35" s="37">
        <f t="shared" ca="1" si="54"/>
        <v>53898.80525582983</v>
      </c>
      <c r="AO35" s="37">
        <f t="shared" ca="1" si="54"/>
        <v>59012.484741578839</v>
      </c>
      <c r="AP35" s="37">
        <f t="shared" ca="1" si="54"/>
        <v>64353.396467911021</v>
      </c>
      <c r="AQ35" s="37">
        <f t="shared" ca="1" si="54"/>
        <v>69974.496732536223</v>
      </c>
      <c r="AR35" s="37">
        <f t="shared" ca="1" si="54"/>
        <v>75885.471167698808</v>
      </c>
      <c r="AS35" s="37">
        <f t="shared" ca="1" si="54"/>
        <v>82099.696855046219</v>
      </c>
      <c r="AT35" s="37">
        <f t="shared" ref="AT35:BB40" ca="1" si="55">V35*AT$41</f>
        <v>88628.586481460676</v>
      </c>
      <c r="AU35" s="37">
        <f t="shared" ca="1" si="55"/>
        <v>95425.828015021834</v>
      </c>
      <c r="AV35" s="37">
        <f t="shared" ca="1" si="55"/>
        <v>102558.27723486468</v>
      </c>
      <c r="AW35" s="37">
        <f t="shared" ca="1" si="55"/>
        <v>110029.85187729698</v>
      </c>
      <c r="AX35" s="37">
        <f t="shared" ca="1" si="55"/>
        <v>117842.59344877648</v>
      </c>
      <c r="AY35" s="37">
        <f t="shared" ca="1" si="55"/>
        <v>126000.03885806308</v>
      </c>
      <c r="AZ35" s="37" t="e">
        <f t="shared" ca="1" si="55"/>
        <v>#N/A</v>
      </c>
      <c r="BA35" s="37" t="e">
        <f t="shared" ca="1" si="55"/>
        <v>#N/A</v>
      </c>
      <c r="BB35" s="37" t="e">
        <f t="shared" ca="1" si="55"/>
        <v>#N/A</v>
      </c>
    </row>
    <row r="36" spans="1:54" x14ac:dyDescent="0.25">
      <c r="B36" s="1" t="s">
        <v>54</v>
      </c>
      <c r="C36" s="14">
        <f ca="1">INDEX(Data_FP!$2:$1048576,MATCH(C$4&amp;$A$34&amp;$B36&amp;$A$1,Data_FP!$A$2:$A$1048576,0),MATCH($A$33,Data_FP!$2:$2,0))</f>
        <v>7.0750000000000001E-4</v>
      </c>
      <c r="D36" s="14">
        <f ca="1">INDEX(Data_FP!$2:$1048576,MATCH(D$4&amp;$A$34&amp;$B36&amp;$A$1,Data_FP!$A$2:$A$1048576,0),MATCH($A$33,Data_FP!$2:$2,0))</f>
        <v>4.1169999999999998E-4</v>
      </c>
      <c r="E36" s="14">
        <f ca="1">IF('User Settings'!$N$7="On",($D36-$C36)/($D$4-$C$4),0)</f>
        <v>-5.916000000000001E-5</v>
      </c>
      <c r="F36" s="14">
        <f t="shared" ref="F36:F40" ca="1" si="56">MAX(0,MIN(1,($D36+$E36*(F$4-$D$4))))</f>
        <v>2.3421999999999994E-4</v>
      </c>
      <c r="G36" s="14"/>
      <c r="H36" s="14">
        <f t="shared" ref="H36:H40" ca="1" si="57">MAX(0,MIN(1,($D36+$E36*(H$4-$D$4))*$H$1))</f>
        <v>5.6739999999999894E-5</v>
      </c>
      <c r="I36" s="14">
        <f ca="1">($H36-$F36)/($H$4-$F$4)</f>
        <v>-5.9160000000000016E-5</v>
      </c>
      <c r="J36" s="14">
        <f t="shared" ref="J36:J40" ca="1" si="58">K36-E36</f>
        <v>2.9337999999999993E-4</v>
      </c>
      <c r="K36" s="14">
        <f t="shared" ref="K36:K40" ca="1" si="59">MAX(0,MIN(1,D36+(K$4-D$4)*E36))</f>
        <v>2.3421999999999994E-4</v>
      </c>
      <c r="L36" s="15">
        <f t="shared" ref="L36:AD40" ca="1" si="60">MAX(0,MIN(1,K36+$I36))</f>
        <v>1.7505999999999991E-4</v>
      </c>
      <c r="M36" s="15">
        <f t="shared" ca="1" si="60"/>
        <v>1.1589999999999989E-4</v>
      </c>
      <c r="N36" s="15">
        <f t="shared" ca="1" si="60"/>
        <v>5.6739999999999873E-5</v>
      </c>
      <c r="O36" s="15">
        <f t="shared" ca="1" si="60"/>
        <v>0</v>
      </c>
      <c r="P36" s="15">
        <f t="shared" ca="1" si="60"/>
        <v>0</v>
      </c>
      <c r="Q36" s="15">
        <f t="shared" ca="1" si="60"/>
        <v>0</v>
      </c>
      <c r="R36" s="15">
        <f t="shared" ca="1" si="60"/>
        <v>0</v>
      </c>
      <c r="S36" s="15">
        <f t="shared" ca="1" si="60"/>
        <v>0</v>
      </c>
      <c r="T36" s="15">
        <f t="shared" ca="1" si="60"/>
        <v>0</v>
      </c>
      <c r="U36" s="15">
        <f t="shared" ca="1" si="60"/>
        <v>0</v>
      </c>
      <c r="V36" s="15">
        <f t="shared" ca="1" si="60"/>
        <v>0</v>
      </c>
      <c r="W36" s="15">
        <f t="shared" ca="1" si="60"/>
        <v>0</v>
      </c>
      <c r="X36" s="15">
        <f t="shared" ca="1" si="60"/>
        <v>0</v>
      </c>
      <c r="Y36" s="15">
        <f t="shared" ca="1" si="60"/>
        <v>0</v>
      </c>
      <c r="Z36" s="15">
        <f t="shared" ca="1" si="60"/>
        <v>0</v>
      </c>
      <c r="AA36" s="15">
        <f t="shared" ca="1" si="60"/>
        <v>0</v>
      </c>
      <c r="AB36" s="15">
        <f t="shared" ca="1" si="60"/>
        <v>0</v>
      </c>
      <c r="AC36" s="15">
        <f t="shared" ca="1" si="60"/>
        <v>0</v>
      </c>
      <c r="AD36" s="15">
        <f t="shared" ca="1" si="60"/>
        <v>0</v>
      </c>
      <c r="AE36" s="5"/>
      <c r="AG36" s="1" t="s">
        <v>54</v>
      </c>
      <c r="AH36" s="37">
        <f t="shared" ref="AH36:AH40" ca="1" si="61">J36*AH$41</f>
        <v>448.11394421523858</v>
      </c>
      <c r="AI36" s="37">
        <f t="shared" ca="1" si="53"/>
        <v>371.50938167443275</v>
      </c>
      <c r="AJ36" s="37">
        <f t="shared" ca="1" si="54"/>
        <v>288.28718773785931</v>
      </c>
      <c r="AK36" s="37">
        <f t="shared" ca="1" si="54"/>
        <v>197.86532200104054</v>
      </c>
      <c r="AL36" s="37">
        <f t="shared" ca="1" si="54"/>
        <v>100.42039734551035</v>
      </c>
      <c r="AM36" s="37">
        <f t="shared" ca="1" si="54"/>
        <v>0</v>
      </c>
      <c r="AN36" s="37">
        <f t="shared" ca="1" si="54"/>
        <v>0</v>
      </c>
      <c r="AO36" s="37">
        <f t="shared" ca="1" si="54"/>
        <v>0</v>
      </c>
      <c r="AP36" s="37">
        <f t="shared" ca="1" si="54"/>
        <v>0</v>
      </c>
      <c r="AQ36" s="37">
        <f t="shared" ca="1" si="54"/>
        <v>0</v>
      </c>
      <c r="AR36" s="37">
        <f t="shared" ca="1" si="54"/>
        <v>0</v>
      </c>
      <c r="AS36" s="37">
        <f t="shared" ca="1" si="54"/>
        <v>0</v>
      </c>
      <c r="AT36" s="37">
        <f t="shared" ca="1" si="55"/>
        <v>0</v>
      </c>
      <c r="AU36" s="37">
        <f t="shared" ca="1" si="55"/>
        <v>0</v>
      </c>
      <c r="AV36" s="37">
        <f t="shared" ca="1" si="55"/>
        <v>0</v>
      </c>
      <c r="AW36" s="37">
        <f t="shared" ca="1" si="55"/>
        <v>0</v>
      </c>
      <c r="AX36" s="37">
        <f t="shared" ca="1" si="55"/>
        <v>0</v>
      </c>
      <c r="AY36" s="37">
        <f t="shared" ca="1" si="55"/>
        <v>0</v>
      </c>
      <c r="AZ36" s="37" t="e">
        <f t="shared" ca="1" si="55"/>
        <v>#N/A</v>
      </c>
      <c r="BA36" s="37" t="e">
        <f t="shared" ca="1" si="55"/>
        <v>#N/A</v>
      </c>
      <c r="BB36" s="37" t="e">
        <f t="shared" ca="1" si="55"/>
        <v>#N/A</v>
      </c>
    </row>
    <row r="37" spans="1:54" x14ac:dyDescent="0.25">
      <c r="B37" s="1" t="s">
        <v>170</v>
      </c>
      <c r="C37" s="14">
        <f ca="1">INDEX(Data_FP!$2:$1048576,MATCH(C$4&amp;$A$34&amp;$B37&amp;$A$1,Data_FP!$A$2:$A$1048576,0),MATCH($A$33,Data_FP!$2:$2,0))</f>
        <v>0</v>
      </c>
      <c r="D37" s="14">
        <f ca="1">INDEX(Data_FP!$2:$1048576,MATCH(D$4&amp;$A$34&amp;$B37&amp;$A$1,Data_FP!$A$2:$A$1048576,0),MATCH($A$33,Data_FP!$2:$2,0))</f>
        <v>0</v>
      </c>
      <c r="E37" s="14">
        <f ca="1">IF('User Settings'!$N$7="On",($D37-$C37)/($D$4-$C$4),0)</f>
        <v>0</v>
      </c>
      <c r="F37" s="14">
        <f t="shared" ca="1" si="56"/>
        <v>0</v>
      </c>
      <c r="G37" s="14"/>
      <c r="H37" s="14">
        <f t="shared" ca="1" si="57"/>
        <v>0</v>
      </c>
      <c r="I37" s="14">
        <f t="shared" ref="I37:I40" ca="1" si="62">($H37-$F37)/($H$4-$F$4)</f>
        <v>0</v>
      </c>
      <c r="J37" s="14">
        <f t="shared" ca="1" si="58"/>
        <v>0</v>
      </c>
      <c r="K37" s="14">
        <f t="shared" ca="1" si="59"/>
        <v>0</v>
      </c>
      <c r="L37" s="15">
        <f t="shared" ca="1" si="60"/>
        <v>0</v>
      </c>
      <c r="M37" s="15">
        <f t="shared" ca="1" si="60"/>
        <v>0</v>
      </c>
      <c r="N37" s="15">
        <f t="shared" ca="1" si="60"/>
        <v>0</v>
      </c>
      <c r="O37" s="15">
        <f t="shared" ca="1" si="60"/>
        <v>0</v>
      </c>
      <c r="P37" s="15">
        <f t="shared" ca="1" si="60"/>
        <v>0</v>
      </c>
      <c r="Q37" s="15">
        <f t="shared" ca="1" si="60"/>
        <v>0</v>
      </c>
      <c r="R37" s="15">
        <f t="shared" ca="1" si="60"/>
        <v>0</v>
      </c>
      <c r="S37" s="15">
        <f t="shared" ca="1" si="60"/>
        <v>0</v>
      </c>
      <c r="T37" s="15">
        <f t="shared" ca="1" si="60"/>
        <v>0</v>
      </c>
      <c r="U37" s="15">
        <f t="shared" ca="1" si="60"/>
        <v>0</v>
      </c>
      <c r="V37" s="15">
        <f t="shared" ca="1" si="60"/>
        <v>0</v>
      </c>
      <c r="W37" s="15">
        <f t="shared" ca="1" si="60"/>
        <v>0</v>
      </c>
      <c r="X37" s="15">
        <f t="shared" ca="1" si="60"/>
        <v>0</v>
      </c>
      <c r="Y37" s="15">
        <f t="shared" ca="1" si="60"/>
        <v>0</v>
      </c>
      <c r="Z37" s="15">
        <f t="shared" ca="1" si="60"/>
        <v>0</v>
      </c>
      <c r="AA37" s="15">
        <f t="shared" ca="1" si="60"/>
        <v>0</v>
      </c>
      <c r="AB37" s="15">
        <f t="shared" ca="1" si="60"/>
        <v>0</v>
      </c>
      <c r="AC37" s="15">
        <f t="shared" ca="1" si="60"/>
        <v>0</v>
      </c>
      <c r="AD37" s="15">
        <f t="shared" ca="1" si="60"/>
        <v>0</v>
      </c>
      <c r="AE37" s="5"/>
      <c r="AG37" s="1" t="s">
        <v>170</v>
      </c>
      <c r="AH37" s="37">
        <f t="shared" ca="1" si="61"/>
        <v>0</v>
      </c>
      <c r="AI37" s="37">
        <f t="shared" ca="1" si="53"/>
        <v>0</v>
      </c>
      <c r="AJ37" s="37">
        <f t="shared" ca="1" si="54"/>
        <v>0</v>
      </c>
      <c r="AK37" s="37">
        <f t="shared" ca="1" si="54"/>
        <v>0</v>
      </c>
      <c r="AL37" s="37">
        <f t="shared" ca="1" si="54"/>
        <v>0</v>
      </c>
      <c r="AM37" s="37">
        <f t="shared" ca="1" si="54"/>
        <v>0</v>
      </c>
      <c r="AN37" s="37">
        <f t="shared" ca="1" si="54"/>
        <v>0</v>
      </c>
      <c r="AO37" s="37">
        <f t="shared" ca="1" si="54"/>
        <v>0</v>
      </c>
      <c r="AP37" s="37">
        <f t="shared" ca="1" si="54"/>
        <v>0</v>
      </c>
      <c r="AQ37" s="37">
        <f t="shared" ca="1" si="54"/>
        <v>0</v>
      </c>
      <c r="AR37" s="37">
        <f t="shared" ca="1" si="54"/>
        <v>0</v>
      </c>
      <c r="AS37" s="37">
        <f t="shared" ca="1" si="54"/>
        <v>0</v>
      </c>
      <c r="AT37" s="37">
        <f t="shared" ca="1" si="55"/>
        <v>0</v>
      </c>
      <c r="AU37" s="37">
        <f t="shared" ca="1" si="55"/>
        <v>0</v>
      </c>
      <c r="AV37" s="37">
        <f t="shared" ca="1" si="55"/>
        <v>0</v>
      </c>
      <c r="AW37" s="37">
        <f t="shared" ca="1" si="55"/>
        <v>0</v>
      </c>
      <c r="AX37" s="37">
        <f t="shared" ca="1" si="55"/>
        <v>0</v>
      </c>
      <c r="AY37" s="37">
        <f t="shared" ca="1" si="55"/>
        <v>0</v>
      </c>
      <c r="AZ37" s="37" t="e">
        <f t="shared" ca="1" si="55"/>
        <v>#N/A</v>
      </c>
      <c r="BA37" s="37" t="e">
        <f t="shared" ca="1" si="55"/>
        <v>#N/A</v>
      </c>
      <c r="BB37" s="37" t="e">
        <f t="shared" ca="1" si="55"/>
        <v>#N/A</v>
      </c>
    </row>
    <row r="38" spans="1:54" x14ac:dyDescent="0.25">
      <c r="B38" s="1" t="s">
        <v>59</v>
      </c>
      <c r="C38" s="14">
        <f ca="1">INDEX(Data_FP!$2:$1048576,MATCH(C$4&amp;$A$34&amp;$B38&amp;$A$1,Data_FP!$A$2:$A$1048576,0),MATCH($A$33,Data_FP!$2:$2,0))</f>
        <v>4.6369000000000002E-3</v>
      </c>
      <c r="D38" s="14">
        <f ca="1">INDEX(Data_FP!$2:$1048576,MATCH(D$4&amp;$A$34&amp;$B38&amp;$A$1,Data_FP!$A$2:$A$1048576,0),MATCH($A$33,Data_FP!$2:$2,0))</f>
        <v>1.0894600000000001E-2</v>
      </c>
      <c r="E38" s="14">
        <f ca="1">IF('User Settings'!$N$7="On",($D38-$C38)/($D$4-$C$4),0)</f>
        <v>1.2515400000000002E-3</v>
      </c>
      <c r="F38" s="14">
        <f t="shared" ca="1" si="56"/>
        <v>1.4649220000000001E-2</v>
      </c>
      <c r="G38" s="14"/>
      <c r="H38" s="14">
        <f t="shared" ca="1" si="57"/>
        <v>1.8403840000000001E-2</v>
      </c>
      <c r="I38" s="14">
        <f t="shared" ca="1" si="62"/>
        <v>1.25154E-3</v>
      </c>
      <c r="J38" s="14">
        <f t="shared" ca="1" si="58"/>
        <v>1.339768E-2</v>
      </c>
      <c r="K38" s="14">
        <f t="shared" ca="1" si="59"/>
        <v>1.4649220000000001E-2</v>
      </c>
      <c r="L38" s="15">
        <f t="shared" ca="1" si="60"/>
        <v>1.590076E-2</v>
      </c>
      <c r="M38" s="15">
        <f t="shared" ca="1" si="60"/>
        <v>1.7152299999999999E-2</v>
      </c>
      <c r="N38" s="15">
        <f t="shared" ca="1" si="60"/>
        <v>1.8403839999999998E-2</v>
      </c>
      <c r="O38" s="15">
        <f t="shared" ca="1" si="60"/>
        <v>1.9655379999999997E-2</v>
      </c>
      <c r="P38" s="15">
        <f t="shared" ca="1" si="60"/>
        <v>2.0906919999999996E-2</v>
      </c>
      <c r="Q38" s="15">
        <f t="shared" ca="1" si="60"/>
        <v>2.2158459999999994E-2</v>
      </c>
      <c r="R38" s="15">
        <f t="shared" ca="1" si="60"/>
        <v>2.3409999999999993E-2</v>
      </c>
      <c r="S38" s="15">
        <f t="shared" ca="1" si="60"/>
        <v>2.4661539999999992E-2</v>
      </c>
      <c r="T38" s="15">
        <f t="shared" ca="1" si="60"/>
        <v>2.5913079999999991E-2</v>
      </c>
      <c r="U38" s="15">
        <f t="shared" ca="1" si="60"/>
        <v>2.716461999999999E-2</v>
      </c>
      <c r="V38" s="15">
        <f t="shared" ca="1" si="60"/>
        <v>2.8416159999999989E-2</v>
      </c>
      <c r="W38" s="15">
        <f t="shared" ca="1" si="60"/>
        <v>2.9667699999999988E-2</v>
      </c>
      <c r="X38" s="15">
        <f t="shared" ca="1" si="60"/>
        <v>3.0919239999999987E-2</v>
      </c>
      <c r="Y38" s="15">
        <f t="shared" ca="1" si="60"/>
        <v>3.2170779999999989E-2</v>
      </c>
      <c r="Z38" s="15">
        <f t="shared" ca="1" si="60"/>
        <v>3.3422319999999991E-2</v>
      </c>
      <c r="AA38" s="15">
        <f t="shared" ca="1" si="60"/>
        <v>3.4673859999999994E-2</v>
      </c>
      <c r="AB38" s="15">
        <f t="shared" ca="1" si="60"/>
        <v>3.5925399999999996E-2</v>
      </c>
      <c r="AC38" s="15">
        <f t="shared" ca="1" si="60"/>
        <v>3.7176939999999999E-2</v>
      </c>
      <c r="AD38" s="15">
        <f t="shared" ca="1" si="60"/>
        <v>3.8428480000000001E-2</v>
      </c>
      <c r="AE38" s="5"/>
      <c r="AG38" s="1" t="s">
        <v>59</v>
      </c>
      <c r="AH38" s="37">
        <f t="shared" ca="1" si="61"/>
        <v>20463.859936374734</v>
      </c>
      <c r="AI38" s="37">
        <f t="shared" ca="1" si="53"/>
        <v>23235.943404545877</v>
      </c>
      <c r="AJ38" s="37">
        <f t="shared" ca="1" si="54"/>
        <v>26185.224399032595</v>
      </c>
      <c r="AK38" s="37">
        <f t="shared" ca="1" si="54"/>
        <v>29282.531169615624</v>
      </c>
      <c r="AL38" s="37">
        <f t="shared" ca="1" si="54"/>
        <v>32571.747012393393</v>
      </c>
      <c r="AM38" s="37">
        <f t="shared" ca="1" si="54"/>
        <v>36056.920181061447</v>
      </c>
      <c r="AN38" s="37">
        <f t="shared" ca="1" si="54"/>
        <v>39740.396197814785</v>
      </c>
      <c r="AO38" s="37">
        <f t="shared" ca="1" si="54"/>
        <v>43626.004223955009</v>
      </c>
      <c r="AP38" s="37">
        <f t="shared" ca="1" si="54"/>
        <v>47687.138711359868</v>
      </c>
      <c r="AQ38" s="37">
        <f t="shared" ca="1" si="54"/>
        <v>51963.15921780924</v>
      </c>
      <c r="AR38" s="37">
        <f t="shared" ca="1" si="54"/>
        <v>56461.527921043125</v>
      </c>
      <c r="AS38" s="37">
        <f t="shared" ca="1" si="54"/>
        <v>61192.46363179839</v>
      </c>
      <c r="AT38" s="37">
        <f t="shared" ca="1" si="55"/>
        <v>66164.740447391086</v>
      </c>
      <c r="AU38" s="37">
        <f t="shared" ca="1" si="55"/>
        <v>71343.983977613534</v>
      </c>
      <c r="AV38" s="37">
        <f t="shared" ca="1" si="55"/>
        <v>76780.316199127483</v>
      </c>
      <c r="AW38" s="37">
        <f t="shared" ca="1" si="55"/>
        <v>82476.921306647142</v>
      </c>
      <c r="AX38" s="37">
        <f t="shared" ca="1" si="55"/>
        <v>88435.553103796105</v>
      </c>
      <c r="AY38" s="37">
        <f t="shared" ca="1" si="55"/>
        <v>94659.064330069639</v>
      </c>
      <c r="AZ38" s="37" t="e">
        <f t="shared" ca="1" si="55"/>
        <v>#N/A</v>
      </c>
      <c r="BA38" s="37" t="e">
        <f t="shared" ca="1" si="55"/>
        <v>#N/A</v>
      </c>
      <c r="BB38" s="37" t="e">
        <f t="shared" ca="1" si="55"/>
        <v>#N/A</v>
      </c>
    </row>
    <row r="39" spans="1:54" x14ac:dyDescent="0.25">
      <c r="B39" s="1" t="s">
        <v>171</v>
      </c>
      <c r="C39" s="14">
        <f ca="1">INDEX(Data_FP!$2:$1048576,MATCH(C$4&amp;$A$34&amp;$B39&amp;$A$1,Data_FP!$A$2:$A$1048576,0),MATCH($A$33,Data_FP!$2:$2,0))</f>
        <v>1.29192E-2</v>
      </c>
      <c r="D39" s="14">
        <f ca="1">INDEX(Data_FP!$2:$1048576,MATCH(D$4&amp;$A$34&amp;$B39&amp;$A$1,Data_FP!$A$2:$A$1048576,0),MATCH($A$33,Data_FP!$2:$2,0))</f>
        <v>1.2262E-3</v>
      </c>
      <c r="E39" s="14">
        <f ca="1">IF('User Settings'!$N$7="On",($D39-$C39)/($D$4-$C$4),0)</f>
        <v>-2.3386000000000001E-3</v>
      </c>
      <c r="F39" s="14">
        <f t="shared" ca="1" si="56"/>
        <v>0</v>
      </c>
      <c r="G39" s="14"/>
      <c r="H39" s="14">
        <f t="shared" ca="1" si="57"/>
        <v>0</v>
      </c>
      <c r="I39" s="14">
        <f t="shared" ca="1" si="62"/>
        <v>0</v>
      </c>
      <c r="J39" s="14">
        <f t="shared" ca="1" si="58"/>
        <v>2.3386000000000001E-3</v>
      </c>
      <c r="K39" s="14">
        <f t="shared" ca="1" si="59"/>
        <v>0</v>
      </c>
      <c r="L39" s="15">
        <f t="shared" ca="1" si="60"/>
        <v>0</v>
      </c>
      <c r="M39" s="15">
        <f t="shared" ca="1" si="60"/>
        <v>0</v>
      </c>
      <c r="N39" s="15">
        <f t="shared" ca="1" si="60"/>
        <v>0</v>
      </c>
      <c r="O39" s="15">
        <f t="shared" ca="1" si="60"/>
        <v>0</v>
      </c>
      <c r="P39" s="15">
        <f t="shared" ca="1" si="60"/>
        <v>0</v>
      </c>
      <c r="Q39" s="15">
        <f t="shared" ca="1" si="60"/>
        <v>0</v>
      </c>
      <c r="R39" s="15">
        <f t="shared" ca="1" si="60"/>
        <v>0</v>
      </c>
      <c r="S39" s="15">
        <f t="shared" ca="1" si="60"/>
        <v>0</v>
      </c>
      <c r="T39" s="15">
        <f t="shared" ca="1" si="60"/>
        <v>0</v>
      </c>
      <c r="U39" s="15">
        <f t="shared" ca="1" si="60"/>
        <v>0</v>
      </c>
      <c r="V39" s="15">
        <f t="shared" ca="1" si="60"/>
        <v>0</v>
      </c>
      <c r="W39" s="15">
        <f t="shared" ca="1" si="60"/>
        <v>0</v>
      </c>
      <c r="X39" s="15">
        <f t="shared" ca="1" si="60"/>
        <v>0</v>
      </c>
      <c r="Y39" s="15">
        <f t="shared" ca="1" si="60"/>
        <v>0</v>
      </c>
      <c r="Z39" s="15">
        <f t="shared" ca="1" si="60"/>
        <v>0</v>
      </c>
      <c r="AA39" s="15">
        <f t="shared" ca="1" si="60"/>
        <v>0</v>
      </c>
      <c r="AB39" s="15">
        <f t="shared" ca="1" si="60"/>
        <v>0</v>
      </c>
      <c r="AC39" s="15">
        <f t="shared" ca="1" si="60"/>
        <v>0</v>
      </c>
      <c r="AD39" s="15">
        <f t="shared" ca="1" si="60"/>
        <v>0</v>
      </c>
      <c r="AE39" s="5"/>
      <c r="AG39" s="1" t="s">
        <v>171</v>
      </c>
      <c r="AH39" s="37">
        <f t="shared" ca="1" si="61"/>
        <v>3572.0201443239393</v>
      </c>
      <c r="AI39" s="37">
        <f t="shared" ca="1" si="53"/>
        <v>0</v>
      </c>
      <c r="AJ39" s="37">
        <f t="shared" ca="1" si="54"/>
        <v>0</v>
      </c>
      <c r="AK39" s="37">
        <f t="shared" ca="1" si="54"/>
        <v>0</v>
      </c>
      <c r="AL39" s="37">
        <f t="shared" ca="1" si="54"/>
        <v>0</v>
      </c>
      <c r="AM39" s="37">
        <f t="shared" ca="1" si="54"/>
        <v>0</v>
      </c>
      <c r="AN39" s="37">
        <f t="shared" ca="1" si="54"/>
        <v>0</v>
      </c>
      <c r="AO39" s="37">
        <f t="shared" ca="1" si="54"/>
        <v>0</v>
      </c>
      <c r="AP39" s="37">
        <f t="shared" ca="1" si="54"/>
        <v>0</v>
      </c>
      <c r="AQ39" s="37">
        <f t="shared" ca="1" si="54"/>
        <v>0</v>
      </c>
      <c r="AR39" s="37">
        <f t="shared" ca="1" si="54"/>
        <v>0</v>
      </c>
      <c r="AS39" s="37">
        <f t="shared" ca="1" si="54"/>
        <v>0</v>
      </c>
      <c r="AT39" s="37">
        <f t="shared" ca="1" si="55"/>
        <v>0</v>
      </c>
      <c r="AU39" s="37">
        <f t="shared" ca="1" si="55"/>
        <v>0</v>
      </c>
      <c r="AV39" s="37">
        <f t="shared" ca="1" si="55"/>
        <v>0</v>
      </c>
      <c r="AW39" s="37">
        <f t="shared" ca="1" si="55"/>
        <v>0</v>
      </c>
      <c r="AX39" s="37">
        <f t="shared" ca="1" si="55"/>
        <v>0</v>
      </c>
      <c r="AY39" s="37">
        <f t="shared" ca="1" si="55"/>
        <v>0</v>
      </c>
      <c r="AZ39" s="37" t="e">
        <f t="shared" ca="1" si="55"/>
        <v>#N/A</v>
      </c>
      <c r="BA39" s="37" t="e">
        <f t="shared" ca="1" si="55"/>
        <v>#N/A</v>
      </c>
      <c r="BB39" s="37" t="e">
        <f t="shared" ca="1" si="55"/>
        <v>#N/A</v>
      </c>
    </row>
    <row r="40" spans="1:54" x14ac:dyDescent="0.25">
      <c r="B40" s="1" t="s">
        <v>116</v>
      </c>
      <c r="C40" s="14">
        <f ca="1">INDEX(Data_FP!$2:$1048576,MATCH(C$4&amp;$A$34&amp;$B40&amp;$A$1,Data_FP!$A$2:$A$1048576,0),MATCH($A$33,Data_FP!$2:$2,0))</f>
        <v>2.3316999999999999E-3</v>
      </c>
      <c r="D40" s="14">
        <f ca="1">INDEX(Data_FP!$2:$1048576,MATCH(D$4&amp;$A$34&amp;$B40&amp;$A$1,Data_FP!$A$2:$A$1048576,0),MATCH($A$33,Data_FP!$2:$2,0))</f>
        <v>2.5933000000000002E-3</v>
      </c>
      <c r="E40" s="14">
        <f ca="1">IF('User Settings'!$N$7="On",($D40-$C40)/($D$4-$C$4),0)</f>
        <v>5.2320000000000055E-5</v>
      </c>
      <c r="F40" s="14">
        <f t="shared" ca="1" si="56"/>
        <v>2.7502600000000005E-3</v>
      </c>
      <c r="G40" s="14"/>
      <c r="H40" s="14">
        <f t="shared" ca="1" si="57"/>
        <v>2.9072200000000003E-3</v>
      </c>
      <c r="I40" s="14">
        <f t="shared" ca="1" si="62"/>
        <v>5.231999999999994E-5</v>
      </c>
      <c r="J40" s="14">
        <f t="shared" ca="1" si="58"/>
        <v>2.6979400000000002E-3</v>
      </c>
      <c r="K40" s="14">
        <f t="shared" ca="1" si="59"/>
        <v>2.7502600000000005E-3</v>
      </c>
      <c r="L40" s="15">
        <f t="shared" ca="1" si="60"/>
        <v>2.8025800000000003E-3</v>
      </c>
      <c r="M40" s="15">
        <f t="shared" ca="1" si="60"/>
        <v>2.8549000000000001E-3</v>
      </c>
      <c r="N40" s="15">
        <f t="shared" ca="1" si="60"/>
        <v>2.9072199999999999E-3</v>
      </c>
      <c r="O40" s="15">
        <f t="shared" ca="1" si="60"/>
        <v>2.9595399999999997E-3</v>
      </c>
      <c r="P40" s="15">
        <f t="shared" ca="1" si="60"/>
        <v>3.0118599999999995E-3</v>
      </c>
      <c r="Q40" s="15">
        <f t="shared" ca="1" si="60"/>
        <v>3.0641799999999992E-3</v>
      </c>
      <c r="R40" s="15">
        <f t="shared" ca="1" si="60"/>
        <v>3.116499999999999E-3</v>
      </c>
      <c r="S40" s="15">
        <f t="shared" ca="1" si="60"/>
        <v>3.1688199999999988E-3</v>
      </c>
      <c r="T40" s="15">
        <f t="shared" ca="1" si="60"/>
        <v>3.2211399999999986E-3</v>
      </c>
      <c r="U40" s="15">
        <f t="shared" ca="1" si="60"/>
        <v>3.2734599999999984E-3</v>
      </c>
      <c r="V40" s="15">
        <f t="shared" ca="1" si="60"/>
        <v>3.3257799999999982E-3</v>
      </c>
      <c r="W40" s="15">
        <f t="shared" ca="1" si="60"/>
        <v>3.378099999999998E-3</v>
      </c>
      <c r="X40" s="15">
        <f t="shared" ca="1" si="60"/>
        <v>3.4304199999999978E-3</v>
      </c>
      <c r="Y40" s="15">
        <f t="shared" ca="1" si="60"/>
        <v>3.4827399999999976E-3</v>
      </c>
      <c r="Z40" s="15">
        <f t="shared" ca="1" si="60"/>
        <v>3.5350599999999974E-3</v>
      </c>
      <c r="AA40" s="15">
        <f t="shared" ca="1" si="60"/>
        <v>3.5873799999999972E-3</v>
      </c>
      <c r="AB40" s="15">
        <f t="shared" ca="1" si="60"/>
        <v>3.639699999999997E-3</v>
      </c>
      <c r="AC40" s="15">
        <f t="shared" ca="1" si="60"/>
        <v>3.6920199999999968E-3</v>
      </c>
      <c r="AD40" s="15">
        <f t="shared" ca="1" si="60"/>
        <v>3.7443399999999966E-3</v>
      </c>
      <c r="AE40" s="5"/>
      <c r="AG40" s="1" t="s">
        <v>116</v>
      </c>
      <c r="AH40" s="37">
        <f t="shared" ca="1" si="61"/>
        <v>4120.8825913697638</v>
      </c>
      <c r="AI40" s="37">
        <f t="shared" ca="1" si="53"/>
        <v>4362.340500571795</v>
      </c>
      <c r="AJ40" s="37">
        <f t="shared" ca="1" si="54"/>
        <v>4615.2628048118941</v>
      </c>
      <c r="AK40" s="37">
        <f t="shared" ca="1" si="54"/>
        <v>4873.9060205415981</v>
      </c>
      <c r="AL40" s="37">
        <f t="shared" ca="1" si="54"/>
        <v>5145.29763078631</v>
      </c>
      <c r="AM40" s="37">
        <f t="shared" ca="1" si="54"/>
        <v>5429.1444659252884</v>
      </c>
      <c r="AN40" s="37">
        <f t="shared" ca="1" si="54"/>
        <v>5725.0187828886537</v>
      </c>
      <c r="AO40" s="37">
        <f t="shared" ca="1" si="54"/>
        <v>6032.8167942609034</v>
      </c>
      <c r="AP40" s="37">
        <f t="shared" ca="1" si="54"/>
        <v>6348.4394615101673</v>
      </c>
      <c r="AQ40" s="37">
        <f t="shared" ca="1" si="54"/>
        <v>6676.8700653964943</v>
      </c>
      <c r="AR40" s="37">
        <f t="shared" ca="1" si="54"/>
        <v>7018.4820194121594</v>
      </c>
      <c r="AS40" s="37">
        <f t="shared" ca="1" si="54"/>
        <v>7373.9695972241361</v>
      </c>
      <c r="AT40" s="37">
        <f t="shared" ca="1" si="55"/>
        <v>7743.8109331142668</v>
      </c>
      <c r="AU40" s="37">
        <f t="shared" ca="1" si="55"/>
        <v>8123.5522900250526</v>
      </c>
      <c r="AV40" s="37">
        <f t="shared" ca="1" si="55"/>
        <v>8518.6030541439832</v>
      </c>
      <c r="AW40" s="37">
        <f t="shared" ca="1" si="55"/>
        <v>8928.775519633411</v>
      </c>
      <c r="AX40" s="37">
        <f t="shared" ca="1" si="55"/>
        <v>9353.7787429210566</v>
      </c>
      <c r="AY40" s="37">
        <f t="shared" ca="1" si="55"/>
        <v>9793.4880684297914</v>
      </c>
      <c r="AZ40" s="37" t="e">
        <f t="shared" ca="1" si="55"/>
        <v>#N/A</v>
      </c>
      <c r="BA40" s="37" t="e">
        <f t="shared" ca="1" si="55"/>
        <v>#N/A</v>
      </c>
      <c r="BB40" s="37" t="e">
        <f t="shared" ca="1" si="55"/>
        <v>#N/A</v>
      </c>
    </row>
    <row r="41" spans="1:54" x14ac:dyDescent="0.25">
      <c r="C41" s="5">
        <f ca="1">SUM(C35:C40)</f>
        <v>2.7916000000000003E-2</v>
      </c>
      <c r="D41" s="5">
        <f ca="1">SUM(D35:D40)</f>
        <v>3.0536799999999999E-2</v>
      </c>
      <c r="E41" s="131"/>
      <c r="F41" s="132">
        <f ca="1">SUM(F35:F40)</f>
        <v>3.7898880000000003E-2</v>
      </c>
      <c r="G41" s="132"/>
      <c r="H41" s="132">
        <f ca="1">SUM(H35:H40)</f>
        <v>4.648716E-2</v>
      </c>
      <c r="I41" s="132"/>
      <c r="J41" s="132">
        <f ca="1">SUM(J35:J40)</f>
        <v>3.7374720000000007E-2</v>
      </c>
      <c r="K41" s="132">
        <f ca="1">SUM(K35:K40)</f>
        <v>3.7898880000000003E-2</v>
      </c>
      <c r="L41" s="5">
        <f t="shared" ref="L41:AD41" ca="1" si="63">SUM(L35:L40)</f>
        <v>4.0761640000000002E-2</v>
      </c>
      <c r="M41" s="5">
        <f t="shared" ca="1" si="63"/>
        <v>4.3624400000000001E-2</v>
      </c>
      <c r="N41" s="5">
        <f t="shared" ca="1" si="63"/>
        <v>4.648716E-2</v>
      </c>
      <c r="O41" s="5">
        <f t="shared" ca="1" si="63"/>
        <v>4.9352339999999995E-2</v>
      </c>
      <c r="P41" s="5">
        <f t="shared" ca="1" si="63"/>
        <v>5.2274259999999996E-2</v>
      </c>
      <c r="Q41" s="5">
        <f t="shared" ca="1" si="63"/>
        <v>5.5196179999999997E-2</v>
      </c>
      <c r="R41" s="5">
        <f t="shared" ca="1" si="63"/>
        <v>5.8118099999999999E-2</v>
      </c>
      <c r="S41" s="5">
        <f t="shared" ca="1" si="63"/>
        <v>6.1040019999999993E-2</v>
      </c>
      <c r="T41" s="5">
        <f t="shared" ca="1" si="63"/>
        <v>6.3961939999999995E-2</v>
      </c>
      <c r="U41" s="5">
        <f t="shared" ca="1" si="63"/>
        <v>6.6883859999999976E-2</v>
      </c>
      <c r="V41" s="5">
        <f t="shared" ca="1" si="63"/>
        <v>6.9805779999999984E-2</v>
      </c>
      <c r="W41" s="5">
        <f t="shared" ca="1" si="63"/>
        <v>7.2727699999999978E-2</v>
      </c>
      <c r="X41" s="5">
        <f t="shared" ca="1" si="63"/>
        <v>7.5649619999999987E-2</v>
      </c>
      <c r="Y41" s="5">
        <f t="shared" ca="1" si="63"/>
        <v>7.8571539999999981E-2</v>
      </c>
      <c r="Z41" s="5">
        <f t="shared" ca="1" si="63"/>
        <v>8.1493459999999976E-2</v>
      </c>
      <c r="AA41" s="5">
        <f t="shared" ca="1" si="63"/>
        <v>8.4415379999999984E-2</v>
      </c>
      <c r="AB41" s="5">
        <f t="shared" ca="1" si="63"/>
        <v>8.7337299999999979E-2</v>
      </c>
      <c r="AC41" s="5">
        <f t="shared" ca="1" si="63"/>
        <v>9.0259219999999973E-2</v>
      </c>
      <c r="AD41" s="5">
        <f t="shared" ca="1" si="63"/>
        <v>9.3181139999999982E-2</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64">IF(K44=Yr_Start,"Start Year",IF(K44=Yr_End,"End Year",""))</f>
        <v>Start Year</v>
      </c>
      <c r="L43" s="205" t="str">
        <f t="shared" si="64"/>
        <v/>
      </c>
      <c r="M43" s="205" t="str">
        <f t="shared" si="64"/>
        <v/>
      </c>
      <c r="N43" s="205" t="str">
        <f t="shared" si="64"/>
        <v>End Year</v>
      </c>
      <c r="O43" s="205" t="str">
        <f t="shared" si="64"/>
        <v/>
      </c>
      <c r="P43" s="205" t="str">
        <f t="shared" si="64"/>
        <v/>
      </c>
      <c r="Q43" s="205" t="str">
        <f t="shared" si="64"/>
        <v/>
      </c>
      <c r="R43" s="205" t="str">
        <f t="shared" si="64"/>
        <v/>
      </c>
      <c r="S43" s="205" t="str">
        <f t="shared" si="64"/>
        <v/>
      </c>
      <c r="T43" s="205" t="str">
        <f t="shared" si="64"/>
        <v/>
      </c>
      <c r="U43" s="205" t="str">
        <f t="shared" si="64"/>
        <v/>
      </c>
      <c r="V43" s="205" t="str">
        <f t="shared" si="64"/>
        <v/>
      </c>
      <c r="W43" s="205" t="str">
        <f t="shared" si="64"/>
        <v/>
      </c>
      <c r="X43" s="205" t="str">
        <f t="shared" si="64"/>
        <v/>
      </c>
      <c r="Y43" s="205" t="str">
        <f t="shared" si="64"/>
        <v/>
      </c>
      <c r="Z43" s="205" t="str">
        <f t="shared" si="64"/>
        <v/>
      </c>
      <c r="AA43" s="205" t="str">
        <f t="shared" si="64"/>
        <v/>
      </c>
      <c r="AB43" s="205" t="str">
        <f t="shared" si="64"/>
        <v/>
      </c>
      <c r="AC43" s="205" t="str">
        <f t="shared" si="64"/>
        <v/>
      </c>
      <c r="AD43" s="205" t="str">
        <f t="shared" si="64"/>
        <v/>
      </c>
      <c r="AE43" s="35"/>
      <c r="AF43" s="6" t="str">
        <f>A43</f>
        <v>Other</v>
      </c>
      <c r="AI43" s="205" t="str">
        <f t="shared" ref="AI43:BB43" si="65">IF(AI44=Yr_Start,"Start Year",IF(AI44=Yr_End,"End Year",""))</f>
        <v>Start Year</v>
      </c>
      <c r="AJ43" s="205" t="str">
        <f t="shared" si="65"/>
        <v/>
      </c>
      <c r="AK43" s="205" t="str">
        <f t="shared" si="65"/>
        <v/>
      </c>
      <c r="AL43" s="205" t="str">
        <f t="shared" si="65"/>
        <v>End Year</v>
      </c>
      <c r="AM43" s="205" t="str">
        <f t="shared" si="65"/>
        <v/>
      </c>
      <c r="AN43" s="205" t="str">
        <f t="shared" si="65"/>
        <v/>
      </c>
      <c r="AO43" s="205" t="str">
        <f t="shared" si="65"/>
        <v/>
      </c>
      <c r="AP43" s="205" t="str">
        <f t="shared" si="65"/>
        <v/>
      </c>
      <c r="AQ43" s="205" t="str">
        <f t="shared" si="65"/>
        <v/>
      </c>
      <c r="AR43" s="205" t="str">
        <f t="shared" si="65"/>
        <v/>
      </c>
      <c r="AS43" s="205" t="str">
        <f t="shared" si="65"/>
        <v/>
      </c>
      <c r="AT43" s="205" t="str">
        <f t="shared" si="65"/>
        <v/>
      </c>
      <c r="AU43" s="205" t="str">
        <f t="shared" si="65"/>
        <v/>
      </c>
      <c r="AV43" s="205" t="str">
        <f t="shared" si="65"/>
        <v/>
      </c>
      <c r="AW43" s="205" t="str">
        <f t="shared" si="65"/>
        <v/>
      </c>
      <c r="AX43" s="205" t="str">
        <f t="shared" si="65"/>
        <v/>
      </c>
      <c r="AY43" s="205" t="str">
        <f t="shared" si="65"/>
        <v/>
      </c>
      <c r="AZ43" s="205" t="str">
        <f t="shared" si="65"/>
        <v/>
      </c>
      <c r="BA43" s="205" t="str">
        <f t="shared" si="65"/>
        <v/>
      </c>
      <c r="BB43" s="205" t="str">
        <f t="shared" si="65"/>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66">L44+1</f>
        <v>2021</v>
      </c>
      <c r="N44" s="130">
        <f t="shared" si="66"/>
        <v>2022</v>
      </c>
      <c r="O44" s="130">
        <f t="shared" si="66"/>
        <v>2023</v>
      </c>
      <c r="P44" s="130">
        <f t="shared" si="66"/>
        <v>2024</v>
      </c>
      <c r="Q44" s="130">
        <f t="shared" si="66"/>
        <v>2025</v>
      </c>
      <c r="R44" s="130">
        <f t="shared" si="66"/>
        <v>2026</v>
      </c>
      <c r="S44" s="130">
        <f t="shared" si="66"/>
        <v>2027</v>
      </c>
      <c r="T44" s="130">
        <f t="shared" si="66"/>
        <v>2028</v>
      </c>
      <c r="U44" s="130">
        <f t="shared" si="66"/>
        <v>2029</v>
      </c>
      <c r="V44" s="130">
        <f t="shared" si="66"/>
        <v>2030</v>
      </c>
      <c r="W44" s="130">
        <f t="shared" si="66"/>
        <v>2031</v>
      </c>
      <c r="X44" s="130">
        <f t="shared" si="66"/>
        <v>2032</v>
      </c>
      <c r="Y44" s="130">
        <f t="shared" si="66"/>
        <v>2033</v>
      </c>
      <c r="Z44" s="130">
        <f t="shared" si="66"/>
        <v>2034</v>
      </c>
      <c r="AA44" s="130">
        <f t="shared" si="66"/>
        <v>2035</v>
      </c>
      <c r="AB44" s="130">
        <f t="shared" si="66"/>
        <v>2036</v>
      </c>
      <c r="AC44" s="130">
        <f t="shared" si="66"/>
        <v>2037</v>
      </c>
      <c r="AD44" s="130">
        <f t="shared" si="66"/>
        <v>2038</v>
      </c>
      <c r="AE44" s="6"/>
      <c r="AF44" s="6" t="str">
        <f>A44</f>
        <v>Urban</v>
      </c>
      <c r="AG44" s="38"/>
      <c r="AH44" s="161">
        <f>AI44-1</f>
        <v>2018</v>
      </c>
      <c r="AI44" s="36">
        <f>Yr_Start</f>
        <v>2019</v>
      </c>
      <c r="AJ44" s="36">
        <f>AI44+1</f>
        <v>2020</v>
      </c>
      <c r="AK44" s="36">
        <f t="shared" ref="AK44:BB44" si="67">AJ44+1</f>
        <v>2021</v>
      </c>
      <c r="AL44" s="36">
        <f t="shared" si="67"/>
        <v>2022</v>
      </c>
      <c r="AM44" s="36">
        <f t="shared" si="67"/>
        <v>2023</v>
      </c>
      <c r="AN44" s="36">
        <f t="shared" si="67"/>
        <v>2024</v>
      </c>
      <c r="AO44" s="36">
        <f t="shared" si="67"/>
        <v>2025</v>
      </c>
      <c r="AP44" s="36">
        <f t="shared" si="67"/>
        <v>2026</v>
      </c>
      <c r="AQ44" s="36">
        <f t="shared" si="67"/>
        <v>2027</v>
      </c>
      <c r="AR44" s="36">
        <f t="shared" si="67"/>
        <v>2028</v>
      </c>
      <c r="AS44" s="36">
        <f t="shared" si="67"/>
        <v>2029</v>
      </c>
      <c r="AT44" s="36">
        <f t="shared" si="67"/>
        <v>2030</v>
      </c>
      <c r="AU44" s="36">
        <f t="shared" si="67"/>
        <v>2031</v>
      </c>
      <c r="AV44" s="36">
        <f t="shared" si="67"/>
        <v>2032</v>
      </c>
      <c r="AW44" s="36">
        <f t="shared" si="67"/>
        <v>2033</v>
      </c>
      <c r="AX44" s="36">
        <f t="shared" si="67"/>
        <v>2034</v>
      </c>
      <c r="AY44" s="36">
        <f t="shared" si="67"/>
        <v>2035</v>
      </c>
      <c r="AZ44" s="36">
        <f t="shared" si="67"/>
        <v>2036</v>
      </c>
      <c r="BA44" s="36">
        <f t="shared" si="67"/>
        <v>2037</v>
      </c>
      <c r="BB44" s="36">
        <f t="shared" si="67"/>
        <v>2038</v>
      </c>
    </row>
    <row r="45" spans="1:54" x14ac:dyDescent="0.25">
      <c r="B45" s="1" t="s">
        <v>52</v>
      </c>
      <c r="C45" s="14">
        <f ca="1">INDEX(Data_FP!$2:$1048576,MATCH(C$4&amp;$A$44&amp;$B45&amp;$A$1,Data_FP!$A$2:$A$1048576,0),MATCH($A$43,Data_FP!$2:$2,0))</f>
        <v>6.2303999999999997E-3</v>
      </c>
      <c r="D45" s="14">
        <f ca="1">INDEX(Data_FP!$2:$1048576,MATCH(D$4&amp;$A$44&amp;$B45&amp;$A$1,Data_FP!$A$2:$A$1048576,0),MATCH($A$43,Data_FP!$2:$2,0))</f>
        <v>1.4560200000000001E-2</v>
      </c>
      <c r="E45" s="14">
        <f ca="1">IF('User Settings'!$N$7="On",($D45-$C45)/($D$4-$C$4),0)</f>
        <v>1.6659600000000004E-3</v>
      </c>
      <c r="F45" s="14">
        <f ca="1">MAX(0,MIN(1,($D45+$E45*(F$4-$D$4))))</f>
        <v>1.9558080000000002E-2</v>
      </c>
      <c r="G45" s="14"/>
      <c r="H45" s="14">
        <f ca="1">MAX(0,MIN(1,($D45+$E45*(H$4-$D$4))*$H$1))</f>
        <v>2.4555960000000002E-2</v>
      </c>
      <c r="I45" s="14">
        <f ca="1">($H45-$F45)/($H$4-$F$4)</f>
        <v>1.66596E-3</v>
      </c>
      <c r="J45" s="14">
        <f ca="1">K45-E45</f>
        <v>1.7892120000000001E-2</v>
      </c>
      <c r="K45" s="14">
        <f ca="1">MAX(0,MIN(1,D45+(K$4-D$4)*E45))</f>
        <v>1.9558080000000002E-2</v>
      </c>
      <c r="L45" s="15">
        <f ca="1">MAX(0,MIN(1,K45+$I45))</f>
        <v>2.1224040000000003E-2</v>
      </c>
      <c r="M45" s="15">
        <f t="shared" ref="M45:AD45" ca="1" si="68">MAX(0,MIN(1,L45+$I45))</f>
        <v>2.2890000000000004E-2</v>
      </c>
      <c r="N45" s="15">
        <f ca="1">MAX(0,MIN(1,M45+$I45))</f>
        <v>2.4555960000000005E-2</v>
      </c>
      <c r="O45" s="15">
        <f t="shared" ca="1" si="68"/>
        <v>2.6221920000000006E-2</v>
      </c>
      <c r="P45" s="15">
        <f t="shared" ca="1" si="68"/>
        <v>2.7887880000000007E-2</v>
      </c>
      <c r="Q45" s="15">
        <f t="shared" ca="1" si="68"/>
        <v>2.9553840000000008E-2</v>
      </c>
      <c r="R45" s="15">
        <f t="shared" ca="1" si="68"/>
        <v>3.1219800000000009E-2</v>
      </c>
      <c r="S45" s="15">
        <f t="shared" ca="1" si="68"/>
        <v>3.2885760000000007E-2</v>
      </c>
      <c r="T45" s="15">
        <f t="shared" ca="1" si="68"/>
        <v>3.4551720000000008E-2</v>
      </c>
      <c r="U45" s="15">
        <f t="shared" ca="1" si="68"/>
        <v>3.6217680000000009E-2</v>
      </c>
      <c r="V45" s="15">
        <f t="shared" ca="1" si="68"/>
        <v>3.788364000000001E-2</v>
      </c>
      <c r="W45" s="15">
        <f t="shared" ca="1" si="68"/>
        <v>3.9549600000000011E-2</v>
      </c>
      <c r="X45" s="15">
        <f t="shared" ca="1" si="68"/>
        <v>4.1215560000000012E-2</v>
      </c>
      <c r="Y45" s="15">
        <f t="shared" ca="1" si="68"/>
        <v>4.2881520000000013E-2</v>
      </c>
      <c r="Z45" s="15">
        <f t="shared" ca="1" si="68"/>
        <v>4.4547480000000014E-2</v>
      </c>
      <c r="AA45" s="15">
        <f t="shared" ca="1" si="68"/>
        <v>4.6213440000000015E-2</v>
      </c>
      <c r="AB45" s="15">
        <f t="shared" ca="1" si="68"/>
        <v>4.7879400000000016E-2</v>
      </c>
      <c r="AC45" s="15">
        <f t="shared" ca="1" si="68"/>
        <v>4.9545360000000017E-2</v>
      </c>
      <c r="AD45" s="15">
        <f t="shared" ca="1" si="68"/>
        <v>5.1211320000000018E-2</v>
      </c>
      <c r="AE45" s="5"/>
      <c r="AG45" s="1" t="s">
        <v>52</v>
      </c>
      <c r="AH45" s="37">
        <f ca="1">J45*AH$51</f>
        <v>26232.167724718744</v>
      </c>
      <c r="AI45" s="37">
        <f t="shared" ref="AI45:AI50" ca="1" si="69">K45*AI$51</f>
        <v>29777.377805595319</v>
      </c>
      <c r="AJ45" s="37">
        <f t="shared" ref="AJ45:AS50" ca="1" si="70">L45*AJ$51</f>
        <v>33549.101773815011</v>
      </c>
      <c r="AK45" s="37">
        <f t="shared" ca="1" si="70"/>
        <v>37509.948425683891</v>
      </c>
      <c r="AL45" s="37">
        <f t="shared" ca="1" si="70"/>
        <v>41716.123588425733</v>
      </c>
      <c r="AM45" s="37">
        <f t="shared" ca="1" si="70"/>
        <v>46172.78771885296</v>
      </c>
      <c r="AN45" s="37">
        <f t="shared" ca="1" si="70"/>
        <v>50882.924013433105</v>
      </c>
      <c r="AO45" s="37">
        <f t="shared" ca="1" si="70"/>
        <v>55851.41816968684</v>
      </c>
      <c r="AP45" s="37">
        <f t="shared" ca="1" si="70"/>
        <v>61044.197954488205</v>
      </c>
      <c r="AQ45" s="37">
        <f t="shared" ca="1" si="70"/>
        <v>66511.640757224333</v>
      </c>
      <c r="AR45" s="37">
        <f t="shared" ca="1" si="70"/>
        <v>72263.282723241791</v>
      </c>
      <c r="AS45" s="37">
        <f t="shared" ca="1" si="70"/>
        <v>78312.187554539618</v>
      </c>
      <c r="AT45" s="37">
        <f t="shared" ref="AT45:BB50" ca="1" si="71">V45*AT$51</f>
        <v>84669.568957736701</v>
      </c>
      <c r="AU45" s="37">
        <f t="shared" ca="1" si="71"/>
        <v>91291.427547006169</v>
      </c>
      <c r="AV45" s="37">
        <f t="shared" ca="1" si="71"/>
        <v>98241.891403114729</v>
      </c>
      <c r="AW45" s="37">
        <f t="shared" ca="1" si="71"/>
        <v>105525.02065402341</v>
      </c>
      <c r="AX45" s="37">
        <f t="shared" ca="1" si="71"/>
        <v>113143.04666135815</v>
      </c>
      <c r="AY45" s="37">
        <f t="shared" ca="1" si="71"/>
        <v>121099.60805345682</v>
      </c>
      <c r="AZ45" s="37" t="e">
        <f t="shared" ca="1" si="71"/>
        <v>#N/A</v>
      </c>
      <c r="BA45" s="37" t="e">
        <f t="shared" ca="1" si="71"/>
        <v>#N/A</v>
      </c>
      <c r="BB45" s="37" t="e">
        <f t="shared" ca="1" si="71"/>
        <v>#N/A</v>
      </c>
    </row>
    <row r="46" spans="1:54" x14ac:dyDescent="0.25">
      <c r="B46" s="1" t="s">
        <v>54</v>
      </c>
      <c r="C46" s="14">
        <f ca="1">INDEX(Data_FP!$2:$1048576,MATCH(C$4&amp;$A$44&amp;$B46&amp;$A$1,Data_FP!$A$2:$A$1048576,0),MATCH($A$43,Data_FP!$2:$2,0))</f>
        <v>1.4342000000000001E-3</v>
      </c>
      <c r="D46" s="14">
        <f ca="1">INDEX(Data_FP!$2:$1048576,MATCH(D$4&amp;$A$44&amp;$B46&amp;$A$1,Data_FP!$A$2:$A$1048576,0),MATCH($A$43,Data_FP!$2:$2,0))</f>
        <v>9.7659999999999999E-4</v>
      </c>
      <c r="E46" s="14">
        <f ca="1">IF('User Settings'!$N$7="On",($D46-$C46)/($D$4-$C$4),0)</f>
        <v>-9.1520000000000018E-5</v>
      </c>
      <c r="F46" s="14">
        <f t="shared" ref="F46:F50" ca="1" si="72">MAX(0,MIN(1,($D46+$E46*(F$4-$D$4))))</f>
        <v>7.0203999999999991E-4</v>
      </c>
      <c r="G46" s="14"/>
      <c r="H46" s="14">
        <f t="shared" ref="H46:H50" ca="1" si="73">MAX(0,MIN(1,($D46+$E46*(H$4-$D$4))*$H$1))</f>
        <v>4.2747999999999983E-4</v>
      </c>
      <c r="I46" s="14">
        <f ca="1">($H46-$F46)/($H$4-$F$4)</f>
        <v>-9.1520000000000032E-5</v>
      </c>
      <c r="J46" s="14">
        <f t="shared" ref="J46:J50" ca="1" si="74">K46-E46</f>
        <v>7.935599999999999E-4</v>
      </c>
      <c r="K46" s="14">
        <f t="shared" ref="K46:K50" ca="1" si="75">MAX(0,MIN(1,D46+(K$4-D$4)*E46))</f>
        <v>7.0203999999999991E-4</v>
      </c>
      <c r="L46" s="15">
        <f t="shared" ref="L46:AD50" ca="1" si="76">MAX(0,MIN(1,K46+$I46))</f>
        <v>6.1051999999999992E-4</v>
      </c>
      <c r="M46" s="15">
        <f t="shared" ca="1" si="76"/>
        <v>5.1899999999999993E-4</v>
      </c>
      <c r="N46" s="15">
        <f t="shared" ca="1" si="76"/>
        <v>4.2747999999999988E-4</v>
      </c>
      <c r="O46" s="15">
        <f t="shared" ca="1" si="76"/>
        <v>3.3595999999999984E-4</v>
      </c>
      <c r="P46" s="15">
        <f t="shared" ca="1" si="76"/>
        <v>2.4443999999999979E-4</v>
      </c>
      <c r="Q46" s="15">
        <f t="shared" ca="1" si="76"/>
        <v>1.5291999999999975E-4</v>
      </c>
      <c r="R46" s="15">
        <f t="shared" ca="1" si="76"/>
        <v>6.1399999999999717E-5</v>
      </c>
      <c r="S46" s="15">
        <f t="shared" ca="1" si="76"/>
        <v>0</v>
      </c>
      <c r="T46" s="15">
        <f t="shared" ca="1" si="76"/>
        <v>0</v>
      </c>
      <c r="U46" s="15">
        <f t="shared" ca="1" si="76"/>
        <v>0</v>
      </c>
      <c r="V46" s="15">
        <f t="shared" ca="1" si="76"/>
        <v>0</v>
      </c>
      <c r="W46" s="15">
        <f t="shared" ca="1" si="76"/>
        <v>0</v>
      </c>
      <c r="X46" s="15">
        <f t="shared" ca="1" si="76"/>
        <v>0</v>
      </c>
      <c r="Y46" s="15">
        <f t="shared" ca="1" si="76"/>
        <v>0</v>
      </c>
      <c r="Z46" s="15">
        <f t="shared" ca="1" si="76"/>
        <v>0</v>
      </c>
      <c r="AA46" s="15">
        <f t="shared" ca="1" si="76"/>
        <v>0</v>
      </c>
      <c r="AB46" s="15">
        <f t="shared" ca="1" si="76"/>
        <v>0</v>
      </c>
      <c r="AC46" s="15">
        <f t="shared" ca="1" si="76"/>
        <v>0</v>
      </c>
      <c r="AD46" s="15">
        <f t="shared" ca="1" si="76"/>
        <v>0</v>
      </c>
      <c r="AE46" s="5"/>
      <c r="AG46" s="1" t="s">
        <v>54</v>
      </c>
      <c r="AH46" s="37">
        <f t="shared" ref="AH46:AH50" ca="1" si="77">J46*AH$51</f>
        <v>1163.4618491060758</v>
      </c>
      <c r="AI46" s="37">
        <f t="shared" ca="1" si="69"/>
        <v>1068.8631151237817</v>
      </c>
      <c r="AJ46" s="37">
        <f t="shared" ca="1" si="70"/>
        <v>965.05649324772924</v>
      </c>
      <c r="AK46" s="37">
        <f t="shared" ca="1" si="70"/>
        <v>850.48769038575495</v>
      </c>
      <c r="AL46" s="37">
        <f t="shared" ca="1" si="70"/>
        <v>726.21100993731159</v>
      </c>
      <c r="AM46" s="37">
        <f t="shared" ca="1" si="70"/>
        <v>591.574139575814</v>
      </c>
      <c r="AN46" s="37">
        <f t="shared" ca="1" si="70"/>
        <v>445.99381329249746</v>
      </c>
      <c r="AO46" s="37">
        <f t="shared" ca="1" si="70"/>
        <v>288.99117226419628</v>
      </c>
      <c r="AP46" s="37">
        <f t="shared" ca="1" si="70"/>
        <v>120.05566193266957</v>
      </c>
      <c r="AQ46" s="37">
        <f t="shared" ca="1" si="70"/>
        <v>0</v>
      </c>
      <c r="AR46" s="37">
        <f t="shared" ca="1" si="70"/>
        <v>0</v>
      </c>
      <c r="AS46" s="37">
        <f t="shared" ca="1" si="70"/>
        <v>0</v>
      </c>
      <c r="AT46" s="37">
        <f t="shared" ca="1" si="71"/>
        <v>0</v>
      </c>
      <c r="AU46" s="37">
        <f t="shared" ca="1" si="71"/>
        <v>0</v>
      </c>
      <c r="AV46" s="37">
        <f t="shared" ca="1" si="71"/>
        <v>0</v>
      </c>
      <c r="AW46" s="37">
        <f t="shared" ca="1" si="71"/>
        <v>0</v>
      </c>
      <c r="AX46" s="37">
        <f t="shared" ca="1" si="71"/>
        <v>0</v>
      </c>
      <c r="AY46" s="37">
        <f t="shared" ca="1" si="71"/>
        <v>0</v>
      </c>
      <c r="AZ46" s="37" t="e">
        <f t="shared" ca="1" si="71"/>
        <v>#N/A</v>
      </c>
      <c r="BA46" s="37" t="e">
        <f t="shared" ca="1" si="71"/>
        <v>#N/A</v>
      </c>
      <c r="BB46" s="37" t="e">
        <f t="shared" ca="1" si="71"/>
        <v>#N/A</v>
      </c>
    </row>
    <row r="47" spans="1:54" x14ac:dyDescent="0.25">
      <c r="B47" s="1" t="s">
        <v>170</v>
      </c>
      <c r="C47" s="14">
        <f ca="1">INDEX(Data_FP!$2:$1048576,MATCH(C$4&amp;$A$44&amp;$B47&amp;$A$1,Data_FP!$A$2:$A$1048576,0),MATCH($A$43,Data_FP!$2:$2,0))</f>
        <v>0</v>
      </c>
      <c r="D47" s="14">
        <f ca="1">INDEX(Data_FP!$2:$1048576,MATCH(D$4&amp;$A$44&amp;$B47&amp;$A$1,Data_FP!$A$2:$A$1048576,0),MATCH($A$43,Data_FP!$2:$2,0))</f>
        <v>0</v>
      </c>
      <c r="E47" s="14">
        <f ca="1">IF('User Settings'!$N$7="On",($D47-$C47)/($D$4-$C$4),0)</f>
        <v>0</v>
      </c>
      <c r="F47" s="14">
        <f t="shared" ca="1" si="72"/>
        <v>0</v>
      </c>
      <c r="G47" s="14"/>
      <c r="H47" s="14">
        <f t="shared" ca="1" si="73"/>
        <v>0</v>
      </c>
      <c r="I47" s="14">
        <f t="shared" ref="I47:I50" ca="1" si="78">($H47-$F47)/($H$4-$F$4)</f>
        <v>0</v>
      </c>
      <c r="J47" s="14">
        <f t="shared" ca="1" si="74"/>
        <v>0</v>
      </c>
      <c r="K47" s="14">
        <f t="shared" ca="1" si="75"/>
        <v>0</v>
      </c>
      <c r="L47" s="15">
        <f t="shared" ca="1" si="76"/>
        <v>0</v>
      </c>
      <c r="M47" s="15">
        <f t="shared" ca="1" si="76"/>
        <v>0</v>
      </c>
      <c r="N47" s="15">
        <f t="shared" ca="1" si="76"/>
        <v>0</v>
      </c>
      <c r="O47" s="15">
        <f t="shared" ca="1" si="76"/>
        <v>0</v>
      </c>
      <c r="P47" s="15">
        <f t="shared" ca="1" si="76"/>
        <v>0</v>
      </c>
      <c r="Q47" s="15">
        <f t="shared" ca="1" si="76"/>
        <v>0</v>
      </c>
      <c r="R47" s="15">
        <f t="shared" ca="1" si="76"/>
        <v>0</v>
      </c>
      <c r="S47" s="15">
        <f t="shared" ca="1" si="76"/>
        <v>0</v>
      </c>
      <c r="T47" s="15">
        <f t="shared" ca="1" si="76"/>
        <v>0</v>
      </c>
      <c r="U47" s="15">
        <f t="shared" ca="1" si="76"/>
        <v>0</v>
      </c>
      <c r="V47" s="15">
        <f t="shared" ca="1" si="76"/>
        <v>0</v>
      </c>
      <c r="W47" s="15">
        <f t="shared" ca="1" si="76"/>
        <v>0</v>
      </c>
      <c r="X47" s="15">
        <f t="shared" ca="1" si="76"/>
        <v>0</v>
      </c>
      <c r="Y47" s="15">
        <f t="shared" ca="1" si="76"/>
        <v>0</v>
      </c>
      <c r="Z47" s="15">
        <f t="shared" ca="1" si="76"/>
        <v>0</v>
      </c>
      <c r="AA47" s="15">
        <f t="shared" ca="1" si="76"/>
        <v>0</v>
      </c>
      <c r="AB47" s="15">
        <f t="shared" ca="1" si="76"/>
        <v>0</v>
      </c>
      <c r="AC47" s="15">
        <f t="shared" ca="1" si="76"/>
        <v>0</v>
      </c>
      <c r="AD47" s="15">
        <f t="shared" ca="1" si="76"/>
        <v>0</v>
      </c>
      <c r="AE47" s="5"/>
      <c r="AG47" s="1" t="s">
        <v>170</v>
      </c>
      <c r="AH47" s="37">
        <f t="shared" ca="1" si="77"/>
        <v>0</v>
      </c>
      <c r="AI47" s="37">
        <f t="shared" ca="1" si="69"/>
        <v>0</v>
      </c>
      <c r="AJ47" s="37">
        <f t="shared" ca="1" si="70"/>
        <v>0</v>
      </c>
      <c r="AK47" s="37">
        <f t="shared" ca="1" si="70"/>
        <v>0</v>
      </c>
      <c r="AL47" s="37">
        <f t="shared" ca="1" si="70"/>
        <v>0</v>
      </c>
      <c r="AM47" s="37">
        <f t="shared" ca="1" si="70"/>
        <v>0</v>
      </c>
      <c r="AN47" s="37">
        <f t="shared" ca="1" si="70"/>
        <v>0</v>
      </c>
      <c r="AO47" s="37">
        <f t="shared" ca="1" si="70"/>
        <v>0</v>
      </c>
      <c r="AP47" s="37">
        <f t="shared" ca="1" si="70"/>
        <v>0</v>
      </c>
      <c r="AQ47" s="37">
        <f t="shared" ca="1" si="70"/>
        <v>0</v>
      </c>
      <c r="AR47" s="37">
        <f t="shared" ca="1" si="70"/>
        <v>0</v>
      </c>
      <c r="AS47" s="37">
        <f t="shared" ca="1" si="70"/>
        <v>0</v>
      </c>
      <c r="AT47" s="37">
        <f t="shared" ca="1" si="71"/>
        <v>0</v>
      </c>
      <c r="AU47" s="37">
        <f t="shared" ca="1" si="71"/>
        <v>0</v>
      </c>
      <c r="AV47" s="37">
        <f t="shared" ca="1" si="71"/>
        <v>0</v>
      </c>
      <c r="AW47" s="37">
        <f t="shared" ca="1" si="71"/>
        <v>0</v>
      </c>
      <c r="AX47" s="37">
        <f t="shared" ca="1" si="71"/>
        <v>0</v>
      </c>
      <c r="AY47" s="37">
        <f t="shared" ca="1" si="71"/>
        <v>0</v>
      </c>
      <c r="AZ47" s="37" t="e">
        <f t="shared" ca="1" si="71"/>
        <v>#N/A</v>
      </c>
      <c r="BA47" s="37" t="e">
        <f t="shared" ca="1" si="71"/>
        <v>#N/A</v>
      </c>
      <c r="BB47" s="37" t="e">
        <f t="shared" ca="1" si="71"/>
        <v>#N/A</v>
      </c>
    </row>
    <row r="48" spans="1:54" x14ac:dyDescent="0.25">
      <c r="B48" s="1" t="s">
        <v>59</v>
      </c>
      <c r="C48" s="14">
        <f ca="1">INDEX(Data_FP!$2:$1048576,MATCH(C$4&amp;$A$44&amp;$B48&amp;$A$1,Data_FP!$A$2:$A$1048576,0),MATCH($A$43,Data_FP!$2:$2,0))</f>
        <v>1.8495899999999999E-2</v>
      </c>
      <c r="D48" s="14">
        <f ca="1">INDEX(Data_FP!$2:$1048576,MATCH(D$4&amp;$A$44&amp;$B48&amp;$A$1,Data_FP!$A$2:$A$1048576,0),MATCH($A$43,Data_FP!$2:$2,0))</f>
        <v>1.35995E-2</v>
      </c>
      <c r="E48" s="14">
        <f ca="1">IF('User Settings'!$N$7="On",($D48-$C48)/($D$4-$C$4),0)</f>
        <v>-9.7927999999999969E-4</v>
      </c>
      <c r="F48" s="14">
        <f t="shared" ca="1" si="72"/>
        <v>1.0661660000000002E-2</v>
      </c>
      <c r="G48" s="14"/>
      <c r="H48" s="14">
        <f t="shared" ca="1" si="73"/>
        <v>7.7238200000000028E-3</v>
      </c>
      <c r="I48" s="14">
        <f t="shared" ca="1" si="78"/>
        <v>-9.7927999999999969E-4</v>
      </c>
      <c r="J48" s="14">
        <f t="shared" ca="1" si="74"/>
        <v>1.1640940000000001E-2</v>
      </c>
      <c r="K48" s="14">
        <f t="shared" ca="1" si="75"/>
        <v>1.0661660000000002E-2</v>
      </c>
      <c r="L48" s="15">
        <f t="shared" ca="1" si="76"/>
        <v>9.6823800000000026E-3</v>
      </c>
      <c r="M48" s="15">
        <f t="shared" ca="1" si="76"/>
        <v>8.7031000000000035E-3</v>
      </c>
      <c r="N48" s="15">
        <f t="shared" ca="1" si="76"/>
        <v>7.7238200000000036E-3</v>
      </c>
      <c r="O48" s="15">
        <f t="shared" ca="1" si="76"/>
        <v>6.7445400000000037E-3</v>
      </c>
      <c r="P48" s="15">
        <f t="shared" ca="1" si="76"/>
        <v>5.7652600000000038E-3</v>
      </c>
      <c r="Q48" s="15">
        <f t="shared" ca="1" si="76"/>
        <v>4.7859800000000039E-3</v>
      </c>
      <c r="R48" s="15">
        <f t="shared" ca="1" si="76"/>
        <v>3.806700000000004E-3</v>
      </c>
      <c r="S48" s="15">
        <f t="shared" ca="1" si="76"/>
        <v>2.8274200000000041E-3</v>
      </c>
      <c r="T48" s="15">
        <f t="shared" ca="1" si="76"/>
        <v>1.8481400000000044E-3</v>
      </c>
      <c r="U48" s="15">
        <f t="shared" ca="1" si="76"/>
        <v>8.6886000000000472E-4</v>
      </c>
      <c r="V48" s="15">
        <f t="shared" ca="1" si="76"/>
        <v>0</v>
      </c>
      <c r="W48" s="15">
        <f t="shared" ca="1" si="76"/>
        <v>0</v>
      </c>
      <c r="X48" s="15">
        <f t="shared" ca="1" si="76"/>
        <v>0</v>
      </c>
      <c r="Y48" s="15">
        <f t="shared" ca="1" si="76"/>
        <v>0</v>
      </c>
      <c r="Z48" s="15">
        <f t="shared" ca="1" si="76"/>
        <v>0</v>
      </c>
      <c r="AA48" s="15">
        <f t="shared" ca="1" si="76"/>
        <v>0</v>
      </c>
      <c r="AB48" s="15">
        <f t="shared" ca="1" si="76"/>
        <v>0</v>
      </c>
      <c r="AC48" s="15">
        <f t="shared" ca="1" si="76"/>
        <v>0</v>
      </c>
      <c r="AD48" s="15">
        <f t="shared" ca="1" si="76"/>
        <v>0</v>
      </c>
      <c r="AE48" s="5"/>
      <c r="AG48" s="1" t="s">
        <v>59</v>
      </c>
      <c r="AH48" s="37">
        <f t="shared" ca="1" si="77"/>
        <v>17067.127347311969</v>
      </c>
      <c r="AI48" s="37">
        <f t="shared" ca="1" si="69"/>
        <v>16232.486923808645</v>
      </c>
      <c r="AJ48" s="37">
        <f t="shared" ca="1" si="70"/>
        <v>15305.057474107241</v>
      </c>
      <c r="AK48" s="37">
        <f t="shared" ca="1" si="70"/>
        <v>14261.810054328071</v>
      </c>
      <c r="AL48" s="37">
        <f t="shared" ca="1" si="70"/>
        <v>13121.369707995718</v>
      </c>
      <c r="AM48" s="37">
        <f t="shared" ca="1" si="70"/>
        <v>11876.102653097585</v>
      </c>
      <c r="AN48" s="37">
        <f t="shared" ca="1" si="70"/>
        <v>10519.024267806855</v>
      </c>
      <c r="AO48" s="37">
        <f t="shared" ca="1" si="70"/>
        <v>9044.6375270272147</v>
      </c>
      <c r="AP48" s="37">
        <f t="shared" ca="1" si="70"/>
        <v>7443.2555094315276</v>
      </c>
      <c r="AQ48" s="37">
        <f t="shared" ca="1" si="70"/>
        <v>5718.4733851305691</v>
      </c>
      <c r="AR48" s="37">
        <f t="shared" ca="1" si="70"/>
        <v>3865.2971062549814</v>
      </c>
      <c r="AS48" s="37">
        <f t="shared" ca="1" si="70"/>
        <v>1878.7047452690965</v>
      </c>
      <c r="AT48" s="37">
        <f t="shared" ca="1" si="71"/>
        <v>0</v>
      </c>
      <c r="AU48" s="37">
        <f t="shared" ca="1" si="71"/>
        <v>0</v>
      </c>
      <c r="AV48" s="37">
        <f t="shared" ca="1" si="71"/>
        <v>0</v>
      </c>
      <c r="AW48" s="37">
        <f t="shared" ca="1" si="71"/>
        <v>0</v>
      </c>
      <c r="AX48" s="37">
        <f t="shared" ca="1" si="71"/>
        <v>0</v>
      </c>
      <c r="AY48" s="37">
        <f t="shared" ca="1" si="71"/>
        <v>0</v>
      </c>
      <c r="AZ48" s="37" t="e">
        <f t="shared" ca="1" si="71"/>
        <v>#N/A</v>
      </c>
      <c r="BA48" s="37" t="e">
        <f t="shared" ca="1" si="71"/>
        <v>#N/A</v>
      </c>
      <c r="BB48" s="37" t="e">
        <f t="shared" ca="1" si="71"/>
        <v>#N/A</v>
      </c>
    </row>
    <row r="49" spans="1:54" x14ac:dyDescent="0.25">
      <c r="B49" s="1" t="s">
        <v>171</v>
      </c>
      <c r="C49" s="14">
        <f ca="1">INDEX(Data_FP!$2:$1048576,MATCH(C$4&amp;$A$44&amp;$B49&amp;$A$1,Data_FP!$A$2:$A$1048576,0),MATCH($A$43,Data_FP!$2:$2,0))</f>
        <v>1.8627600000000001E-2</v>
      </c>
      <c r="D49" s="14">
        <f ca="1">INDEX(Data_FP!$2:$1048576,MATCH(D$4&amp;$A$44&amp;$B49&amp;$A$1,Data_FP!$A$2:$A$1048576,0),MATCH($A$43,Data_FP!$2:$2,0))</f>
        <v>3.9009000000000001E-3</v>
      </c>
      <c r="E49" s="14">
        <f ca="1">IF('User Settings'!$N$7="On",($D49-$C49)/($D$4-$C$4),0)</f>
        <v>-2.9453400000000003E-3</v>
      </c>
      <c r="F49" s="14">
        <f t="shared" ca="1" si="72"/>
        <v>0</v>
      </c>
      <c r="G49" s="14"/>
      <c r="H49" s="14">
        <f t="shared" ca="1" si="73"/>
        <v>0</v>
      </c>
      <c r="I49" s="14">
        <f t="shared" ca="1" si="78"/>
        <v>0</v>
      </c>
      <c r="J49" s="14">
        <f t="shared" ca="1" si="74"/>
        <v>2.9453400000000003E-3</v>
      </c>
      <c r="K49" s="14">
        <f t="shared" ca="1" si="75"/>
        <v>0</v>
      </c>
      <c r="L49" s="15">
        <f t="shared" ca="1" si="76"/>
        <v>0</v>
      </c>
      <c r="M49" s="15">
        <f t="shared" ca="1" si="76"/>
        <v>0</v>
      </c>
      <c r="N49" s="15">
        <f t="shared" ca="1" si="76"/>
        <v>0</v>
      </c>
      <c r="O49" s="15">
        <f t="shared" ca="1" si="76"/>
        <v>0</v>
      </c>
      <c r="P49" s="15">
        <f t="shared" ca="1" si="76"/>
        <v>0</v>
      </c>
      <c r="Q49" s="15">
        <f t="shared" ca="1" si="76"/>
        <v>0</v>
      </c>
      <c r="R49" s="15">
        <f t="shared" ca="1" si="76"/>
        <v>0</v>
      </c>
      <c r="S49" s="15">
        <f t="shared" ca="1" si="76"/>
        <v>0</v>
      </c>
      <c r="T49" s="15">
        <f t="shared" ca="1" si="76"/>
        <v>0</v>
      </c>
      <c r="U49" s="15">
        <f t="shared" ca="1" si="76"/>
        <v>0</v>
      </c>
      <c r="V49" s="15">
        <f t="shared" ca="1" si="76"/>
        <v>0</v>
      </c>
      <c r="W49" s="15">
        <f t="shared" ca="1" si="76"/>
        <v>0</v>
      </c>
      <c r="X49" s="15">
        <f t="shared" ca="1" si="76"/>
        <v>0</v>
      </c>
      <c r="Y49" s="15">
        <f t="shared" ca="1" si="76"/>
        <v>0</v>
      </c>
      <c r="Z49" s="15">
        <f t="shared" ca="1" si="76"/>
        <v>0</v>
      </c>
      <c r="AA49" s="15">
        <f t="shared" ca="1" si="76"/>
        <v>0</v>
      </c>
      <c r="AB49" s="15">
        <f t="shared" ca="1" si="76"/>
        <v>0</v>
      </c>
      <c r="AC49" s="15">
        <f t="shared" ca="1" si="76"/>
        <v>0</v>
      </c>
      <c r="AD49" s="15">
        <f t="shared" ca="1" si="76"/>
        <v>0</v>
      </c>
      <c r="AE49" s="5"/>
      <c r="AG49" s="1" t="s">
        <v>171</v>
      </c>
      <c r="AH49" s="37">
        <f t="shared" ca="1" si="77"/>
        <v>4318.2503183704948</v>
      </c>
      <c r="AI49" s="37">
        <f t="shared" ca="1" si="69"/>
        <v>0</v>
      </c>
      <c r="AJ49" s="37">
        <f t="shared" ca="1" si="70"/>
        <v>0</v>
      </c>
      <c r="AK49" s="37">
        <f t="shared" ca="1" si="70"/>
        <v>0</v>
      </c>
      <c r="AL49" s="37">
        <f t="shared" ca="1" si="70"/>
        <v>0</v>
      </c>
      <c r="AM49" s="37">
        <f t="shared" ca="1" si="70"/>
        <v>0</v>
      </c>
      <c r="AN49" s="37">
        <f t="shared" ca="1" si="70"/>
        <v>0</v>
      </c>
      <c r="AO49" s="37">
        <f t="shared" ca="1" si="70"/>
        <v>0</v>
      </c>
      <c r="AP49" s="37">
        <f t="shared" ca="1" si="70"/>
        <v>0</v>
      </c>
      <c r="AQ49" s="37">
        <f t="shared" ca="1" si="70"/>
        <v>0</v>
      </c>
      <c r="AR49" s="37">
        <f t="shared" ca="1" si="70"/>
        <v>0</v>
      </c>
      <c r="AS49" s="37">
        <f t="shared" ca="1" si="70"/>
        <v>0</v>
      </c>
      <c r="AT49" s="37">
        <f t="shared" ca="1" si="71"/>
        <v>0</v>
      </c>
      <c r="AU49" s="37">
        <f t="shared" ca="1" si="71"/>
        <v>0</v>
      </c>
      <c r="AV49" s="37">
        <f t="shared" ca="1" si="71"/>
        <v>0</v>
      </c>
      <c r="AW49" s="37">
        <f t="shared" ca="1" si="71"/>
        <v>0</v>
      </c>
      <c r="AX49" s="37">
        <f t="shared" ca="1" si="71"/>
        <v>0</v>
      </c>
      <c r="AY49" s="37">
        <f t="shared" ca="1" si="71"/>
        <v>0</v>
      </c>
      <c r="AZ49" s="37" t="e">
        <f t="shared" ca="1" si="71"/>
        <v>#N/A</v>
      </c>
      <c r="BA49" s="37" t="e">
        <f t="shared" ca="1" si="71"/>
        <v>#N/A</v>
      </c>
      <c r="BB49" s="37" t="e">
        <f t="shared" ca="1" si="71"/>
        <v>#N/A</v>
      </c>
    </row>
    <row r="50" spans="1:54" x14ac:dyDescent="0.25">
      <c r="B50" s="1" t="s">
        <v>116</v>
      </c>
      <c r="C50" s="14">
        <f ca="1">INDEX(Data_FP!$2:$1048576,MATCH(C$4&amp;$A$44&amp;$B50&amp;$A$1,Data_FP!$A$2:$A$1048576,0),MATCH($A$43,Data_FP!$2:$2,0))</f>
        <v>3.8636E-3</v>
      </c>
      <c r="D50" s="14">
        <f ca="1">INDEX(Data_FP!$2:$1048576,MATCH(D$4&amp;$A$44&amp;$B50&amp;$A$1,Data_FP!$A$2:$A$1048576,0),MATCH($A$43,Data_FP!$2:$2,0))</f>
        <v>2.7366999999999999E-3</v>
      </c>
      <c r="E50" s="14">
        <f ca="1">IF('User Settings'!$N$7="On",($D50-$C50)/($D$4-$C$4),0)</f>
        <v>-2.2538000000000001E-4</v>
      </c>
      <c r="F50" s="14">
        <f t="shared" ca="1" si="72"/>
        <v>2.0605599999999999E-3</v>
      </c>
      <c r="G50" s="14"/>
      <c r="H50" s="14">
        <f t="shared" ca="1" si="73"/>
        <v>1.3844199999999999E-3</v>
      </c>
      <c r="I50" s="14">
        <f t="shared" ca="1" si="78"/>
        <v>-2.2537999999999999E-4</v>
      </c>
      <c r="J50" s="14">
        <f t="shared" ca="1" si="74"/>
        <v>2.2859399999999998E-3</v>
      </c>
      <c r="K50" s="14">
        <f t="shared" ca="1" si="75"/>
        <v>2.0605599999999999E-3</v>
      </c>
      <c r="L50" s="15">
        <f t="shared" ca="1" si="76"/>
        <v>1.8351799999999998E-3</v>
      </c>
      <c r="M50" s="15">
        <f t="shared" ca="1" si="76"/>
        <v>1.6097999999999998E-3</v>
      </c>
      <c r="N50" s="15">
        <f t="shared" ca="1" si="76"/>
        <v>1.3844199999999997E-3</v>
      </c>
      <c r="O50" s="15">
        <f t="shared" ca="1" si="76"/>
        <v>1.1590399999999996E-3</v>
      </c>
      <c r="P50" s="15">
        <f t="shared" ca="1" si="76"/>
        <v>9.3365999999999968E-4</v>
      </c>
      <c r="Q50" s="15">
        <f t="shared" ca="1" si="76"/>
        <v>7.0827999999999972E-4</v>
      </c>
      <c r="R50" s="15">
        <f t="shared" ca="1" si="76"/>
        <v>4.8289999999999976E-4</v>
      </c>
      <c r="S50" s="15">
        <f t="shared" ca="1" si="76"/>
        <v>2.575199999999998E-4</v>
      </c>
      <c r="T50" s="15">
        <f t="shared" ca="1" si="76"/>
        <v>3.2139999999999811E-5</v>
      </c>
      <c r="U50" s="15">
        <f t="shared" ca="1" si="76"/>
        <v>0</v>
      </c>
      <c r="V50" s="15">
        <f t="shared" ca="1" si="76"/>
        <v>0</v>
      </c>
      <c r="W50" s="15">
        <f t="shared" ca="1" si="76"/>
        <v>0</v>
      </c>
      <c r="X50" s="15">
        <f t="shared" ca="1" si="76"/>
        <v>0</v>
      </c>
      <c r="Y50" s="15">
        <f t="shared" ca="1" si="76"/>
        <v>0</v>
      </c>
      <c r="Z50" s="15">
        <f t="shared" ca="1" si="76"/>
        <v>0</v>
      </c>
      <c r="AA50" s="15">
        <f t="shared" ca="1" si="76"/>
        <v>0</v>
      </c>
      <c r="AB50" s="15">
        <f t="shared" ca="1" si="76"/>
        <v>0</v>
      </c>
      <c r="AC50" s="15">
        <f t="shared" ca="1" si="76"/>
        <v>0</v>
      </c>
      <c r="AD50" s="15">
        <f t="shared" ca="1" si="76"/>
        <v>0</v>
      </c>
      <c r="AE50" s="5"/>
      <c r="AG50" s="1" t="s">
        <v>116</v>
      </c>
      <c r="AH50" s="37">
        <f t="shared" ca="1" si="77"/>
        <v>3351.4844237934662</v>
      </c>
      <c r="AI50" s="37">
        <f t="shared" ca="1" si="69"/>
        <v>3137.2237771344367</v>
      </c>
      <c r="AJ50" s="37">
        <f t="shared" ca="1" si="70"/>
        <v>2900.8916583868963</v>
      </c>
      <c r="AK50" s="37">
        <f t="shared" ca="1" si="70"/>
        <v>2637.986674341018</v>
      </c>
      <c r="AL50" s="37">
        <f t="shared" ca="1" si="70"/>
        <v>2351.8785589440745</v>
      </c>
      <c r="AM50" s="37">
        <f t="shared" ca="1" si="70"/>
        <v>2040.892042903773</v>
      </c>
      <c r="AN50" s="37">
        <f t="shared" ca="1" si="70"/>
        <v>1703.5124518027876</v>
      </c>
      <c r="AO50" s="37">
        <f t="shared" ca="1" si="70"/>
        <v>1338.5212365373084</v>
      </c>
      <c r="AP50" s="37">
        <f t="shared" ca="1" si="70"/>
        <v>944.21627275710705</v>
      </c>
      <c r="AQ50" s="37">
        <f t="shared" ca="1" si="70"/>
        <v>520.83569690347406</v>
      </c>
      <c r="AR50" s="37">
        <f t="shared" ca="1" si="70"/>
        <v>67.219284791754987</v>
      </c>
      <c r="AS50" s="37">
        <f t="shared" ca="1" si="70"/>
        <v>0</v>
      </c>
      <c r="AT50" s="37">
        <f t="shared" ca="1" si="71"/>
        <v>0</v>
      </c>
      <c r="AU50" s="37">
        <f t="shared" ca="1" si="71"/>
        <v>0</v>
      </c>
      <c r="AV50" s="37">
        <f t="shared" ca="1" si="71"/>
        <v>0</v>
      </c>
      <c r="AW50" s="37">
        <f t="shared" ca="1" si="71"/>
        <v>0</v>
      </c>
      <c r="AX50" s="37">
        <f t="shared" ca="1" si="71"/>
        <v>0</v>
      </c>
      <c r="AY50" s="37">
        <f t="shared" ca="1" si="71"/>
        <v>0</v>
      </c>
      <c r="AZ50" s="37" t="e">
        <f t="shared" ca="1" si="71"/>
        <v>#N/A</v>
      </c>
      <c r="BA50" s="37" t="e">
        <f t="shared" ca="1" si="71"/>
        <v>#N/A</v>
      </c>
      <c r="BB50" s="37" t="e">
        <f t="shared" ca="1" si="71"/>
        <v>#N/A</v>
      </c>
    </row>
    <row r="51" spans="1:54" x14ac:dyDescent="0.25">
      <c r="C51" s="5">
        <f ca="1">SUM(C45:C50)</f>
        <v>4.8651699999999999E-2</v>
      </c>
      <c r="D51" s="5">
        <f ca="1">SUM(D45:D50)</f>
        <v>3.5773900000000004E-2</v>
      </c>
      <c r="F51" s="132">
        <f ca="1">SUM(F45:F50)</f>
        <v>3.2982340000000006E-2</v>
      </c>
      <c r="G51" s="132"/>
      <c r="H51" s="132">
        <f ca="1">SUM(H45:H50)</f>
        <v>3.4091679999999999E-2</v>
      </c>
      <c r="I51" s="132"/>
      <c r="J51" s="132">
        <f ca="1">SUM(J45:J50)</f>
        <v>3.5557899999999996E-2</v>
      </c>
      <c r="K51" s="132">
        <f ca="1">SUM(K45:K50)</f>
        <v>3.2982340000000006E-2</v>
      </c>
      <c r="L51" s="5">
        <f t="shared" ref="L51:AD51" ca="1" si="79">SUM(L45:L50)</f>
        <v>3.3352120000000006E-2</v>
      </c>
      <c r="M51" s="5">
        <f t="shared" ca="1" si="79"/>
        <v>3.3721900000000006E-2</v>
      </c>
      <c r="N51" s="5">
        <f t="shared" ca="1" si="79"/>
        <v>3.4091680000000006E-2</v>
      </c>
      <c r="O51" s="5">
        <f t="shared" ca="1" si="79"/>
        <v>3.4461460000000013E-2</v>
      </c>
      <c r="P51" s="5">
        <f t="shared" ca="1" si="79"/>
        <v>3.4831240000000013E-2</v>
      </c>
      <c r="Q51" s="5">
        <f t="shared" ca="1" si="79"/>
        <v>3.5201020000000013E-2</v>
      </c>
      <c r="R51" s="5">
        <f t="shared" ca="1" si="79"/>
        <v>3.5570800000000014E-2</v>
      </c>
      <c r="S51" s="5">
        <f t="shared" ca="1" si="79"/>
        <v>3.5970700000000008E-2</v>
      </c>
      <c r="T51" s="5">
        <f t="shared" ca="1" si="79"/>
        <v>3.6432000000000013E-2</v>
      </c>
      <c r="U51" s="5">
        <f t="shared" ca="1" si="79"/>
        <v>3.7086540000000015E-2</v>
      </c>
      <c r="V51" s="5">
        <f t="shared" ca="1" si="79"/>
        <v>3.788364000000001E-2</v>
      </c>
      <c r="W51" s="5">
        <f t="shared" ca="1" si="79"/>
        <v>3.9549600000000011E-2</v>
      </c>
      <c r="X51" s="5">
        <f t="shared" ca="1" si="79"/>
        <v>4.1215560000000012E-2</v>
      </c>
      <c r="Y51" s="5">
        <f t="shared" ca="1" si="79"/>
        <v>4.2881520000000013E-2</v>
      </c>
      <c r="Z51" s="5">
        <f t="shared" ca="1" si="79"/>
        <v>4.4547480000000014E-2</v>
      </c>
      <c r="AA51" s="5">
        <f t="shared" ca="1" si="79"/>
        <v>4.6213440000000015E-2</v>
      </c>
      <c r="AB51" s="5">
        <f t="shared" ca="1" si="79"/>
        <v>4.7879400000000016E-2</v>
      </c>
      <c r="AC51" s="5">
        <f t="shared" ca="1" si="79"/>
        <v>4.9545360000000017E-2</v>
      </c>
      <c r="AD51" s="5">
        <f t="shared" ca="1" si="79"/>
        <v>5.1211320000000018E-2</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80">IF(K54=Yr_Start,"Start Year",IF(K54=Yr_End,"End Year",""))</f>
        <v>Start Year</v>
      </c>
      <c r="L53" s="205" t="str">
        <f t="shared" si="80"/>
        <v/>
      </c>
      <c r="M53" s="205" t="str">
        <f t="shared" si="80"/>
        <v/>
      </c>
      <c r="N53" s="205" t="str">
        <f t="shared" si="80"/>
        <v>End Year</v>
      </c>
      <c r="O53" s="205" t="str">
        <f t="shared" si="80"/>
        <v/>
      </c>
      <c r="P53" s="205" t="str">
        <f t="shared" si="80"/>
        <v/>
      </c>
      <c r="Q53" s="205" t="str">
        <f t="shared" si="80"/>
        <v/>
      </c>
      <c r="R53" s="205" t="str">
        <f t="shared" si="80"/>
        <v/>
      </c>
      <c r="S53" s="205" t="str">
        <f t="shared" si="80"/>
        <v/>
      </c>
      <c r="T53" s="205" t="str">
        <f t="shared" si="80"/>
        <v/>
      </c>
      <c r="U53" s="205" t="str">
        <f t="shared" si="80"/>
        <v/>
      </c>
      <c r="V53" s="205" t="str">
        <f t="shared" si="80"/>
        <v/>
      </c>
      <c r="W53" s="205" t="str">
        <f t="shared" si="80"/>
        <v/>
      </c>
      <c r="X53" s="205" t="str">
        <f t="shared" si="80"/>
        <v/>
      </c>
      <c r="Y53" s="205" t="str">
        <f t="shared" si="80"/>
        <v/>
      </c>
      <c r="Z53" s="205" t="str">
        <f t="shared" si="80"/>
        <v/>
      </c>
      <c r="AA53" s="205" t="str">
        <f t="shared" si="80"/>
        <v/>
      </c>
      <c r="AB53" s="205" t="str">
        <f t="shared" si="80"/>
        <v/>
      </c>
      <c r="AC53" s="205" t="str">
        <f t="shared" si="80"/>
        <v/>
      </c>
      <c r="AD53" s="205" t="str">
        <f t="shared" si="80"/>
        <v/>
      </c>
      <c r="AE53" s="35"/>
      <c r="AF53" s="6" t="str">
        <f>A53</f>
        <v>Other</v>
      </c>
      <c r="AI53" s="205" t="str">
        <f t="shared" ref="AI53:BB53" si="81">IF(AI54=Yr_Start,"Start Year",IF(AI54=Yr_End,"End Year",""))</f>
        <v>Start Year</v>
      </c>
      <c r="AJ53" s="205" t="str">
        <f t="shared" si="81"/>
        <v/>
      </c>
      <c r="AK53" s="205" t="str">
        <f t="shared" si="81"/>
        <v/>
      </c>
      <c r="AL53" s="205" t="str">
        <f t="shared" si="81"/>
        <v>End Year</v>
      </c>
      <c r="AM53" s="205" t="str">
        <f t="shared" si="81"/>
        <v/>
      </c>
      <c r="AN53" s="205" t="str">
        <f t="shared" si="81"/>
        <v/>
      </c>
      <c r="AO53" s="205" t="str">
        <f t="shared" si="81"/>
        <v/>
      </c>
      <c r="AP53" s="205" t="str">
        <f t="shared" si="81"/>
        <v/>
      </c>
      <c r="AQ53" s="205" t="str">
        <f t="shared" si="81"/>
        <v/>
      </c>
      <c r="AR53" s="205" t="str">
        <f t="shared" si="81"/>
        <v/>
      </c>
      <c r="AS53" s="205" t="str">
        <f t="shared" si="81"/>
        <v/>
      </c>
      <c r="AT53" s="205" t="str">
        <f t="shared" si="81"/>
        <v/>
      </c>
      <c r="AU53" s="205" t="str">
        <f t="shared" si="81"/>
        <v/>
      </c>
      <c r="AV53" s="205" t="str">
        <f t="shared" si="81"/>
        <v/>
      </c>
      <c r="AW53" s="205" t="str">
        <f t="shared" si="81"/>
        <v/>
      </c>
      <c r="AX53" s="205" t="str">
        <f t="shared" si="81"/>
        <v/>
      </c>
      <c r="AY53" s="205" t="str">
        <f t="shared" si="81"/>
        <v/>
      </c>
      <c r="AZ53" s="205" t="str">
        <f t="shared" si="81"/>
        <v/>
      </c>
      <c r="BA53" s="205" t="str">
        <f t="shared" si="81"/>
        <v/>
      </c>
      <c r="BB53" s="205" t="str">
        <f t="shared" si="81"/>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82">L54+1</f>
        <v>2021</v>
      </c>
      <c r="N54" s="130">
        <f t="shared" si="82"/>
        <v>2022</v>
      </c>
      <c r="O54" s="130">
        <f t="shared" si="82"/>
        <v>2023</v>
      </c>
      <c r="P54" s="130">
        <f t="shared" si="82"/>
        <v>2024</v>
      </c>
      <c r="Q54" s="130">
        <f t="shared" si="82"/>
        <v>2025</v>
      </c>
      <c r="R54" s="130">
        <f t="shared" si="82"/>
        <v>2026</v>
      </c>
      <c r="S54" s="130">
        <f t="shared" si="82"/>
        <v>2027</v>
      </c>
      <c r="T54" s="130">
        <f t="shared" si="82"/>
        <v>2028</v>
      </c>
      <c r="U54" s="130">
        <f t="shared" si="82"/>
        <v>2029</v>
      </c>
      <c r="V54" s="130">
        <f t="shared" si="82"/>
        <v>2030</v>
      </c>
      <c r="W54" s="130">
        <f t="shared" si="82"/>
        <v>2031</v>
      </c>
      <c r="X54" s="130">
        <f t="shared" si="82"/>
        <v>2032</v>
      </c>
      <c r="Y54" s="130">
        <f t="shared" si="82"/>
        <v>2033</v>
      </c>
      <c r="Z54" s="130">
        <f t="shared" si="82"/>
        <v>2034</v>
      </c>
      <c r="AA54" s="130">
        <f t="shared" si="82"/>
        <v>2035</v>
      </c>
      <c r="AB54" s="130">
        <f t="shared" si="82"/>
        <v>2036</v>
      </c>
      <c r="AC54" s="130">
        <f t="shared" si="82"/>
        <v>2037</v>
      </c>
      <c r="AD54" s="130">
        <f t="shared" si="82"/>
        <v>2038</v>
      </c>
      <c r="AE54" s="6"/>
      <c r="AF54" s="6" t="str">
        <f>A54</f>
        <v>Rural</v>
      </c>
      <c r="AG54" s="38"/>
      <c r="AH54" s="161">
        <f>AI54-1</f>
        <v>2018</v>
      </c>
      <c r="AI54" s="36">
        <f>Yr_Start</f>
        <v>2019</v>
      </c>
      <c r="AJ54" s="36">
        <f>AI54+1</f>
        <v>2020</v>
      </c>
      <c r="AK54" s="36">
        <f t="shared" ref="AK54:BB54" si="83">AJ54+1</f>
        <v>2021</v>
      </c>
      <c r="AL54" s="36">
        <f t="shared" si="83"/>
        <v>2022</v>
      </c>
      <c r="AM54" s="36">
        <f t="shared" si="83"/>
        <v>2023</v>
      </c>
      <c r="AN54" s="36">
        <f t="shared" si="83"/>
        <v>2024</v>
      </c>
      <c r="AO54" s="36">
        <f t="shared" si="83"/>
        <v>2025</v>
      </c>
      <c r="AP54" s="36">
        <f t="shared" si="83"/>
        <v>2026</v>
      </c>
      <c r="AQ54" s="36">
        <f t="shared" si="83"/>
        <v>2027</v>
      </c>
      <c r="AR54" s="36">
        <f t="shared" si="83"/>
        <v>2028</v>
      </c>
      <c r="AS54" s="36">
        <f t="shared" si="83"/>
        <v>2029</v>
      </c>
      <c r="AT54" s="36">
        <f t="shared" si="83"/>
        <v>2030</v>
      </c>
      <c r="AU54" s="36">
        <f t="shared" si="83"/>
        <v>2031</v>
      </c>
      <c r="AV54" s="36">
        <f t="shared" si="83"/>
        <v>2032</v>
      </c>
      <c r="AW54" s="36">
        <f t="shared" si="83"/>
        <v>2033</v>
      </c>
      <c r="AX54" s="36">
        <f t="shared" si="83"/>
        <v>2034</v>
      </c>
      <c r="AY54" s="36">
        <f t="shared" si="83"/>
        <v>2035</v>
      </c>
      <c r="AZ54" s="36">
        <f t="shared" si="83"/>
        <v>2036</v>
      </c>
      <c r="BA54" s="36">
        <f t="shared" si="83"/>
        <v>2037</v>
      </c>
      <c r="BB54" s="36">
        <f t="shared" si="83"/>
        <v>2038</v>
      </c>
    </row>
    <row r="55" spans="1:54" x14ac:dyDescent="0.25">
      <c r="B55" s="1" t="s">
        <v>52</v>
      </c>
      <c r="C55" s="14">
        <f ca="1">INDEX(Data_FP!$2:$1048576,MATCH(C$4&amp;$A$54&amp;$B55&amp;$A$1,Data_FP!$A$2:$A$1048576,0),MATCH($A$53,Data_FP!$2:$2,0))</f>
        <v>5.1729999999999996E-3</v>
      </c>
      <c r="D55" s="14">
        <f ca="1">INDEX(Data_FP!$2:$1048576,MATCH(D$4&amp;$A$54&amp;$B55&amp;$A$1,Data_FP!$A$2:$A$1048576,0),MATCH($A$53,Data_FP!$2:$2,0))</f>
        <v>1.00652E-2</v>
      </c>
      <c r="E55" s="14">
        <f ca="1">IF('User Settings'!$N$7="On",($D55-$C55)/($D$4-$C$4),0)</f>
        <v>9.7844000000000013E-4</v>
      </c>
      <c r="F55" s="14">
        <f ca="1">MAX(0,MIN(1,($D55+$E55*(F$4-$D$4))))</f>
        <v>1.300052E-2</v>
      </c>
      <c r="G55" s="14"/>
      <c r="H55" s="14">
        <f ca="1">MAX(0,MIN(1,($D55+$E55*(H$4-$D$4))*$H$1))</f>
        <v>1.593584E-2</v>
      </c>
      <c r="I55" s="14">
        <f ca="1">($H55-$F55)/($H$4-$F$4)</f>
        <v>9.7843999999999991E-4</v>
      </c>
      <c r="J55" s="14">
        <f ca="1">K55-E55</f>
        <v>1.2022079999999999E-2</v>
      </c>
      <c r="K55" s="14">
        <f ca="1">MAX(0,MIN(1,D55+(K$4-D$4)*E55))</f>
        <v>1.300052E-2</v>
      </c>
      <c r="L55" s="15">
        <f ca="1">MAX(0,MIN(1,K55+$I55))</f>
        <v>1.397896E-2</v>
      </c>
      <c r="M55" s="15">
        <f t="shared" ref="M55:AD55" ca="1" si="84">MAX(0,MIN(1,L55+$I55))</f>
        <v>1.4957400000000001E-2</v>
      </c>
      <c r="N55" s="15">
        <f ca="1">MAX(0,MIN(1,M55+$I55))</f>
        <v>1.593584E-2</v>
      </c>
      <c r="O55" s="15">
        <f t="shared" ca="1" si="84"/>
        <v>1.691428E-2</v>
      </c>
      <c r="P55" s="15">
        <f t="shared" ca="1" si="84"/>
        <v>1.7892720000000001E-2</v>
      </c>
      <c r="Q55" s="15">
        <f t="shared" ca="1" si="84"/>
        <v>1.8871160000000001E-2</v>
      </c>
      <c r="R55" s="15">
        <f t="shared" ca="1" si="84"/>
        <v>1.9849600000000002E-2</v>
      </c>
      <c r="S55" s="15">
        <f t="shared" ca="1" si="84"/>
        <v>2.0828040000000003E-2</v>
      </c>
      <c r="T55" s="15">
        <f t="shared" ca="1" si="84"/>
        <v>2.1806480000000003E-2</v>
      </c>
      <c r="U55" s="15">
        <f t="shared" ca="1" si="84"/>
        <v>2.2784920000000004E-2</v>
      </c>
      <c r="V55" s="15">
        <f t="shared" ca="1" si="84"/>
        <v>2.3763360000000004E-2</v>
      </c>
      <c r="W55" s="15">
        <f t="shared" ca="1" si="84"/>
        <v>2.4741800000000005E-2</v>
      </c>
      <c r="X55" s="15">
        <f t="shared" ca="1" si="84"/>
        <v>2.5720240000000005E-2</v>
      </c>
      <c r="Y55" s="15">
        <f t="shared" ca="1" si="84"/>
        <v>2.6698680000000006E-2</v>
      </c>
      <c r="Z55" s="15">
        <f t="shared" ca="1" si="84"/>
        <v>2.7677120000000006E-2</v>
      </c>
      <c r="AA55" s="15">
        <f t="shared" ca="1" si="84"/>
        <v>2.8655560000000007E-2</v>
      </c>
      <c r="AB55" s="15">
        <f t="shared" ca="1" si="84"/>
        <v>2.9634000000000008E-2</v>
      </c>
      <c r="AC55" s="15">
        <f t="shared" ca="1" si="84"/>
        <v>3.0612440000000008E-2</v>
      </c>
      <c r="AD55" s="15">
        <f t="shared" ca="1" si="84"/>
        <v>3.1590880000000009E-2</v>
      </c>
      <c r="AE55" s="5"/>
      <c r="AG55" s="1" t="s">
        <v>52</v>
      </c>
      <c r="AH55" s="37">
        <f ca="1">J55*AH$61</f>
        <v>51132.599020626018</v>
      </c>
      <c r="AI55" s="37">
        <f t="shared" ref="AI55:AI60" ca="1" si="85">K55*AI$61</f>
        <v>57420.481885883353</v>
      </c>
      <c r="AJ55" s="37">
        <f t="shared" ref="AJ55:AS60" ca="1" si="86">L55*AJ$61</f>
        <v>64102.295226242168</v>
      </c>
      <c r="AK55" s="37">
        <f t="shared" ca="1" si="86"/>
        <v>71105.412225245411</v>
      </c>
      <c r="AL55" s="37">
        <f t="shared" ca="1" si="86"/>
        <v>78535.834907219876</v>
      </c>
      <c r="AM55" s="37">
        <f t="shared" ca="1" si="86"/>
        <v>86401.443849297939</v>
      </c>
      <c r="AN55" s="37">
        <f t="shared" ca="1" si="86"/>
        <v>94706.285046634293</v>
      </c>
      <c r="AO55" s="37">
        <f t="shared" ca="1" si="86"/>
        <v>103458.16241834394</v>
      </c>
      <c r="AP55" s="37">
        <f t="shared" ca="1" si="86"/>
        <v>112593.13487550177</v>
      </c>
      <c r="AQ55" s="37">
        <f t="shared" ca="1" si="86"/>
        <v>122203.61624996844</v>
      </c>
      <c r="AR55" s="37">
        <f t="shared" ca="1" si="86"/>
        <v>132305.97529537353</v>
      </c>
      <c r="AS55" s="37">
        <f t="shared" ca="1" si="86"/>
        <v>142922.99640540336</v>
      </c>
      <c r="AT55" s="37">
        <f t="shared" ref="AT55:BB60" ca="1" si="87">V55*AT$61</f>
        <v>154074.00488636311</v>
      </c>
      <c r="AU55" s="37">
        <f t="shared" ca="1" si="87"/>
        <v>165678.08688107345</v>
      </c>
      <c r="AV55" s="37">
        <f t="shared" ca="1" si="87"/>
        <v>177851.03753023769</v>
      </c>
      <c r="AW55" s="37">
        <f t="shared" ca="1" si="87"/>
        <v>190599.14185484836</v>
      </c>
      <c r="AX55" s="37">
        <f t="shared" ca="1" si="87"/>
        <v>203925.4833914593</v>
      </c>
      <c r="AY55" s="37">
        <f t="shared" ca="1" si="87"/>
        <v>217835.78065561462</v>
      </c>
      <c r="AZ55" s="37" t="e">
        <f t="shared" ca="1" si="87"/>
        <v>#N/A</v>
      </c>
      <c r="BA55" s="37" t="e">
        <f t="shared" ca="1" si="87"/>
        <v>#N/A</v>
      </c>
      <c r="BB55" s="37" t="e">
        <f t="shared" ca="1" si="87"/>
        <v>#N/A</v>
      </c>
    </row>
    <row r="56" spans="1:54" x14ac:dyDescent="0.25">
      <c r="B56" s="1" t="s">
        <v>54</v>
      </c>
      <c r="C56" s="14">
        <f ca="1">INDEX(Data_FP!$2:$1048576,MATCH(C$4&amp;$A$54&amp;$B56&amp;$A$1,Data_FP!$A$2:$A$1048576,0),MATCH($A$53,Data_FP!$2:$2,0))</f>
        <v>2.0980999999999999E-3</v>
      </c>
      <c r="D56" s="14">
        <f ca="1">INDEX(Data_FP!$2:$1048576,MATCH(D$4&amp;$A$54&amp;$B56&amp;$A$1,Data_FP!$A$2:$A$1048576,0),MATCH($A$53,Data_FP!$2:$2,0))</f>
        <v>1.0005000000000001E-3</v>
      </c>
      <c r="E56" s="14">
        <f ca="1">IF('User Settings'!$N$7="On",($D56-$C56)/($D$4-$C$4),0)</f>
        <v>-2.1951999999999996E-4</v>
      </c>
      <c r="F56" s="14">
        <f t="shared" ref="F56:F60" ca="1" si="88">MAX(0,MIN(1,($D56+$E56*(F$4-$D$4))))</f>
        <v>3.4194000000000021E-4</v>
      </c>
      <c r="G56" s="14"/>
      <c r="H56" s="14">
        <f t="shared" ref="H56:H60" ca="1" si="89">MAX(0,MIN(1,($D56+$E56*(H$4-$D$4))*$H$1))</f>
        <v>0</v>
      </c>
      <c r="I56" s="14">
        <f ca="1">($H56-$F56)/($H$4-$F$4)</f>
        <v>-1.1398000000000007E-4</v>
      </c>
      <c r="J56" s="14">
        <f t="shared" ref="J56:J60" ca="1" si="90">K56-E56</f>
        <v>5.6146000000000017E-4</v>
      </c>
      <c r="K56" s="14">
        <f t="shared" ref="K56:K60" ca="1" si="91">MAX(0,MIN(1,D56+(K$4-D$4)*E56))</f>
        <v>3.4194000000000021E-4</v>
      </c>
      <c r="L56" s="15">
        <f t="shared" ref="L56:AD60" ca="1" si="92">MAX(0,MIN(1,K56+$I56))</f>
        <v>2.2796000000000014E-4</v>
      </c>
      <c r="M56" s="15">
        <f t="shared" ca="1" si="92"/>
        <v>1.1398000000000007E-4</v>
      </c>
      <c r="N56" s="15">
        <f t="shared" ca="1" si="92"/>
        <v>0</v>
      </c>
      <c r="O56" s="15">
        <f t="shared" ca="1" si="92"/>
        <v>0</v>
      </c>
      <c r="P56" s="15">
        <f t="shared" ca="1" si="92"/>
        <v>0</v>
      </c>
      <c r="Q56" s="15">
        <f t="shared" ca="1" si="92"/>
        <v>0</v>
      </c>
      <c r="R56" s="15">
        <f t="shared" ca="1" si="92"/>
        <v>0</v>
      </c>
      <c r="S56" s="15">
        <f t="shared" ca="1" si="92"/>
        <v>0</v>
      </c>
      <c r="T56" s="15">
        <f t="shared" ca="1" si="92"/>
        <v>0</v>
      </c>
      <c r="U56" s="15">
        <f t="shared" ca="1" si="92"/>
        <v>0</v>
      </c>
      <c r="V56" s="15">
        <f t="shared" ca="1" si="92"/>
        <v>0</v>
      </c>
      <c r="W56" s="15">
        <f t="shared" ca="1" si="92"/>
        <v>0</v>
      </c>
      <c r="X56" s="15">
        <f t="shared" ca="1" si="92"/>
        <v>0</v>
      </c>
      <c r="Y56" s="15">
        <f t="shared" ca="1" si="92"/>
        <v>0</v>
      </c>
      <c r="Z56" s="15">
        <f t="shared" ca="1" si="92"/>
        <v>0</v>
      </c>
      <c r="AA56" s="15">
        <f t="shared" ca="1" si="92"/>
        <v>0</v>
      </c>
      <c r="AB56" s="15">
        <f t="shared" ca="1" si="92"/>
        <v>0</v>
      </c>
      <c r="AC56" s="15">
        <f t="shared" ca="1" si="92"/>
        <v>0</v>
      </c>
      <c r="AD56" s="15">
        <f t="shared" ca="1" si="92"/>
        <v>0</v>
      </c>
      <c r="AE56" s="5"/>
      <c r="AG56" s="1" t="s">
        <v>54</v>
      </c>
      <c r="AH56" s="37">
        <f t="shared" ref="AH56:AH60" ca="1" si="93">J56*AH$61</f>
        <v>2388.0151393203751</v>
      </c>
      <c r="AI56" s="37">
        <f t="shared" ca="1" si="85"/>
        <v>1510.2749410068957</v>
      </c>
      <c r="AJ56" s="37">
        <f t="shared" ca="1" si="86"/>
        <v>1045.3395116499491</v>
      </c>
      <c r="AK56" s="37">
        <f t="shared" ca="1" si="86"/>
        <v>541.84516596691117</v>
      </c>
      <c r="AL56" s="37">
        <f t="shared" ca="1" si="86"/>
        <v>0</v>
      </c>
      <c r="AM56" s="37">
        <f t="shared" ca="1" si="86"/>
        <v>0</v>
      </c>
      <c r="AN56" s="37">
        <f t="shared" ca="1" si="86"/>
        <v>0</v>
      </c>
      <c r="AO56" s="37">
        <f t="shared" ca="1" si="86"/>
        <v>0</v>
      </c>
      <c r="AP56" s="37">
        <f t="shared" ca="1" si="86"/>
        <v>0</v>
      </c>
      <c r="AQ56" s="37">
        <f t="shared" ca="1" si="86"/>
        <v>0</v>
      </c>
      <c r="AR56" s="37">
        <f t="shared" ca="1" si="86"/>
        <v>0</v>
      </c>
      <c r="AS56" s="37">
        <f t="shared" ca="1" si="86"/>
        <v>0</v>
      </c>
      <c r="AT56" s="37">
        <f t="shared" ca="1" si="87"/>
        <v>0</v>
      </c>
      <c r="AU56" s="37">
        <f t="shared" ca="1" si="87"/>
        <v>0</v>
      </c>
      <c r="AV56" s="37">
        <f t="shared" ca="1" si="87"/>
        <v>0</v>
      </c>
      <c r="AW56" s="37">
        <f t="shared" ca="1" si="87"/>
        <v>0</v>
      </c>
      <c r="AX56" s="37">
        <f t="shared" ca="1" si="87"/>
        <v>0</v>
      </c>
      <c r="AY56" s="37">
        <f t="shared" ca="1" si="87"/>
        <v>0</v>
      </c>
      <c r="AZ56" s="37" t="e">
        <f t="shared" ca="1" si="87"/>
        <v>#N/A</v>
      </c>
      <c r="BA56" s="37" t="e">
        <f t="shared" ca="1" si="87"/>
        <v>#N/A</v>
      </c>
      <c r="BB56" s="37" t="e">
        <f t="shared" ca="1" si="87"/>
        <v>#N/A</v>
      </c>
    </row>
    <row r="57" spans="1:54" x14ac:dyDescent="0.25">
      <c r="B57" s="1" t="s">
        <v>170</v>
      </c>
      <c r="C57" s="14">
        <f ca="1">INDEX(Data_FP!$2:$1048576,MATCH(C$4&amp;$A$54&amp;$B57&amp;$A$1,Data_FP!$A$2:$A$1048576,0),MATCH($A$53,Data_FP!$2:$2,0))</f>
        <v>0</v>
      </c>
      <c r="D57" s="14">
        <f ca="1">INDEX(Data_FP!$2:$1048576,MATCH(D$4&amp;$A$54&amp;$B57&amp;$A$1,Data_FP!$A$2:$A$1048576,0),MATCH($A$53,Data_FP!$2:$2,0))</f>
        <v>3.2069999999999999E-4</v>
      </c>
      <c r="E57" s="14">
        <f ca="1">IF('User Settings'!$N$7="On",($D57-$C57)/($D$4-$C$4),0)</f>
        <v>6.4139999999999992E-5</v>
      </c>
      <c r="F57" s="14">
        <f t="shared" ca="1" si="88"/>
        <v>5.1311999999999994E-4</v>
      </c>
      <c r="G57" s="14"/>
      <c r="H57" s="14">
        <f t="shared" ca="1" si="89"/>
        <v>7.0553999999999994E-4</v>
      </c>
      <c r="I57" s="14">
        <f t="shared" ref="I57:I60" ca="1" si="94">($H57-$F57)/($H$4-$F$4)</f>
        <v>6.4140000000000006E-5</v>
      </c>
      <c r="J57" s="14">
        <f t="shared" ca="1" si="90"/>
        <v>4.4897999999999997E-4</v>
      </c>
      <c r="K57" s="14">
        <f t="shared" ca="1" si="91"/>
        <v>5.1311999999999994E-4</v>
      </c>
      <c r="L57" s="15">
        <f t="shared" ca="1" si="92"/>
        <v>5.772599999999999E-4</v>
      </c>
      <c r="M57" s="15">
        <f t="shared" ca="1" si="92"/>
        <v>6.4139999999999987E-4</v>
      </c>
      <c r="N57" s="15">
        <f t="shared" ca="1" si="92"/>
        <v>7.0553999999999983E-4</v>
      </c>
      <c r="O57" s="15">
        <f t="shared" ca="1" si="92"/>
        <v>7.696799999999998E-4</v>
      </c>
      <c r="P57" s="15">
        <f t="shared" ca="1" si="92"/>
        <v>8.3381999999999977E-4</v>
      </c>
      <c r="Q57" s="15">
        <f t="shared" ca="1" si="92"/>
        <v>8.9795999999999973E-4</v>
      </c>
      <c r="R57" s="15">
        <f t="shared" ca="1" si="92"/>
        <v>9.620999999999997E-4</v>
      </c>
      <c r="S57" s="15">
        <f t="shared" ca="1" si="92"/>
        <v>1.0262399999999997E-3</v>
      </c>
      <c r="T57" s="15">
        <f t="shared" ca="1" si="92"/>
        <v>1.0903799999999997E-3</v>
      </c>
      <c r="U57" s="15">
        <f t="shared" ca="1" si="92"/>
        <v>1.1545199999999998E-3</v>
      </c>
      <c r="V57" s="15">
        <f t="shared" ca="1" si="92"/>
        <v>1.2186599999999999E-3</v>
      </c>
      <c r="W57" s="15">
        <f t="shared" ca="1" si="92"/>
        <v>1.2828E-3</v>
      </c>
      <c r="X57" s="15">
        <f t="shared" ca="1" si="92"/>
        <v>1.34694E-3</v>
      </c>
      <c r="Y57" s="15">
        <f t="shared" ca="1" si="92"/>
        <v>1.4110800000000001E-3</v>
      </c>
      <c r="Z57" s="15">
        <f t="shared" ca="1" si="92"/>
        <v>1.4752200000000002E-3</v>
      </c>
      <c r="AA57" s="15">
        <f t="shared" ca="1" si="92"/>
        <v>1.5393600000000003E-3</v>
      </c>
      <c r="AB57" s="15">
        <f t="shared" ca="1" si="92"/>
        <v>1.6035000000000003E-3</v>
      </c>
      <c r="AC57" s="15">
        <f t="shared" ca="1" si="92"/>
        <v>1.6676400000000004E-3</v>
      </c>
      <c r="AD57" s="15">
        <f t="shared" ca="1" si="92"/>
        <v>1.7317800000000005E-3</v>
      </c>
      <c r="AE57" s="5"/>
      <c r="AG57" s="1" t="s">
        <v>170</v>
      </c>
      <c r="AH57" s="37">
        <f t="shared" ca="1" si="93"/>
        <v>1909.6125053468841</v>
      </c>
      <c r="AI57" s="37">
        <f t="shared" ca="1" si="85"/>
        <v>2266.3399360398248</v>
      </c>
      <c r="AJ57" s="37">
        <f t="shared" ca="1" si="86"/>
        <v>2647.0989932227108</v>
      </c>
      <c r="AK57" s="37">
        <f t="shared" ca="1" si="86"/>
        <v>3049.1269472817735</v>
      </c>
      <c r="AL57" s="37">
        <f t="shared" ca="1" si="86"/>
        <v>3477.0788964020658</v>
      </c>
      <c r="AM57" s="37">
        <f t="shared" ca="1" si="86"/>
        <v>3931.6756788895314</v>
      </c>
      <c r="AN57" s="37">
        <f t="shared" ca="1" si="86"/>
        <v>4413.4147629641884</v>
      </c>
      <c r="AO57" s="37">
        <f t="shared" ca="1" si="86"/>
        <v>4922.9242677808934</v>
      </c>
      <c r="AP57" s="37">
        <f t="shared" ca="1" si="86"/>
        <v>5457.3318889912243</v>
      </c>
      <c r="AQ57" s="37">
        <f t="shared" ca="1" si="86"/>
        <v>6021.2213506584185</v>
      </c>
      <c r="AR57" s="37">
        <f t="shared" ca="1" si="86"/>
        <v>6615.6385323339373</v>
      </c>
      <c r="AS57" s="37">
        <f t="shared" ca="1" si="86"/>
        <v>7241.9590593237199</v>
      </c>
      <c r="AT57" s="37">
        <f t="shared" ca="1" si="87"/>
        <v>7901.4005929639252</v>
      </c>
      <c r="AU57" s="37">
        <f t="shared" ca="1" si="87"/>
        <v>8589.9914254840387</v>
      </c>
      <c r="AV57" s="37">
        <f t="shared" ca="1" si="87"/>
        <v>9313.8585211871396</v>
      </c>
      <c r="AW57" s="37">
        <f t="shared" ca="1" si="87"/>
        <v>10073.555587337629</v>
      </c>
      <c r="AX57" s="37">
        <f t="shared" ca="1" si="87"/>
        <v>10869.445650730588</v>
      </c>
      <c r="AY57" s="37">
        <f t="shared" ca="1" si="87"/>
        <v>11702.011313337687</v>
      </c>
      <c r="AZ57" s="37" t="e">
        <f t="shared" ca="1" si="87"/>
        <v>#N/A</v>
      </c>
      <c r="BA57" s="37" t="e">
        <f t="shared" ca="1" si="87"/>
        <v>#N/A</v>
      </c>
      <c r="BB57" s="37" t="e">
        <f t="shared" ca="1" si="87"/>
        <v>#N/A</v>
      </c>
    </row>
    <row r="58" spans="1:54" x14ac:dyDescent="0.25">
      <c r="B58" s="1" t="s">
        <v>59</v>
      </c>
      <c r="C58" s="14">
        <f ca="1">INDEX(Data_FP!$2:$1048576,MATCH(C$4&amp;$A$54&amp;$B58&amp;$A$1,Data_FP!$A$2:$A$1048576,0),MATCH($A$53,Data_FP!$2:$2,0))</f>
        <v>3.5108000000000001E-3</v>
      </c>
      <c r="D58" s="14">
        <f ca="1">INDEX(Data_FP!$2:$1048576,MATCH(D$4&amp;$A$54&amp;$B58&amp;$A$1,Data_FP!$A$2:$A$1048576,0),MATCH($A$53,Data_FP!$2:$2,0))</f>
        <v>5.8703000000000002E-3</v>
      </c>
      <c r="E58" s="14">
        <f ca="1">IF('User Settings'!$N$7="On",($D58-$C58)/($D$4-$C$4),0)</f>
        <v>4.7190000000000003E-4</v>
      </c>
      <c r="F58" s="14">
        <f t="shared" ca="1" si="88"/>
        <v>7.2860000000000008E-3</v>
      </c>
      <c r="G58" s="14"/>
      <c r="H58" s="14">
        <f t="shared" ca="1" si="89"/>
        <v>8.7016999999999997E-3</v>
      </c>
      <c r="I58" s="14">
        <f t="shared" ca="1" si="94"/>
        <v>4.7189999999999965E-4</v>
      </c>
      <c r="J58" s="14">
        <f t="shared" ca="1" si="90"/>
        <v>6.8141000000000009E-3</v>
      </c>
      <c r="K58" s="14">
        <f t="shared" ca="1" si="91"/>
        <v>7.2860000000000008E-3</v>
      </c>
      <c r="L58" s="15">
        <f t="shared" ca="1" si="92"/>
        <v>7.7579000000000007E-3</v>
      </c>
      <c r="M58" s="15">
        <f t="shared" ca="1" si="92"/>
        <v>8.2298000000000007E-3</v>
      </c>
      <c r="N58" s="15">
        <f t="shared" ca="1" si="92"/>
        <v>8.7016999999999997E-3</v>
      </c>
      <c r="O58" s="15">
        <f t="shared" ca="1" si="92"/>
        <v>9.1735999999999988E-3</v>
      </c>
      <c r="P58" s="15">
        <f t="shared" ca="1" si="92"/>
        <v>9.6454999999999978E-3</v>
      </c>
      <c r="Q58" s="15">
        <f t="shared" ca="1" si="92"/>
        <v>1.0117399999999997E-2</v>
      </c>
      <c r="R58" s="15">
        <f t="shared" ca="1" si="92"/>
        <v>1.0589299999999996E-2</v>
      </c>
      <c r="S58" s="15">
        <f t="shared" ca="1" si="92"/>
        <v>1.1061199999999995E-2</v>
      </c>
      <c r="T58" s="15">
        <f t="shared" ca="1" si="92"/>
        <v>1.1533099999999994E-2</v>
      </c>
      <c r="U58" s="15">
        <f t="shared" ca="1" si="92"/>
        <v>1.2004999999999993E-2</v>
      </c>
      <c r="V58" s="15">
        <f t="shared" ca="1" si="92"/>
        <v>1.2476899999999992E-2</v>
      </c>
      <c r="W58" s="15">
        <f t="shared" ca="1" si="92"/>
        <v>1.2948799999999991E-2</v>
      </c>
      <c r="X58" s="15">
        <f t="shared" ca="1" si="92"/>
        <v>1.342069999999999E-2</v>
      </c>
      <c r="Y58" s="15">
        <f t="shared" ca="1" si="92"/>
        <v>1.3892599999999989E-2</v>
      </c>
      <c r="Z58" s="15">
        <f t="shared" ca="1" si="92"/>
        <v>1.4364499999999988E-2</v>
      </c>
      <c r="AA58" s="15">
        <f t="shared" ca="1" si="92"/>
        <v>1.4836399999999987E-2</v>
      </c>
      <c r="AB58" s="15">
        <f t="shared" ca="1" si="92"/>
        <v>1.5308299999999987E-2</v>
      </c>
      <c r="AC58" s="15">
        <f t="shared" ca="1" si="92"/>
        <v>1.5780199999999987E-2</v>
      </c>
      <c r="AD58" s="15">
        <f t="shared" ca="1" si="92"/>
        <v>1.6252099999999988E-2</v>
      </c>
      <c r="AE58" s="5"/>
      <c r="AG58" s="1" t="s">
        <v>59</v>
      </c>
      <c r="AH58" s="37">
        <f t="shared" ca="1" si="93"/>
        <v>28981.89356471158</v>
      </c>
      <c r="AI58" s="37">
        <f t="shared" ca="1" si="85"/>
        <v>32180.684389589507</v>
      </c>
      <c r="AJ58" s="37">
        <f t="shared" ca="1" si="86"/>
        <v>35574.835047504544</v>
      </c>
      <c r="AK58" s="37">
        <f t="shared" ca="1" si="86"/>
        <v>39123.331697442387</v>
      </c>
      <c r="AL58" s="37">
        <f t="shared" ca="1" si="86"/>
        <v>42884.170185704374</v>
      </c>
      <c r="AM58" s="37">
        <f t="shared" ca="1" si="86"/>
        <v>46860.539455177488</v>
      </c>
      <c r="AN58" s="37">
        <f t="shared" ca="1" si="86"/>
        <v>51053.695157433351</v>
      </c>
      <c r="AO58" s="37">
        <f t="shared" ca="1" si="86"/>
        <v>55467.051969849897</v>
      </c>
      <c r="AP58" s="37">
        <f t="shared" ca="1" si="86"/>
        <v>60065.819116614453</v>
      </c>
      <c r="AQ58" s="37">
        <f t="shared" ca="1" si="86"/>
        <v>64898.984256999232</v>
      </c>
      <c r="AR58" s="37">
        <f t="shared" ca="1" si="86"/>
        <v>69974.523337974388</v>
      </c>
      <c r="AS58" s="37">
        <f t="shared" ca="1" si="86"/>
        <v>75303.778632835485</v>
      </c>
      <c r="AT58" s="37">
        <f t="shared" ca="1" si="87"/>
        <v>80896.218025004142</v>
      </c>
      <c r="AU58" s="37">
        <f t="shared" ca="1" si="87"/>
        <v>86708.825202921449</v>
      </c>
      <c r="AV58" s="37">
        <f t="shared" ca="1" si="87"/>
        <v>92801.833084841317</v>
      </c>
      <c r="AW58" s="37">
        <f t="shared" ca="1" si="87"/>
        <v>99177.848422943149</v>
      </c>
      <c r="AX58" s="37">
        <f t="shared" ca="1" si="87"/>
        <v>105837.87641837785</v>
      </c>
      <c r="AY58" s="37">
        <f t="shared" ca="1" si="87"/>
        <v>112784.35236020366</v>
      </c>
      <c r="AZ58" s="37" t="e">
        <f t="shared" ca="1" si="87"/>
        <v>#N/A</v>
      </c>
      <c r="BA58" s="37" t="e">
        <f t="shared" ca="1" si="87"/>
        <v>#N/A</v>
      </c>
      <c r="BB58" s="37" t="e">
        <f t="shared" ca="1" si="87"/>
        <v>#N/A</v>
      </c>
    </row>
    <row r="59" spans="1:54" x14ac:dyDescent="0.25">
      <c r="B59" s="1" t="s">
        <v>171</v>
      </c>
      <c r="C59" s="14">
        <f ca="1">INDEX(Data_FP!$2:$1048576,MATCH(C$4&amp;$A$54&amp;$B59&amp;$A$1,Data_FP!$A$2:$A$1048576,0),MATCH($A$53,Data_FP!$2:$2,0))</f>
        <v>3.7452000000000002E-3</v>
      </c>
      <c r="D59" s="14">
        <f ca="1">INDEX(Data_FP!$2:$1048576,MATCH(D$4&amp;$A$54&amp;$B59&amp;$A$1,Data_FP!$A$2:$A$1048576,0),MATCH($A$53,Data_FP!$2:$2,0))</f>
        <v>1.4220999999999999E-3</v>
      </c>
      <c r="E59" s="14">
        <f ca="1">IF('User Settings'!$N$7="On",($D59-$C59)/($D$4-$C$4),0)</f>
        <v>-4.6462000000000006E-4</v>
      </c>
      <c r="F59" s="14">
        <f t="shared" ca="1" si="88"/>
        <v>2.8239999999999689E-5</v>
      </c>
      <c r="G59" s="14"/>
      <c r="H59" s="14">
        <f t="shared" ca="1" si="89"/>
        <v>0</v>
      </c>
      <c r="I59" s="14">
        <f t="shared" ca="1" si="94"/>
        <v>-9.4133333333332302E-6</v>
      </c>
      <c r="J59" s="14">
        <f t="shared" ca="1" si="90"/>
        <v>4.928599999999997E-4</v>
      </c>
      <c r="K59" s="14">
        <f t="shared" ca="1" si="91"/>
        <v>2.8239999999999689E-5</v>
      </c>
      <c r="L59" s="15">
        <f t="shared" ca="1" si="92"/>
        <v>1.8826666666666457E-5</v>
      </c>
      <c r="M59" s="15">
        <f t="shared" ca="1" si="92"/>
        <v>9.4133333333332268E-6</v>
      </c>
      <c r="N59" s="15">
        <f t="shared" ca="1" si="92"/>
        <v>0</v>
      </c>
      <c r="O59" s="15">
        <f t="shared" ca="1" si="92"/>
        <v>0</v>
      </c>
      <c r="P59" s="15">
        <f t="shared" ca="1" si="92"/>
        <v>0</v>
      </c>
      <c r="Q59" s="15">
        <f t="shared" ca="1" si="92"/>
        <v>0</v>
      </c>
      <c r="R59" s="15">
        <f t="shared" ca="1" si="92"/>
        <v>0</v>
      </c>
      <c r="S59" s="15">
        <f t="shared" ca="1" si="92"/>
        <v>0</v>
      </c>
      <c r="T59" s="15">
        <f t="shared" ca="1" si="92"/>
        <v>0</v>
      </c>
      <c r="U59" s="15">
        <f t="shared" ca="1" si="92"/>
        <v>0</v>
      </c>
      <c r="V59" s="15">
        <f t="shared" ca="1" si="92"/>
        <v>0</v>
      </c>
      <c r="W59" s="15">
        <f t="shared" ca="1" si="92"/>
        <v>0</v>
      </c>
      <c r="X59" s="15">
        <f t="shared" ca="1" si="92"/>
        <v>0</v>
      </c>
      <c r="Y59" s="15">
        <f t="shared" ca="1" si="92"/>
        <v>0</v>
      </c>
      <c r="Z59" s="15">
        <f t="shared" ca="1" si="92"/>
        <v>0</v>
      </c>
      <c r="AA59" s="15">
        <f t="shared" ca="1" si="92"/>
        <v>0</v>
      </c>
      <c r="AB59" s="15">
        <f t="shared" ca="1" si="92"/>
        <v>0</v>
      </c>
      <c r="AC59" s="15">
        <f t="shared" ca="1" si="92"/>
        <v>0</v>
      </c>
      <c r="AD59" s="15">
        <f t="shared" ca="1" si="92"/>
        <v>0</v>
      </c>
      <c r="AE59" s="5"/>
      <c r="AG59" s="1" t="s">
        <v>171</v>
      </c>
      <c r="AH59" s="37">
        <f t="shared" ca="1" si="93"/>
        <v>2096.243973863568</v>
      </c>
      <c r="AI59" s="37">
        <f t="shared" ca="1" si="85"/>
        <v>124.72996529810563</v>
      </c>
      <c r="AJ59" s="37">
        <f t="shared" ca="1" si="86"/>
        <v>86.33206939519863</v>
      </c>
      <c r="AK59" s="37">
        <f t="shared" ca="1" si="86"/>
        <v>44.74968557906471</v>
      </c>
      <c r="AL59" s="37">
        <f t="shared" ca="1" si="86"/>
        <v>0</v>
      </c>
      <c r="AM59" s="37">
        <f t="shared" ca="1" si="86"/>
        <v>0</v>
      </c>
      <c r="AN59" s="37">
        <f t="shared" ca="1" si="86"/>
        <v>0</v>
      </c>
      <c r="AO59" s="37">
        <f t="shared" ca="1" si="86"/>
        <v>0</v>
      </c>
      <c r="AP59" s="37">
        <f t="shared" ca="1" si="86"/>
        <v>0</v>
      </c>
      <c r="AQ59" s="37">
        <f t="shared" ca="1" si="86"/>
        <v>0</v>
      </c>
      <c r="AR59" s="37">
        <f t="shared" ca="1" si="86"/>
        <v>0</v>
      </c>
      <c r="AS59" s="37">
        <f t="shared" ca="1" si="86"/>
        <v>0</v>
      </c>
      <c r="AT59" s="37">
        <f t="shared" ca="1" si="87"/>
        <v>0</v>
      </c>
      <c r="AU59" s="37">
        <f t="shared" ca="1" si="87"/>
        <v>0</v>
      </c>
      <c r="AV59" s="37">
        <f t="shared" ca="1" si="87"/>
        <v>0</v>
      </c>
      <c r="AW59" s="37">
        <f t="shared" ca="1" si="87"/>
        <v>0</v>
      </c>
      <c r="AX59" s="37">
        <f t="shared" ca="1" si="87"/>
        <v>0</v>
      </c>
      <c r="AY59" s="37">
        <f t="shared" ca="1" si="87"/>
        <v>0</v>
      </c>
      <c r="AZ59" s="37" t="e">
        <f t="shared" ca="1" si="87"/>
        <v>#N/A</v>
      </c>
      <c r="BA59" s="37" t="e">
        <f t="shared" ca="1" si="87"/>
        <v>#N/A</v>
      </c>
      <c r="BB59" s="37" t="e">
        <f t="shared" ca="1" si="87"/>
        <v>#N/A</v>
      </c>
    </row>
    <row r="60" spans="1:54" x14ac:dyDescent="0.25">
      <c r="B60" s="1" t="s">
        <v>116</v>
      </c>
      <c r="C60" s="14">
        <f ca="1">INDEX(Data_FP!$2:$1048576,MATCH(C$4&amp;$A$54&amp;$B60&amp;$A$1,Data_FP!$A$2:$A$1048576,0),MATCH($A$53,Data_FP!$2:$2,0))</f>
        <v>1.2780999999999999E-3</v>
      </c>
      <c r="D60" s="14">
        <f ca="1">INDEX(Data_FP!$2:$1048576,MATCH(D$4&amp;$A$54&amp;$B60&amp;$A$1,Data_FP!$A$2:$A$1048576,0),MATCH($A$53,Data_FP!$2:$2,0))</f>
        <v>1.1502999999999999E-3</v>
      </c>
      <c r="E60" s="14">
        <f ca="1">IF('User Settings'!$N$7="On",($D60-$C60)/($D$4-$C$4),0)</f>
        <v>-2.5559999999999992E-5</v>
      </c>
      <c r="F60" s="14">
        <f t="shared" ca="1" si="88"/>
        <v>1.07362E-3</v>
      </c>
      <c r="G60" s="14"/>
      <c r="H60" s="14">
        <f t="shared" ca="1" si="89"/>
        <v>9.9693999999999998E-4</v>
      </c>
      <c r="I60" s="14">
        <f t="shared" ca="1" si="94"/>
        <v>-2.5559999999999992E-5</v>
      </c>
      <c r="J60" s="14">
        <f t="shared" ca="1" si="90"/>
        <v>1.0991799999999999E-3</v>
      </c>
      <c r="K60" s="14">
        <f t="shared" ca="1" si="91"/>
        <v>1.07362E-3</v>
      </c>
      <c r="L60" s="15">
        <f t="shared" ca="1" si="92"/>
        <v>1.04806E-3</v>
      </c>
      <c r="M60" s="15">
        <f t="shared" ca="1" si="92"/>
        <v>1.0225E-3</v>
      </c>
      <c r="N60" s="15">
        <f t="shared" ca="1" si="92"/>
        <v>9.9693999999999998E-4</v>
      </c>
      <c r="O60" s="15">
        <f t="shared" ca="1" si="92"/>
        <v>9.7137999999999999E-4</v>
      </c>
      <c r="P60" s="15">
        <f t="shared" ca="1" si="92"/>
        <v>9.4581999999999999E-4</v>
      </c>
      <c r="Q60" s="15">
        <f t="shared" ca="1" si="92"/>
        <v>9.2026E-4</v>
      </c>
      <c r="R60" s="15">
        <f t="shared" ca="1" si="92"/>
        <v>8.9470000000000001E-4</v>
      </c>
      <c r="S60" s="15">
        <f t="shared" ca="1" si="92"/>
        <v>8.6914000000000002E-4</v>
      </c>
      <c r="T60" s="15">
        <f t="shared" ca="1" si="92"/>
        <v>8.4358000000000002E-4</v>
      </c>
      <c r="U60" s="15">
        <f t="shared" ca="1" si="92"/>
        <v>8.1802000000000003E-4</v>
      </c>
      <c r="V60" s="15">
        <f t="shared" ca="1" si="92"/>
        <v>7.9246000000000004E-4</v>
      </c>
      <c r="W60" s="15">
        <f t="shared" ca="1" si="92"/>
        <v>7.6690000000000005E-4</v>
      </c>
      <c r="X60" s="15">
        <f t="shared" ca="1" si="92"/>
        <v>7.4134000000000005E-4</v>
      </c>
      <c r="Y60" s="15">
        <f t="shared" ca="1" si="92"/>
        <v>7.1578000000000006E-4</v>
      </c>
      <c r="Z60" s="15">
        <f t="shared" ca="1" si="92"/>
        <v>6.9022000000000007E-4</v>
      </c>
      <c r="AA60" s="15">
        <f t="shared" ca="1" si="92"/>
        <v>6.6466000000000008E-4</v>
      </c>
      <c r="AB60" s="15">
        <f t="shared" ca="1" si="92"/>
        <v>6.3910000000000008E-4</v>
      </c>
      <c r="AC60" s="15">
        <f t="shared" ca="1" si="92"/>
        <v>6.1354000000000009E-4</v>
      </c>
      <c r="AD60" s="15">
        <f t="shared" ca="1" si="92"/>
        <v>5.879800000000001E-4</v>
      </c>
      <c r="AE60" s="5"/>
      <c r="AG60" s="1" t="s">
        <v>116</v>
      </c>
      <c r="AH60" s="37">
        <f t="shared" ca="1" si="93"/>
        <v>4675.0587412071545</v>
      </c>
      <c r="AI60" s="37">
        <f t="shared" ca="1" si="85"/>
        <v>4741.94707306493</v>
      </c>
      <c r="AJ60" s="37">
        <f t="shared" ca="1" si="86"/>
        <v>4806.0121450247634</v>
      </c>
      <c r="AK60" s="37">
        <f t="shared" ca="1" si="86"/>
        <v>4860.8236725843681</v>
      </c>
      <c r="AL60" s="37">
        <f t="shared" ca="1" si="86"/>
        <v>4913.1715210747461</v>
      </c>
      <c r="AM60" s="37">
        <f t="shared" ca="1" si="86"/>
        <v>4961.9986500360073</v>
      </c>
      <c r="AN60" s="37">
        <f t="shared" ca="1" si="86"/>
        <v>5006.2315021309032</v>
      </c>
      <c r="AO60" s="37">
        <f t="shared" ca="1" si="86"/>
        <v>5045.1805054435008</v>
      </c>
      <c r="AP60" s="37">
        <f t="shared" ca="1" si="86"/>
        <v>5075.0180241975368</v>
      </c>
      <c r="AQ60" s="37">
        <f t="shared" ca="1" si="86"/>
        <v>5099.474123705234</v>
      </c>
      <c r="AR60" s="37">
        <f t="shared" ca="1" si="86"/>
        <v>5118.2343339993986</v>
      </c>
      <c r="AS60" s="37">
        <f t="shared" ca="1" si="86"/>
        <v>5131.1950851505308</v>
      </c>
      <c r="AT60" s="37">
        <f t="shared" ca="1" si="87"/>
        <v>5138.0564832686669</v>
      </c>
      <c r="AU60" s="37">
        <f t="shared" ca="1" si="87"/>
        <v>5135.3791894322649</v>
      </c>
      <c r="AV60" s="37">
        <f t="shared" ca="1" si="87"/>
        <v>5126.238641733763</v>
      </c>
      <c r="AW60" s="37">
        <f t="shared" ca="1" si="87"/>
        <v>5109.8801048165433</v>
      </c>
      <c r="AX60" s="37">
        <f t="shared" ca="1" si="87"/>
        <v>5085.5525121997161</v>
      </c>
      <c r="AY60" s="37">
        <f t="shared" ca="1" si="87"/>
        <v>5052.6574937136393</v>
      </c>
      <c r="AZ60" s="37" t="e">
        <f t="shared" ca="1" si="87"/>
        <v>#N/A</v>
      </c>
      <c r="BA60" s="37" t="e">
        <f t="shared" ca="1" si="87"/>
        <v>#N/A</v>
      </c>
      <c r="BB60" s="37" t="e">
        <f t="shared" ca="1" si="87"/>
        <v>#N/A</v>
      </c>
    </row>
    <row r="61" spans="1:54" x14ac:dyDescent="0.25">
      <c r="C61" s="5">
        <f ca="1">SUM(C55:C60)</f>
        <v>1.5805199999999998E-2</v>
      </c>
      <c r="D61" s="5">
        <f ca="1">SUM(D55:D60)</f>
        <v>1.9829099999999999E-2</v>
      </c>
      <c r="F61" s="132">
        <f ca="1">SUM(F55:F60)</f>
        <v>2.224344E-2</v>
      </c>
      <c r="G61" s="132"/>
      <c r="H61" s="132">
        <f ca="1">SUM(H55:H60)</f>
        <v>2.6340019999999999E-2</v>
      </c>
      <c r="I61" s="132"/>
      <c r="J61" s="132">
        <f ca="1">SUM(J55:J60)</f>
        <v>2.1438659999999998E-2</v>
      </c>
      <c r="K61" s="132">
        <f ca="1">SUM(K55:K60)</f>
        <v>2.224344E-2</v>
      </c>
      <c r="L61" s="5">
        <f t="shared" ref="L61:AD61" ca="1" si="95">SUM(L55:L60)</f>
        <v>2.3608966666666668E-2</v>
      </c>
      <c r="M61" s="5">
        <f t="shared" ca="1" si="95"/>
        <v>2.497449333333333E-2</v>
      </c>
      <c r="N61" s="5">
        <f t="shared" ca="1" si="95"/>
        <v>2.6340019999999999E-2</v>
      </c>
      <c r="O61" s="5">
        <f t="shared" ca="1" si="95"/>
        <v>2.7828939999999996E-2</v>
      </c>
      <c r="P61" s="5">
        <f t="shared" ca="1" si="95"/>
        <v>2.9317859999999998E-2</v>
      </c>
      <c r="Q61" s="5">
        <f t="shared" ca="1" si="95"/>
        <v>3.0806779999999999E-2</v>
      </c>
      <c r="R61" s="5">
        <f t="shared" ca="1" si="95"/>
        <v>3.2295699999999997E-2</v>
      </c>
      <c r="S61" s="5">
        <f t="shared" ca="1" si="95"/>
        <v>3.3784619999999994E-2</v>
      </c>
      <c r="T61" s="5">
        <f t="shared" ca="1" si="95"/>
        <v>3.5273539999999992E-2</v>
      </c>
      <c r="U61" s="5">
        <f t="shared" ca="1" si="95"/>
        <v>3.6762459999999997E-2</v>
      </c>
      <c r="V61" s="5">
        <f t="shared" ca="1" si="95"/>
        <v>3.8251379999999995E-2</v>
      </c>
      <c r="W61" s="5">
        <f t="shared" ca="1" si="95"/>
        <v>3.9740299999999999E-2</v>
      </c>
      <c r="X61" s="5">
        <f t="shared" ca="1" si="95"/>
        <v>4.1229219999999997E-2</v>
      </c>
      <c r="Y61" s="5">
        <f t="shared" ca="1" si="95"/>
        <v>4.2718139999999995E-2</v>
      </c>
      <c r="Z61" s="5">
        <f t="shared" ca="1" si="95"/>
        <v>4.4207059999999992E-2</v>
      </c>
      <c r="AA61" s="5">
        <f t="shared" ca="1" si="95"/>
        <v>4.569597999999999E-2</v>
      </c>
      <c r="AB61" s="5">
        <f t="shared" ca="1" si="95"/>
        <v>4.7184900000000002E-2</v>
      </c>
      <c r="AC61" s="5">
        <f t="shared" ca="1" si="95"/>
        <v>4.867382E-2</v>
      </c>
      <c r="AD61" s="5">
        <f t="shared" ca="1" si="95"/>
        <v>5.0162739999999997E-2</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96">AJ66+1</f>
        <v>2021</v>
      </c>
      <c r="AL66" s="36">
        <f t="shared" si="96"/>
        <v>2022</v>
      </c>
      <c r="AM66" s="36">
        <f t="shared" si="96"/>
        <v>2023</v>
      </c>
      <c r="AN66" s="36">
        <f t="shared" si="96"/>
        <v>2024</v>
      </c>
      <c r="AO66" s="36">
        <f t="shared" si="96"/>
        <v>2025</v>
      </c>
      <c r="AP66" s="36">
        <f t="shared" si="96"/>
        <v>2026</v>
      </c>
      <c r="AQ66" s="36">
        <f t="shared" si="96"/>
        <v>2027</v>
      </c>
      <c r="AR66" s="36">
        <f t="shared" si="96"/>
        <v>2028</v>
      </c>
      <c r="AS66" s="36">
        <f t="shared" si="96"/>
        <v>2029</v>
      </c>
      <c r="AT66" s="36">
        <f t="shared" si="96"/>
        <v>2030</v>
      </c>
      <c r="AU66" s="36">
        <f t="shared" si="96"/>
        <v>2031</v>
      </c>
      <c r="AV66" s="36">
        <f t="shared" si="96"/>
        <v>2032</v>
      </c>
      <c r="AW66" s="36">
        <f t="shared" si="96"/>
        <v>2033</v>
      </c>
      <c r="AX66" s="36">
        <f t="shared" si="96"/>
        <v>2034</v>
      </c>
      <c r="AY66" s="36">
        <f t="shared" si="96"/>
        <v>2035</v>
      </c>
      <c r="AZ66" s="36">
        <f t="shared" si="96"/>
        <v>2036</v>
      </c>
      <c r="BA66" s="36">
        <f t="shared" si="96"/>
        <v>2037</v>
      </c>
      <c r="BB66" s="36">
        <f t="shared" si="96"/>
        <v>2038</v>
      </c>
    </row>
    <row r="67" spans="1:54" x14ac:dyDescent="0.25">
      <c r="A67"/>
      <c r="AF67"/>
      <c r="AH67" s="128">
        <f>1-INDEX(Dashboard!$U$4:$V$9,MATCH($A$1,Dashboard!$U$4:$U$9,0),2)</f>
        <v>0.9</v>
      </c>
      <c r="AI67" s="128">
        <f>1-INDEX(Dashboard!$U$4:$V$9,MATCH($A$1,Dashboard!$U$4:$U$9,0),2)</f>
        <v>0.9</v>
      </c>
      <c r="AJ67" s="128">
        <f>1-INDEX(Dashboard!$U$4:$V$9,MATCH($A$1,Dashboard!$U$4:$U$9,0),2)</f>
        <v>0.9</v>
      </c>
      <c r="AK67" s="128">
        <f>1-INDEX(Dashboard!$U$4:$V$9,MATCH($A$1,Dashboard!$U$4:$U$9,0),2)</f>
        <v>0.9</v>
      </c>
      <c r="AL67" s="128">
        <f>1-INDEX(Dashboard!$U$4:$V$9,MATCH($A$1,Dashboard!$U$4:$U$9,0),2)</f>
        <v>0.9</v>
      </c>
      <c r="AM67" s="128">
        <f>1-INDEX(Dashboard!$U$4:$V$9,MATCH($A$1,Dashboard!$U$4:$U$9,0),2)</f>
        <v>0.9</v>
      </c>
      <c r="AN67" s="128">
        <f>1-INDEX(Dashboard!$U$4:$V$9,MATCH($A$1,Dashboard!$U$4:$U$9,0),2)</f>
        <v>0.9</v>
      </c>
      <c r="AO67" s="128">
        <f>1-INDEX(Dashboard!$U$4:$V$9,MATCH($A$1,Dashboard!$U$4:$U$9,0),2)</f>
        <v>0.9</v>
      </c>
      <c r="AP67" s="128">
        <f>1-INDEX(Dashboard!$U$4:$V$9,MATCH($A$1,Dashboard!$U$4:$U$9,0),2)</f>
        <v>0.9</v>
      </c>
      <c r="AQ67" s="128">
        <f>1-INDEX(Dashboard!$U$4:$V$9,MATCH($A$1,Dashboard!$U$4:$U$9,0),2)</f>
        <v>0.9</v>
      </c>
      <c r="AR67" s="128">
        <f>1-INDEX(Dashboard!$U$4:$V$9,MATCH($A$1,Dashboard!$U$4:$U$9,0),2)</f>
        <v>0.9</v>
      </c>
      <c r="AS67" s="128">
        <f>1-INDEX(Dashboard!$U$4:$V$9,MATCH($A$1,Dashboard!$U$4:$U$9,0),2)</f>
        <v>0.9</v>
      </c>
      <c r="AT67" s="128">
        <f>1-INDEX(Dashboard!$U$4:$V$9,MATCH($A$1,Dashboard!$U$4:$U$9,0),2)</f>
        <v>0.9</v>
      </c>
      <c r="AU67" s="128">
        <f>1-INDEX(Dashboard!$U$4:$V$9,MATCH($A$1,Dashboard!$U$4:$U$9,0),2)</f>
        <v>0.9</v>
      </c>
      <c r="AV67" s="128">
        <f>1-INDEX(Dashboard!$U$4:$V$9,MATCH($A$1,Dashboard!$U$4:$U$9,0),2)</f>
        <v>0.9</v>
      </c>
      <c r="AW67" s="128">
        <f>1-INDEX(Dashboard!$U$4:$V$9,MATCH($A$1,Dashboard!$U$4:$U$9,0),2)</f>
        <v>0.9</v>
      </c>
      <c r="AX67" s="128">
        <f>1-INDEX(Dashboard!$U$4:$V$9,MATCH($A$1,Dashboard!$U$4:$U$9,0),2)</f>
        <v>0.9</v>
      </c>
      <c r="AY67" s="128">
        <f>1-INDEX(Dashboard!$U$4:$V$9,MATCH($A$1,Dashboard!$U$4:$U$9,0),2)</f>
        <v>0.9</v>
      </c>
      <c r="AZ67" s="128">
        <f>1-INDEX(Dashboard!$U$4:$V$9,MATCH($A$1,Dashboard!$U$4:$U$9,0),2)</f>
        <v>0.9</v>
      </c>
      <c r="BA67" s="128">
        <f>1-INDEX(Dashboard!$U$4:$V$9,MATCH($A$1,Dashboard!$U$4:$U$9,0),2)</f>
        <v>0.9</v>
      </c>
      <c r="BB67" s="128">
        <f>1-INDEX(Dashboard!$U$4:$V$9,MATCH($A$1,Dashboard!$U$4:$U$9,0),2)</f>
        <v>0.9</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97">AJ70+1</f>
        <v>2021</v>
      </c>
      <c r="AL70" s="36">
        <f t="shared" si="97"/>
        <v>2022</v>
      </c>
      <c r="AM70" s="36">
        <f t="shared" si="97"/>
        <v>2023</v>
      </c>
      <c r="AN70" s="36">
        <f t="shared" si="97"/>
        <v>2024</v>
      </c>
      <c r="AO70" s="36">
        <f t="shared" si="97"/>
        <v>2025</v>
      </c>
      <c r="AP70" s="36">
        <f t="shared" si="97"/>
        <v>2026</v>
      </c>
      <c r="AQ70" s="36">
        <f t="shared" si="97"/>
        <v>2027</v>
      </c>
      <c r="AR70" s="36">
        <f t="shared" si="97"/>
        <v>2028</v>
      </c>
      <c r="AS70" s="36">
        <f t="shared" si="97"/>
        <v>2029</v>
      </c>
      <c r="AT70" s="36">
        <f t="shared" si="97"/>
        <v>2030</v>
      </c>
      <c r="AU70" s="36">
        <f t="shared" si="97"/>
        <v>2031</v>
      </c>
      <c r="AV70" s="36">
        <f t="shared" si="97"/>
        <v>2032</v>
      </c>
      <c r="AW70" s="36">
        <f t="shared" si="97"/>
        <v>2033</v>
      </c>
      <c r="AX70" s="36">
        <f t="shared" si="97"/>
        <v>2034</v>
      </c>
      <c r="AY70" s="36">
        <f t="shared" si="97"/>
        <v>2035</v>
      </c>
      <c r="AZ70" s="36">
        <f t="shared" si="97"/>
        <v>2036</v>
      </c>
      <c r="BA70" s="36">
        <f t="shared" si="97"/>
        <v>2037</v>
      </c>
      <c r="BB70" s="36">
        <f t="shared" si="97"/>
        <v>2038</v>
      </c>
    </row>
    <row r="71" spans="1:54" x14ac:dyDescent="0.25">
      <c r="A71"/>
      <c r="AF71" s="6" t="s">
        <v>179</v>
      </c>
      <c r="AG71" s="1" t="s">
        <v>52</v>
      </c>
      <c r="AH71" s="37">
        <f ca="1">SUM(AH35,AH25,AH15,AH5)</f>
        <v>69107.976106951974</v>
      </c>
      <c r="AI71" s="37">
        <f ca="1">SUM(AI35,AI25,AI15,AI5)</f>
        <v>75819.710722534408</v>
      </c>
      <c r="AJ71" s="37">
        <f t="shared" ref="AJ71:BB71" ca="1" si="98">SUM(AJ35,AJ25,AJ15,AJ5)</f>
        <v>82927.263280862899</v>
      </c>
      <c r="AK71" s="37">
        <f t="shared" ca="1" si="98"/>
        <v>90333.213934832078</v>
      </c>
      <c r="AL71" s="37">
        <f t="shared" ca="1" si="98"/>
        <v>98170.623476306762</v>
      </c>
      <c r="AM71" s="37">
        <f t="shared" ca="1" si="98"/>
        <v>106443.8913960622</v>
      </c>
      <c r="AN71" s="37">
        <f t="shared" ca="1" si="98"/>
        <v>115153.40949136662</v>
      </c>
      <c r="AO71" s="37">
        <f t="shared" ca="1" si="98"/>
        <v>124304.79063520023</v>
      </c>
      <c r="AP71" s="37">
        <f t="shared" ca="1" si="98"/>
        <v>133818.71443027258</v>
      </c>
      <c r="AQ71" s="37">
        <f t="shared" ca="1" si="98"/>
        <v>143803.48495482173</v>
      </c>
      <c r="AR71" s="37">
        <f t="shared" ca="1" si="98"/>
        <v>154274.85601624573</v>
      </c>
      <c r="AS71" s="37">
        <f ca="1">SUM(AS35,AS25,AS15,AS5)</f>
        <v>165255.93121668996</v>
      </c>
      <c r="AT71" s="37">
        <f t="shared" ca="1" si="98"/>
        <v>176765.56086446295</v>
      </c>
      <c r="AU71" s="37">
        <f t="shared" ca="1" si="98"/>
        <v>188708.30826165024</v>
      </c>
      <c r="AV71" s="37">
        <f t="shared" ca="1" si="98"/>
        <v>201214.25791137927</v>
      </c>
      <c r="AW71" s="37">
        <f t="shared" ca="1" si="98"/>
        <v>214287.22905552329</v>
      </c>
      <c r="AX71" s="37">
        <f t="shared" ca="1" si="98"/>
        <v>227927.7563213589</v>
      </c>
      <c r="AY71" s="37">
        <f t="shared" ca="1" si="98"/>
        <v>242139.62536845339</v>
      </c>
      <c r="AZ71" s="37" t="e">
        <f t="shared" ca="1" si="98"/>
        <v>#N/A</v>
      </c>
      <c r="BA71" s="37" t="e">
        <f t="shared" ca="1" si="98"/>
        <v>#N/A</v>
      </c>
      <c r="BB71" s="37" t="e">
        <f t="shared" ca="1" si="98"/>
        <v>#N/A</v>
      </c>
    </row>
    <row r="72" spans="1:54" x14ac:dyDescent="0.25">
      <c r="B72" s="6"/>
      <c r="AG72" s="1" t="s">
        <v>54</v>
      </c>
      <c r="AH72" s="37">
        <f ca="1">SUM(AH36,AH26,AH16,AH6)+SUM(AH40,AH30,AH20,AH10)</f>
        <v>19348.806900033233</v>
      </c>
      <c r="AI72" s="37">
        <f ca="1">SUM(AI36,AI26,AI16,AI6)+SUM(AI40,AI30,AI20,AI10)</f>
        <v>16299.717335487419</v>
      </c>
      <c r="AJ72" s="37">
        <f t="shared" ref="AJ72:BB72" ca="1" si="99">SUM(AJ36,AJ26,AJ16,AJ6)+SUM(AJ40,AJ30,AJ20,AJ10)</f>
        <v>16769.635747358203</v>
      </c>
      <c r="AK72" s="37">
        <f t="shared" ca="1" si="99"/>
        <v>17226.068551677661</v>
      </c>
      <c r="AL72" s="37">
        <f t="shared" ca="1" si="99"/>
        <v>17693.360412367212</v>
      </c>
      <c r="AM72" s="37">
        <f t="shared" ca="1" si="99"/>
        <v>18173.191650665045</v>
      </c>
      <c r="AN72" s="37">
        <f t="shared" ca="1" si="99"/>
        <v>18766.327419619083</v>
      </c>
      <c r="AO72" s="37">
        <f t="shared" ca="1" si="99"/>
        <v>19370.955384871439</v>
      </c>
      <c r="AP72" s="37">
        <f t="shared" ca="1" si="99"/>
        <v>19973.211888658087</v>
      </c>
      <c r="AQ72" s="37">
        <f t="shared" ca="1" si="99"/>
        <v>20588.329674244233</v>
      </c>
      <c r="AR72" s="37">
        <f t="shared" ca="1" si="99"/>
        <v>21216.406953233218</v>
      </c>
      <c r="AS72" s="37">
        <f t="shared" ca="1" si="99"/>
        <v>21858.471326605853</v>
      </c>
      <c r="AT72" s="37">
        <f t="shared" ca="1" si="99"/>
        <v>22514.829042431749</v>
      </c>
      <c r="AU72" s="37">
        <f t="shared" ca="1" si="99"/>
        <v>23171.680500594241</v>
      </c>
      <c r="AV72" s="37">
        <f t="shared" ca="1" si="99"/>
        <v>23843.851017448789</v>
      </c>
      <c r="AW72" s="37">
        <f t="shared" ca="1" si="99"/>
        <v>24798.045622862774</v>
      </c>
      <c r="AX72" s="37">
        <f t="shared" ca="1" si="99"/>
        <v>26167.66453133522</v>
      </c>
      <c r="AY72" s="37">
        <f t="shared" ca="1" si="99"/>
        <v>27641.757259245736</v>
      </c>
      <c r="AZ72" s="37" t="e">
        <f t="shared" ca="1" si="99"/>
        <v>#N/A</v>
      </c>
      <c r="BA72" s="37" t="e">
        <f t="shared" ca="1" si="99"/>
        <v>#N/A</v>
      </c>
      <c r="BB72" s="37" t="e">
        <f t="shared" ca="1" si="99"/>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80688.655429336563</v>
      </c>
      <c r="AI73" s="39">
        <f ca="1">SUM(AI37,AI27,AI17,AI7)+SUM(AI38,AI28,AI18,AI8)*AI67</f>
        <v>87181.861676454151</v>
      </c>
      <c r="AJ73" s="39">
        <f t="shared" ref="AJ73:BB73" ca="1" si="100">SUM(AJ37,AJ27,AJ17,AJ7)+SUM(AJ38,AJ28,AJ18,AJ8)*AJ67</f>
        <v>94232.50663487846</v>
      </c>
      <c r="AK73" s="39">
        <f t="shared" ca="1" si="100"/>
        <v>101543.93826297589</v>
      </c>
      <c r="AL73" s="39">
        <f t="shared" ca="1" si="100"/>
        <v>109264.63918906062</v>
      </c>
      <c r="AM73" s="39">
        <f t="shared" ca="1" si="100"/>
        <v>117395.73936140988</v>
      </c>
      <c r="AN73" s="39">
        <f t="shared" ca="1" si="100"/>
        <v>125934.45094720334</v>
      </c>
      <c r="AO73" s="39">
        <f t="shared" ca="1" si="100"/>
        <v>134884.1590256019</v>
      </c>
      <c r="AP73" s="39">
        <f t="shared" ca="1" si="100"/>
        <v>144156.99857265217</v>
      </c>
      <c r="AQ73" s="39">
        <f t="shared" ca="1" si="100"/>
        <v>153868.52801991315</v>
      </c>
      <c r="AR73" s="39">
        <f t="shared" ca="1" si="100"/>
        <v>164033.02884435593</v>
      </c>
      <c r="AS73" s="39">
        <f ca="1">SUM(AS37,AS27,AS17,AS7)+SUM(AS38,AS28,AS18,AS8)*AS67</f>
        <v>174672.50006898338</v>
      </c>
      <c r="AT73" s="39">
        <f t="shared" ca="1" si="100"/>
        <v>185804.25555303003</v>
      </c>
      <c r="AU73" s="39">
        <f t="shared" ca="1" si="100"/>
        <v>197326.01656703796</v>
      </c>
      <c r="AV73" s="39">
        <f t="shared" ca="1" si="100"/>
        <v>209372.43800721111</v>
      </c>
      <c r="AW73" s="39">
        <f t="shared" ca="1" si="100"/>
        <v>221944.98118540586</v>
      </c>
      <c r="AX73" s="39">
        <f t="shared" ca="1" si="100"/>
        <v>235041.94723128391</v>
      </c>
      <c r="AY73" s="39">
        <f ca="1">SUM(AY37,AY27,AY17,AY7)+SUM(AY38,AY28,AY18,AY8)*AY67</f>
        <v>248665.22617986309</v>
      </c>
      <c r="AZ73" s="39" t="e">
        <f t="shared" ca="1" si="100"/>
        <v>#N/A</v>
      </c>
      <c r="BA73" s="39" t="e">
        <f t="shared" ca="1" si="100"/>
        <v>#N/A</v>
      </c>
      <c r="BB73" s="39" t="e">
        <f t="shared" ca="1" si="100"/>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14994.884789291296</v>
      </c>
      <c r="AI74" s="37">
        <f ca="1">SUM(AI39,AI29,AI19,AI9)</f>
        <v>4307.4675617125949</v>
      </c>
      <c r="AJ74" s="37">
        <f t="shared" ref="AJ74:BB74" ca="1" si="101">SUM(AJ39,AJ29,AJ19,AJ9)</f>
        <v>2981.4214055664997</v>
      </c>
      <c r="AK74" s="37">
        <f t="shared" ca="1" si="101"/>
        <v>1545.4010475186656</v>
      </c>
      <c r="AL74" s="37">
        <f t="shared" ca="1" si="101"/>
        <v>3.2249642270142274E-13</v>
      </c>
      <c r="AM74" s="37">
        <f t="shared" ca="1" si="101"/>
        <v>0</v>
      </c>
      <c r="AN74" s="37">
        <f t="shared" ca="1" si="101"/>
        <v>0</v>
      </c>
      <c r="AO74" s="37">
        <f t="shared" ca="1" si="101"/>
        <v>0</v>
      </c>
      <c r="AP74" s="37">
        <f t="shared" ca="1" si="101"/>
        <v>0</v>
      </c>
      <c r="AQ74" s="37">
        <f t="shared" ca="1" si="101"/>
        <v>0</v>
      </c>
      <c r="AR74" s="37">
        <f t="shared" ca="1" si="101"/>
        <v>0</v>
      </c>
      <c r="AS74" s="37">
        <f t="shared" ca="1" si="101"/>
        <v>0</v>
      </c>
      <c r="AT74" s="37">
        <f t="shared" ca="1" si="101"/>
        <v>0</v>
      </c>
      <c r="AU74" s="37">
        <f t="shared" ca="1" si="101"/>
        <v>0</v>
      </c>
      <c r="AV74" s="37">
        <f t="shared" ca="1" si="101"/>
        <v>0</v>
      </c>
      <c r="AW74" s="37">
        <f t="shared" ca="1" si="101"/>
        <v>0</v>
      </c>
      <c r="AX74" s="37">
        <f t="shared" ca="1" si="101"/>
        <v>0</v>
      </c>
      <c r="AY74" s="37">
        <f t="shared" ca="1" si="101"/>
        <v>0</v>
      </c>
      <c r="AZ74" s="37" t="e">
        <f t="shared" ca="1" si="101"/>
        <v>#N/A</v>
      </c>
      <c r="BA74" s="37" t="e">
        <f t="shared" ca="1" si="101"/>
        <v>#N/A</v>
      </c>
      <c r="BB74" s="37" t="e">
        <f t="shared" ca="1" si="101"/>
        <v>#N/A</v>
      </c>
    </row>
    <row r="75" spans="1:54" x14ac:dyDescent="0.25">
      <c r="AG75" s="1" t="s">
        <v>59</v>
      </c>
      <c r="AH75" s="37">
        <f ca="1">+SUM(AH38,AH28,AH18,AH8)*(1-AH67)</f>
        <v>8697.0724710935046</v>
      </c>
      <c r="AI75" s="37">
        <f ca="1">+SUM(AI38,AI28,AI18,AI8)*(1-AI67)</f>
        <v>9423.1636952202462</v>
      </c>
      <c r="AJ75" s="37">
        <f t="shared" ref="AJ75:BB75" ca="1" si="102">+SUM(AJ38,AJ28,AJ18,AJ8)*(1-AJ67)</f>
        <v>10190.002766065416</v>
      </c>
      <c r="AK75" s="37">
        <f t="shared" ca="1" si="102"/>
        <v>10985.378640190082</v>
      </c>
      <c r="AL75" s="37">
        <f t="shared" ca="1" si="102"/>
        <v>11825.359425863473</v>
      </c>
      <c r="AM75" s="37">
        <f t="shared" ca="1" si="102"/>
        <v>12710.083926028794</v>
      </c>
      <c r="AN75" s="37">
        <f t="shared" ca="1" si="102"/>
        <v>13639.264555277248</v>
      </c>
      <c r="AO75" s="37">
        <f t="shared" ca="1" si="102"/>
        <v>14613.280216447669</v>
      </c>
      <c r="AP75" s="37">
        <f t="shared" ca="1" si="102"/>
        <v>15622.61972389921</v>
      </c>
      <c r="AQ75" s="37">
        <f t="shared" ca="1" si="102"/>
        <v>16679.811446017939</v>
      </c>
      <c r="AR75" s="37">
        <f t="shared" ca="1" si="102"/>
        <v>17786.415279642344</v>
      </c>
      <c r="AS75" s="37">
        <f ca="1">+SUM(AS38,AS28,AS18,AS8)*(1-AS67)</f>
        <v>18944.82839564787</v>
      </c>
      <c r="AT75" s="37">
        <f t="shared" ca="1" si="102"/>
        <v>20156.940690892425</v>
      </c>
      <c r="AU75" s="37">
        <f t="shared" ca="1" si="102"/>
        <v>21411.665583232851</v>
      </c>
      <c r="AV75" s="37">
        <f t="shared" ca="1" si="102"/>
        <v>22723.620745493194</v>
      </c>
      <c r="AW75" s="37">
        <f t="shared" ca="1" si="102"/>
        <v>24092.976559309809</v>
      </c>
      <c r="AX75" s="37">
        <f t="shared" ca="1" si="102"/>
        <v>25519.559217335387</v>
      </c>
      <c r="AY75" s="37">
        <f t="shared" ca="1" si="102"/>
        <v>27003.583457270735</v>
      </c>
      <c r="AZ75" s="37" t="e">
        <f t="shared" ca="1" si="102"/>
        <v>#N/A</v>
      </c>
      <c r="BA75" s="37" t="e">
        <f t="shared" ca="1" si="102"/>
        <v>#N/A</v>
      </c>
      <c r="BB75" s="37" t="e">
        <f t="shared" ca="1" si="102"/>
        <v>#N/A</v>
      </c>
    </row>
    <row r="76" spans="1:54" x14ac:dyDescent="0.25">
      <c r="AG76" s="12" t="s">
        <v>60</v>
      </c>
      <c r="AH76" s="45">
        <f ca="1">SUM(AH71:AH75)</f>
        <v>192837.39569670658</v>
      </c>
      <c r="AI76" s="45">
        <f ca="1">SUM(AI71:AI75)</f>
        <v>193031.92099140884</v>
      </c>
      <c r="AJ76" s="45">
        <f t="shared" ref="AJ76:BB76" ca="1" si="103">SUM(AJ71:AJ75)</f>
        <v>207100.82983473147</v>
      </c>
      <c r="AK76" s="45">
        <f t="shared" ca="1" si="103"/>
        <v>221634.00043719437</v>
      </c>
      <c r="AL76" s="45">
        <f t="shared" ca="1" si="103"/>
        <v>236953.98250359809</v>
      </c>
      <c r="AM76" s="45">
        <f t="shared" ca="1" si="103"/>
        <v>254722.90633416595</v>
      </c>
      <c r="AN76" s="45">
        <f t="shared" ca="1" si="103"/>
        <v>273493.45241346629</v>
      </c>
      <c r="AO76" s="45">
        <f t="shared" ca="1" si="103"/>
        <v>293173.18526212126</v>
      </c>
      <c r="AP76" s="45">
        <f t="shared" ca="1" si="103"/>
        <v>313571.54461548204</v>
      </c>
      <c r="AQ76" s="45">
        <f t="shared" ca="1" si="103"/>
        <v>334940.15409499709</v>
      </c>
      <c r="AR76" s="45">
        <f t="shared" ca="1" si="103"/>
        <v>357310.70709347719</v>
      </c>
      <c r="AS76" s="45">
        <f ca="1">SUM(AS71:AS75)</f>
        <v>380731.73100792704</v>
      </c>
      <c r="AT76" s="45">
        <f t="shared" ca="1" si="103"/>
        <v>405241.58615081711</v>
      </c>
      <c r="AU76" s="45">
        <f t="shared" ca="1" si="103"/>
        <v>430617.67091251526</v>
      </c>
      <c r="AV76" s="45">
        <f t="shared" ca="1" si="103"/>
        <v>457154.16768153239</v>
      </c>
      <c r="AW76" s="45">
        <f t="shared" ca="1" si="103"/>
        <v>485123.23242310173</v>
      </c>
      <c r="AX76" s="45">
        <f t="shared" ca="1" si="103"/>
        <v>514656.92730131344</v>
      </c>
      <c r="AY76" s="45">
        <f t="shared" ca="1" si="103"/>
        <v>545450.19226483291</v>
      </c>
      <c r="AZ76" s="45" t="e">
        <f t="shared" ca="1" si="103"/>
        <v>#N/A</v>
      </c>
      <c r="BA76" s="45" t="e">
        <f t="shared" ca="1" si="103"/>
        <v>#N/A</v>
      </c>
      <c r="BB76" s="45" t="e">
        <f t="shared" ca="1" si="103"/>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104">AJ79+1</f>
        <v>2021</v>
      </c>
      <c r="AL79" s="36">
        <f t="shared" si="104"/>
        <v>2022</v>
      </c>
      <c r="AM79" s="36">
        <f t="shared" si="104"/>
        <v>2023</v>
      </c>
      <c r="AN79" s="36">
        <f t="shared" si="104"/>
        <v>2024</v>
      </c>
      <c r="AO79" s="36">
        <f t="shared" si="104"/>
        <v>2025</v>
      </c>
      <c r="AP79" s="36">
        <f t="shared" si="104"/>
        <v>2026</v>
      </c>
      <c r="AQ79" s="36">
        <f t="shared" si="104"/>
        <v>2027</v>
      </c>
      <c r="AR79" s="36">
        <f t="shared" si="104"/>
        <v>2028</v>
      </c>
      <c r="AS79" s="36">
        <f t="shared" si="104"/>
        <v>2029</v>
      </c>
      <c r="AT79" s="36">
        <f t="shared" si="104"/>
        <v>2030</v>
      </c>
      <c r="AU79" s="36">
        <f t="shared" si="104"/>
        <v>2031</v>
      </c>
      <c r="AV79" s="36">
        <f t="shared" si="104"/>
        <v>2032</v>
      </c>
      <c r="AW79" s="36">
        <f t="shared" si="104"/>
        <v>2033</v>
      </c>
      <c r="AX79" s="36">
        <f t="shared" si="104"/>
        <v>2034</v>
      </c>
      <c r="AY79" s="36">
        <f t="shared" si="104"/>
        <v>2035</v>
      </c>
      <c r="AZ79" s="36">
        <f t="shared" si="104"/>
        <v>2036</v>
      </c>
      <c r="BA79" s="36">
        <f t="shared" si="104"/>
        <v>2037</v>
      </c>
      <c r="BB79" s="36">
        <f t="shared" si="104"/>
        <v>2038</v>
      </c>
    </row>
    <row r="80" spans="1:54" x14ac:dyDescent="0.25">
      <c r="AG80" s="1" t="s">
        <v>52</v>
      </c>
      <c r="AH80" s="37">
        <f ca="1">SUM(AH55,AH45)</f>
        <v>77364.766745344765</v>
      </c>
      <c r="AI80" s="37">
        <f ca="1">SUM(AI55,AI45)</f>
        <v>87197.859691478676</v>
      </c>
      <c r="AJ80" s="37">
        <f t="shared" ref="AJ80:BB80" ca="1" si="105">SUM(AJ55,AJ45)</f>
        <v>97651.397000057186</v>
      </c>
      <c r="AK80" s="37">
        <f t="shared" ca="1" si="105"/>
        <v>108615.3606509293</v>
      </c>
      <c r="AL80" s="37">
        <f t="shared" ca="1" si="105"/>
        <v>120251.95849564561</v>
      </c>
      <c r="AM80" s="37">
        <f t="shared" ca="1" si="105"/>
        <v>132574.23156815089</v>
      </c>
      <c r="AN80" s="37">
        <f t="shared" ca="1" si="105"/>
        <v>145589.2090600674</v>
      </c>
      <c r="AO80" s="37">
        <f t="shared" ca="1" si="105"/>
        <v>159309.58058803077</v>
      </c>
      <c r="AP80" s="37">
        <f t="shared" ca="1" si="105"/>
        <v>173637.33282998996</v>
      </c>
      <c r="AQ80" s="37">
        <f t="shared" ca="1" si="105"/>
        <v>188715.25700719276</v>
      </c>
      <c r="AR80" s="37">
        <f t="shared" ca="1" si="105"/>
        <v>204569.25801861531</v>
      </c>
      <c r="AS80" s="37">
        <f t="shared" ca="1" si="105"/>
        <v>221235.18395994298</v>
      </c>
      <c r="AT80" s="37">
        <f t="shared" ca="1" si="105"/>
        <v>238743.57384409982</v>
      </c>
      <c r="AU80" s="37">
        <f t="shared" ca="1" si="105"/>
        <v>256969.51442807962</v>
      </c>
      <c r="AV80" s="37">
        <f t="shared" ca="1" si="105"/>
        <v>276092.92893335241</v>
      </c>
      <c r="AW80" s="37">
        <f t="shared" ca="1" si="105"/>
        <v>296124.16250887176</v>
      </c>
      <c r="AX80" s="37">
        <f t="shared" ca="1" si="105"/>
        <v>317068.53005281743</v>
      </c>
      <c r="AY80" s="37">
        <f t="shared" ca="1" si="105"/>
        <v>338935.38870907144</v>
      </c>
      <c r="AZ80" s="37" t="e">
        <f t="shared" ca="1" si="105"/>
        <v>#N/A</v>
      </c>
      <c r="BA80" s="37" t="e">
        <f t="shared" ca="1" si="105"/>
        <v>#N/A</v>
      </c>
      <c r="BB80" s="37" t="e">
        <f t="shared" ca="1" si="105"/>
        <v>#N/A</v>
      </c>
    </row>
    <row r="81" spans="12:54" x14ac:dyDescent="0.25">
      <c r="AG81" s="1" t="s">
        <v>54</v>
      </c>
      <c r="AH81" s="37">
        <f ca="1">SUM(AH56,AH46,AH50,AH60)</f>
        <v>11578.020153427071</v>
      </c>
      <c r="AI81" s="37">
        <f ca="1">SUM(AI56,AI46,AI50,AI60)</f>
        <v>10458.308906330043</v>
      </c>
      <c r="AJ81" s="37">
        <f t="shared" ref="AJ81:BB81" ca="1" si="106">SUM(AJ56,AJ46,AJ50,AJ60)</f>
        <v>9717.2998083093371</v>
      </c>
      <c r="AK81" s="37">
        <f t="shared" ca="1" si="106"/>
        <v>8891.1432032780522</v>
      </c>
      <c r="AL81" s="37">
        <f t="shared" ca="1" si="106"/>
        <v>7991.2610899561323</v>
      </c>
      <c r="AM81" s="37">
        <f t="shared" ca="1" si="106"/>
        <v>7594.464832515594</v>
      </c>
      <c r="AN81" s="37">
        <f t="shared" ca="1" si="106"/>
        <v>7155.7377672261882</v>
      </c>
      <c r="AO81" s="37">
        <f t="shared" ca="1" si="106"/>
        <v>6672.6929142450053</v>
      </c>
      <c r="AP81" s="37">
        <f t="shared" ca="1" si="106"/>
        <v>6139.2899588873133</v>
      </c>
      <c r="AQ81" s="37">
        <f t="shared" ca="1" si="106"/>
        <v>5620.3098206087079</v>
      </c>
      <c r="AR81" s="37">
        <f t="shared" ca="1" si="106"/>
        <v>5185.4536187911535</v>
      </c>
      <c r="AS81" s="37">
        <f t="shared" ca="1" si="106"/>
        <v>5131.1950851505308</v>
      </c>
      <c r="AT81" s="37">
        <f t="shared" ca="1" si="106"/>
        <v>5138.0564832686669</v>
      </c>
      <c r="AU81" s="37">
        <f t="shared" ca="1" si="106"/>
        <v>5135.3791894322649</v>
      </c>
      <c r="AV81" s="37">
        <f t="shared" ca="1" si="106"/>
        <v>5126.238641733763</v>
      </c>
      <c r="AW81" s="37">
        <f t="shared" ca="1" si="106"/>
        <v>5109.8801048165433</v>
      </c>
      <c r="AX81" s="37">
        <f t="shared" ca="1" si="106"/>
        <v>5085.5525121997161</v>
      </c>
      <c r="AY81" s="37">
        <f t="shared" ca="1" si="106"/>
        <v>5052.6574937136393</v>
      </c>
      <c r="AZ81" s="37" t="e">
        <f t="shared" ca="1" si="106"/>
        <v>#N/A</v>
      </c>
      <c r="BA81" s="37" t="e">
        <f t="shared" ca="1" si="106"/>
        <v>#N/A</v>
      </c>
      <c r="BB81" s="37" t="e">
        <f t="shared" ca="1" si="106"/>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43353.731326168083</v>
      </c>
      <c r="AI82" s="39">
        <f ca="1">SUM(AI57,AI47)+SUM(AI48,AI58)*AI67</f>
        <v>45838.194118098167</v>
      </c>
      <c r="AJ82" s="39">
        <f t="shared" ref="AJ82:BB82" ca="1" si="107">SUM(AJ57,AJ47)+SUM(AJ48,AJ58)*AJ67</f>
        <v>48439.002262673319</v>
      </c>
      <c r="AK82" s="39">
        <f t="shared" ca="1" si="107"/>
        <v>51095.754523875185</v>
      </c>
      <c r="AL82" s="39">
        <f t="shared" ca="1" si="107"/>
        <v>53882.064800732151</v>
      </c>
      <c r="AM82" s="39">
        <f t="shared" ca="1" si="107"/>
        <v>56794.653576337099</v>
      </c>
      <c r="AN82" s="39">
        <f t="shared" ca="1" si="107"/>
        <v>59828.862245680371</v>
      </c>
      <c r="AO82" s="39">
        <f t="shared" ca="1" si="107"/>
        <v>62983.444814970295</v>
      </c>
      <c r="AP82" s="39">
        <f t="shared" ca="1" si="107"/>
        <v>66215.499052432613</v>
      </c>
      <c r="AQ82" s="39">
        <f t="shared" ca="1" si="107"/>
        <v>69576.933228575232</v>
      </c>
      <c r="AR82" s="39">
        <f t="shared" ca="1" si="107"/>
        <v>73071.476932140358</v>
      </c>
      <c r="AS82" s="39">
        <f t="shared" ca="1" si="107"/>
        <v>76706.194099617845</v>
      </c>
      <c r="AT82" s="39">
        <f t="shared" ca="1" si="107"/>
        <v>80707.996815467661</v>
      </c>
      <c r="AU82" s="39">
        <f t="shared" ca="1" si="107"/>
        <v>86627.934108113346</v>
      </c>
      <c r="AV82" s="39">
        <f t="shared" ca="1" si="107"/>
        <v>92835.508297544322</v>
      </c>
      <c r="AW82" s="39">
        <f t="shared" ca="1" si="107"/>
        <v>99333.619167986471</v>
      </c>
      <c r="AX82" s="39">
        <f t="shared" ca="1" si="107"/>
        <v>106123.53442727066</v>
      </c>
      <c r="AY82" s="39">
        <f t="shared" ca="1" si="107"/>
        <v>113207.92843752098</v>
      </c>
      <c r="AZ82" s="39" t="e">
        <f t="shared" ca="1" si="107"/>
        <v>#N/A</v>
      </c>
      <c r="BA82" s="39" t="e">
        <f t="shared" ca="1" si="107"/>
        <v>#N/A</v>
      </c>
      <c r="BB82" s="39" t="e">
        <f t="shared" ca="1" si="107"/>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6414.4942922340633</v>
      </c>
      <c r="AI83" s="37">
        <f ca="1">SUM(AI59,AI49)</f>
        <v>124.72996529810563</v>
      </c>
      <c r="AJ83" s="37">
        <f t="shared" ref="AJ83:BB83" ca="1" si="108">SUM(AJ59,AJ49)</f>
        <v>86.33206939519863</v>
      </c>
      <c r="AK83" s="37">
        <f t="shared" ca="1" si="108"/>
        <v>44.74968557906471</v>
      </c>
      <c r="AL83" s="37">
        <f t="shared" ca="1" si="108"/>
        <v>0</v>
      </c>
      <c r="AM83" s="37">
        <f t="shared" ca="1" si="108"/>
        <v>0</v>
      </c>
      <c r="AN83" s="37">
        <f t="shared" ca="1" si="108"/>
        <v>0</v>
      </c>
      <c r="AO83" s="37">
        <f t="shared" ca="1" si="108"/>
        <v>0</v>
      </c>
      <c r="AP83" s="37">
        <f t="shared" ca="1" si="108"/>
        <v>0</v>
      </c>
      <c r="AQ83" s="37">
        <f t="shared" ca="1" si="108"/>
        <v>0</v>
      </c>
      <c r="AR83" s="37">
        <f t="shared" ca="1" si="108"/>
        <v>0</v>
      </c>
      <c r="AS83" s="37">
        <f t="shared" ca="1" si="108"/>
        <v>0</v>
      </c>
      <c r="AT83" s="37">
        <f t="shared" ca="1" si="108"/>
        <v>0</v>
      </c>
      <c r="AU83" s="37">
        <f t="shared" ca="1" si="108"/>
        <v>0</v>
      </c>
      <c r="AV83" s="37">
        <f t="shared" ca="1" si="108"/>
        <v>0</v>
      </c>
      <c r="AW83" s="37">
        <f t="shared" ca="1" si="108"/>
        <v>0</v>
      </c>
      <c r="AX83" s="37">
        <f t="shared" ca="1" si="108"/>
        <v>0</v>
      </c>
      <c r="AY83" s="37">
        <f t="shared" ca="1" si="108"/>
        <v>0</v>
      </c>
      <c r="AZ83" s="37" t="e">
        <f t="shared" ca="1" si="108"/>
        <v>#N/A</v>
      </c>
      <c r="BA83" s="37" t="e">
        <f t="shared" ca="1" si="108"/>
        <v>#N/A</v>
      </c>
      <c r="BB83" s="37" t="e">
        <f t="shared" ca="1" si="108"/>
        <v>#N/A</v>
      </c>
    </row>
    <row r="84" spans="12:54" x14ac:dyDescent="0.25">
      <c r="AG84" s="1" t="s">
        <v>59</v>
      </c>
      <c r="AH84" s="37">
        <f ca="1">SUM(AH48,AH58)*(1-AH67)</f>
        <v>4604.9020912023543</v>
      </c>
      <c r="AI84" s="37">
        <f ca="1">SUM(AI48,AI58)*(1-AI67)</f>
        <v>4841.3171313398143</v>
      </c>
      <c r="AJ84" s="37">
        <f t="shared" ref="AJ84:BB84" ca="1" si="109">SUM(AJ48,AJ58)*(1-AJ67)</f>
        <v>5087.9892521611773</v>
      </c>
      <c r="AK84" s="37">
        <f t="shared" ca="1" si="109"/>
        <v>5338.5141751770443</v>
      </c>
      <c r="AL84" s="37">
        <f t="shared" ca="1" si="109"/>
        <v>5600.5539893700079</v>
      </c>
      <c r="AM84" s="37">
        <f t="shared" ca="1" si="109"/>
        <v>5873.6642108275064</v>
      </c>
      <c r="AN84" s="37">
        <f t="shared" ca="1" si="109"/>
        <v>6157.2719425240193</v>
      </c>
      <c r="AO84" s="37">
        <f t="shared" ca="1" si="109"/>
        <v>6451.1689496877098</v>
      </c>
      <c r="AP84" s="37">
        <f t="shared" ca="1" si="109"/>
        <v>6750.9074626045967</v>
      </c>
      <c r="AQ84" s="37">
        <f t="shared" ca="1" si="109"/>
        <v>7061.7457642129784</v>
      </c>
      <c r="AR84" s="37">
        <f t="shared" ca="1" si="109"/>
        <v>7383.9820444229345</v>
      </c>
      <c r="AS84" s="37">
        <f t="shared" ca="1" si="109"/>
        <v>7718.2483378104562</v>
      </c>
      <c r="AT84" s="37">
        <f t="shared" ca="1" si="109"/>
        <v>8089.6218025004127</v>
      </c>
      <c r="AU84" s="37">
        <f t="shared" ca="1" si="109"/>
        <v>8670.8825202921435</v>
      </c>
      <c r="AV84" s="37">
        <f t="shared" ca="1" si="109"/>
        <v>9280.1833084841292</v>
      </c>
      <c r="AW84" s="37">
        <f t="shared" ca="1" si="109"/>
        <v>9917.7848422943134</v>
      </c>
      <c r="AX84" s="37">
        <f t="shared" ca="1" si="109"/>
        <v>10583.787641837784</v>
      </c>
      <c r="AY84" s="37">
        <f t="shared" ca="1" si="109"/>
        <v>11278.435236020363</v>
      </c>
      <c r="AZ84" s="37" t="e">
        <f t="shared" ca="1" si="109"/>
        <v>#N/A</v>
      </c>
      <c r="BA84" s="37" t="e">
        <f t="shared" ca="1" si="109"/>
        <v>#N/A</v>
      </c>
      <c r="BB84" s="37" t="e">
        <f t="shared" ca="1" si="109"/>
        <v>#N/A</v>
      </c>
    </row>
    <row r="85" spans="12:54" x14ac:dyDescent="0.25">
      <c r="AG85" s="12" t="s">
        <v>60</v>
      </c>
      <c r="AH85" s="45">
        <f ca="1">SUM(AH80:AH84)</f>
        <v>143315.91460837636</v>
      </c>
      <c r="AI85" s="45">
        <f ca="1">SUM(AI80:AI84)</f>
        <v>148460.40981254479</v>
      </c>
      <c r="AJ85" s="45">
        <f t="shared" ref="AJ85:BB85" ca="1" si="110">SUM(AJ80:AJ84)</f>
        <v>160982.02039259623</v>
      </c>
      <c r="AK85" s="45">
        <f t="shared" ca="1" si="110"/>
        <v>173985.52223883866</v>
      </c>
      <c r="AL85" s="45">
        <f t="shared" ca="1" si="110"/>
        <v>187725.8383757039</v>
      </c>
      <c r="AM85" s="45">
        <f t="shared" ca="1" si="110"/>
        <v>202837.01418783108</v>
      </c>
      <c r="AN85" s="45">
        <f t="shared" ca="1" si="110"/>
        <v>218731.08101549797</v>
      </c>
      <c r="AO85" s="45">
        <f t="shared" ca="1" si="110"/>
        <v>235416.88726693377</v>
      </c>
      <c r="AP85" s="45">
        <f t="shared" ca="1" si="110"/>
        <v>252743.02930391449</v>
      </c>
      <c r="AQ85" s="45">
        <f t="shared" ca="1" si="110"/>
        <v>270974.24582058965</v>
      </c>
      <c r="AR85" s="45">
        <f t="shared" ca="1" si="110"/>
        <v>290210.17061396973</v>
      </c>
      <c r="AS85" s="45">
        <f t="shared" ca="1" si="110"/>
        <v>310790.82148252183</v>
      </c>
      <c r="AT85" s="45">
        <f t="shared" ca="1" si="110"/>
        <v>332679.24894533656</v>
      </c>
      <c r="AU85" s="45">
        <f t="shared" ca="1" si="110"/>
        <v>357403.71024591738</v>
      </c>
      <c r="AV85" s="45">
        <f t="shared" ca="1" si="110"/>
        <v>383334.85918111465</v>
      </c>
      <c r="AW85" s="45">
        <f t="shared" ca="1" si="110"/>
        <v>410485.44662396901</v>
      </c>
      <c r="AX85" s="45">
        <f t="shared" ca="1" si="110"/>
        <v>438861.40463412559</v>
      </c>
      <c r="AY85" s="45">
        <f t="shared" ca="1" si="110"/>
        <v>468474.40987632645</v>
      </c>
      <c r="AZ85" s="45" t="e">
        <f t="shared" ca="1" si="110"/>
        <v>#N/A</v>
      </c>
      <c r="BA85" s="45" t="e">
        <f t="shared" ca="1" si="110"/>
        <v>#N/A</v>
      </c>
      <c r="BB85" s="45" t="e">
        <f t="shared" ca="1" si="110"/>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185</v>
      </c>
      <c r="AH87" s="6"/>
    </row>
    <row r="88" spans="12:54" x14ac:dyDescent="0.25">
      <c r="AF88" s="6" t="s">
        <v>178</v>
      </c>
      <c r="AG88" s="38"/>
      <c r="AH88" s="36">
        <f>AI88-1</f>
        <v>2018</v>
      </c>
      <c r="AI88" s="36">
        <f>Yr_Start</f>
        <v>2019</v>
      </c>
      <c r="AJ88" s="36">
        <f>AI88+1</f>
        <v>2020</v>
      </c>
      <c r="AK88" s="36">
        <f t="shared" ref="AK88:BB88" si="111">AJ88+1</f>
        <v>2021</v>
      </c>
      <c r="AL88" s="36">
        <f t="shared" si="111"/>
        <v>2022</v>
      </c>
      <c r="AM88" s="36">
        <f t="shared" si="111"/>
        <v>2023</v>
      </c>
      <c r="AN88" s="36">
        <f t="shared" si="111"/>
        <v>2024</v>
      </c>
      <c r="AO88" s="36">
        <f t="shared" si="111"/>
        <v>2025</v>
      </c>
      <c r="AP88" s="36">
        <f t="shared" si="111"/>
        <v>2026</v>
      </c>
      <c r="AQ88" s="36">
        <f t="shared" si="111"/>
        <v>2027</v>
      </c>
      <c r="AR88" s="36">
        <f t="shared" si="111"/>
        <v>2028</v>
      </c>
      <c r="AS88" s="36">
        <f t="shared" si="111"/>
        <v>2029</v>
      </c>
      <c r="AT88" s="36">
        <f t="shared" si="111"/>
        <v>2030</v>
      </c>
      <c r="AU88" s="36">
        <f t="shared" si="111"/>
        <v>2031</v>
      </c>
      <c r="AV88" s="36">
        <f t="shared" si="111"/>
        <v>2032</v>
      </c>
      <c r="AW88" s="36">
        <f t="shared" si="111"/>
        <v>2033</v>
      </c>
      <c r="AX88" s="36">
        <f t="shared" si="111"/>
        <v>2034</v>
      </c>
      <c r="AY88" s="36">
        <f t="shared" si="111"/>
        <v>2035</v>
      </c>
      <c r="AZ88" s="36">
        <f t="shared" si="111"/>
        <v>2036</v>
      </c>
      <c r="BA88" s="36">
        <f t="shared" si="111"/>
        <v>2037</v>
      </c>
      <c r="BB88" s="36">
        <f t="shared" si="111"/>
        <v>2038</v>
      </c>
    </row>
    <row r="89" spans="12:54" x14ac:dyDescent="0.25">
      <c r="AG89" s="1" t="s">
        <v>52</v>
      </c>
      <c r="AH89" s="1"/>
      <c r="AI89" s="39">
        <f ca="1">AI71*98</f>
        <v>7430331.6508083716</v>
      </c>
      <c r="AJ89" s="39">
        <f t="shared" ref="AJ89:BB93" ca="1" si="112">AJ71*98</f>
        <v>8126871.8015245637</v>
      </c>
      <c r="AK89" s="39">
        <f t="shared" ca="1" si="112"/>
        <v>8852654.965613544</v>
      </c>
      <c r="AL89" s="39">
        <f t="shared" ca="1" si="112"/>
        <v>9620721.1006780621</v>
      </c>
      <c r="AM89" s="39">
        <f t="shared" ca="1" si="112"/>
        <v>10431501.356814096</v>
      </c>
      <c r="AN89" s="39">
        <f t="shared" ca="1" si="112"/>
        <v>11285034.130153928</v>
      </c>
      <c r="AO89" s="39">
        <f t="shared" ca="1" si="112"/>
        <v>12181869.482249623</v>
      </c>
      <c r="AP89" s="39">
        <f t="shared" ca="1" si="112"/>
        <v>13114234.014166713</v>
      </c>
      <c r="AQ89" s="39">
        <f t="shared" ca="1" si="112"/>
        <v>14092741.525572529</v>
      </c>
      <c r="AR89" s="39">
        <f t="shared" ca="1" si="112"/>
        <v>15118935.889592081</v>
      </c>
      <c r="AS89" s="39">
        <f t="shared" ca="1" si="112"/>
        <v>16195081.259235617</v>
      </c>
      <c r="AT89" s="39">
        <f t="shared" ca="1" si="112"/>
        <v>17323024.96471737</v>
      </c>
      <c r="AU89" s="39">
        <f t="shared" ca="1" si="112"/>
        <v>18493414.209641725</v>
      </c>
      <c r="AV89" s="39">
        <f t="shared" ca="1" si="112"/>
        <v>19718997.275315169</v>
      </c>
      <c r="AW89" s="39">
        <f t="shared" ca="1" si="112"/>
        <v>21000148.447441284</v>
      </c>
      <c r="AX89" s="39">
        <f t="shared" ca="1" si="112"/>
        <v>22336920.119493172</v>
      </c>
      <c r="AY89" s="39">
        <f t="shared" ca="1" si="112"/>
        <v>23729683.28610843</v>
      </c>
      <c r="AZ89" s="39" t="e">
        <f t="shared" ca="1" si="112"/>
        <v>#N/A</v>
      </c>
      <c r="BA89" s="39" t="e">
        <f t="shared" ca="1" si="112"/>
        <v>#N/A</v>
      </c>
      <c r="BB89" s="39" t="e">
        <f t="shared" ca="1" si="112"/>
        <v>#N/A</v>
      </c>
    </row>
    <row r="90" spans="12:54" x14ac:dyDescent="0.25">
      <c r="AG90" s="1" t="s">
        <v>54</v>
      </c>
      <c r="AH90" s="1"/>
      <c r="AI90" s="39">
        <f t="shared" ref="AI90:AX93" ca="1" si="113">AI72*98</f>
        <v>1597372.2988777671</v>
      </c>
      <c r="AJ90" s="39">
        <f t="shared" ca="1" si="113"/>
        <v>1643424.3032411039</v>
      </c>
      <c r="AK90" s="39">
        <f t="shared" ca="1" si="113"/>
        <v>1688154.7180644108</v>
      </c>
      <c r="AL90" s="39">
        <f t="shared" ca="1" si="113"/>
        <v>1733949.3204119867</v>
      </c>
      <c r="AM90" s="39">
        <f t="shared" ca="1" si="113"/>
        <v>1780972.7817651744</v>
      </c>
      <c r="AN90" s="39">
        <f t="shared" ca="1" si="113"/>
        <v>1839100.0871226701</v>
      </c>
      <c r="AO90" s="39">
        <f t="shared" ca="1" si="113"/>
        <v>1898353.6277174009</v>
      </c>
      <c r="AP90" s="39">
        <f t="shared" ca="1" si="113"/>
        <v>1957374.7650884925</v>
      </c>
      <c r="AQ90" s="39">
        <f t="shared" ca="1" si="113"/>
        <v>2017656.3080759349</v>
      </c>
      <c r="AR90" s="39">
        <f t="shared" ca="1" si="113"/>
        <v>2079207.8814168554</v>
      </c>
      <c r="AS90" s="39">
        <f t="shared" ca="1" si="113"/>
        <v>2142130.1900073737</v>
      </c>
      <c r="AT90" s="39">
        <f t="shared" ca="1" si="113"/>
        <v>2206453.2461583116</v>
      </c>
      <c r="AU90" s="39">
        <f t="shared" ca="1" si="113"/>
        <v>2270824.6890582354</v>
      </c>
      <c r="AV90" s="39">
        <f t="shared" ca="1" si="113"/>
        <v>2336697.3997099814</v>
      </c>
      <c r="AW90" s="39">
        <f t="shared" ca="1" si="113"/>
        <v>2430208.471040552</v>
      </c>
      <c r="AX90" s="39">
        <f t="shared" ca="1" si="113"/>
        <v>2564431.1240708516</v>
      </c>
      <c r="AY90" s="39">
        <f t="shared" ca="1" si="112"/>
        <v>2708892.2114060824</v>
      </c>
      <c r="AZ90" s="39" t="e">
        <f t="shared" ca="1" si="112"/>
        <v>#N/A</v>
      </c>
      <c r="BA90" s="39" t="e">
        <f t="shared" ca="1" si="112"/>
        <v>#N/A</v>
      </c>
      <c r="BB90" s="39" t="e">
        <f t="shared" ca="1" si="112"/>
        <v>#N/A</v>
      </c>
    </row>
    <row r="91" spans="12:54" x14ac:dyDescent="0.25">
      <c r="AG91" s="1" t="s">
        <v>56</v>
      </c>
      <c r="AH91" s="1"/>
      <c r="AI91" s="39">
        <f t="shared" ca="1" si="113"/>
        <v>8543822.4442925062</v>
      </c>
      <c r="AJ91" s="39">
        <f t="shared" ca="1" si="112"/>
        <v>9234785.6502180882</v>
      </c>
      <c r="AK91" s="39">
        <f t="shared" ca="1" si="112"/>
        <v>9951305.9497716371</v>
      </c>
      <c r="AL91" s="39">
        <f t="shared" ca="1" si="112"/>
        <v>10707934.640527941</v>
      </c>
      <c r="AM91" s="39">
        <f t="shared" ca="1" si="112"/>
        <v>11504782.457418168</v>
      </c>
      <c r="AN91" s="39">
        <f t="shared" ca="1" si="112"/>
        <v>12341576.192825926</v>
      </c>
      <c r="AO91" s="39">
        <f t="shared" ca="1" si="112"/>
        <v>13218647.584508985</v>
      </c>
      <c r="AP91" s="39">
        <f t="shared" ca="1" si="112"/>
        <v>14127385.860119913</v>
      </c>
      <c r="AQ91" s="39">
        <f t="shared" ca="1" si="112"/>
        <v>15079115.745951489</v>
      </c>
      <c r="AR91" s="39">
        <f t="shared" ca="1" si="112"/>
        <v>16075236.826746881</v>
      </c>
      <c r="AS91" s="39">
        <f t="shared" ca="1" si="112"/>
        <v>17117905.00676037</v>
      </c>
      <c r="AT91" s="39">
        <f t="shared" ca="1" si="112"/>
        <v>18208817.044196945</v>
      </c>
      <c r="AU91" s="39">
        <f t="shared" ca="1" si="112"/>
        <v>19337949.623569719</v>
      </c>
      <c r="AV91" s="39">
        <f t="shared" ca="1" si="112"/>
        <v>20518498.92470669</v>
      </c>
      <c r="AW91" s="39">
        <f t="shared" ca="1" si="112"/>
        <v>21750608.156169776</v>
      </c>
      <c r="AX91" s="39">
        <f t="shared" ca="1" si="112"/>
        <v>23034110.828665823</v>
      </c>
      <c r="AY91" s="39">
        <f t="shared" ca="1" si="112"/>
        <v>24369192.165626582</v>
      </c>
      <c r="AZ91" s="39" t="e">
        <f t="shared" ca="1" si="112"/>
        <v>#N/A</v>
      </c>
      <c r="BA91" s="39" t="e">
        <f t="shared" ca="1" si="112"/>
        <v>#N/A</v>
      </c>
      <c r="BB91" s="39" t="e">
        <f t="shared" ca="1" si="112"/>
        <v>#N/A</v>
      </c>
    </row>
    <row r="92" spans="12:54" x14ac:dyDescent="0.25">
      <c r="AG92" s="1" t="s">
        <v>57</v>
      </c>
      <c r="AH92" s="1"/>
      <c r="AI92" s="39">
        <f t="shared" ca="1" si="113"/>
        <v>422131.8210478343</v>
      </c>
      <c r="AJ92" s="39">
        <f t="shared" ca="1" si="112"/>
        <v>292179.29774551699</v>
      </c>
      <c r="AK92" s="39">
        <f t="shared" ca="1" si="112"/>
        <v>151449.30265682921</v>
      </c>
      <c r="AL92" s="39">
        <f t="shared" ca="1" si="112"/>
        <v>3.1604649424739429E-11</v>
      </c>
      <c r="AM92" s="39">
        <f t="shared" ca="1" si="112"/>
        <v>0</v>
      </c>
      <c r="AN92" s="39">
        <f t="shared" ca="1" si="112"/>
        <v>0</v>
      </c>
      <c r="AO92" s="39">
        <f t="shared" ca="1" si="112"/>
        <v>0</v>
      </c>
      <c r="AP92" s="39">
        <f t="shared" ca="1" si="112"/>
        <v>0</v>
      </c>
      <c r="AQ92" s="39">
        <f t="shared" ca="1" si="112"/>
        <v>0</v>
      </c>
      <c r="AR92" s="39">
        <f t="shared" ca="1" si="112"/>
        <v>0</v>
      </c>
      <c r="AS92" s="39">
        <f t="shared" ca="1" si="112"/>
        <v>0</v>
      </c>
      <c r="AT92" s="39">
        <f t="shared" ca="1" si="112"/>
        <v>0</v>
      </c>
      <c r="AU92" s="39">
        <f t="shared" ca="1" si="112"/>
        <v>0</v>
      </c>
      <c r="AV92" s="39">
        <f t="shared" ca="1" si="112"/>
        <v>0</v>
      </c>
      <c r="AW92" s="39">
        <f t="shared" ca="1" si="112"/>
        <v>0</v>
      </c>
      <c r="AX92" s="39">
        <f t="shared" ca="1" si="112"/>
        <v>0</v>
      </c>
      <c r="AY92" s="39">
        <f t="shared" ca="1" si="112"/>
        <v>0</v>
      </c>
      <c r="AZ92" s="39" t="e">
        <f t="shared" ca="1" si="112"/>
        <v>#N/A</v>
      </c>
      <c r="BA92" s="39" t="e">
        <f t="shared" ca="1" si="112"/>
        <v>#N/A</v>
      </c>
      <c r="BB92" s="39" t="e">
        <f t="shared" ca="1" si="112"/>
        <v>#N/A</v>
      </c>
    </row>
    <row r="93" spans="12:54" x14ac:dyDescent="0.25">
      <c r="AG93" s="1" t="s">
        <v>59</v>
      </c>
      <c r="AH93" s="1"/>
      <c r="AI93" s="39">
        <f t="shared" ca="1" si="113"/>
        <v>923470.04213158414</v>
      </c>
      <c r="AJ93" s="39">
        <f t="shared" ca="1" si="112"/>
        <v>998620.27107441076</v>
      </c>
      <c r="AK93" s="39">
        <f t="shared" ca="1" si="112"/>
        <v>1076567.1067386279</v>
      </c>
      <c r="AL93" s="39">
        <f t="shared" ca="1" si="112"/>
        <v>1158885.2237346203</v>
      </c>
      <c r="AM93" s="39">
        <f t="shared" ca="1" si="112"/>
        <v>1245588.2247508217</v>
      </c>
      <c r="AN93" s="39">
        <f t="shared" ca="1" si="112"/>
        <v>1336647.9264171703</v>
      </c>
      <c r="AO93" s="39">
        <f t="shared" ca="1" si="112"/>
        <v>1432101.4612118716</v>
      </c>
      <c r="AP93" s="39">
        <f t="shared" ca="1" si="112"/>
        <v>1531016.7329421225</v>
      </c>
      <c r="AQ93" s="39">
        <f t="shared" ca="1" si="112"/>
        <v>1634621.5217097581</v>
      </c>
      <c r="AR93" s="39">
        <f t="shared" ca="1" si="112"/>
        <v>1743068.6974049497</v>
      </c>
      <c r="AS93" s="39">
        <f t="shared" ca="1" si="112"/>
        <v>1856593.1827734914</v>
      </c>
      <c r="AT93" s="39">
        <f t="shared" ca="1" si="112"/>
        <v>1975380.1877074577</v>
      </c>
      <c r="AU93" s="39">
        <f t="shared" ca="1" si="112"/>
        <v>2098343.2271568193</v>
      </c>
      <c r="AV93" s="39">
        <f t="shared" ca="1" si="112"/>
        <v>2226914.833058333</v>
      </c>
      <c r="AW93" s="39">
        <f t="shared" ca="1" si="112"/>
        <v>2361111.7028123611</v>
      </c>
      <c r="AX93" s="39">
        <f t="shared" ca="1" si="112"/>
        <v>2500916.8032988678</v>
      </c>
      <c r="AY93" s="39">
        <f t="shared" ca="1" si="112"/>
        <v>2646351.1788125322</v>
      </c>
      <c r="AZ93" s="39" t="e">
        <f t="shared" ca="1" si="112"/>
        <v>#N/A</v>
      </c>
      <c r="BA93" s="39" t="e">
        <f t="shared" ca="1" si="112"/>
        <v>#N/A</v>
      </c>
      <c r="BB93" s="39" t="e">
        <f t="shared" ca="1" si="112"/>
        <v>#N/A</v>
      </c>
    </row>
    <row r="94" spans="12:54" x14ac:dyDescent="0.25">
      <c r="AG94" s="12" t="s">
        <v>60</v>
      </c>
      <c r="AH94" s="12"/>
      <c r="AI94" s="45">
        <f ca="1">SUM(AI89:AI93)</f>
        <v>18917128.257158063</v>
      </c>
      <c r="AJ94" s="45">
        <f ca="1">SUM(AJ89:AJ93)</f>
        <v>20295881.323803686</v>
      </c>
      <c r="AK94" s="45">
        <f t="shared" ref="AK94:BB94" ca="1" si="114">SUM(AK89:AK93)</f>
        <v>21720132.042845048</v>
      </c>
      <c r="AL94" s="45">
        <f t="shared" ca="1" si="114"/>
        <v>23221490.28535261</v>
      </c>
      <c r="AM94" s="45">
        <f t="shared" ca="1" si="114"/>
        <v>24962844.820748258</v>
      </c>
      <c r="AN94" s="45">
        <f t="shared" ca="1" si="114"/>
        <v>26802358.336519696</v>
      </c>
      <c r="AO94" s="45">
        <f t="shared" ca="1" si="114"/>
        <v>28730972.15568788</v>
      </c>
      <c r="AP94" s="45">
        <f t="shared" ca="1" si="114"/>
        <v>30730011.372317243</v>
      </c>
      <c r="AQ94" s="45">
        <f t="shared" ca="1" si="114"/>
        <v>32824135.101309713</v>
      </c>
      <c r="AR94" s="45">
        <f t="shared" ca="1" si="114"/>
        <v>35016449.29516077</v>
      </c>
      <c r="AS94" s="45">
        <f t="shared" ca="1" si="114"/>
        <v>37311709.638776854</v>
      </c>
      <c r="AT94" s="45">
        <f t="shared" ca="1" si="114"/>
        <v>39713675.442780077</v>
      </c>
      <c r="AU94" s="45">
        <f t="shared" ca="1" si="114"/>
        <v>42200531.749426499</v>
      </c>
      <c r="AV94" s="45">
        <f t="shared" ca="1" si="114"/>
        <v>44801108.432790175</v>
      </c>
      <c r="AW94" s="45">
        <f t="shared" ca="1" si="114"/>
        <v>47542076.777463973</v>
      </c>
      <c r="AX94" s="45">
        <f t="shared" ca="1" si="114"/>
        <v>50436378.875528716</v>
      </c>
      <c r="AY94" s="45">
        <f t="shared" ca="1" si="114"/>
        <v>53454118.841953628</v>
      </c>
      <c r="AZ94" s="45" t="e">
        <f t="shared" ca="1" si="114"/>
        <v>#N/A</v>
      </c>
      <c r="BA94" s="45" t="e">
        <f t="shared" ca="1" si="114"/>
        <v>#N/A</v>
      </c>
      <c r="BB94" s="45" t="e">
        <f t="shared" ca="1" si="114"/>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185</v>
      </c>
      <c r="AH96" s="6"/>
    </row>
    <row r="97" spans="32:54" x14ac:dyDescent="0.25">
      <c r="AF97" s="6" t="s">
        <v>178</v>
      </c>
      <c r="AG97" s="38"/>
      <c r="AH97" s="36">
        <f>AI97-1</f>
        <v>2018</v>
      </c>
      <c r="AI97" s="36">
        <f>Yr_Start</f>
        <v>2019</v>
      </c>
      <c r="AJ97" s="36">
        <f>AI97+1</f>
        <v>2020</v>
      </c>
      <c r="AK97" s="36">
        <f t="shared" ref="AK97" si="115">AJ97+1</f>
        <v>2021</v>
      </c>
      <c r="AL97" s="36">
        <f t="shared" ref="AL97" si="116">AK97+1</f>
        <v>2022</v>
      </c>
      <c r="AM97" s="36">
        <f t="shared" ref="AM97" si="117">AL97+1</f>
        <v>2023</v>
      </c>
      <c r="AN97" s="36">
        <f t="shared" ref="AN97" si="118">AM97+1</f>
        <v>2024</v>
      </c>
      <c r="AO97" s="36">
        <f t="shared" ref="AO97" si="119">AN97+1</f>
        <v>2025</v>
      </c>
      <c r="AP97" s="36">
        <f t="shared" ref="AP97" si="120">AO97+1</f>
        <v>2026</v>
      </c>
      <c r="AQ97" s="36">
        <f t="shared" ref="AQ97" si="121">AP97+1</f>
        <v>2027</v>
      </c>
      <c r="AR97" s="36">
        <f t="shared" ref="AR97" si="122">AQ97+1</f>
        <v>2028</v>
      </c>
      <c r="AS97" s="36">
        <f t="shared" ref="AS97" si="123">AR97+1</f>
        <v>2029</v>
      </c>
      <c r="AT97" s="36">
        <f t="shared" ref="AT97" si="124">AS97+1</f>
        <v>2030</v>
      </c>
      <c r="AU97" s="36">
        <f t="shared" ref="AU97" si="125">AT97+1</f>
        <v>2031</v>
      </c>
      <c r="AV97" s="36">
        <f t="shared" ref="AV97" si="126">AU97+1</f>
        <v>2032</v>
      </c>
      <c r="AW97" s="36">
        <f t="shared" ref="AW97" si="127">AV97+1</f>
        <v>2033</v>
      </c>
      <c r="AX97" s="36">
        <f t="shared" ref="AX97" si="128">AW97+1</f>
        <v>2034</v>
      </c>
      <c r="AY97" s="36">
        <f t="shared" ref="AY97" si="129">AX97+1</f>
        <v>2035</v>
      </c>
      <c r="AZ97" s="36">
        <f t="shared" ref="AZ97" si="130">AY97+1</f>
        <v>2036</v>
      </c>
      <c r="BA97" s="36">
        <f t="shared" ref="BA97" si="131">AZ97+1</f>
        <v>2037</v>
      </c>
      <c r="BB97" s="36">
        <f t="shared" ref="BB97" si="132">BA97+1</f>
        <v>2038</v>
      </c>
    </row>
    <row r="98" spans="32:54" x14ac:dyDescent="0.25">
      <c r="AG98" s="1" t="s">
        <v>52</v>
      </c>
      <c r="AH98" s="1"/>
      <c r="AI98" s="39">
        <f ca="1">AI80*98</f>
        <v>8545390.24976491</v>
      </c>
      <c r="AJ98" s="39">
        <f t="shared" ref="AJ98:BB98" ca="1" si="133">AJ80*98</f>
        <v>9569836.9060056042</v>
      </c>
      <c r="AK98" s="39">
        <f t="shared" ca="1" si="133"/>
        <v>10644305.343791071</v>
      </c>
      <c r="AL98" s="39">
        <f t="shared" ca="1" si="133"/>
        <v>11784691.93257327</v>
      </c>
      <c r="AM98" s="39">
        <f t="shared" ca="1" si="133"/>
        <v>12992274.693678787</v>
      </c>
      <c r="AN98" s="39">
        <f t="shared" ca="1" si="133"/>
        <v>14267742.487886606</v>
      </c>
      <c r="AO98" s="39">
        <f t="shared" ca="1" si="133"/>
        <v>15612338.897627017</v>
      </c>
      <c r="AP98" s="39">
        <f t="shared" ca="1" si="133"/>
        <v>17016458.617339015</v>
      </c>
      <c r="AQ98" s="39">
        <f t="shared" ca="1" si="133"/>
        <v>18494095.186704889</v>
      </c>
      <c r="AR98" s="39">
        <f t="shared" ca="1" si="133"/>
        <v>20047787.285824299</v>
      </c>
      <c r="AS98" s="39">
        <f t="shared" ca="1" si="133"/>
        <v>21681048.028074414</v>
      </c>
      <c r="AT98" s="39">
        <f t="shared" ca="1" si="133"/>
        <v>23396870.236721784</v>
      </c>
      <c r="AU98" s="39">
        <f t="shared" ca="1" si="133"/>
        <v>25183012.413951803</v>
      </c>
      <c r="AV98" s="39">
        <f t="shared" ca="1" si="133"/>
        <v>27057107.035468537</v>
      </c>
      <c r="AW98" s="39">
        <f t="shared" ca="1" si="133"/>
        <v>29020167.925869431</v>
      </c>
      <c r="AX98" s="39">
        <f t="shared" ca="1" si="133"/>
        <v>31072715.94517611</v>
      </c>
      <c r="AY98" s="39">
        <f t="shared" ca="1" si="133"/>
        <v>33215668.093489002</v>
      </c>
      <c r="AZ98" s="39" t="e">
        <f t="shared" ca="1" si="133"/>
        <v>#N/A</v>
      </c>
      <c r="BA98" s="39" t="e">
        <f t="shared" ca="1" si="133"/>
        <v>#N/A</v>
      </c>
      <c r="BB98" s="39" t="e">
        <f t="shared" ca="1" si="133"/>
        <v>#N/A</v>
      </c>
    </row>
    <row r="99" spans="32:54" x14ac:dyDescent="0.25">
      <c r="AG99" s="1" t="s">
        <v>54</v>
      </c>
      <c r="AH99" s="1"/>
      <c r="AI99" s="39">
        <f t="shared" ref="AI99:BB99" ca="1" si="134">AI81*98</f>
        <v>1024914.2728203442</v>
      </c>
      <c r="AJ99" s="39">
        <f t="shared" ca="1" si="134"/>
        <v>952295.38121431507</v>
      </c>
      <c r="AK99" s="39">
        <f t="shared" ca="1" si="134"/>
        <v>871332.03392124909</v>
      </c>
      <c r="AL99" s="39">
        <f t="shared" ca="1" si="134"/>
        <v>783143.58681570098</v>
      </c>
      <c r="AM99" s="39">
        <f t="shared" ca="1" si="134"/>
        <v>744257.55358652817</v>
      </c>
      <c r="AN99" s="39">
        <f t="shared" ca="1" si="134"/>
        <v>701262.30118816649</v>
      </c>
      <c r="AO99" s="39">
        <f t="shared" ca="1" si="134"/>
        <v>653923.9055960105</v>
      </c>
      <c r="AP99" s="39">
        <f t="shared" ca="1" si="134"/>
        <v>601650.41597095667</v>
      </c>
      <c r="AQ99" s="39">
        <f t="shared" ca="1" si="134"/>
        <v>550790.36241965333</v>
      </c>
      <c r="AR99" s="39">
        <f t="shared" ca="1" si="134"/>
        <v>508174.45464153303</v>
      </c>
      <c r="AS99" s="39">
        <f t="shared" ca="1" si="134"/>
        <v>502857.118344752</v>
      </c>
      <c r="AT99" s="39">
        <f t="shared" ca="1" si="134"/>
        <v>503529.53536032938</v>
      </c>
      <c r="AU99" s="39">
        <f t="shared" ca="1" si="134"/>
        <v>503267.16056436196</v>
      </c>
      <c r="AV99" s="39">
        <f t="shared" ca="1" si="134"/>
        <v>502371.38688990875</v>
      </c>
      <c r="AW99" s="39">
        <f t="shared" ca="1" si="134"/>
        <v>500768.25027202122</v>
      </c>
      <c r="AX99" s="39">
        <f t="shared" ca="1" si="134"/>
        <v>498384.14619557216</v>
      </c>
      <c r="AY99" s="39">
        <f t="shared" ca="1" si="134"/>
        <v>495160.43438393663</v>
      </c>
      <c r="AZ99" s="39" t="e">
        <f t="shared" ca="1" si="134"/>
        <v>#N/A</v>
      </c>
      <c r="BA99" s="39" t="e">
        <f t="shared" ca="1" si="134"/>
        <v>#N/A</v>
      </c>
      <c r="BB99" s="39" t="e">
        <f t="shared" ca="1" si="134"/>
        <v>#N/A</v>
      </c>
    </row>
    <row r="100" spans="32:54" x14ac:dyDescent="0.25">
      <c r="AG100" s="1" t="s">
        <v>56</v>
      </c>
      <c r="AH100" s="1"/>
      <c r="AI100" s="39">
        <f t="shared" ref="AI100:BB100" ca="1" si="135">AI82*98</f>
        <v>4492143.0235736202</v>
      </c>
      <c r="AJ100" s="39">
        <f t="shared" ca="1" si="135"/>
        <v>4747022.2217419855</v>
      </c>
      <c r="AK100" s="39">
        <f t="shared" ca="1" si="135"/>
        <v>5007383.9433397679</v>
      </c>
      <c r="AL100" s="39">
        <f t="shared" ca="1" si="135"/>
        <v>5280442.3504717508</v>
      </c>
      <c r="AM100" s="39">
        <f t="shared" ca="1" si="135"/>
        <v>5565876.0504810354</v>
      </c>
      <c r="AN100" s="39">
        <f t="shared" ca="1" si="135"/>
        <v>5863228.5000766767</v>
      </c>
      <c r="AO100" s="39">
        <f t="shared" ca="1" si="135"/>
        <v>6172377.5918670893</v>
      </c>
      <c r="AP100" s="39">
        <f t="shared" ca="1" si="135"/>
        <v>6489118.9071383961</v>
      </c>
      <c r="AQ100" s="39">
        <f t="shared" ca="1" si="135"/>
        <v>6818539.456400373</v>
      </c>
      <c r="AR100" s="39">
        <f t="shared" ca="1" si="135"/>
        <v>7161004.7393497555</v>
      </c>
      <c r="AS100" s="39">
        <f t="shared" ca="1" si="135"/>
        <v>7517207.0217625489</v>
      </c>
      <c r="AT100" s="39">
        <f t="shared" ca="1" si="135"/>
        <v>7909383.6879158309</v>
      </c>
      <c r="AU100" s="39">
        <f t="shared" ca="1" si="135"/>
        <v>8489537.5425951071</v>
      </c>
      <c r="AV100" s="39">
        <f t="shared" ca="1" si="135"/>
        <v>9097879.8131593429</v>
      </c>
      <c r="AW100" s="39">
        <f t="shared" ca="1" si="135"/>
        <v>9734694.6784626748</v>
      </c>
      <c r="AX100" s="39">
        <f t="shared" ca="1" si="135"/>
        <v>10400106.373872524</v>
      </c>
      <c r="AY100" s="39">
        <f t="shared" ca="1" si="135"/>
        <v>11094376.986877056</v>
      </c>
      <c r="AZ100" s="39" t="e">
        <f t="shared" ca="1" si="135"/>
        <v>#N/A</v>
      </c>
      <c r="BA100" s="39" t="e">
        <f t="shared" ca="1" si="135"/>
        <v>#N/A</v>
      </c>
      <c r="BB100" s="39" t="e">
        <f t="shared" ca="1" si="135"/>
        <v>#N/A</v>
      </c>
    </row>
    <row r="101" spans="32:54" x14ac:dyDescent="0.25">
      <c r="AG101" s="1" t="s">
        <v>57</v>
      </c>
      <c r="AH101" s="1"/>
      <c r="AI101" s="39">
        <f t="shared" ref="AI101:BB101" ca="1" si="136">AI83*98</f>
        <v>12223.536599214351</v>
      </c>
      <c r="AJ101" s="39">
        <f t="shared" ca="1" si="136"/>
        <v>8460.5428007294649</v>
      </c>
      <c r="AK101" s="39">
        <f t="shared" ca="1" si="136"/>
        <v>4385.4691867483416</v>
      </c>
      <c r="AL101" s="39">
        <f t="shared" ca="1" si="136"/>
        <v>0</v>
      </c>
      <c r="AM101" s="39">
        <f t="shared" ca="1" si="136"/>
        <v>0</v>
      </c>
      <c r="AN101" s="39">
        <f t="shared" ca="1" si="136"/>
        <v>0</v>
      </c>
      <c r="AO101" s="39">
        <f t="shared" ca="1" si="136"/>
        <v>0</v>
      </c>
      <c r="AP101" s="39">
        <f t="shared" ca="1" si="136"/>
        <v>0</v>
      </c>
      <c r="AQ101" s="39">
        <f t="shared" ca="1" si="136"/>
        <v>0</v>
      </c>
      <c r="AR101" s="39">
        <f t="shared" ca="1" si="136"/>
        <v>0</v>
      </c>
      <c r="AS101" s="39">
        <f t="shared" ca="1" si="136"/>
        <v>0</v>
      </c>
      <c r="AT101" s="39">
        <f t="shared" ca="1" si="136"/>
        <v>0</v>
      </c>
      <c r="AU101" s="39">
        <f t="shared" ca="1" si="136"/>
        <v>0</v>
      </c>
      <c r="AV101" s="39">
        <f t="shared" ca="1" si="136"/>
        <v>0</v>
      </c>
      <c r="AW101" s="39">
        <f t="shared" ca="1" si="136"/>
        <v>0</v>
      </c>
      <c r="AX101" s="39">
        <f t="shared" ca="1" si="136"/>
        <v>0</v>
      </c>
      <c r="AY101" s="39">
        <f t="shared" ca="1" si="136"/>
        <v>0</v>
      </c>
      <c r="AZ101" s="39" t="e">
        <f t="shared" ca="1" si="136"/>
        <v>#N/A</v>
      </c>
      <c r="BA101" s="39" t="e">
        <f t="shared" ca="1" si="136"/>
        <v>#N/A</v>
      </c>
      <c r="BB101" s="39" t="e">
        <f t="shared" ca="1" si="136"/>
        <v>#N/A</v>
      </c>
    </row>
    <row r="102" spans="32:54" x14ac:dyDescent="0.25">
      <c r="AG102" s="1" t="s">
        <v>59</v>
      </c>
      <c r="AH102" s="1"/>
      <c r="AI102" s="39">
        <f t="shared" ref="AI102:BB102" ca="1" si="137">AI84*98</f>
        <v>474449.07887130178</v>
      </c>
      <c r="AJ102" s="39">
        <f t="shared" ca="1" si="137"/>
        <v>498622.9467117954</v>
      </c>
      <c r="AK102" s="39">
        <f t="shared" ca="1" si="137"/>
        <v>523174.38916735037</v>
      </c>
      <c r="AL102" s="39">
        <f t="shared" ca="1" si="137"/>
        <v>548854.29095826077</v>
      </c>
      <c r="AM102" s="39">
        <f t="shared" ca="1" si="137"/>
        <v>575619.09266109567</v>
      </c>
      <c r="AN102" s="39">
        <f t="shared" ca="1" si="137"/>
        <v>603412.65036735393</v>
      </c>
      <c r="AO102" s="39">
        <f t="shared" ca="1" si="137"/>
        <v>632214.55706939555</v>
      </c>
      <c r="AP102" s="39">
        <f t="shared" ca="1" si="137"/>
        <v>661588.9313352505</v>
      </c>
      <c r="AQ102" s="39">
        <f t="shared" ca="1" si="137"/>
        <v>692051.08489287191</v>
      </c>
      <c r="AR102" s="39">
        <f t="shared" ca="1" si="137"/>
        <v>723630.24035344762</v>
      </c>
      <c r="AS102" s="39">
        <f t="shared" ca="1" si="137"/>
        <v>756388.33710542473</v>
      </c>
      <c r="AT102" s="39">
        <f t="shared" ca="1" si="137"/>
        <v>792782.9366450404</v>
      </c>
      <c r="AU102" s="39">
        <f t="shared" ca="1" si="137"/>
        <v>849746.48698863003</v>
      </c>
      <c r="AV102" s="39">
        <f t="shared" ca="1" si="137"/>
        <v>909457.96423144464</v>
      </c>
      <c r="AW102" s="39">
        <f t="shared" ca="1" si="137"/>
        <v>971942.91454484267</v>
      </c>
      <c r="AX102" s="39">
        <f t="shared" ca="1" si="137"/>
        <v>1037211.1889001027</v>
      </c>
      <c r="AY102" s="39">
        <f t="shared" ca="1" si="137"/>
        <v>1105286.6531299956</v>
      </c>
      <c r="AZ102" s="39" t="e">
        <f t="shared" ca="1" si="137"/>
        <v>#N/A</v>
      </c>
      <c r="BA102" s="39" t="e">
        <f t="shared" ca="1" si="137"/>
        <v>#N/A</v>
      </c>
      <c r="BB102" s="39" t="e">
        <f t="shared" ca="1" si="137"/>
        <v>#N/A</v>
      </c>
    </row>
    <row r="103" spans="32:54" x14ac:dyDescent="0.25">
      <c r="AG103" s="12" t="s">
        <v>60</v>
      </c>
      <c r="AH103" s="12"/>
      <c r="AI103" s="45">
        <f ca="1">SUM(AI98:AI102)</f>
        <v>14549120.161629392</v>
      </c>
      <c r="AJ103" s="45">
        <f ca="1">SUM(AJ98:AJ102)</f>
        <v>15776237.99847443</v>
      </c>
      <c r="AK103" s="45">
        <f t="shared" ref="AK103:BB103" ca="1" si="138">SUM(AK98:AK102)</f>
        <v>17050581.179406188</v>
      </c>
      <c r="AL103" s="45">
        <f t="shared" ca="1" si="138"/>
        <v>18397132.160818983</v>
      </c>
      <c r="AM103" s="45">
        <f t="shared" ca="1" si="138"/>
        <v>19878027.390407443</v>
      </c>
      <c r="AN103" s="45">
        <f t="shared" ca="1" si="138"/>
        <v>21435645.939518802</v>
      </c>
      <c r="AO103" s="45">
        <f t="shared" ca="1" si="138"/>
        <v>23070854.952159513</v>
      </c>
      <c r="AP103" s="45">
        <f t="shared" ca="1" si="138"/>
        <v>24768816.871783618</v>
      </c>
      <c r="AQ103" s="45">
        <f t="shared" ca="1" si="138"/>
        <v>26555476.090417787</v>
      </c>
      <c r="AR103" s="45">
        <f t="shared" ca="1" si="138"/>
        <v>28440596.720169034</v>
      </c>
      <c r="AS103" s="45">
        <f t="shared" ca="1" si="138"/>
        <v>30457500.505287137</v>
      </c>
      <c r="AT103" s="45">
        <f t="shared" ca="1" si="138"/>
        <v>32602566.396642987</v>
      </c>
      <c r="AU103" s="45">
        <f t="shared" ca="1" si="138"/>
        <v>35025563.6040999</v>
      </c>
      <c r="AV103" s="45">
        <f t="shared" ca="1" si="138"/>
        <v>37566816.199749231</v>
      </c>
      <c r="AW103" s="45">
        <f t="shared" ca="1" si="138"/>
        <v>40227573.769148968</v>
      </c>
      <c r="AX103" s="45">
        <f t="shared" ca="1" si="138"/>
        <v>43008417.654144309</v>
      </c>
      <c r="AY103" s="45">
        <f t="shared" ca="1" si="138"/>
        <v>45910492.167879991</v>
      </c>
      <c r="AZ103" s="45" t="e">
        <f t="shared" ca="1" si="138"/>
        <v>#N/A</v>
      </c>
      <c r="BA103" s="45" t="e">
        <f t="shared" ca="1" si="138"/>
        <v>#N/A</v>
      </c>
      <c r="BB103" s="45" t="e">
        <f t="shared" ca="1" si="138"/>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39">AJ107+1</f>
        <v>2021</v>
      </c>
      <c r="AL107" s="36">
        <f t="shared" si="139"/>
        <v>2022</v>
      </c>
      <c r="AM107" s="36">
        <f t="shared" si="139"/>
        <v>2023</v>
      </c>
      <c r="AN107" s="36">
        <f t="shared" si="139"/>
        <v>2024</v>
      </c>
      <c r="AO107" s="36">
        <f t="shared" si="139"/>
        <v>2025</v>
      </c>
      <c r="AP107" s="36">
        <f t="shared" si="139"/>
        <v>2026</v>
      </c>
      <c r="AQ107" s="36">
        <f t="shared" si="139"/>
        <v>2027</v>
      </c>
      <c r="AR107" s="36">
        <f t="shared" si="139"/>
        <v>2028</v>
      </c>
      <c r="AS107" s="36">
        <f t="shared" si="139"/>
        <v>2029</v>
      </c>
      <c r="AT107" s="36">
        <f t="shared" si="139"/>
        <v>2030</v>
      </c>
      <c r="AU107" s="36">
        <f t="shared" si="139"/>
        <v>2031</v>
      </c>
      <c r="AV107" s="36">
        <f t="shared" si="139"/>
        <v>2032</v>
      </c>
      <c r="AW107" s="36">
        <f t="shared" si="139"/>
        <v>2033</v>
      </c>
      <c r="AX107" s="36">
        <f t="shared" si="139"/>
        <v>2034</v>
      </c>
      <c r="AY107" s="36">
        <f t="shared" si="139"/>
        <v>2035</v>
      </c>
      <c r="AZ107" s="36">
        <f t="shared" si="139"/>
        <v>2036</v>
      </c>
      <c r="BA107" s="36">
        <f t="shared" si="139"/>
        <v>2037</v>
      </c>
      <c r="BB107" s="36">
        <f t="shared" si="139"/>
        <v>2038</v>
      </c>
    </row>
    <row r="108" spans="32:54" x14ac:dyDescent="0.25">
      <c r="AF108"/>
      <c r="AG108" s="1" t="s">
        <v>52</v>
      </c>
      <c r="AH108" s="1"/>
      <c r="AI108" s="37">
        <f ca="1">AI89+AI98</f>
        <v>15975721.900573282</v>
      </c>
      <c r="AJ108" s="37">
        <f ca="1">AJ89+AJ98</f>
        <v>17696708.707530167</v>
      </c>
      <c r="AK108" s="37">
        <f t="shared" ref="AK108:BB108" ca="1" si="140">AK89+AK98</f>
        <v>19496960.309404615</v>
      </c>
      <c r="AL108" s="37">
        <f t="shared" ca="1" si="140"/>
        <v>21405413.03325133</v>
      </c>
      <c r="AM108" s="37">
        <f t="shared" ca="1" si="140"/>
        <v>23423776.050492883</v>
      </c>
      <c r="AN108" s="37">
        <f t="shared" ca="1" si="140"/>
        <v>25552776.618040532</v>
      </c>
      <c r="AO108" s="37">
        <f t="shared" ca="1" si="140"/>
        <v>27794208.37987664</v>
      </c>
      <c r="AP108" s="37">
        <f t="shared" ca="1" si="140"/>
        <v>30130692.631505728</v>
      </c>
      <c r="AQ108" s="37">
        <f t="shared" ca="1" si="140"/>
        <v>32586836.71227742</v>
      </c>
      <c r="AR108" s="37">
        <f t="shared" ca="1" si="140"/>
        <v>35166723.17541638</v>
      </c>
      <c r="AS108" s="37">
        <f t="shared" ca="1" si="140"/>
        <v>37876129.287310034</v>
      </c>
      <c r="AT108" s="37">
        <f t="shared" ca="1" si="140"/>
        <v>40719895.201439157</v>
      </c>
      <c r="AU108" s="37">
        <f t="shared" ca="1" si="140"/>
        <v>43676426.623593524</v>
      </c>
      <c r="AV108" s="37">
        <f t="shared" ca="1" si="140"/>
        <v>46776104.310783707</v>
      </c>
      <c r="AW108" s="37">
        <f t="shared" ca="1" si="140"/>
        <v>50020316.373310715</v>
      </c>
      <c r="AX108" s="37">
        <f t="shared" ca="1" si="140"/>
        <v>53409636.064669281</v>
      </c>
      <c r="AY108" s="37">
        <f t="shared" ca="1" si="140"/>
        <v>56945351.379597433</v>
      </c>
      <c r="AZ108" s="37" t="e">
        <f t="shared" ca="1" si="140"/>
        <v>#N/A</v>
      </c>
      <c r="BA108" s="37" t="e">
        <f t="shared" ca="1" si="140"/>
        <v>#N/A</v>
      </c>
      <c r="BB108" s="37" t="e">
        <f t="shared" ca="1" si="140"/>
        <v>#N/A</v>
      </c>
    </row>
    <row r="109" spans="32:54" x14ac:dyDescent="0.25">
      <c r="AF109"/>
      <c r="AG109" s="1" t="s">
        <v>54</v>
      </c>
      <c r="AH109" s="1"/>
      <c r="AI109" s="37">
        <f t="shared" ref="AI109:BB112" ca="1" si="141">AI90+AI99</f>
        <v>2622286.5716981115</v>
      </c>
      <c r="AJ109" s="37">
        <f t="shared" ca="1" si="141"/>
        <v>2595719.684455419</v>
      </c>
      <c r="AK109" s="37">
        <f t="shared" ca="1" si="141"/>
        <v>2559486.7519856598</v>
      </c>
      <c r="AL109" s="37">
        <f t="shared" ca="1" si="141"/>
        <v>2517092.9072276875</v>
      </c>
      <c r="AM109" s="37">
        <f t="shared" ca="1" si="141"/>
        <v>2525230.3353517028</v>
      </c>
      <c r="AN109" s="37">
        <f t="shared" ca="1" si="141"/>
        <v>2540362.3883108366</v>
      </c>
      <c r="AO109" s="37">
        <f t="shared" ca="1" si="141"/>
        <v>2552277.5333134113</v>
      </c>
      <c r="AP109" s="37">
        <f t="shared" ca="1" si="141"/>
        <v>2559025.181059449</v>
      </c>
      <c r="AQ109" s="37">
        <f t="shared" ca="1" si="141"/>
        <v>2568446.6704955883</v>
      </c>
      <c r="AR109" s="37">
        <f t="shared" ca="1" si="141"/>
        <v>2587382.3360583885</v>
      </c>
      <c r="AS109" s="37">
        <f t="shared" ca="1" si="141"/>
        <v>2644987.3083521258</v>
      </c>
      <c r="AT109" s="37">
        <f t="shared" ca="1" si="141"/>
        <v>2709982.7815186409</v>
      </c>
      <c r="AU109" s="37">
        <f t="shared" ca="1" si="141"/>
        <v>2774091.8496225975</v>
      </c>
      <c r="AV109" s="37">
        <f t="shared" ca="1" si="141"/>
        <v>2839068.7865998903</v>
      </c>
      <c r="AW109" s="37">
        <f t="shared" ca="1" si="141"/>
        <v>2930976.7213125732</v>
      </c>
      <c r="AX109" s="37">
        <f t="shared" ca="1" si="141"/>
        <v>3062815.2702664239</v>
      </c>
      <c r="AY109" s="37">
        <f t="shared" ca="1" si="141"/>
        <v>3204052.6457900191</v>
      </c>
      <c r="AZ109" s="37" t="e">
        <f t="shared" ca="1" si="141"/>
        <v>#N/A</v>
      </c>
      <c r="BA109" s="37" t="e">
        <f t="shared" ca="1" si="141"/>
        <v>#N/A</v>
      </c>
      <c r="BB109" s="37" t="e">
        <f t="shared" ca="1" si="141"/>
        <v>#N/A</v>
      </c>
    </row>
    <row r="110" spans="32:54" x14ac:dyDescent="0.25">
      <c r="AF110"/>
      <c r="AG110" s="1" t="s">
        <v>56</v>
      </c>
      <c r="AH110" s="1"/>
      <c r="AI110" s="37">
        <f t="shared" ca="1" si="141"/>
        <v>13035965.467866126</v>
      </c>
      <c r="AJ110" s="37">
        <f t="shared" ca="1" si="141"/>
        <v>13981807.871960074</v>
      </c>
      <c r="AK110" s="37">
        <f t="shared" ca="1" si="141"/>
        <v>14958689.893111404</v>
      </c>
      <c r="AL110" s="37">
        <f t="shared" ca="1" si="141"/>
        <v>15988376.990999691</v>
      </c>
      <c r="AM110" s="37">
        <f t="shared" ca="1" si="141"/>
        <v>17070658.507899202</v>
      </c>
      <c r="AN110" s="37">
        <f t="shared" ca="1" si="141"/>
        <v>18204804.692902602</v>
      </c>
      <c r="AO110" s="37">
        <f t="shared" ca="1" si="141"/>
        <v>19391025.176376075</v>
      </c>
      <c r="AP110" s="37">
        <f t="shared" ca="1" si="141"/>
        <v>20616504.767258309</v>
      </c>
      <c r="AQ110" s="37">
        <f t="shared" ca="1" si="141"/>
        <v>21897655.202351861</v>
      </c>
      <c r="AR110" s="37">
        <f t="shared" ca="1" si="141"/>
        <v>23236241.566096637</v>
      </c>
      <c r="AS110" s="37">
        <f t="shared" ca="1" si="141"/>
        <v>24635112.02852292</v>
      </c>
      <c r="AT110" s="37">
        <f t="shared" ca="1" si="141"/>
        <v>26118200.732112776</v>
      </c>
      <c r="AU110" s="37">
        <f t="shared" ca="1" si="141"/>
        <v>27827487.166164827</v>
      </c>
      <c r="AV110" s="37">
        <f t="shared" ca="1" si="141"/>
        <v>29616378.737866033</v>
      </c>
      <c r="AW110" s="37">
        <f t="shared" ca="1" si="141"/>
        <v>31485302.834632449</v>
      </c>
      <c r="AX110" s="37">
        <f t="shared" ca="1" si="141"/>
        <v>33434217.202538349</v>
      </c>
      <c r="AY110" s="37">
        <f t="shared" ca="1" si="141"/>
        <v>35463569.152503639</v>
      </c>
      <c r="AZ110" s="37" t="e">
        <f t="shared" ca="1" si="141"/>
        <v>#N/A</v>
      </c>
      <c r="BA110" s="37" t="e">
        <f t="shared" ca="1" si="141"/>
        <v>#N/A</v>
      </c>
      <c r="BB110" s="37" t="e">
        <f t="shared" ca="1" si="141"/>
        <v>#N/A</v>
      </c>
    </row>
    <row r="111" spans="32:54" x14ac:dyDescent="0.25">
      <c r="AF111"/>
      <c r="AG111" s="1" t="s">
        <v>57</v>
      </c>
      <c r="AH111" s="1"/>
      <c r="AI111" s="37">
        <f t="shared" ca="1" si="141"/>
        <v>434355.35764704866</v>
      </c>
      <c r="AJ111" s="37">
        <f t="shared" ca="1" si="141"/>
        <v>300639.84054624644</v>
      </c>
      <c r="AK111" s="37">
        <f t="shared" ca="1" si="141"/>
        <v>155834.77184357756</v>
      </c>
      <c r="AL111" s="37">
        <f t="shared" ca="1" si="141"/>
        <v>3.1604649424739429E-11</v>
      </c>
      <c r="AM111" s="37">
        <f t="shared" ca="1" si="141"/>
        <v>0</v>
      </c>
      <c r="AN111" s="37">
        <f t="shared" ca="1" si="141"/>
        <v>0</v>
      </c>
      <c r="AO111" s="37">
        <f t="shared" ca="1" si="141"/>
        <v>0</v>
      </c>
      <c r="AP111" s="37">
        <f t="shared" ca="1" si="141"/>
        <v>0</v>
      </c>
      <c r="AQ111" s="37">
        <f t="shared" ca="1" si="141"/>
        <v>0</v>
      </c>
      <c r="AR111" s="37">
        <f t="shared" ca="1" si="141"/>
        <v>0</v>
      </c>
      <c r="AS111" s="37">
        <f t="shared" ca="1" si="141"/>
        <v>0</v>
      </c>
      <c r="AT111" s="37">
        <f t="shared" ca="1" si="141"/>
        <v>0</v>
      </c>
      <c r="AU111" s="37">
        <f t="shared" ca="1" si="141"/>
        <v>0</v>
      </c>
      <c r="AV111" s="37">
        <f t="shared" ca="1" si="141"/>
        <v>0</v>
      </c>
      <c r="AW111" s="37">
        <f t="shared" ca="1" si="141"/>
        <v>0</v>
      </c>
      <c r="AX111" s="37">
        <f t="shared" ca="1" si="141"/>
        <v>0</v>
      </c>
      <c r="AY111" s="37">
        <f t="shared" ca="1" si="141"/>
        <v>0</v>
      </c>
      <c r="AZ111" s="37" t="e">
        <f t="shared" ca="1" si="141"/>
        <v>#N/A</v>
      </c>
      <c r="BA111" s="37" t="e">
        <f t="shared" ca="1" si="141"/>
        <v>#N/A</v>
      </c>
      <c r="BB111" s="37" t="e">
        <f t="shared" ca="1" si="141"/>
        <v>#N/A</v>
      </c>
    </row>
    <row r="112" spans="32:54" x14ac:dyDescent="0.25">
      <c r="AF112"/>
      <c r="AG112" s="1" t="s">
        <v>59</v>
      </c>
      <c r="AH112" s="1"/>
      <c r="AI112" s="37">
        <f t="shared" ca="1" si="141"/>
        <v>1397919.121002886</v>
      </c>
      <c r="AJ112" s="37">
        <f ca="1">AJ93+AJ102</f>
        <v>1497243.2177862062</v>
      </c>
      <c r="AK112" s="37">
        <f t="shared" ca="1" si="141"/>
        <v>1599741.4959059781</v>
      </c>
      <c r="AL112" s="37">
        <f t="shared" ca="1" si="141"/>
        <v>1707739.5146928811</v>
      </c>
      <c r="AM112" s="37">
        <f t="shared" ca="1" si="141"/>
        <v>1821207.3174119173</v>
      </c>
      <c r="AN112" s="37">
        <f t="shared" ca="1" si="141"/>
        <v>1940060.5767845241</v>
      </c>
      <c r="AO112" s="37">
        <f t="shared" ca="1" si="141"/>
        <v>2064316.018281267</v>
      </c>
      <c r="AP112" s="37">
        <f t="shared" ca="1" si="141"/>
        <v>2192605.6642773729</v>
      </c>
      <c r="AQ112" s="37">
        <f t="shared" ca="1" si="141"/>
        <v>2326672.6066026301</v>
      </c>
      <c r="AR112" s="37">
        <f t="shared" ca="1" si="141"/>
        <v>2466698.9377583973</v>
      </c>
      <c r="AS112" s="37">
        <f t="shared" ca="1" si="141"/>
        <v>2612981.519878916</v>
      </c>
      <c r="AT112" s="37">
        <f t="shared" ca="1" si="141"/>
        <v>2768163.124352498</v>
      </c>
      <c r="AU112" s="37">
        <f t="shared" ca="1" si="141"/>
        <v>2948089.7141454495</v>
      </c>
      <c r="AV112" s="37">
        <f t="shared" ca="1" si="141"/>
        <v>3136372.7972897775</v>
      </c>
      <c r="AW112" s="37">
        <f t="shared" ca="1" si="141"/>
        <v>3333054.6173572037</v>
      </c>
      <c r="AX112" s="37">
        <f t="shared" ca="1" si="141"/>
        <v>3538127.9921989706</v>
      </c>
      <c r="AY112" s="37">
        <f t="shared" ca="1" si="141"/>
        <v>3751637.8319425276</v>
      </c>
      <c r="AZ112" s="37" t="e">
        <f t="shared" ca="1" si="141"/>
        <v>#N/A</v>
      </c>
      <c r="BA112" s="37" t="e">
        <f t="shared" ca="1" si="141"/>
        <v>#N/A</v>
      </c>
      <c r="BB112" s="37" t="e">
        <f t="shared" ca="1" si="141"/>
        <v>#N/A</v>
      </c>
    </row>
    <row r="113" spans="32:54" x14ac:dyDescent="0.25">
      <c r="AF113"/>
      <c r="AG113" s="12" t="s">
        <v>60</v>
      </c>
      <c r="AH113" s="12"/>
      <c r="AI113" s="45">
        <f ca="1">SUM(AI108:AI112)</f>
        <v>33466248.418787457</v>
      </c>
      <c r="AJ113" s="45">
        <f ca="1">SUM(AJ108:AJ112)</f>
        <v>36072119.322278112</v>
      </c>
      <c r="AK113" s="45">
        <f t="shared" ref="AK113:BB113" ca="1" si="142">SUM(AK108:AK112)</f>
        <v>38770713.222251229</v>
      </c>
      <c r="AL113" s="45">
        <f t="shared" ca="1" si="142"/>
        <v>41618622.446171589</v>
      </c>
      <c r="AM113" s="45">
        <f t="shared" ca="1" si="142"/>
        <v>44840872.211155698</v>
      </c>
      <c r="AN113" s="45">
        <f t="shared" ca="1" si="142"/>
        <v>48238004.27603849</v>
      </c>
      <c r="AO113" s="45">
        <f t="shared" ca="1" si="142"/>
        <v>51801827.107847393</v>
      </c>
      <c r="AP113" s="45">
        <f t="shared" ca="1" si="142"/>
        <v>55498828.244100861</v>
      </c>
      <c r="AQ113" s="45">
        <f t="shared" ca="1" si="142"/>
        <v>59379611.191727504</v>
      </c>
      <c r="AR113" s="45">
        <f t="shared" ca="1" si="142"/>
        <v>63457046.015329808</v>
      </c>
      <c r="AS113" s="45">
        <f t="shared" ca="1" si="142"/>
        <v>67769210.144063994</v>
      </c>
      <c r="AT113" s="45">
        <f t="shared" ca="1" si="142"/>
        <v>72316241.839423075</v>
      </c>
      <c r="AU113" s="45">
        <f t="shared" ca="1" si="142"/>
        <v>77226095.353526399</v>
      </c>
      <c r="AV113" s="45">
        <f t="shared" ca="1" si="142"/>
        <v>82367924.632539406</v>
      </c>
      <c r="AW113" s="45">
        <f t="shared" ca="1" si="142"/>
        <v>87769650.546612948</v>
      </c>
      <c r="AX113" s="45">
        <f t="shared" ca="1" si="142"/>
        <v>93444796.529673025</v>
      </c>
      <c r="AY113" s="45">
        <f t="shared" ca="1" si="142"/>
        <v>99364611.009833619</v>
      </c>
      <c r="AZ113" s="45" t="e">
        <f t="shared" ca="1" si="142"/>
        <v>#N/A</v>
      </c>
      <c r="BA113" s="45" t="e">
        <f t="shared" ca="1" si="142"/>
        <v>#N/A</v>
      </c>
      <c r="BB113" s="45" t="e">
        <f t="shared" ca="1" si="142"/>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43">AJ116+1</f>
        <v>2021</v>
      </c>
      <c r="AL116" s="36">
        <f t="shared" si="143"/>
        <v>2022</v>
      </c>
      <c r="AM116" s="36">
        <f t="shared" si="143"/>
        <v>2023</v>
      </c>
      <c r="AN116" s="36">
        <f t="shared" si="143"/>
        <v>2024</v>
      </c>
      <c r="AO116" s="36">
        <f t="shared" si="143"/>
        <v>2025</v>
      </c>
      <c r="AP116" s="36">
        <f t="shared" si="143"/>
        <v>2026</v>
      </c>
      <c r="AQ116" s="36">
        <f t="shared" si="143"/>
        <v>2027</v>
      </c>
      <c r="AR116" s="36">
        <f t="shared" si="143"/>
        <v>2028</v>
      </c>
      <c r="AS116" s="36">
        <f t="shared" si="143"/>
        <v>2029</v>
      </c>
      <c r="AT116" s="36">
        <f t="shared" si="143"/>
        <v>2030</v>
      </c>
      <c r="AU116" s="36">
        <f t="shared" si="143"/>
        <v>2031</v>
      </c>
      <c r="AV116" s="36">
        <f t="shared" si="143"/>
        <v>2032</v>
      </c>
      <c r="AW116" s="36">
        <f t="shared" si="143"/>
        <v>2033</v>
      </c>
      <c r="AX116" s="36">
        <f t="shared" si="143"/>
        <v>2034</v>
      </c>
      <c r="AY116" s="36">
        <f t="shared" si="143"/>
        <v>2035</v>
      </c>
      <c r="AZ116" s="36">
        <f t="shared" si="143"/>
        <v>2036</v>
      </c>
      <c r="BA116" s="36">
        <f t="shared" si="143"/>
        <v>2037</v>
      </c>
      <c r="BB116" s="36">
        <f t="shared" si="143"/>
        <v>2038</v>
      </c>
    </row>
    <row r="117" spans="32:54" x14ac:dyDescent="0.25">
      <c r="AF117"/>
      <c r="AG117" s="1" t="s">
        <v>52</v>
      </c>
      <c r="AH117" s="1"/>
      <c r="AI117" s="37">
        <f ca="1">AI71+AI80</f>
        <v>163017.57041401308</v>
      </c>
      <c r="AJ117" s="37">
        <f t="shared" ref="AJ117:BB117" ca="1" si="144">AJ71+AJ80</f>
        <v>180578.6602809201</v>
      </c>
      <c r="AK117" s="37">
        <f t="shared" ca="1" si="144"/>
        <v>198948.57458576138</v>
      </c>
      <c r="AL117" s="37">
        <f t="shared" ca="1" si="144"/>
        <v>218422.58197195237</v>
      </c>
      <c r="AM117" s="37">
        <f t="shared" ca="1" si="144"/>
        <v>239018.12296421308</v>
      </c>
      <c r="AN117" s="37">
        <f t="shared" ca="1" si="144"/>
        <v>260742.61855143402</v>
      </c>
      <c r="AO117" s="37">
        <f t="shared" ca="1" si="144"/>
        <v>283614.37122323102</v>
      </c>
      <c r="AP117" s="37">
        <f t="shared" ca="1" si="144"/>
        <v>307456.04726026254</v>
      </c>
      <c r="AQ117" s="37">
        <f t="shared" ca="1" si="144"/>
        <v>332518.74196201446</v>
      </c>
      <c r="AR117" s="37">
        <f t="shared" ca="1" si="144"/>
        <v>358844.11403486104</v>
      </c>
      <c r="AS117" s="37">
        <f t="shared" ca="1" si="144"/>
        <v>386491.11517663294</v>
      </c>
      <c r="AT117" s="37">
        <f t="shared" ca="1" si="144"/>
        <v>415509.13470856275</v>
      </c>
      <c r="AU117" s="37">
        <f t="shared" ca="1" si="144"/>
        <v>445677.82268972986</v>
      </c>
      <c r="AV117" s="37">
        <f t="shared" ca="1" si="144"/>
        <v>477307.18684473168</v>
      </c>
      <c r="AW117" s="37">
        <f t="shared" ca="1" si="144"/>
        <v>510411.39156439505</v>
      </c>
      <c r="AX117" s="37">
        <f t="shared" ca="1" si="144"/>
        <v>544996.28637417639</v>
      </c>
      <c r="AY117" s="37">
        <f t="shared" ca="1" si="144"/>
        <v>581075.01407752489</v>
      </c>
      <c r="AZ117" s="37" t="e">
        <f t="shared" ca="1" si="144"/>
        <v>#N/A</v>
      </c>
      <c r="BA117" s="37" t="e">
        <f t="shared" ca="1" si="144"/>
        <v>#N/A</v>
      </c>
      <c r="BB117" s="37" t="e">
        <f t="shared" ca="1" si="144"/>
        <v>#N/A</v>
      </c>
    </row>
    <row r="118" spans="32:54" x14ac:dyDescent="0.25">
      <c r="AF118"/>
      <c r="AG118" s="1" t="s">
        <v>54</v>
      </c>
      <c r="AH118" s="1"/>
      <c r="AI118" s="37">
        <f t="shared" ref="AI118:BB121" ca="1" si="145">AI72+AI81</f>
        <v>26758.026241817461</v>
      </c>
      <c r="AJ118" s="37">
        <f t="shared" ca="1" si="145"/>
        <v>26486.93555566754</v>
      </c>
      <c r="AK118" s="37">
        <f t="shared" ca="1" si="145"/>
        <v>26117.211754955715</v>
      </c>
      <c r="AL118" s="37">
        <f t="shared" ca="1" si="145"/>
        <v>25684.621502323345</v>
      </c>
      <c r="AM118" s="37">
        <f t="shared" ca="1" si="145"/>
        <v>25767.656483180639</v>
      </c>
      <c r="AN118" s="37">
        <f t="shared" ca="1" si="145"/>
        <v>25922.06518684527</v>
      </c>
      <c r="AO118" s="37">
        <f t="shared" ca="1" si="145"/>
        <v>26043.648299116445</v>
      </c>
      <c r="AP118" s="37">
        <f t="shared" ca="1" si="145"/>
        <v>26112.501847545398</v>
      </c>
      <c r="AQ118" s="37">
        <f t="shared" ca="1" si="145"/>
        <v>26208.639494852941</v>
      </c>
      <c r="AR118" s="37">
        <f t="shared" ca="1" si="145"/>
        <v>26401.860572024372</v>
      </c>
      <c r="AS118" s="37">
        <f t="shared" ca="1" si="145"/>
        <v>26989.666411756385</v>
      </c>
      <c r="AT118" s="37">
        <f t="shared" ca="1" si="145"/>
        <v>27652.885525700418</v>
      </c>
      <c r="AU118" s="37">
        <f t="shared" ca="1" si="145"/>
        <v>28307.059690026505</v>
      </c>
      <c r="AV118" s="37">
        <f t="shared" ca="1" si="145"/>
        <v>28970.089659182551</v>
      </c>
      <c r="AW118" s="37">
        <f t="shared" ca="1" si="145"/>
        <v>29907.925727679318</v>
      </c>
      <c r="AX118" s="37">
        <f t="shared" ca="1" si="145"/>
        <v>31253.217043534936</v>
      </c>
      <c r="AY118" s="37">
        <f t="shared" ca="1" si="145"/>
        <v>32694.414752959376</v>
      </c>
      <c r="AZ118" s="37" t="e">
        <f t="shared" ca="1" si="145"/>
        <v>#N/A</v>
      </c>
      <c r="BA118" s="37" t="e">
        <f t="shared" ca="1" si="145"/>
        <v>#N/A</v>
      </c>
      <c r="BB118" s="37" t="e">
        <f t="shared" ca="1" si="145"/>
        <v>#N/A</v>
      </c>
    </row>
    <row r="119" spans="32:54" x14ac:dyDescent="0.25">
      <c r="AF119"/>
      <c r="AG119" s="1" t="s">
        <v>56</v>
      </c>
      <c r="AH119" s="1"/>
      <c r="AI119" s="37">
        <f t="shared" ca="1" si="145"/>
        <v>133020.05579455232</v>
      </c>
      <c r="AJ119" s="37">
        <f t="shared" ca="1" si="145"/>
        <v>142671.50889755177</v>
      </c>
      <c r="AK119" s="37">
        <f t="shared" ca="1" si="145"/>
        <v>152639.69278685108</v>
      </c>
      <c r="AL119" s="37">
        <f t="shared" ca="1" si="145"/>
        <v>163146.70398979276</v>
      </c>
      <c r="AM119" s="37">
        <f t="shared" ca="1" si="145"/>
        <v>174190.39293774698</v>
      </c>
      <c r="AN119" s="37">
        <f t="shared" ca="1" si="145"/>
        <v>185763.31319288371</v>
      </c>
      <c r="AO119" s="37">
        <f t="shared" ca="1" si="145"/>
        <v>197867.60384057218</v>
      </c>
      <c r="AP119" s="37">
        <f t="shared" ca="1" si="145"/>
        <v>210372.49762508477</v>
      </c>
      <c r="AQ119" s="37">
        <f t="shared" ca="1" si="145"/>
        <v>223445.4612484884</v>
      </c>
      <c r="AR119" s="37">
        <f t="shared" ca="1" si="145"/>
        <v>237104.50577649628</v>
      </c>
      <c r="AS119" s="37">
        <f t="shared" ca="1" si="145"/>
        <v>251378.69416860124</v>
      </c>
      <c r="AT119" s="37">
        <f t="shared" ca="1" si="145"/>
        <v>266512.25236849766</v>
      </c>
      <c r="AU119" s="37">
        <f t="shared" ca="1" si="145"/>
        <v>283953.95067515131</v>
      </c>
      <c r="AV119" s="37">
        <f t="shared" ca="1" si="145"/>
        <v>302207.9463047554</v>
      </c>
      <c r="AW119" s="37">
        <f t="shared" ca="1" si="145"/>
        <v>321278.60035339231</v>
      </c>
      <c r="AX119" s="37">
        <f t="shared" ca="1" si="145"/>
        <v>341165.48165855458</v>
      </c>
      <c r="AY119" s="37">
        <f t="shared" ca="1" si="145"/>
        <v>361873.15461738408</v>
      </c>
      <c r="AZ119" s="37" t="e">
        <f t="shared" ca="1" si="145"/>
        <v>#N/A</v>
      </c>
      <c r="BA119" s="37" t="e">
        <f t="shared" ca="1" si="145"/>
        <v>#N/A</v>
      </c>
      <c r="BB119" s="37" t="e">
        <f t="shared" ca="1" si="145"/>
        <v>#N/A</v>
      </c>
    </row>
    <row r="120" spans="32:54" x14ac:dyDescent="0.25">
      <c r="AF120"/>
      <c r="AG120" s="1" t="s">
        <v>57</v>
      </c>
      <c r="AH120" s="1"/>
      <c r="AI120" s="37">
        <f t="shared" ca="1" si="145"/>
        <v>4432.1975270107005</v>
      </c>
      <c r="AJ120" s="37">
        <f t="shared" ca="1" si="145"/>
        <v>3067.7534749616984</v>
      </c>
      <c r="AK120" s="37">
        <f t="shared" ca="1" si="145"/>
        <v>1590.1507330977304</v>
      </c>
      <c r="AL120" s="37">
        <f t="shared" ca="1" si="145"/>
        <v>3.2249642270142274E-13</v>
      </c>
      <c r="AM120" s="37">
        <f t="shared" ca="1" si="145"/>
        <v>0</v>
      </c>
      <c r="AN120" s="37">
        <f t="shared" ca="1" si="145"/>
        <v>0</v>
      </c>
      <c r="AO120" s="37">
        <f t="shared" ca="1" si="145"/>
        <v>0</v>
      </c>
      <c r="AP120" s="37">
        <f t="shared" ca="1" si="145"/>
        <v>0</v>
      </c>
      <c r="AQ120" s="37">
        <f t="shared" ca="1" si="145"/>
        <v>0</v>
      </c>
      <c r="AR120" s="37">
        <f t="shared" ca="1" si="145"/>
        <v>0</v>
      </c>
      <c r="AS120" s="37">
        <f t="shared" ca="1" si="145"/>
        <v>0</v>
      </c>
      <c r="AT120" s="37">
        <f t="shared" ca="1" si="145"/>
        <v>0</v>
      </c>
      <c r="AU120" s="37">
        <f t="shared" ca="1" si="145"/>
        <v>0</v>
      </c>
      <c r="AV120" s="37">
        <f t="shared" ca="1" si="145"/>
        <v>0</v>
      </c>
      <c r="AW120" s="37">
        <f t="shared" ca="1" si="145"/>
        <v>0</v>
      </c>
      <c r="AX120" s="37">
        <f t="shared" ca="1" si="145"/>
        <v>0</v>
      </c>
      <c r="AY120" s="37">
        <f t="shared" ca="1" si="145"/>
        <v>0</v>
      </c>
      <c r="AZ120" s="37" t="e">
        <f t="shared" ca="1" si="145"/>
        <v>#N/A</v>
      </c>
      <c r="BA120" s="37" t="e">
        <f t="shared" ca="1" si="145"/>
        <v>#N/A</v>
      </c>
      <c r="BB120" s="37" t="e">
        <f t="shared" ca="1" si="145"/>
        <v>#N/A</v>
      </c>
    </row>
    <row r="121" spans="32:54" x14ac:dyDescent="0.25">
      <c r="AF121"/>
      <c r="AG121" s="1" t="s">
        <v>59</v>
      </c>
      <c r="AH121" s="1"/>
      <c r="AI121" s="37">
        <f t="shared" ca="1" si="145"/>
        <v>14264.48082656006</v>
      </c>
      <c r="AJ121" s="37">
        <f t="shared" ca="1" si="145"/>
        <v>15277.992018226592</v>
      </c>
      <c r="AK121" s="37">
        <f t="shared" ca="1" si="145"/>
        <v>16323.892815367126</v>
      </c>
      <c r="AL121" s="37">
        <f t="shared" ca="1" si="145"/>
        <v>17425.913415233481</v>
      </c>
      <c r="AM121" s="37">
        <f t="shared" ca="1" si="145"/>
        <v>18583.748136856302</v>
      </c>
      <c r="AN121" s="37">
        <f t="shared" ca="1" si="145"/>
        <v>19796.536497801266</v>
      </c>
      <c r="AO121" s="37">
        <f t="shared" ca="1" si="145"/>
        <v>21064.449166135379</v>
      </c>
      <c r="AP121" s="37">
        <f t="shared" ca="1" si="145"/>
        <v>22373.527186503808</v>
      </c>
      <c r="AQ121" s="37">
        <f t="shared" ca="1" si="145"/>
        <v>23741.557210230916</v>
      </c>
      <c r="AR121" s="37">
        <f t="shared" ca="1" si="145"/>
        <v>25170.397324065278</v>
      </c>
      <c r="AS121" s="37">
        <f t="shared" ca="1" si="145"/>
        <v>26663.076733458325</v>
      </c>
      <c r="AT121" s="37">
        <f t="shared" ca="1" si="145"/>
        <v>28246.562493392837</v>
      </c>
      <c r="AU121" s="37">
        <f t="shared" ca="1" si="145"/>
        <v>30082.548103524994</v>
      </c>
      <c r="AV121" s="37">
        <f t="shared" ca="1" si="145"/>
        <v>32003.804053977321</v>
      </c>
      <c r="AW121" s="37">
        <f t="shared" ca="1" si="145"/>
        <v>34010.761401604119</v>
      </c>
      <c r="AX121" s="37">
        <f t="shared" ca="1" si="145"/>
        <v>36103.346859173173</v>
      </c>
      <c r="AY121" s="37">
        <f t="shared" ca="1" si="145"/>
        <v>38282.018693291102</v>
      </c>
      <c r="AZ121" s="37" t="e">
        <f t="shared" ca="1" si="145"/>
        <v>#N/A</v>
      </c>
      <c r="BA121" s="37" t="e">
        <f t="shared" ca="1" si="145"/>
        <v>#N/A</v>
      </c>
      <c r="BB121" s="37" t="e">
        <f t="shared" ca="1" si="145"/>
        <v>#N/A</v>
      </c>
    </row>
    <row r="122" spans="32:54" x14ac:dyDescent="0.25">
      <c r="AF122"/>
      <c r="AG122" s="12" t="s">
        <v>60</v>
      </c>
      <c r="AH122" s="12"/>
      <c r="AI122" s="45">
        <f ca="1">SUM(AI117:AI121)</f>
        <v>341492.33080395358</v>
      </c>
      <c r="AJ122" s="45">
        <f ca="1">SUM(AJ117:AJ121)</f>
        <v>368082.85022732767</v>
      </c>
      <c r="AK122" s="45">
        <f t="shared" ref="AK122:BB122" ca="1" si="146">SUM(AK117:AK121)</f>
        <v>395619.52267603308</v>
      </c>
      <c r="AL122" s="45">
        <f t="shared" ca="1" si="146"/>
        <v>424679.82087930199</v>
      </c>
      <c r="AM122" s="45">
        <f t="shared" ca="1" si="146"/>
        <v>457559.92052199697</v>
      </c>
      <c r="AN122" s="45">
        <f t="shared" ca="1" si="146"/>
        <v>492224.53342896426</v>
      </c>
      <c r="AO122" s="45">
        <f t="shared" ca="1" si="146"/>
        <v>528590.07252905506</v>
      </c>
      <c r="AP122" s="45">
        <f t="shared" ca="1" si="146"/>
        <v>566314.57391939661</v>
      </c>
      <c r="AQ122" s="45">
        <f t="shared" ca="1" si="146"/>
        <v>605914.39991558669</v>
      </c>
      <c r="AR122" s="45">
        <f t="shared" ca="1" si="146"/>
        <v>647520.87770744704</v>
      </c>
      <c r="AS122" s="45">
        <f t="shared" ca="1" si="146"/>
        <v>691522.55249044881</v>
      </c>
      <c r="AT122" s="45">
        <f t="shared" ca="1" si="146"/>
        <v>737920.83509615366</v>
      </c>
      <c r="AU122" s="45">
        <f t="shared" ca="1" si="146"/>
        <v>788021.38115843257</v>
      </c>
      <c r="AV122" s="45">
        <f t="shared" ca="1" si="146"/>
        <v>840489.02686264692</v>
      </c>
      <c r="AW122" s="45">
        <f t="shared" ca="1" si="146"/>
        <v>895608.67904707079</v>
      </c>
      <c r="AX122" s="45">
        <f t="shared" ca="1" si="146"/>
        <v>953518.33193543903</v>
      </c>
      <c r="AY122" s="45">
        <f t="shared" ca="1" si="146"/>
        <v>1013924.6021411595</v>
      </c>
      <c r="AZ122" s="45" t="e">
        <f t="shared" ca="1" si="146"/>
        <v>#N/A</v>
      </c>
      <c r="BA122" s="45" t="e">
        <f t="shared" ca="1" si="146"/>
        <v>#N/A</v>
      </c>
      <c r="BB122" s="45" t="e">
        <f t="shared" ca="1" si="146"/>
        <v>#N/A</v>
      </c>
    </row>
    <row r="123" spans="32:54" x14ac:dyDescent="0.25">
      <c r="AF123"/>
    </row>
  </sheetData>
  <conditionalFormatting sqref="AJ77">
    <cfRule type="cellIs" dxfId="30" priority="10" operator="equal">
      <formula>"Check"</formula>
    </cfRule>
  </conditionalFormatting>
  <conditionalFormatting sqref="AK77:BB77">
    <cfRule type="cellIs" dxfId="29" priority="14" operator="equal">
      <formula>"Check"</formula>
    </cfRule>
  </conditionalFormatting>
  <conditionalFormatting sqref="AK86:BB86">
    <cfRule type="cellIs" dxfId="28" priority="13" operator="equal">
      <formula>"Check"</formula>
    </cfRule>
  </conditionalFormatting>
  <conditionalFormatting sqref="AK95:BB95">
    <cfRule type="cellIs" dxfId="27" priority="12" operator="equal">
      <formula>"Check"</formula>
    </cfRule>
  </conditionalFormatting>
  <conditionalFormatting sqref="AK104:BB104">
    <cfRule type="cellIs" dxfId="26" priority="11" operator="equal">
      <formula>"Check"</formula>
    </cfRule>
  </conditionalFormatting>
  <conditionalFormatting sqref="AI77">
    <cfRule type="cellIs" dxfId="25" priority="9" operator="equal">
      <formula>"Check"</formula>
    </cfRule>
  </conditionalFormatting>
  <conditionalFormatting sqref="AI86:AJ86">
    <cfRule type="cellIs" dxfId="24" priority="8" operator="equal">
      <formula>"Check"</formula>
    </cfRule>
  </conditionalFormatting>
  <conditionalFormatting sqref="K11:AE11 K21:AE21 K31:AE31 K41:AE41 K51:AE51 K61:AE61">
    <cfRule type="expression" dxfId="23" priority="7">
      <formula>K11&gt;1</formula>
    </cfRule>
  </conditionalFormatting>
  <conditionalFormatting sqref="J11">
    <cfRule type="expression" dxfId="22" priority="6">
      <formula>J11&gt;1</formula>
    </cfRule>
  </conditionalFormatting>
  <conditionalFormatting sqref="J21">
    <cfRule type="expression" dxfId="21" priority="5">
      <formula>J21&gt;1</formula>
    </cfRule>
  </conditionalFormatting>
  <conditionalFormatting sqref="J31">
    <cfRule type="expression" dxfId="20" priority="4">
      <formula>J31&gt;1</formula>
    </cfRule>
  </conditionalFormatting>
  <conditionalFormatting sqref="J41">
    <cfRule type="expression" dxfId="19" priority="3">
      <formula>J41&gt;1</formula>
    </cfRule>
  </conditionalFormatting>
  <conditionalFormatting sqref="J51">
    <cfRule type="expression" dxfId="18" priority="2">
      <formula>J51&gt;1</formula>
    </cfRule>
  </conditionalFormatting>
  <conditionalFormatting sqref="J61">
    <cfRule type="expression" dxfId="17" priority="1">
      <formula>J61&gt;1</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G16" zoomScale="70" zoomScaleNormal="70" workbookViewId="0">
      <selection activeCell="G24" sqref="G24"/>
    </sheetView>
  </sheetViews>
  <sheetFormatPr defaultColWidth="19.5703125" defaultRowHeight="15" outlineLevelCol="1" x14ac:dyDescent="0.25"/>
  <cols>
    <col min="1" max="1" width="11" style="6" bestFit="1" customWidth="1"/>
    <col min="2" max="4" width="12.42578125" customWidth="1"/>
    <col min="5" max="5" width="22.5703125" customWidth="1"/>
    <col min="6" max="6" width="12.42578125" customWidth="1"/>
    <col min="7" max="7" width="15.28515625" bestFit="1" customWidth="1" outlineLevel="1"/>
    <col min="8" max="8" width="12.42578125" customWidth="1"/>
    <col min="9" max="9" width="21.140625" bestFit="1" customWidth="1"/>
    <col min="10" max="10" width="21.140625" customWidth="1"/>
    <col min="11" max="11" width="17.85546875" customWidth="1"/>
    <col min="12" max="31" width="12.42578125" customWidth="1"/>
    <col min="32" max="32" width="13.7109375" style="6" customWidth="1"/>
    <col min="33" max="33" width="16.28515625" customWidth="1"/>
  </cols>
  <sheetData>
    <row r="1" spans="1:54" x14ac:dyDescent="0.25">
      <c r="A1" s="6" t="s">
        <v>25</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E3" s="35"/>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127"/>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E4" s="6"/>
      <c r="AF4" s="6" t="str">
        <f>A4</f>
        <v>Urban</v>
      </c>
      <c r="AG4" s="38"/>
      <c r="AH4" s="161">
        <f>AI4-1</f>
        <v>2018</v>
      </c>
      <c r="AI4" s="36">
        <f>Yr_Start</f>
        <v>2019</v>
      </c>
      <c r="AJ4" s="36">
        <f>AI4+1</f>
        <v>2020</v>
      </c>
      <c r="AK4" s="36">
        <f t="shared" ref="AK4:BB4" si="3">AJ4+1</f>
        <v>2021</v>
      </c>
      <c r="AL4" s="36">
        <f t="shared" si="3"/>
        <v>2022</v>
      </c>
      <c r="AM4" s="36">
        <f t="shared" si="3"/>
        <v>2023</v>
      </c>
      <c r="AN4" s="36">
        <f t="shared" si="3"/>
        <v>2024</v>
      </c>
      <c r="AO4" s="36">
        <f t="shared" si="3"/>
        <v>2025</v>
      </c>
      <c r="AP4" s="36">
        <f t="shared" si="3"/>
        <v>2026</v>
      </c>
      <c r="AQ4" s="36">
        <f t="shared" si="3"/>
        <v>2027</v>
      </c>
      <c r="AR4" s="36">
        <f t="shared" si="3"/>
        <v>2028</v>
      </c>
      <c r="AS4" s="36">
        <f t="shared" si="3"/>
        <v>2029</v>
      </c>
      <c r="AT4" s="36">
        <f t="shared" si="3"/>
        <v>2030</v>
      </c>
      <c r="AU4" s="36">
        <f t="shared" si="3"/>
        <v>2031</v>
      </c>
      <c r="AV4" s="36">
        <f t="shared" si="3"/>
        <v>2032</v>
      </c>
      <c r="AW4" s="36">
        <f t="shared" si="3"/>
        <v>2033</v>
      </c>
      <c r="AX4" s="36">
        <f t="shared" si="3"/>
        <v>2034</v>
      </c>
      <c r="AY4" s="36">
        <f t="shared" si="3"/>
        <v>2035</v>
      </c>
      <c r="AZ4" s="36">
        <f t="shared" si="3"/>
        <v>2036</v>
      </c>
      <c r="BA4" s="36">
        <f t="shared" si="3"/>
        <v>2037</v>
      </c>
      <c r="BB4" s="36">
        <f t="shared" si="3"/>
        <v>2038</v>
      </c>
    </row>
    <row r="5" spans="1:54" x14ac:dyDescent="0.25">
      <c r="B5" s="1" t="s">
        <v>52</v>
      </c>
      <c r="C5" s="14">
        <f ca="1">Condom_Base!C5</f>
        <v>7.8581999999999992E-3</v>
      </c>
      <c r="D5" s="14">
        <f ca="1">Condom_Base!D5</f>
        <v>9.5756000000000001E-3</v>
      </c>
      <c r="E5" s="14">
        <f ca="1">IF('User Settings'!$N$7="On",($D5-$C5)/($D$4-$C$4),0)</f>
        <v>3.4348000000000017E-4</v>
      </c>
      <c r="F5" s="14">
        <f ca="1">Condom_Base!F5</f>
        <v>1.0606040000000001E-2</v>
      </c>
      <c r="G5" s="1" t="str">
        <f>"Shift_UrbQ1"&amp;IF(Dashboard!$Q$4="Yes",$A$1,"")</f>
        <v>Shift_UrbQ1</v>
      </c>
      <c r="H5" s="14">
        <f ca="1">Condom_Base!H5*(1-INDIRECT($G5))</f>
        <v>5.8182400000000006E-3</v>
      </c>
      <c r="I5" s="14">
        <f t="shared" ref="I5:I10" ca="1" si="4">($H5-$F5)/($H$4-$F$4)</f>
        <v>-1.5959333333333333E-3</v>
      </c>
      <c r="J5" s="14">
        <f ca="1">K5-E5</f>
        <v>1.026256E-2</v>
      </c>
      <c r="K5" s="14">
        <f ca="1">MAX(0,MIN(1,D5+(K$4-D$4)*E5))</f>
        <v>1.0606040000000001E-2</v>
      </c>
      <c r="L5" s="15">
        <f ca="1">MAX(0,MIN(1,K5+$I5))</f>
        <v>9.0101066666666667E-3</v>
      </c>
      <c r="M5" s="15">
        <f t="shared" ref="M5:AD5" ca="1" si="5">MAX(0,MIN(1,L5+$I5))</f>
        <v>7.4141733333333336E-3</v>
      </c>
      <c r="N5" s="15">
        <f ca="1">MAX(0,MIN(1,M5+$I5))</f>
        <v>5.8182400000000006E-3</v>
      </c>
      <c r="O5" s="15">
        <f t="shared" ca="1" si="5"/>
        <v>4.2223066666666675E-3</v>
      </c>
      <c r="P5" s="15">
        <f t="shared" ca="1" si="5"/>
        <v>2.6263733333333344E-3</v>
      </c>
      <c r="Q5" s="15">
        <f t="shared" ca="1" si="5"/>
        <v>1.0304400000000012E-3</v>
      </c>
      <c r="R5" s="15">
        <f t="shared" ca="1" si="5"/>
        <v>0</v>
      </c>
      <c r="S5" s="15">
        <f t="shared" ca="1" si="5"/>
        <v>0</v>
      </c>
      <c r="T5" s="15">
        <f t="shared" ca="1" si="5"/>
        <v>0</v>
      </c>
      <c r="U5" s="15">
        <f t="shared" ca="1" si="5"/>
        <v>0</v>
      </c>
      <c r="V5" s="15">
        <f t="shared" ca="1" si="5"/>
        <v>0</v>
      </c>
      <c r="W5" s="15">
        <f t="shared" ca="1" si="5"/>
        <v>0</v>
      </c>
      <c r="X5" s="15">
        <f t="shared" ca="1" si="5"/>
        <v>0</v>
      </c>
      <c r="Y5" s="15">
        <f t="shared" ca="1" si="5"/>
        <v>0</v>
      </c>
      <c r="Z5" s="15">
        <f t="shared" ca="1" si="5"/>
        <v>0</v>
      </c>
      <c r="AA5" s="15">
        <f t="shared" ca="1" si="5"/>
        <v>0</v>
      </c>
      <c r="AB5" s="15">
        <f t="shared" ca="1" si="5"/>
        <v>0</v>
      </c>
      <c r="AC5" s="15">
        <f t="shared" ca="1" si="5"/>
        <v>0</v>
      </c>
      <c r="AD5" s="15">
        <f t="shared" ca="1" si="5"/>
        <v>0</v>
      </c>
      <c r="AE5" s="5"/>
      <c r="AG5" s="1" t="s">
        <v>52</v>
      </c>
      <c r="AH5" s="37">
        <f ca="1">J5*AH$11</f>
        <v>6586.2118560693225</v>
      </c>
      <c r="AI5" s="37">
        <f t="shared" ref="AI5:AI10" ca="1" si="6">K5*AI$11</f>
        <v>7068.3997450558709</v>
      </c>
      <c r="AJ5" s="37">
        <f t="shared" ref="AJ5:AS10" ca="1" si="7">L5*AJ$11</f>
        <v>6234.3385560966071</v>
      </c>
      <c r="AK5" s="37">
        <f t="shared" ca="1" si="7"/>
        <v>5318.2777920771814</v>
      </c>
      <c r="AL5" s="37">
        <f t="shared" ca="1" si="7"/>
        <v>4326.5952467998131</v>
      </c>
      <c r="AM5" s="37">
        <f t="shared" ca="1" si="7"/>
        <v>3254.4603894660313</v>
      </c>
      <c r="AN5" s="37">
        <f t="shared" ca="1" si="7"/>
        <v>2097.5901182074231</v>
      </c>
      <c r="AO5" s="37">
        <f t="shared" ca="1" si="7"/>
        <v>852.41406138257048</v>
      </c>
      <c r="AP5" s="37">
        <f t="shared" ca="1" si="7"/>
        <v>0</v>
      </c>
      <c r="AQ5" s="37">
        <f t="shared" ca="1" si="7"/>
        <v>0</v>
      </c>
      <c r="AR5" s="37">
        <f t="shared" ca="1" si="7"/>
        <v>0</v>
      </c>
      <c r="AS5" s="37">
        <f t="shared" ca="1" si="7"/>
        <v>0</v>
      </c>
      <c r="AT5" s="37">
        <f t="shared" ref="AT5:BB10" ca="1" si="8">V5*AT$11</f>
        <v>0</v>
      </c>
      <c r="AU5" s="37">
        <f t="shared" ca="1" si="8"/>
        <v>0</v>
      </c>
      <c r="AV5" s="37">
        <f t="shared" ca="1" si="8"/>
        <v>0</v>
      </c>
      <c r="AW5" s="37">
        <f t="shared" ca="1" si="8"/>
        <v>0</v>
      </c>
      <c r="AX5" s="37">
        <f t="shared" ca="1" si="8"/>
        <v>0</v>
      </c>
      <c r="AY5" s="37">
        <f t="shared" ca="1" si="8"/>
        <v>0</v>
      </c>
      <c r="AZ5" s="37" t="e">
        <f t="shared" ca="1" si="8"/>
        <v>#N/A</v>
      </c>
      <c r="BA5" s="37" t="e">
        <f t="shared" ca="1" si="8"/>
        <v>#N/A</v>
      </c>
      <c r="BB5" s="37" t="e">
        <f t="shared" ca="1" si="8"/>
        <v>#N/A</v>
      </c>
    </row>
    <row r="6" spans="1:54" x14ac:dyDescent="0.25">
      <c r="B6" s="1" t="s">
        <v>54</v>
      </c>
      <c r="C6" s="14">
        <f ca="1">Condom_Base!C6</f>
        <v>0</v>
      </c>
      <c r="D6" s="14">
        <f ca="1">Condom_Base!D6</f>
        <v>3.2417000000000001E-3</v>
      </c>
      <c r="E6" s="14">
        <f ca="1">IF('User Settings'!$N$7="On",($D6-$C6)/($D$4-$C$4),0)</f>
        <v>6.4834000000000007E-4</v>
      </c>
      <c r="F6" s="14">
        <f ca="1">Condom_Base!F6</f>
        <v>5.1867200000000006E-3</v>
      </c>
      <c r="G6" s="1" t="str">
        <f>"Shift_UrbQ1"&amp;IF(Dashboard!$Q$4="Yes",$A$1,"")</f>
        <v>Shift_UrbQ1</v>
      </c>
      <c r="H6" s="14">
        <f ca="1">Condom_Base!H6*(1-INDIRECT($G6))</f>
        <v>3.5658700000000005E-3</v>
      </c>
      <c r="I6" s="14">
        <f t="shared" ca="1" si="4"/>
        <v>-5.4028333333333339E-4</v>
      </c>
      <c r="J6" s="14">
        <f t="shared" ref="J6:J10" ca="1" si="9">K6-E6</f>
        <v>4.5383800000000007E-3</v>
      </c>
      <c r="K6" s="14">
        <f t="shared" ref="K6:K10" ca="1" si="10">MAX(0,MIN(1,D6+(K$4-D$4)*E6))</f>
        <v>5.1867200000000006E-3</v>
      </c>
      <c r="L6" s="15">
        <f t="shared" ref="L6:AD10" ca="1" si="11">MAX(0,MIN(1,K6+$I6))</f>
        <v>4.6464366666666675E-3</v>
      </c>
      <c r="M6" s="15">
        <f t="shared" ca="1" si="11"/>
        <v>4.1061533333333344E-3</v>
      </c>
      <c r="N6" s="15">
        <f t="shared" ca="1" si="11"/>
        <v>3.5658700000000009E-3</v>
      </c>
      <c r="O6" s="15">
        <f t="shared" ca="1" si="11"/>
        <v>3.0255866666666674E-3</v>
      </c>
      <c r="P6" s="15">
        <f t="shared" ca="1" si="11"/>
        <v>2.4853033333333339E-3</v>
      </c>
      <c r="Q6" s="15">
        <f t="shared" ca="1" si="11"/>
        <v>1.9450200000000004E-3</v>
      </c>
      <c r="R6" s="15">
        <f t="shared" ca="1" si="11"/>
        <v>1.4047366666666669E-3</v>
      </c>
      <c r="S6" s="15">
        <f t="shared" ca="1" si="11"/>
        <v>8.6445333333333354E-4</v>
      </c>
      <c r="T6" s="15">
        <f t="shared" ca="1" si="11"/>
        <v>3.2417000000000014E-4</v>
      </c>
      <c r="U6" s="15">
        <f t="shared" ca="1" si="11"/>
        <v>0</v>
      </c>
      <c r="V6" s="15">
        <f t="shared" ca="1" si="11"/>
        <v>0</v>
      </c>
      <c r="W6" s="15">
        <f t="shared" ca="1" si="11"/>
        <v>0</v>
      </c>
      <c r="X6" s="15">
        <f t="shared" ca="1" si="11"/>
        <v>0</v>
      </c>
      <c r="Y6" s="15">
        <f t="shared" ca="1" si="11"/>
        <v>0</v>
      </c>
      <c r="Z6" s="15">
        <f t="shared" ca="1" si="11"/>
        <v>0</v>
      </c>
      <c r="AA6" s="15">
        <f t="shared" ca="1" si="11"/>
        <v>0</v>
      </c>
      <c r="AB6" s="15">
        <f t="shared" ca="1" si="11"/>
        <v>0</v>
      </c>
      <c r="AC6" s="15">
        <f t="shared" ca="1" si="11"/>
        <v>0</v>
      </c>
      <c r="AD6" s="15">
        <f t="shared" ca="1" si="11"/>
        <v>0</v>
      </c>
      <c r="AE6" s="5"/>
      <c r="AG6" s="1" t="s">
        <v>54</v>
      </c>
      <c r="AH6" s="37">
        <f t="shared" ref="AH6:AH10" ca="1" si="12">J6*AH$11</f>
        <v>2912.599990971833</v>
      </c>
      <c r="AI6" s="37">
        <f t="shared" ca="1" si="6"/>
        <v>3456.6916894218944</v>
      </c>
      <c r="AJ6" s="37">
        <f t="shared" ca="1" si="7"/>
        <v>3214.9962626555293</v>
      </c>
      <c r="AK6" s="37">
        <f t="shared" ca="1" si="7"/>
        <v>2945.3943280973153</v>
      </c>
      <c r="AL6" s="37">
        <f t="shared" ca="1" si="7"/>
        <v>2651.6740788805641</v>
      </c>
      <c r="AM6" s="37">
        <f t="shared" ca="1" si="7"/>
        <v>2332.0551392674538</v>
      </c>
      <c r="AN6" s="37">
        <f t="shared" ca="1" si="7"/>
        <v>1984.9225723486766</v>
      </c>
      <c r="AO6" s="37">
        <f t="shared" ca="1" si="7"/>
        <v>1608.9848973936625</v>
      </c>
      <c r="AP6" s="37">
        <f t="shared" ca="1" si="7"/>
        <v>1202.3109514469807</v>
      </c>
      <c r="AQ6" s="37">
        <f t="shared" ca="1" si="7"/>
        <v>765.312735893742</v>
      </c>
      <c r="AR6" s="37">
        <f t="shared" ca="1" si="7"/>
        <v>296.77577296589919</v>
      </c>
      <c r="AS6" s="37">
        <f t="shared" ca="1" si="7"/>
        <v>0</v>
      </c>
      <c r="AT6" s="37">
        <f t="shared" ca="1" si="8"/>
        <v>0</v>
      </c>
      <c r="AU6" s="37">
        <f t="shared" ca="1" si="8"/>
        <v>0</v>
      </c>
      <c r="AV6" s="37">
        <f t="shared" ca="1" si="8"/>
        <v>0</v>
      </c>
      <c r="AW6" s="37">
        <f t="shared" ca="1" si="8"/>
        <v>0</v>
      </c>
      <c r="AX6" s="37">
        <f t="shared" ca="1" si="8"/>
        <v>0</v>
      </c>
      <c r="AY6" s="37">
        <f t="shared" ca="1" si="8"/>
        <v>0</v>
      </c>
      <c r="AZ6" s="37" t="e">
        <f t="shared" ca="1" si="8"/>
        <v>#N/A</v>
      </c>
      <c r="BA6" s="37" t="e">
        <f t="shared" ca="1" si="8"/>
        <v>#N/A</v>
      </c>
      <c r="BB6" s="37" t="e">
        <f t="shared" ca="1" si="8"/>
        <v>#N/A</v>
      </c>
    </row>
    <row r="7" spans="1:54" x14ac:dyDescent="0.25">
      <c r="B7" s="1" t="s">
        <v>170</v>
      </c>
      <c r="C7" s="14">
        <f ca="1">Condom_Base!C7</f>
        <v>0</v>
      </c>
      <c r="D7" s="14">
        <f ca="1">Condom_Base!D7</f>
        <v>0</v>
      </c>
      <c r="E7" s="14">
        <f ca="1">IF('User Settings'!$N$7="On",($D7-$C7)/($D$4-$C$4),0)</f>
        <v>0</v>
      </c>
      <c r="F7" s="14">
        <f ca="1">Condom_Base!F7</f>
        <v>0</v>
      </c>
      <c r="G7" s="1" t="str">
        <f>"Shift_UrbQ1"&amp;IF(Dashboard!$Q$4="Yes",$A$1,"")</f>
        <v>Shift_UrbQ1</v>
      </c>
      <c r="H7" s="14">
        <f ca="1">Condom_Base!H7*(1-INDIRECT($G7))</f>
        <v>0</v>
      </c>
      <c r="I7" s="14">
        <f t="shared" ca="1" si="4"/>
        <v>0</v>
      </c>
      <c r="J7" s="14">
        <f t="shared" ca="1" si="9"/>
        <v>0</v>
      </c>
      <c r="K7" s="14">
        <f t="shared" ca="1" si="10"/>
        <v>0</v>
      </c>
      <c r="L7" s="15">
        <f t="shared" ca="1" si="11"/>
        <v>0</v>
      </c>
      <c r="M7" s="15">
        <f t="shared" ca="1" si="11"/>
        <v>0</v>
      </c>
      <c r="N7" s="15">
        <f t="shared" ca="1" si="11"/>
        <v>0</v>
      </c>
      <c r="O7" s="15">
        <f t="shared" ca="1" si="11"/>
        <v>0</v>
      </c>
      <c r="P7" s="15">
        <f t="shared" ca="1" si="11"/>
        <v>0</v>
      </c>
      <c r="Q7" s="15">
        <f t="shared" ca="1" si="11"/>
        <v>0</v>
      </c>
      <c r="R7" s="15">
        <f t="shared" ca="1" si="11"/>
        <v>0</v>
      </c>
      <c r="S7" s="15">
        <f t="shared" ca="1" si="11"/>
        <v>0</v>
      </c>
      <c r="T7" s="15">
        <f t="shared" ca="1" si="11"/>
        <v>0</v>
      </c>
      <c r="U7" s="15">
        <f t="shared" ca="1" si="11"/>
        <v>0</v>
      </c>
      <c r="V7" s="15">
        <f t="shared" ca="1" si="11"/>
        <v>0</v>
      </c>
      <c r="W7" s="15">
        <f t="shared" ca="1" si="11"/>
        <v>0</v>
      </c>
      <c r="X7" s="15">
        <f t="shared" ca="1" si="11"/>
        <v>0</v>
      </c>
      <c r="Y7" s="15">
        <f t="shared" ca="1" si="11"/>
        <v>0</v>
      </c>
      <c r="Z7" s="15">
        <f t="shared" ca="1" si="11"/>
        <v>0</v>
      </c>
      <c r="AA7" s="15">
        <f t="shared" ca="1" si="11"/>
        <v>0</v>
      </c>
      <c r="AB7" s="15">
        <f t="shared" ca="1" si="11"/>
        <v>0</v>
      </c>
      <c r="AC7" s="15">
        <f t="shared" ca="1" si="11"/>
        <v>0</v>
      </c>
      <c r="AD7" s="15">
        <f t="shared" ca="1" si="11"/>
        <v>0</v>
      </c>
      <c r="AE7" s="5"/>
      <c r="AG7" s="1" t="s">
        <v>170</v>
      </c>
      <c r="AH7" s="37">
        <f t="shared" ca="1" si="12"/>
        <v>0</v>
      </c>
      <c r="AI7" s="37">
        <f t="shared" ca="1" si="6"/>
        <v>0</v>
      </c>
      <c r="AJ7" s="37">
        <f t="shared" ca="1" si="7"/>
        <v>0</v>
      </c>
      <c r="AK7" s="37">
        <f t="shared" ca="1" si="7"/>
        <v>0</v>
      </c>
      <c r="AL7" s="37">
        <f t="shared" ca="1" si="7"/>
        <v>0</v>
      </c>
      <c r="AM7" s="37">
        <f t="shared" ca="1" si="7"/>
        <v>0</v>
      </c>
      <c r="AN7" s="37">
        <f t="shared" ca="1" si="7"/>
        <v>0</v>
      </c>
      <c r="AO7" s="37">
        <f t="shared" ca="1" si="7"/>
        <v>0</v>
      </c>
      <c r="AP7" s="37">
        <f t="shared" ca="1" si="7"/>
        <v>0</v>
      </c>
      <c r="AQ7" s="37">
        <f t="shared" ca="1" si="7"/>
        <v>0</v>
      </c>
      <c r="AR7" s="37">
        <f t="shared" ca="1" si="7"/>
        <v>0</v>
      </c>
      <c r="AS7" s="37">
        <f t="shared" ca="1" si="7"/>
        <v>0</v>
      </c>
      <c r="AT7" s="37">
        <f t="shared" ca="1" si="8"/>
        <v>0</v>
      </c>
      <c r="AU7" s="37">
        <f t="shared" ca="1" si="8"/>
        <v>0</v>
      </c>
      <c r="AV7" s="37">
        <f t="shared" ca="1" si="8"/>
        <v>0</v>
      </c>
      <c r="AW7" s="37">
        <f t="shared" ca="1" si="8"/>
        <v>0</v>
      </c>
      <c r="AX7" s="37">
        <f t="shared" ca="1" si="8"/>
        <v>0</v>
      </c>
      <c r="AY7" s="37">
        <f t="shared" ca="1" si="8"/>
        <v>0</v>
      </c>
      <c r="AZ7" s="37" t="e">
        <f t="shared" ca="1" si="8"/>
        <v>#N/A</v>
      </c>
      <c r="BA7" s="37" t="e">
        <f t="shared" ca="1" si="8"/>
        <v>#N/A</v>
      </c>
      <c r="BB7" s="37" t="e">
        <f t="shared" ca="1" si="8"/>
        <v>#N/A</v>
      </c>
    </row>
    <row r="8" spans="1:54" x14ac:dyDescent="0.25">
      <c r="B8" s="1" t="s">
        <v>59</v>
      </c>
      <c r="C8" s="14">
        <f ca="1">Condom_Base!C8</f>
        <v>3.3749800000000003E-2</v>
      </c>
      <c r="D8" s="14">
        <f ca="1">Condom_Base!D8</f>
        <v>3.7331999999999997E-2</v>
      </c>
      <c r="E8" s="14">
        <f ca="1">IF('User Settings'!$N$7="On",($D8-$C8)/($D$4-$C$4),0)</f>
        <v>7.1643999999999874E-4</v>
      </c>
      <c r="F8" s="14">
        <f ca="1">Condom_Base!F8</f>
        <v>3.9481319999999993E-2</v>
      </c>
      <c r="H8" s="14">
        <f ca="1">H11-SUM($H5:$H7,$H9:$H10)</f>
        <v>5.2661449999999985E-2</v>
      </c>
      <c r="I8" s="14">
        <f t="shared" ca="1" si="4"/>
        <v>4.3933766666666638E-3</v>
      </c>
      <c r="J8" s="14">
        <f t="shared" ca="1" si="9"/>
        <v>3.8764879999999995E-2</v>
      </c>
      <c r="K8" s="14">
        <f t="shared" ca="1" si="10"/>
        <v>3.9481319999999993E-2</v>
      </c>
      <c r="L8" s="15">
        <f t="shared" ca="1" si="11"/>
        <v>4.3874696666666657E-2</v>
      </c>
      <c r="M8" s="15">
        <f t="shared" ca="1" si="11"/>
        <v>4.8268073333333321E-2</v>
      </c>
      <c r="N8" s="15">
        <f t="shared" ca="1" si="11"/>
        <v>5.2661449999999985E-2</v>
      </c>
      <c r="O8" s="15">
        <f t="shared" ca="1" si="11"/>
        <v>5.7054826666666648E-2</v>
      </c>
      <c r="P8" s="15">
        <f t="shared" ca="1" si="11"/>
        <v>6.1448203333333312E-2</v>
      </c>
      <c r="Q8" s="15">
        <f t="shared" ca="1" si="11"/>
        <v>6.5841579999999983E-2</v>
      </c>
      <c r="R8" s="15">
        <f ca="1">MAX(0,MIN(1,Q8+$I8))</f>
        <v>7.0234956666666654E-2</v>
      </c>
      <c r="S8" s="15">
        <f t="shared" ca="1" si="11"/>
        <v>7.4628333333333324E-2</v>
      </c>
      <c r="T8" s="15">
        <f t="shared" ca="1" si="11"/>
        <v>7.9021709999999995E-2</v>
      </c>
      <c r="U8" s="15">
        <f t="shared" ca="1" si="11"/>
        <v>8.3415086666666666E-2</v>
      </c>
      <c r="V8" s="15">
        <f t="shared" ca="1" si="11"/>
        <v>8.7808463333333336E-2</v>
      </c>
      <c r="W8" s="15">
        <f t="shared" ca="1" si="11"/>
        <v>9.2201840000000007E-2</v>
      </c>
      <c r="X8" s="15">
        <f t="shared" ca="1" si="11"/>
        <v>9.6595216666666678E-2</v>
      </c>
      <c r="Y8" s="15">
        <f t="shared" ca="1" si="11"/>
        <v>0.10098859333333335</v>
      </c>
      <c r="Z8" s="15">
        <f t="shared" ca="1" si="11"/>
        <v>0.10538197000000002</v>
      </c>
      <c r="AA8" s="15">
        <f t="shared" ca="1" si="11"/>
        <v>0.10977534666666669</v>
      </c>
      <c r="AB8" s="15">
        <f t="shared" ca="1" si="11"/>
        <v>0.11416872333333336</v>
      </c>
      <c r="AC8" s="15">
        <f t="shared" ca="1" si="11"/>
        <v>0.11856210000000003</v>
      </c>
      <c r="AD8" s="15">
        <f t="shared" ca="1" si="11"/>
        <v>0.1229554766666667</v>
      </c>
      <c r="AE8" s="5"/>
      <c r="AG8" s="1" t="s">
        <v>59</v>
      </c>
      <c r="AH8" s="37">
        <f t="shared" ca="1" si="12"/>
        <v>24878.169994144198</v>
      </c>
      <c r="AI8" s="37">
        <f t="shared" ca="1" si="6"/>
        <v>26312.342044954497</v>
      </c>
      <c r="AJ8" s="37">
        <f t="shared" ca="1" si="7"/>
        <v>30358.099319509711</v>
      </c>
      <c r="AK8" s="37">
        <f t="shared" ca="1" si="7"/>
        <v>34623.283127319126</v>
      </c>
      <c r="AL8" s="37">
        <f t="shared" ca="1" si="7"/>
        <v>39160.429830943023</v>
      </c>
      <c r="AM8" s="37">
        <f t="shared" ca="1" si="7"/>
        <v>43976.595750470551</v>
      </c>
      <c r="AN8" s="37">
        <f t="shared" ca="1" si="7"/>
        <v>49076.474565789198</v>
      </c>
      <c r="AO8" s="37">
        <f t="shared" ca="1" si="7"/>
        <v>54466.333426153236</v>
      </c>
      <c r="AP8" s="37">
        <f t="shared" ca="1" si="7"/>
        <v>60113.941337572709</v>
      </c>
      <c r="AQ8" s="37">
        <f t="shared" ca="1" si="7"/>
        <v>66069.516717914346</v>
      </c>
      <c r="AR8" s="37">
        <f t="shared" ca="1" si="7"/>
        <v>72343.921603902636</v>
      </c>
      <c r="AS8" s="37">
        <f t="shared" ca="1" si="7"/>
        <v>78951.601275165827</v>
      </c>
      <c r="AT8" s="37">
        <f t="shared" ca="1" si="8"/>
        <v>85905.235705360043</v>
      </c>
      <c r="AU8" s="37">
        <f t="shared" ca="1" si="8"/>
        <v>93161.205531170475</v>
      </c>
      <c r="AV8" s="37">
        <f t="shared" ca="1" si="8"/>
        <v>100785.65903554436</v>
      </c>
      <c r="AW8" s="37">
        <f t="shared" ca="1" si="8"/>
        <v>108784.04576623629</v>
      </c>
      <c r="AX8" s="37">
        <f t="shared" ca="1" si="8"/>
        <v>117159.80748908574</v>
      </c>
      <c r="AY8" s="37">
        <f t="shared" ca="1" si="8"/>
        <v>125917.72435642086</v>
      </c>
      <c r="AZ8" s="37" t="e">
        <f t="shared" ca="1" si="8"/>
        <v>#N/A</v>
      </c>
      <c r="BA8" s="37" t="e">
        <f t="shared" ca="1" si="8"/>
        <v>#N/A</v>
      </c>
      <c r="BB8" s="37" t="e">
        <f t="shared" ca="1" si="8"/>
        <v>#N/A</v>
      </c>
    </row>
    <row r="9" spans="1:54" x14ac:dyDescent="0.25">
      <c r="B9" s="1" t="s">
        <v>171</v>
      </c>
      <c r="C9" s="14">
        <f ca="1">Condom_Base!C9</f>
        <v>3.03095E-2</v>
      </c>
      <c r="D9" s="14">
        <f ca="1">Condom_Base!D9</f>
        <v>1.35592E-2</v>
      </c>
      <c r="E9" s="14">
        <f ca="1">IF('User Settings'!$N$7="On",($D9-$C9)/($D$4-$C$4),0)</f>
        <v>-3.3500599999999998E-3</v>
      </c>
      <c r="F9" s="14">
        <f ca="1">Condom_Base!F9</f>
        <v>3.5090200000000016E-3</v>
      </c>
      <c r="G9" s="1"/>
      <c r="H9" s="14">
        <f ca="1">Condom_Base!H9</f>
        <v>0</v>
      </c>
      <c r="I9" s="14">
        <f t="shared" ca="1" si="4"/>
        <v>-1.1696733333333338E-3</v>
      </c>
      <c r="J9" s="14">
        <f t="shared" ca="1" si="9"/>
        <v>6.8590800000000018E-3</v>
      </c>
      <c r="K9" s="14">
        <f t="shared" ca="1" si="10"/>
        <v>3.5090200000000016E-3</v>
      </c>
      <c r="L9" s="15">
        <f t="shared" ca="1" si="11"/>
        <v>2.339346666666668E-3</v>
      </c>
      <c r="M9" s="15">
        <f t="shared" ca="1" si="11"/>
        <v>1.1696733333333342E-3</v>
      </c>
      <c r="N9" s="15">
        <f t="shared" ca="1" si="11"/>
        <v>4.3368086899420177E-19</v>
      </c>
      <c r="O9" s="15">
        <f t="shared" ca="1" si="11"/>
        <v>0</v>
      </c>
      <c r="P9" s="15">
        <f t="shared" ca="1" si="11"/>
        <v>0</v>
      </c>
      <c r="Q9" s="15">
        <f t="shared" ca="1" si="11"/>
        <v>0</v>
      </c>
      <c r="R9" s="15">
        <f t="shared" ca="1" si="11"/>
        <v>0</v>
      </c>
      <c r="S9" s="15">
        <f t="shared" ca="1" si="11"/>
        <v>0</v>
      </c>
      <c r="T9" s="15">
        <f t="shared" ca="1" si="11"/>
        <v>0</v>
      </c>
      <c r="U9" s="15">
        <f t="shared" ca="1" si="11"/>
        <v>0</v>
      </c>
      <c r="V9" s="15">
        <f t="shared" ca="1" si="11"/>
        <v>0</v>
      </c>
      <c r="W9" s="15">
        <f t="shared" ca="1" si="11"/>
        <v>0</v>
      </c>
      <c r="X9" s="15">
        <f t="shared" ca="1" si="11"/>
        <v>0</v>
      </c>
      <c r="Y9" s="15">
        <f t="shared" ca="1" si="11"/>
        <v>0</v>
      </c>
      <c r="Z9" s="15">
        <f t="shared" ca="1" si="11"/>
        <v>0</v>
      </c>
      <c r="AA9" s="15">
        <f t="shared" ca="1" si="11"/>
        <v>0</v>
      </c>
      <c r="AB9" s="15">
        <f t="shared" ca="1" si="11"/>
        <v>0</v>
      </c>
      <c r="AC9" s="15">
        <f t="shared" ca="1" si="11"/>
        <v>0</v>
      </c>
      <c r="AD9" s="15">
        <f t="shared" ca="1" si="11"/>
        <v>0</v>
      </c>
      <c r="AE9" s="5"/>
      <c r="AG9" s="1" t="s">
        <v>171</v>
      </c>
      <c r="AH9" s="37">
        <f t="shared" ca="1" si="12"/>
        <v>4401.9576029497493</v>
      </c>
      <c r="AI9" s="37">
        <f t="shared" ca="1" si="6"/>
        <v>2338.5878304622615</v>
      </c>
      <c r="AJ9" s="37">
        <f t="shared" ca="1" si="7"/>
        <v>1618.6577650663498</v>
      </c>
      <c r="AK9" s="37">
        <f t="shared" ca="1" si="7"/>
        <v>839.02107935407889</v>
      </c>
      <c r="AL9" s="37">
        <f t="shared" ca="1" si="7"/>
        <v>3.2249642270142274E-13</v>
      </c>
      <c r="AM9" s="37">
        <f t="shared" ca="1" si="7"/>
        <v>0</v>
      </c>
      <c r="AN9" s="37">
        <f t="shared" ca="1" si="7"/>
        <v>0</v>
      </c>
      <c r="AO9" s="37">
        <f t="shared" ca="1" si="7"/>
        <v>0</v>
      </c>
      <c r="AP9" s="37">
        <f t="shared" ca="1" si="7"/>
        <v>0</v>
      </c>
      <c r="AQ9" s="37">
        <f t="shared" ca="1" si="7"/>
        <v>0</v>
      </c>
      <c r="AR9" s="37">
        <f t="shared" ca="1" si="7"/>
        <v>0</v>
      </c>
      <c r="AS9" s="37">
        <f t="shared" ca="1" si="7"/>
        <v>0</v>
      </c>
      <c r="AT9" s="37">
        <f t="shared" ca="1" si="8"/>
        <v>0</v>
      </c>
      <c r="AU9" s="37">
        <f t="shared" ca="1" si="8"/>
        <v>0</v>
      </c>
      <c r="AV9" s="37">
        <f t="shared" ca="1" si="8"/>
        <v>0</v>
      </c>
      <c r="AW9" s="37">
        <f t="shared" ca="1" si="8"/>
        <v>0</v>
      </c>
      <c r="AX9" s="37">
        <f t="shared" ca="1" si="8"/>
        <v>0</v>
      </c>
      <c r="AY9" s="37">
        <f t="shared" ca="1" si="8"/>
        <v>0</v>
      </c>
      <c r="AZ9" s="37" t="e">
        <f t="shared" ca="1" si="8"/>
        <v>#N/A</v>
      </c>
      <c r="BA9" s="37" t="e">
        <f t="shared" ca="1" si="8"/>
        <v>#N/A</v>
      </c>
      <c r="BB9" s="37" t="e">
        <f t="shared" ca="1" si="8"/>
        <v>#N/A</v>
      </c>
    </row>
    <row r="10" spans="1:54" x14ac:dyDescent="0.25">
      <c r="B10" s="1" t="s">
        <v>116</v>
      </c>
      <c r="C10" s="14">
        <f ca="1">Condom_Base!C10</f>
        <v>6.1181999999999999E-3</v>
      </c>
      <c r="D10" s="14">
        <f ca="1">Condom_Base!D10</f>
        <v>4.8342000000000003E-3</v>
      </c>
      <c r="E10" s="14">
        <f ca="1">IF('User Settings'!$N$7="On",($D10-$C10)/($D$4-$C$4),0)</f>
        <v>-2.567999999999999E-4</v>
      </c>
      <c r="F10" s="14">
        <f ca="1">Condom_Base!F10</f>
        <v>4.0638000000000011E-3</v>
      </c>
      <c r="G10" s="1" t="str">
        <f>"Shift_UrbQ1"&amp;IF(Dashboard!$Q$4="Yes",$A$1,"")</f>
        <v>Shift_UrbQ1</v>
      </c>
      <c r="H10" s="14">
        <f ca="1">Condom_Base!H10*(1-INDIRECT($G10))</f>
        <v>1.6467000000000005E-3</v>
      </c>
      <c r="I10" s="14">
        <f t="shared" ca="1" si="4"/>
        <v>-8.0570000000000023E-4</v>
      </c>
      <c r="J10" s="14">
        <f t="shared" ca="1" si="9"/>
        <v>4.3206000000000008E-3</v>
      </c>
      <c r="K10" s="14">
        <f t="shared" ca="1" si="10"/>
        <v>4.0638000000000011E-3</v>
      </c>
      <c r="L10" s="15">
        <f t="shared" ca="1" si="11"/>
        <v>3.2581000000000008E-3</v>
      </c>
      <c r="M10" s="15">
        <f t="shared" ca="1" si="11"/>
        <v>2.4524000000000004E-3</v>
      </c>
      <c r="N10" s="15">
        <f t="shared" ca="1" si="11"/>
        <v>1.6467000000000001E-3</v>
      </c>
      <c r="O10" s="15">
        <f t="shared" ca="1" si="11"/>
        <v>8.4099999999999984E-4</v>
      </c>
      <c r="P10" s="15">
        <f t="shared" ca="1" si="11"/>
        <v>3.5299999999999611E-5</v>
      </c>
      <c r="Q10" s="15">
        <f t="shared" ca="1" si="11"/>
        <v>0</v>
      </c>
      <c r="R10" s="15">
        <f t="shared" ca="1" si="11"/>
        <v>0</v>
      </c>
      <c r="S10" s="15">
        <f t="shared" ca="1" si="11"/>
        <v>0</v>
      </c>
      <c r="T10" s="15">
        <f t="shared" ca="1" si="11"/>
        <v>0</v>
      </c>
      <c r="U10" s="15">
        <f t="shared" ca="1" si="11"/>
        <v>0</v>
      </c>
      <c r="V10" s="15">
        <f t="shared" ca="1" si="11"/>
        <v>0</v>
      </c>
      <c r="W10" s="15">
        <f t="shared" ca="1" si="11"/>
        <v>0</v>
      </c>
      <c r="X10" s="15">
        <f t="shared" ca="1" si="11"/>
        <v>0</v>
      </c>
      <c r="Y10" s="15">
        <f t="shared" ca="1" si="11"/>
        <v>0</v>
      </c>
      <c r="Z10" s="15">
        <f t="shared" ca="1" si="11"/>
        <v>0</v>
      </c>
      <c r="AA10" s="15">
        <f t="shared" ca="1" si="11"/>
        <v>0</v>
      </c>
      <c r="AB10" s="15">
        <f t="shared" ca="1" si="11"/>
        <v>0</v>
      </c>
      <c r="AC10" s="15">
        <f t="shared" ca="1" si="11"/>
        <v>0</v>
      </c>
      <c r="AD10" s="15">
        <f t="shared" ca="1" si="11"/>
        <v>0</v>
      </c>
      <c r="AE10" s="5"/>
      <c r="AG10" s="1" t="s">
        <v>116</v>
      </c>
      <c r="AH10" s="37">
        <f t="shared" ca="1" si="12"/>
        <v>2772.8351352228992</v>
      </c>
      <c r="AI10" s="37">
        <f t="shared" ca="1" si="6"/>
        <v>2708.3211909400734</v>
      </c>
      <c r="AJ10" s="37">
        <f t="shared" ca="1" si="7"/>
        <v>2254.368255679366</v>
      </c>
      <c r="AK10" s="37">
        <f t="shared" ca="1" si="7"/>
        <v>1759.136706266657</v>
      </c>
      <c r="AL10" s="37">
        <f t="shared" ca="1" si="7"/>
        <v>1224.5291347392429</v>
      </c>
      <c r="AM10" s="37">
        <f t="shared" ca="1" si="7"/>
        <v>648.22415888177977</v>
      </c>
      <c r="AN10" s="37">
        <f t="shared" ca="1" si="7"/>
        <v>28.192843048229186</v>
      </c>
      <c r="AO10" s="37">
        <f t="shared" ca="1" si="7"/>
        <v>0</v>
      </c>
      <c r="AP10" s="37">
        <f t="shared" ca="1" si="7"/>
        <v>0</v>
      </c>
      <c r="AQ10" s="37">
        <f t="shared" ca="1" si="7"/>
        <v>0</v>
      </c>
      <c r="AR10" s="37">
        <f t="shared" ca="1" si="7"/>
        <v>0</v>
      </c>
      <c r="AS10" s="37">
        <f t="shared" ca="1" si="7"/>
        <v>0</v>
      </c>
      <c r="AT10" s="37">
        <f t="shared" ca="1" si="8"/>
        <v>0</v>
      </c>
      <c r="AU10" s="37">
        <f t="shared" ca="1" si="8"/>
        <v>0</v>
      </c>
      <c r="AV10" s="37">
        <f t="shared" ca="1" si="8"/>
        <v>0</v>
      </c>
      <c r="AW10" s="37">
        <f t="shared" ca="1" si="8"/>
        <v>0</v>
      </c>
      <c r="AX10" s="37">
        <f t="shared" ca="1" si="8"/>
        <v>0</v>
      </c>
      <c r="AY10" s="37">
        <f t="shared" ca="1" si="8"/>
        <v>0</v>
      </c>
      <c r="AZ10" s="37" t="e">
        <f t="shared" ca="1" si="8"/>
        <v>#N/A</v>
      </c>
      <c r="BA10" s="37" t="e">
        <f t="shared" ca="1" si="8"/>
        <v>#N/A</v>
      </c>
      <c r="BB10" s="37" t="e">
        <f t="shared" ca="1" si="8"/>
        <v>#N/A</v>
      </c>
    </row>
    <row r="11" spans="1:54" x14ac:dyDescent="0.25">
      <c r="C11" s="5">
        <f ca="1">SUM(C5:C10)</f>
        <v>7.8035700000000013E-2</v>
      </c>
      <c r="D11" s="5">
        <f ca="1">SUM(D5:D10)</f>
        <v>6.8542699999999998E-2</v>
      </c>
      <c r="E11" s="143"/>
      <c r="F11" s="132">
        <f ca="1">SUM(F5:F10)</f>
        <v>6.2846899999999997E-2</v>
      </c>
      <c r="H11" s="132">
        <f ca="1">Condom_Base!H11</f>
        <v>6.3692259999999987E-2</v>
      </c>
      <c r="I11" s="132"/>
      <c r="J11" s="132">
        <f ca="1">SUM(J5:J10)</f>
        <v>6.4745500000000011E-2</v>
      </c>
      <c r="K11" s="132">
        <f ca="1">SUM(K5:K10)</f>
        <v>6.2846899999999997E-2</v>
      </c>
      <c r="L11" s="5">
        <f t="shared" ref="L11:AD11" ca="1" si="13">SUM(L5:L10)</f>
        <v>6.3128686666666656E-2</v>
      </c>
      <c r="M11" s="5">
        <f t="shared" ca="1" si="13"/>
        <v>6.3410473333333328E-2</v>
      </c>
      <c r="N11" s="5">
        <f t="shared" ca="1" si="13"/>
        <v>6.3692259999999987E-2</v>
      </c>
      <c r="O11" s="5">
        <f t="shared" ca="1" si="13"/>
        <v>6.5143719999999974E-2</v>
      </c>
      <c r="P11" s="5">
        <f t="shared" ca="1" si="13"/>
        <v>6.659517999999999E-2</v>
      </c>
      <c r="Q11" s="5">
        <f t="shared" ca="1" si="13"/>
        <v>6.8817039999999982E-2</v>
      </c>
      <c r="R11" s="5">
        <f ca="1">SUM(R5:R10)</f>
        <v>7.1639693333333324E-2</v>
      </c>
      <c r="S11" s="5">
        <f t="shared" ca="1" si="13"/>
        <v>7.5492786666666659E-2</v>
      </c>
      <c r="T11" s="5">
        <f t="shared" ca="1" si="13"/>
        <v>7.9345879999999994E-2</v>
      </c>
      <c r="U11" s="5">
        <f t="shared" ca="1" si="13"/>
        <v>8.3415086666666666E-2</v>
      </c>
      <c r="V11" s="5">
        <f t="shared" ca="1" si="13"/>
        <v>8.7808463333333336E-2</v>
      </c>
      <c r="W11" s="5">
        <f t="shared" ca="1" si="13"/>
        <v>9.2201840000000007E-2</v>
      </c>
      <c r="X11" s="5">
        <f t="shared" ca="1" si="13"/>
        <v>9.6595216666666678E-2</v>
      </c>
      <c r="Y11" s="5">
        <f t="shared" ca="1" si="13"/>
        <v>0.10098859333333335</v>
      </c>
      <c r="Z11" s="5">
        <f t="shared" ca="1" si="13"/>
        <v>0.10538197000000002</v>
      </c>
      <c r="AA11" s="5">
        <f t="shared" ca="1" si="13"/>
        <v>0.10977534666666669</v>
      </c>
      <c r="AB11" s="5">
        <f t="shared" ca="1" si="13"/>
        <v>0.11416872333333336</v>
      </c>
      <c r="AC11" s="5">
        <f t="shared" ca="1" si="13"/>
        <v>0.11856210000000003</v>
      </c>
      <c r="AD11" s="5">
        <f t="shared" ca="1" si="13"/>
        <v>0.1229554766666667</v>
      </c>
      <c r="AE11" s="5"/>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G12" s="146"/>
      <c r="AI12" s="7"/>
      <c r="AJ12" s="7"/>
      <c r="AK12" s="7"/>
      <c r="AL12" s="7"/>
      <c r="AM12" s="7"/>
      <c r="AN12" s="7"/>
      <c r="AO12" s="7"/>
      <c r="AP12" s="7"/>
      <c r="AQ12" s="7"/>
      <c r="AR12" s="7"/>
      <c r="AS12" s="7"/>
      <c r="AT12" s="7"/>
    </row>
    <row r="13" spans="1:54" x14ac:dyDescent="0.25">
      <c r="A13" s="6" t="s">
        <v>162</v>
      </c>
      <c r="C13" s="4" t="s">
        <v>163</v>
      </c>
      <c r="D13" s="4" t="s">
        <v>164</v>
      </c>
      <c r="F13" s="4" t="s">
        <v>165</v>
      </c>
      <c r="H13" s="4" t="s">
        <v>167</v>
      </c>
      <c r="K13" s="205" t="str">
        <f t="shared" ref="K13:AD13" si="14">IF(K14=Yr_Start,"Start Year",IF(K14=Yr_End,"End Year",""))</f>
        <v>Start Year</v>
      </c>
      <c r="L13" s="205" t="str">
        <f t="shared" si="14"/>
        <v/>
      </c>
      <c r="M13" s="205" t="str">
        <f t="shared" si="14"/>
        <v/>
      </c>
      <c r="N13" s="205" t="str">
        <f t="shared" si="14"/>
        <v>End Year</v>
      </c>
      <c r="O13" s="205" t="str">
        <f t="shared" si="14"/>
        <v/>
      </c>
      <c r="P13" s="205" t="str">
        <f t="shared" si="14"/>
        <v/>
      </c>
      <c r="Q13" s="205" t="str">
        <f t="shared" si="14"/>
        <v/>
      </c>
      <c r="R13" s="205" t="str">
        <f t="shared" si="14"/>
        <v/>
      </c>
      <c r="S13" s="205" t="str">
        <f t="shared" si="14"/>
        <v/>
      </c>
      <c r="T13" s="205" t="str">
        <f t="shared" si="14"/>
        <v/>
      </c>
      <c r="U13" s="205" t="str">
        <f t="shared" si="14"/>
        <v/>
      </c>
      <c r="V13" s="205" t="str">
        <f t="shared" si="14"/>
        <v/>
      </c>
      <c r="W13" s="205" t="str">
        <f t="shared" si="14"/>
        <v/>
      </c>
      <c r="X13" s="205" t="str">
        <f t="shared" si="14"/>
        <v/>
      </c>
      <c r="Y13" s="205" t="str">
        <f t="shared" si="14"/>
        <v/>
      </c>
      <c r="Z13" s="205" t="str">
        <f t="shared" si="14"/>
        <v/>
      </c>
      <c r="AA13" s="205" t="str">
        <f t="shared" si="14"/>
        <v/>
      </c>
      <c r="AB13" s="205" t="str">
        <f t="shared" si="14"/>
        <v/>
      </c>
      <c r="AC13" s="205" t="str">
        <f t="shared" si="14"/>
        <v/>
      </c>
      <c r="AD13" s="205" t="str">
        <f t="shared" si="14"/>
        <v/>
      </c>
      <c r="AE13" s="35"/>
      <c r="AF13" s="6" t="str">
        <f>A13</f>
        <v>Richest</v>
      </c>
      <c r="AI13" s="205" t="str">
        <f t="shared" ref="AI13:BB13" si="15">IF(AI14=Yr_Start,"Start Year",IF(AI14=Yr_End,"End Year",""))</f>
        <v>Start Year</v>
      </c>
      <c r="AJ13" s="205" t="str">
        <f t="shared" si="15"/>
        <v/>
      </c>
      <c r="AK13" s="205" t="str">
        <f t="shared" si="15"/>
        <v/>
      </c>
      <c r="AL13" s="205" t="str">
        <f t="shared" si="15"/>
        <v>End Year</v>
      </c>
      <c r="AM13" s="205" t="str">
        <f t="shared" si="15"/>
        <v/>
      </c>
      <c r="AN13" s="205" t="str">
        <f t="shared" si="15"/>
        <v/>
      </c>
      <c r="AO13" s="205" t="str">
        <f t="shared" si="15"/>
        <v/>
      </c>
      <c r="AP13" s="205" t="str">
        <f t="shared" si="15"/>
        <v/>
      </c>
      <c r="AQ13" s="205" t="str">
        <f t="shared" si="15"/>
        <v/>
      </c>
      <c r="AR13" s="205" t="str">
        <f t="shared" si="15"/>
        <v/>
      </c>
      <c r="AS13" s="205" t="str">
        <f t="shared" si="15"/>
        <v/>
      </c>
      <c r="AT13" s="205" t="str">
        <f t="shared" si="15"/>
        <v/>
      </c>
      <c r="AU13" s="205" t="str">
        <f t="shared" si="15"/>
        <v/>
      </c>
      <c r="AV13" s="205" t="str">
        <f t="shared" si="15"/>
        <v/>
      </c>
      <c r="AW13" s="205" t="str">
        <f t="shared" si="15"/>
        <v/>
      </c>
      <c r="AX13" s="205" t="str">
        <f t="shared" si="15"/>
        <v/>
      </c>
      <c r="AY13" s="205" t="str">
        <f t="shared" si="15"/>
        <v/>
      </c>
      <c r="AZ13" s="205" t="str">
        <f t="shared" si="15"/>
        <v/>
      </c>
      <c r="BA13" s="205" t="str">
        <f t="shared" si="15"/>
        <v/>
      </c>
      <c r="BB13" s="205" t="str">
        <f t="shared" si="15"/>
        <v/>
      </c>
    </row>
    <row r="14" spans="1:54" x14ac:dyDescent="0.25">
      <c r="A14" s="6" t="s">
        <v>21</v>
      </c>
      <c r="B14" s="36"/>
      <c r="C14" s="36">
        <f>Yr_DHS1</f>
        <v>2011</v>
      </c>
      <c r="D14" s="36">
        <f>Yr_DHS2</f>
        <v>2016</v>
      </c>
      <c r="E14" s="36" t="s">
        <v>168</v>
      </c>
      <c r="F14" s="36">
        <f>Yr_Start</f>
        <v>2019</v>
      </c>
      <c r="G14" s="127"/>
      <c r="H14" s="36">
        <f>Yr_End</f>
        <v>2022</v>
      </c>
      <c r="I14" s="36" t="s">
        <v>169</v>
      </c>
      <c r="J14" s="130">
        <f>K14-1</f>
        <v>2018</v>
      </c>
      <c r="K14" s="130">
        <f>Yr_Start</f>
        <v>2019</v>
      </c>
      <c r="L14" s="130">
        <f>K14+1</f>
        <v>2020</v>
      </c>
      <c r="M14" s="130">
        <f t="shared" ref="M14:AD14" si="16">L14+1</f>
        <v>2021</v>
      </c>
      <c r="N14" s="130">
        <f t="shared" si="16"/>
        <v>2022</v>
      </c>
      <c r="O14" s="130">
        <f t="shared" si="16"/>
        <v>2023</v>
      </c>
      <c r="P14" s="130">
        <f t="shared" si="16"/>
        <v>2024</v>
      </c>
      <c r="Q14" s="130">
        <f t="shared" si="16"/>
        <v>2025</v>
      </c>
      <c r="R14" s="130">
        <f t="shared" si="16"/>
        <v>2026</v>
      </c>
      <c r="S14" s="130">
        <f t="shared" si="16"/>
        <v>2027</v>
      </c>
      <c r="T14" s="130">
        <f t="shared" si="16"/>
        <v>2028</v>
      </c>
      <c r="U14" s="130">
        <f t="shared" si="16"/>
        <v>2029</v>
      </c>
      <c r="V14" s="130">
        <f t="shared" si="16"/>
        <v>2030</v>
      </c>
      <c r="W14" s="130">
        <f t="shared" si="16"/>
        <v>2031</v>
      </c>
      <c r="X14" s="130">
        <f t="shared" si="16"/>
        <v>2032</v>
      </c>
      <c r="Y14" s="130">
        <f t="shared" si="16"/>
        <v>2033</v>
      </c>
      <c r="Z14" s="130">
        <f t="shared" si="16"/>
        <v>2034</v>
      </c>
      <c r="AA14" s="130">
        <f t="shared" si="16"/>
        <v>2035</v>
      </c>
      <c r="AB14" s="130">
        <f t="shared" si="16"/>
        <v>2036</v>
      </c>
      <c r="AC14" s="130">
        <f t="shared" si="16"/>
        <v>2037</v>
      </c>
      <c r="AD14" s="130">
        <f t="shared" si="16"/>
        <v>2038</v>
      </c>
      <c r="AE14" s="6"/>
      <c r="AF14" s="6" t="str">
        <f>A14</f>
        <v>Rural</v>
      </c>
      <c r="AG14" s="38"/>
      <c r="AH14" s="161">
        <f>AI14-1</f>
        <v>2018</v>
      </c>
      <c r="AI14" s="36">
        <f>Yr_Start</f>
        <v>2019</v>
      </c>
      <c r="AJ14" s="36">
        <f>AI14+1</f>
        <v>2020</v>
      </c>
      <c r="AK14" s="36">
        <f t="shared" ref="AK14:BB14" si="17">AJ14+1</f>
        <v>2021</v>
      </c>
      <c r="AL14" s="36">
        <f t="shared" si="17"/>
        <v>2022</v>
      </c>
      <c r="AM14" s="36">
        <f t="shared" si="17"/>
        <v>2023</v>
      </c>
      <c r="AN14" s="36">
        <f t="shared" si="17"/>
        <v>2024</v>
      </c>
      <c r="AO14" s="36">
        <f t="shared" si="17"/>
        <v>2025</v>
      </c>
      <c r="AP14" s="36">
        <f t="shared" si="17"/>
        <v>2026</v>
      </c>
      <c r="AQ14" s="36">
        <f t="shared" si="17"/>
        <v>2027</v>
      </c>
      <c r="AR14" s="36">
        <f t="shared" si="17"/>
        <v>2028</v>
      </c>
      <c r="AS14" s="36">
        <f t="shared" si="17"/>
        <v>2029</v>
      </c>
      <c r="AT14" s="36">
        <f t="shared" si="17"/>
        <v>2030</v>
      </c>
      <c r="AU14" s="36">
        <f t="shared" si="17"/>
        <v>2031</v>
      </c>
      <c r="AV14" s="36">
        <f t="shared" si="17"/>
        <v>2032</v>
      </c>
      <c r="AW14" s="36">
        <f t="shared" si="17"/>
        <v>2033</v>
      </c>
      <c r="AX14" s="36">
        <f t="shared" si="17"/>
        <v>2034</v>
      </c>
      <c r="AY14" s="36">
        <f t="shared" si="17"/>
        <v>2035</v>
      </c>
      <c r="AZ14" s="36">
        <f t="shared" si="17"/>
        <v>2036</v>
      </c>
      <c r="BA14" s="36">
        <f t="shared" si="17"/>
        <v>2037</v>
      </c>
      <c r="BB14" s="36">
        <f t="shared" si="17"/>
        <v>2038</v>
      </c>
    </row>
    <row r="15" spans="1:54" x14ac:dyDescent="0.25">
      <c r="B15" s="1" t="s">
        <v>52</v>
      </c>
      <c r="C15" s="14">
        <f ca="1">Condom_Base!C15</f>
        <v>1.2071E-2</v>
      </c>
      <c r="D15" s="14">
        <f ca="1">Condom_Base!D15</f>
        <v>1.3306E-2</v>
      </c>
      <c r="E15" s="14">
        <f ca="1">IF('User Settings'!$N$7="On",($D15-$C15)/($D$4-$C$4),0)</f>
        <v>2.4699999999999999E-4</v>
      </c>
      <c r="F15" s="14">
        <f ca="1">Condom_Base!F15</f>
        <v>1.4047E-2</v>
      </c>
      <c r="G15" s="1" t="str">
        <f>"Shift_RurQ1"&amp;IF(Dashboard!$Q$4="Yes",$A$1,"")</f>
        <v>Shift_RurQ1</v>
      </c>
      <c r="H15" s="14">
        <f ca="1">Condom_Base!H15*(1-INDIRECT($G15))</f>
        <v>1.18304E-2</v>
      </c>
      <c r="I15" s="14">
        <f ca="1">($H15-$F15)/($H$4-$F$4)</f>
        <v>-7.3886666666666699E-4</v>
      </c>
      <c r="J15" s="14">
        <f ca="1">K15-E15</f>
        <v>1.38E-2</v>
      </c>
      <c r="K15" s="14">
        <f ca="1">MAX(0,MIN(1,D15+(K$4-D$4)*E15))</f>
        <v>1.4047E-2</v>
      </c>
      <c r="L15" s="15">
        <f ca="1">MAX(0,MIN(1,K15+$I15))</f>
        <v>1.3308133333333333E-2</v>
      </c>
      <c r="M15" s="15">
        <f t="shared" ref="M15:AD15" ca="1" si="18">MAX(0,MIN(1,L15+$I15))</f>
        <v>1.2569266666666665E-2</v>
      </c>
      <c r="N15" s="15">
        <f ca="1">MAX(0,MIN(1,M15+$I15))</f>
        <v>1.1830399999999998E-2</v>
      </c>
      <c r="O15" s="15">
        <f t="shared" ca="1" si="18"/>
        <v>1.109153333333333E-2</v>
      </c>
      <c r="P15" s="15">
        <f t="shared" ca="1" si="18"/>
        <v>1.0352666666666663E-2</v>
      </c>
      <c r="Q15" s="15">
        <f t="shared" ca="1" si="18"/>
        <v>9.6137999999999953E-3</v>
      </c>
      <c r="R15" s="15">
        <f t="shared" ca="1" si="18"/>
        <v>8.8749333333333277E-3</v>
      </c>
      <c r="S15" s="15">
        <f t="shared" ca="1" si="18"/>
        <v>8.1360666666666602E-3</v>
      </c>
      <c r="T15" s="15">
        <f t="shared" ca="1" si="18"/>
        <v>7.3971999999999935E-3</v>
      </c>
      <c r="U15" s="15">
        <f t="shared" ca="1" si="18"/>
        <v>6.6583333333333269E-3</v>
      </c>
      <c r="V15" s="15">
        <f t="shared" ca="1" si="18"/>
        <v>5.9194666666666602E-3</v>
      </c>
      <c r="W15" s="15">
        <f t="shared" ca="1" si="18"/>
        <v>5.1805999999999935E-3</v>
      </c>
      <c r="X15" s="15">
        <f t="shared" ca="1" si="18"/>
        <v>4.4417333333333269E-3</v>
      </c>
      <c r="Y15" s="15">
        <f t="shared" ca="1" si="18"/>
        <v>3.7028666666666598E-3</v>
      </c>
      <c r="Z15" s="15">
        <f t="shared" ca="1" si="18"/>
        <v>2.9639999999999927E-3</v>
      </c>
      <c r="AA15" s="15">
        <f t="shared" ca="1" si="18"/>
        <v>2.2251333333333256E-3</v>
      </c>
      <c r="AB15" s="15">
        <f t="shared" ca="1" si="18"/>
        <v>1.4862666666666585E-3</v>
      </c>
      <c r="AC15" s="15">
        <f t="shared" ca="1" si="18"/>
        <v>7.473999999999915E-4</v>
      </c>
      <c r="AD15" s="15">
        <f t="shared" ca="1" si="18"/>
        <v>8.5333333333245057E-6</v>
      </c>
      <c r="AE15" s="5"/>
      <c r="AG15" s="1" t="s">
        <v>52</v>
      </c>
      <c r="AH15" s="37">
        <f t="shared" ref="AH15:BB15" ca="1" si="19">J15*AH$21</f>
        <v>22859.29306938672</v>
      </c>
      <c r="AI15" s="37">
        <f t="shared" ca="1" si="19"/>
        <v>24163.238819141341</v>
      </c>
      <c r="AJ15" s="37">
        <f t="shared" ca="1" si="19"/>
        <v>23767.380333522531</v>
      </c>
      <c r="AK15" s="37">
        <f t="shared" ca="1" si="19"/>
        <v>23271.36969427851</v>
      </c>
      <c r="AL15" s="37">
        <f t="shared" ca="1" si="19"/>
        <v>22706.896897133094</v>
      </c>
      <c r="AM15" s="37">
        <f t="shared" ca="1" si="19"/>
        <v>22066.046438354151</v>
      </c>
      <c r="AN15" s="37">
        <f t="shared" ca="1" si="19"/>
        <v>21341.263159971128</v>
      </c>
      <c r="AO15" s="37">
        <f t="shared" ca="1" si="19"/>
        <v>20527.057618490471</v>
      </c>
      <c r="AP15" s="37">
        <f t="shared" ca="1" si="19"/>
        <v>19606.077084924527</v>
      </c>
      <c r="AQ15" s="37">
        <f t="shared" ca="1" si="19"/>
        <v>18591.55038557385</v>
      </c>
      <c r="AR15" s="37">
        <f t="shared" ca="1" si="19"/>
        <v>17479.407482308015</v>
      </c>
      <c r="AS15" s="37">
        <f t="shared" ca="1" si="19"/>
        <v>16266.180702932324</v>
      </c>
      <c r="AT15" s="37">
        <f t="shared" ca="1" si="19"/>
        <v>14947.534282922174</v>
      </c>
      <c r="AU15" s="37">
        <f t="shared" ca="1" si="19"/>
        <v>13510.744930713774</v>
      </c>
      <c r="AV15" s="37">
        <f t="shared" ca="1" si="19"/>
        <v>11961.876727193288</v>
      </c>
      <c r="AW15" s="37">
        <f t="shared" ca="1" si="19"/>
        <v>10295.197438115933</v>
      </c>
      <c r="AX15" s="37">
        <f t="shared" ca="1" si="19"/>
        <v>8505.3905001692438</v>
      </c>
      <c r="AY15" s="37">
        <f t="shared" ca="1" si="19"/>
        <v>6587.8213104511624</v>
      </c>
      <c r="AZ15" s="37" t="e">
        <f t="shared" ca="1" si="19"/>
        <v>#N/A</v>
      </c>
      <c r="BA15" s="37" t="e">
        <f t="shared" ca="1" si="19"/>
        <v>#N/A</v>
      </c>
      <c r="BB15" s="37" t="e">
        <f t="shared" ca="1" si="19"/>
        <v>#N/A</v>
      </c>
    </row>
    <row r="16" spans="1:54" x14ac:dyDescent="0.25">
      <c r="B16" s="1" t="s">
        <v>54</v>
      </c>
      <c r="C16" s="14">
        <f ca="1">Condom_Base!C16</f>
        <v>1.8146E-3</v>
      </c>
      <c r="D16" s="14">
        <f ca="1">Condom_Base!D16</f>
        <v>2.053E-4</v>
      </c>
      <c r="E16" s="14">
        <f ca="1">IF('User Settings'!$N$7="On",($D16-$C16)/($D$4-$C$4),0)</f>
        <v>-3.2185999999999998E-4</v>
      </c>
      <c r="F16" s="14">
        <f ca="1">Condom_Base!F16</f>
        <v>0</v>
      </c>
      <c r="G16" s="1" t="str">
        <f>"Shift_RurQ1"&amp;IF(Dashboard!$Q$4="Yes",$A$1,"")</f>
        <v>Shift_RurQ1</v>
      </c>
      <c r="H16" s="14">
        <f ca="1">Condom_Base!H16*(1-INDIRECT($G16))</f>
        <v>0</v>
      </c>
      <c r="I16" s="14">
        <f ca="1">($H16-$F16)/($H$4-$F$4)</f>
        <v>0</v>
      </c>
      <c r="J16" s="14">
        <f t="shared" ref="J16:J20" ca="1" si="20">K16-E16</f>
        <v>3.2185999999999998E-4</v>
      </c>
      <c r="K16" s="14">
        <f t="shared" ref="K16:K20" ca="1" si="21">MAX(0,MIN(1,D16+(K$4-D$4)*E16))</f>
        <v>0</v>
      </c>
      <c r="L16" s="15">
        <f t="shared" ref="L16:AD20" ca="1" si="22">MAX(0,MIN(1,K16+$I16))</f>
        <v>0</v>
      </c>
      <c r="M16" s="15">
        <f t="shared" ca="1" si="22"/>
        <v>0</v>
      </c>
      <c r="N16" s="15">
        <f t="shared" ca="1" si="22"/>
        <v>0</v>
      </c>
      <c r="O16" s="15">
        <f t="shared" ca="1" si="22"/>
        <v>0</v>
      </c>
      <c r="P16" s="15">
        <f t="shared" ca="1" si="22"/>
        <v>0</v>
      </c>
      <c r="Q16" s="15">
        <f t="shared" ca="1" si="22"/>
        <v>0</v>
      </c>
      <c r="R16" s="15">
        <f t="shared" ca="1" si="22"/>
        <v>0</v>
      </c>
      <c r="S16" s="15">
        <f t="shared" ca="1" si="22"/>
        <v>0</v>
      </c>
      <c r="T16" s="15">
        <f t="shared" ca="1" si="22"/>
        <v>0</v>
      </c>
      <c r="U16" s="15">
        <f t="shared" ca="1" si="22"/>
        <v>0</v>
      </c>
      <c r="V16" s="15">
        <f t="shared" ca="1" si="22"/>
        <v>0</v>
      </c>
      <c r="W16" s="15">
        <f t="shared" ca="1" si="22"/>
        <v>0</v>
      </c>
      <c r="X16" s="15">
        <f t="shared" ca="1" si="22"/>
        <v>0</v>
      </c>
      <c r="Y16" s="15">
        <f t="shared" ca="1" si="22"/>
        <v>0</v>
      </c>
      <c r="Z16" s="15">
        <f t="shared" ca="1" si="22"/>
        <v>0</v>
      </c>
      <c r="AA16" s="15">
        <f t="shared" ca="1" si="22"/>
        <v>0</v>
      </c>
      <c r="AB16" s="15">
        <f t="shared" ca="1" si="22"/>
        <v>0</v>
      </c>
      <c r="AC16" s="15">
        <f t="shared" ca="1" si="22"/>
        <v>0</v>
      </c>
      <c r="AD16" s="15">
        <f t="shared" ca="1" si="22"/>
        <v>0</v>
      </c>
      <c r="AE16" s="5"/>
      <c r="AG16" s="1" t="s">
        <v>54</v>
      </c>
      <c r="AH16" s="37">
        <f t="shared" ref="AH16:AH20" ca="1" si="23">J16*AH$21</f>
        <v>533.15159908063833</v>
      </c>
      <c r="AI16" s="37">
        <f t="shared" ref="AI16:AI20" ca="1" si="24">K16*AI$21</f>
        <v>0</v>
      </c>
      <c r="AJ16" s="37">
        <f t="shared" ref="AJ16:AS20" ca="1" si="25">L16*AJ$21</f>
        <v>0</v>
      </c>
      <c r="AK16" s="37">
        <f t="shared" ca="1" si="25"/>
        <v>0</v>
      </c>
      <c r="AL16" s="37">
        <f t="shared" ca="1" si="25"/>
        <v>0</v>
      </c>
      <c r="AM16" s="37">
        <f t="shared" ca="1" si="25"/>
        <v>0</v>
      </c>
      <c r="AN16" s="37">
        <f t="shared" ca="1" si="25"/>
        <v>0</v>
      </c>
      <c r="AO16" s="37">
        <f t="shared" ca="1" si="25"/>
        <v>0</v>
      </c>
      <c r="AP16" s="37">
        <f t="shared" ca="1" si="25"/>
        <v>0</v>
      </c>
      <c r="AQ16" s="37">
        <f t="shared" ca="1" si="25"/>
        <v>0</v>
      </c>
      <c r="AR16" s="37">
        <f t="shared" ca="1" si="25"/>
        <v>0</v>
      </c>
      <c r="AS16" s="37">
        <f t="shared" ca="1" si="25"/>
        <v>0</v>
      </c>
      <c r="AT16" s="37">
        <f t="shared" ref="AT16:BB20" ca="1" si="26">V16*AT$21</f>
        <v>0</v>
      </c>
      <c r="AU16" s="37">
        <f t="shared" ca="1" si="26"/>
        <v>0</v>
      </c>
      <c r="AV16" s="37">
        <f t="shared" ca="1" si="26"/>
        <v>0</v>
      </c>
      <c r="AW16" s="37">
        <f t="shared" ca="1" si="26"/>
        <v>0</v>
      </c>
      <c r="AX16" s="37">
        <f t="shared" ca="1" si="26"/>
        <v>0</v>
      </c>
      <c r="AY16" s="37">
        <f t="shared" ca="1" si="26"/>
        <v>0</v>
      </c>
      <c r="AZ16" s="37" t="e">
        <f t="shared" ca="1" si="26"/>
        <v>#N/A</v>
      </c>
      <c r="BA16" s="37" t="e">
        <f t="shared" ca="1" si="26"/>
        <v>#N/A</v>
      </c>
      <c r="BB16" s="37" t="e">
        <f t="shared" ca="1" si="26"/>
        <v>#N/A</v>
      </c>
    </row>
    <row r="17" spans="1:54" x14ac:dyDescent="0.25">
      <c r="B17" s="1" t="s">
        <v>170</v>
      </c>
      <c r="C17" s="14">
        <f ca="1">Condom_Base!C17</f>
        <v>1.1183E-3</v>
      </c>
      <c r="D17" s="14">
        <f ca="1">Condom_Base!D17</f>
        <v>1.2817E-3</v>
      </c>
      <c r="E17" s="14">
        <f ca="1">IF('User Settings'!$N$7="On",($D17-$C17)/($D$4-$C$4),0)</f>
        <v>3.2679999999999992E-5</v>
      </c>
      <c r="F17" s="14">
        <f ca="1">Condom_Base!F17</f>
        <v>1.37974E-3</v>
      </c>
      <c r="G17" s="1" t="str">
        <f>"Shift_RurQ1"&amp;IF(Dashboard!$Q$4="Yes",$A$1,"")</f>
        <v>Shift_RurQ1</v>
      </c>
      <c r="H17" s="14">
        <f ca="1">Condom_Base!H17*(1-INDIRECT($G17))</f>
        <v>1.1822239999999999E-3</v>
      </c>
      <c r="I17" s="14">
        <f t="shared" ref="I17:I20" ca="1" si="27">($H17-$F17)/($H$4-$F$4)</f>
        <v>-6.583866666666667E-5</v>
      </c>
      <c r="J17" s="14">
        <f t="shared" ca="1" si="20"/>
        <v>1.34706E-3</v>
      </c>
      <c r="K17" s="14">
        <f t="shared" ca="1" si="21"/>
        <v>1.37974E-3</v>
      </c>
      <c r="L17" s="15">
        <f t="shared" ca="1" si="22"/>
        <v>1.3139013333333333E-3</v>
      </c>
      <c r="M17" s="15">
        <f t="shared" ca="1" si="22"/>
        <v>1.2480626666666666E-3</v>
      </c>
      <c r="N17" s="15">
        <f t="shared" ca="1" si="22"/>
        <v>1.1822239999999999E-3</v>
      </c>
      <c r="O17" s="15">
        <f t="shared" ca="1" si="22"/>
        <v>1.1163853333333333E-3</v>
      </c>
      <c r="P17" s="15">
        <f t="shared" ca="1" si="22"/>
        <v>1.0505466666666666E-3</v>
      </c>
      <c r="Q17" s="15">
        <f t="shared" ca="1" si="22"/>
        <v>9.8470799999999994E-4</v>
      </c>
      <c r="R17" s="15">
        <f t="shared" ca="1" si="22"/>
        <v>9.1886933333333327E-4</v>
      </c>
      <c r="S17" s="15">
        <f t="shared" ca="1" si="22"/>
        <v>8.530306666666666E-4</v>
      </c>
      <c r="T17" s="15">
        <f t="shared" ca="1" si="22"/>
        <v>7.8719199999999993E-4</v>
      </c>
      <c r="U17" s="15">
        <f t="shared" ca="1" si="22"/>
        <v>7.2135333333333326E-4</v>
      </c>
      <c r="V17" s="15">
        <f t="shared" ca="1" si="22"/>
        <v>6.5551466666666659E-4</v>
      </c>
      <c r="W17" s="15">
        <f t="shared" ca="1" si="22"/>
        <v>5.8967599999999992E-4</v>
      </c>
      <c r="X17" s="15">
        <f t="shared" ca="1" si="22"/>
        <v>5.2383733333333325E-4</v>
      </c>
      <c r="Y17" s="15">
        <f t="shared" ca="1" si="22"/>
        <v>4.5799866666666657E-4</v>
      </c>
      <c r="Z17" s="15">
        <f t="shared" ca="1" si="22"/>
        <v>3.921599999999999E-4</v>
      </c>
      <c r="AA17" s="15">
        <f t="shared" ca="1" si="22"/>
        <v>3.2632133333333323E-4</v>
      </c>
      <c r="AB17" s="15">
        <f t="shared" ca="1" si="22"/>
        <v>2.6048266666666656E-4</v>
      </c>
      <c r="AC17" s="15">
        <f t="shared" ca="1" si="22"/>
        <v>1.9464399999999989E-4</v>
      </c>
      <c r="AD17" s="15">
        <f t="shared" ca="1" si="22"/>
        <v>1.2880533333333322E-4</v>
      </c>
      <c r="AE17" s="5"/>
      <c r="AG17" s="1" t="s">
        <v>170</v>
      </c>
      <c r="AH17" s="37">
        <f t="shared" ca="1" si="23"/>
        <v>2231.3651682643535</v>
      </c>
      <c r="AI17" s="37">
        <f t="shared" ca="1" si="24"/>
        <v>2373.3884194719208</v>
      </c>
      <c r="AJ17" s="37">
        <f t="shared" ca="1" si="25"/>
        <v>2346.5344032763696</v>
      </c>
      <c r="AK17" s="37">
        <f t="shared" ca="1" si="25"/>
        <v>2310.7257159760388</v>
      </c>
      <c r="AL17" s="37">
        <f t="shared" ca="1" si="25"/>
        <v>2269.1234850314681</v>
      </c>
      <c r="AM17" s="37">
        <f t="shared" ca="1" si="25"/>
        <v>2220.992343267611</v>
      </c>
      <c r="AN17" s="37">
        <f t="shared" ca="1" si="25"/>
        <v>2165.6249154965362</v>
      </c>
      <c r="AO17" s="37">
        <f t="shared" ca="1" si="25"/>
        <v>2102.5149112097738</v>
      </c>
      <c r="AP17" s="37">
        <f t="shared" ca="1" si="25"/>
        <v>2029.9220629232768</v>
      </c>
      <c r="AQ17" s="37">
        <f t="shared" ca="1" si="25"/>
        <v>1949.2419702935483</v>
      </c>
      <c r="AR17" s="37">
        <f t="shared" ca="1" si="25"/>
        <v>1860.1159539843486</v>
      </c>
      <c r="AS17" s="37">
        <f t="shared" ca="1" si="25"/>
        <v>1762.2523660569591</v>
      </c>
      <c r="AT17" s="37">
        <f t="shared" ca="1" si="26"/>
        <v>1655.2720886383306</v>
      </c>
      <c r="AU17" s="37">
        <f t="shared" ca="1" si="26"/>
        <v>1537.8454286691858</v>
      </c>
      <c r="AV17" s="37">
        <f t="shared" ca="1" si="26"/>
        <v>1410.7280055312494</v>
      </c>
      <c r="AW17" s="37">
        <f t="shared" ca="1" si="26"/>
        <v>1273.3881946583333</v>
      </c>
      <c r="AX17" s="37">
        <f t="shared" ca="1" si="26"/>
        <v>1125.328589253164</v>
      </c>
      <c r="AY17" s="37">
        <f t="shared" ca="1" si="26"/>
        <v>966.12036752322444</v>
      </c>
      <c r="AZ17" s="37" t="e">
        <f t="shared" ca="1" si="26"/>
        <v>#N/A</v>
      </c>
      <c r="BA17" s="37" t="e">
        <f t="shared" ca="1" si="26"/>
        <v>#N/A</v>
      </c>
      <c r="BB17" s="37" t="e">
        <f t="shared" ca="1" si="26"/>
        <v>#N/A</v>
      </c>
    </row>
    <row r="18" spans="1:54" x14ac:dyDescent="0.25">
      <c r="B18" s="1" t="s">
        <v>59</v>
      </c>
      <c r="C18" s="14">
        <f ca="1">Condom_Base!C18</f>
        <v>1.2739199999999999E-2</v>
      </c>
      <c r="D18" s="14">
        <f ca="1">Condom_Base!D18</f>
        <v>1.34132E-2</v>
      </c>
      <c r="E18" s="14">
        <f ca="1">IF('User Settings'!$N$7="On",($D18-$C18)/($D$4-$C$4),0)</f>
        <v>1.3480000000000019E-4</v>
      </c>
      <c r="F18" s="14">
        <f ca="1">Condom_Base!F18</f>
        <v>1.3817600000000001E-2</v>
      </c>
      <c r="H18" s="14">
        <f ca="1">H21-SUM($H15:$H17,$H19:$H20)</f>
        <v>1.7964404000000003E-2</v>
      </c>
      <c r="I18" s="14">
        <f t="shared" ca="1" si="27"/>
        <v>1.3822680000000007E-3</v>
      </c>
      <c r="J18" s="14">
        <f t="shared" ca="1" si="20"/>
        <v>1.36828E-2</v>
      </c>
      <c r="K18" s="14">
        <f t="shared" ca="1" si="21"/>
        <v>1.3817600000000001E-2</v>
      </c>
      <c r="L18" s="15">
        <f t="shared" ca="1" si="22"/>
        <v>1.5199868000000002E-2</v>
      </c>
      <c r="M18" s="15">
        <f t="shared" ca="1" si="22"/>
        <v>1.6582136000000004E-2</v>
      </c>
      <c r="N18" s="15">
        <f t="shared" ca="1" si="22"/>
        <v>1.7964404000000003E-2</v>
      </c>
      <c r="O18" s="15">
        <f t="shared" ca="1" si="22"/>
        <v>1.9346672000000002E-2</v>
      </c>
      <c r="P18" s="15">
        <f t="shared" ca="1" si="22"/>
        <v>2.0728940000000001E-2</v>
      </c>
      <c r="Q18" s="15">
        <f t="shared" ca="1" si="22"/>
        <v>2.2111208E-2</v>
      </c>
      <c r="R18" s="15">
        <f t="shared" ca="1" si="22"/>
        <v>2.3493475999999999E-2</v>
      </c>
      <c r="S18" s="15">
        <f t="shared" ca="1" si="22"/>
        <v>2.4875743999999998E-2</v>
      </c>
      <c r="T18" s="15">
        <f t="shared" ca="1" si="22"/>
        <v>2.6258011999999997E-2</v>
      </c>
      <c r="U18" s="15">
        <f t="shared" ca="1" si="22"/>
        <v>2.7640279999999996E-2</v>
      </c>
      <c r="V18" s="15">
        <f t="shared" ca="1" si="22"/>
        <v>2.9022547999999995E-2</v>
      </c>
      <c r="W18" s="15">
        <f t="shared" ca="1" si="22"/>
        <v>3.0404815999999994E-2</v>
      </c>
      <c r="X18" s="15">
        <f t="shared" ca="1" si="22"/>
        <v>3.1787083999999993E-2</v>
      </c>
      <c r="Y18" s="15">
        <f t="shared" ca="1" si="22"/>
        <v>3.3169351999999992E-2</v>
      </c>
      <c r="Z18" s="15">
        <f t="shared" ca="1" si="22"/>
        <v>3.4551619999999991E-2</v>
      </c>
      <c r="AA18" s="15">
        <f t="shared" ca="1" si="22"/>
        <v>3.593388799999999E-2</v>
      </c>
      <c r="AB18" s="15">
        <f t="shared" ca="1" si="22"/>
        <v>3.7316155999999989E-2</v>
      </c>
      <c r="AC18" s="15">
        <f t="shared" ca="1" si="22"/>
        <v>3.8698423999999988E-2</v>
      </c>
      <c r="AD18" s="15">
        <f t="shared" ca="1" si="22"/>
        <v>4.0080691999999987E-2</v>
      </c>
      <c r="AE18" s="5"/>
      <c r="AG18" s="1" t="s">
        <v>59</v>
      </c>
      <c r="AH18" s="37">
        <f t="shared" ca="1" si="23"/>
        <v>22665.154725348162</v>
      </c>
      <c r="AI18" s="37">
        <f t="shared" ca="1" si="24"/>
        <v>23768.631644291836</v>
      </c>
      <c r="AJ18" s="37">
        <f t="shared" ca="1" si="25"/>
        <v>27145.884003917792</v>
      </c>
      <c r="AK18" s="37">
        <f t="shared" ca="1" si="25"/>
        <v>30700.996916564065</v>
      </c>
      <c r="AL18" s="37">
        <f t="shared" ca="1" si="25"/>
        <v>34480.310847177228</v>
      </c>
      <c r="AM18" s="37">
        <f t="shared" ca="1" si="25"/>
        <v>38489.228671083001</v>
      </c>
      <c r="AN18" s="37">
        <f t="shared" ca="1" si="25"/>
        <v>42731.189732170656</v>
      </c>
      <c r="AO18" s="37">
        <f t="shared" ca="1" si="25"/>
        <v>47211.096614286507</v>
      </c>
      <c r="AP18" s="37">
        <f t="shared" ca="1" si="25"/>
        <v>51900.660449899107</v>
      </c>
      <c r="AQ18" s="37">
        <f t="shared" ca="1" si="25"/>
        <v>56843.025862780138</v>
      </c>
      <c r="AR18" s="37">
        <f t="shared" ca="1" si="25"/>
        <v>62047.057186953716</v>
      </c>
      <c r="AS18" s="37">
        <f t="shared" ca="1" si="25"/>
        <v>67524.674216717904</v>
      </c>
      <c r="AT18" s="37">
        <f t="shared" ca="1" si="26"/>
        <v>73286.252906977214</v>
      </c>
      <c r="AU18" s="37">
        <f t="shared" ca="1" si="26"/>
        <v>79294.234961449532</v>
      </c>
      <c r="AV18" s="37">
        <f t="shared" ca="1" si="26"/>
        <v>85604.684430613866</v>
      </c>
      <c r="AW18" s="37">
        <f t="shared" ca="1" si="26"/>
        <v>92221.799614991847</v>
      </c>
      <c r="AX18" s="37">
        <f t="shared" ca="1" si="26"/>
        <v>99148.117582138424</v>
      </c>
      <c r="AY18" s="37">
        <f t="shared" ca="1" si="26"/>
        <v>106387.3474849894</v>
      </c>
      <c r="AZ18" s="37" t="e">
        <f t="shared" ca="1" si="26"/>
        <v>#N/A</v>
      </c>
      <c r="BA18" s="37" t="e">
        <f t="shared" ca="1" si="26"/>
        <v>#N/A</v>
      </c>
      <c r="BB18" s="37" t="e">
        <f t="shared" ca="1" si="26"/>
        <v>#N/A</v>
      </c>
    </row>
    <row r="19" spans="1:54" x14ac:dyDescent="0.25">
      <c r="B19" s="1" t="s">
        <v>171</v>
      </c>
      <c r="C19" s="14">
        <f ca="1">Condom_Base!C19</f>
        <v>1.34869E-2</v>
      </c>
      <c r="D19" s="14">
        <f ca="1">Condom_Base!D19</f>
        <v>2.0517999999999999E-3</v>
      </c>
      <c r="E19" s="14">
        <f ca="1">IF('User Settings'!$N$7="On",($D19-$C19)/($D$4-$C$4),0)</f>
        <v>-2.2870199999999999E-3</v>
      </c>
      <c r="F19" s="14">
        <f ca="1">Condom_Base!F19</f>
        <v>0</v>
      </c>
      <c r="G19" s="1"/>
      <c r="H19" s="14">
        <f ca="1">Condom_Base!H19</f>
        <v>0</v>
      </c>
      <c r="I19" s="14">
        <f t="shared" ca="1" si="27"/>
        <v>0</v>
      </c>
      <c r="J19" s="14">
        <f t="shared" ca="1" si="20"/>
        <v>2.2870199999999999E-3</v>
      </c>
      <c r="K19" s="14">
        <f t="shared" ca="1" si="21"/>
        <v>0</v>
      </c>
      <c r="L19" s="15">
        <f t="shared" ca="1" si="22"/>
        <v>0</v>
      </c>
      <c r="M19" s="15">
        <f t="shared" ca="1" si="22"/>
        <v>0</v>
      </c>
      <c r="N19" s="15">
        <f t="shared" ca="1" si="22"/>
        <v>0</v>
      </c>
      <c r="O19" s="15">
        <f t="shared" ca="1" si="22"/>
        <v>0</v>
      </c>
      <c r="P19" s="15">
        <f t="shared" ca="1" si="22"/>
        <v>0</v>
      </c>
      <c r="Q19" s="15">
        <f t="shared" ca="1" si="22"/>
        <v>0</v>
      </c>
      <c r="R19" s="15">
        <f t="shared" ca="1" si="22"/>
        <v>0</v>
      </c>
      <c r="S19" s="15">
        <f t="shared" ca="1" si="22"/>
        <v>0</v>
      </c>
      <c r="T19" s="15">
        <f t="shared" ca="1" si="22"/>
        <v>0</v>
      </c>
      <c r="U19" s="15">
        <f t="shared" ca="1" si="22"/>
        <v>0</v>
      </c>
      <c r="V19" s="15">
        <f t="shared" ca="1" si="22"/>
        <v>0</v>
      </c>
      <c r="W19" s="15">
        <f t="shared" ca="1" si="22"/>
        <v>0</v>
      </c>
      <c r="X19" s="15">
        <f t="shared" ca="1" si="22"/>
        <v>0</v>
      </c>
      <c r="Y19" s="15">
        <f t="shared" ca="1" si="22"/>
        <v>0</v>
      </c>
      <c r="Z19" s="15">
        <f t="shared" ca="1" si="22"/>
        <v>0</v>
      </c>
      <c r="AA19" s="15">
        <f t="shared" ca="1" si="22"/>
        <v>0</v>
      </c>
      <c r="AB19" s="15">
        <f t="shared" ca="1" si="22"/>
        <v>0</v>
      </c>
      <c r="AC19" s="15">
        <f t="shared" ca="1" si="22"/>
        <v>0</v>
      </c>
      <c r="AD19" s="15">
        <f t="shared" ca="1" si="22"/>
        <v>0</v>
      </c>
      <c r="AE19" s="5"/>
      <c r="AG19" s="1" t="s">
        <v>171</v>
      </c>
      <c r="AH19" s="37">
        <f t="shared" ca="1" si="23"/>
        <v>3788.3811909817982</v>
      </c>
      <c r="AI19" s="37">
        <f t="shared" ca="1" si="24"/>
        <v>0</v>
      </c>
      <c r="AJ19" s="37">
        <f t="shared" ca="1" si="25"/>
        <v>0</v>
      </c>
      <c r="AK19" s="37">
        <f t="shared" ca="1" si="25"/>
        <v>0</v>
      </c>
      <c r="AL19" s="37">
        <f t="shared" ca="1" si="25"/>
        <v>0</v>
      </c>
      <c r="AM19" s="37">
        <f t="shared" ca="1" si="25"/>
        <v>0</v>
      </c>
      <c r="AN19" s="37">
        <f t="shared" ca="1" si="25"/>
        <v>0</v>
      </c>
      <c r="AO19" s="37">
        <f t="shared" ca="1" si="25"/>
        <v>0</v>
      </c>
      <c r="AP19" s="37">
        <f t="shared" ca="1" si="25"/>
        <v>0</v>
      </c>
      <c r="AQ19" s="37">
        <f t="shared" ca="1" si="25"/>
        <v>0</v>
      </c>
      <c r="AR19" s="37">
        <f t="shared" ca="1" si="25"/>
        <v>0</v>
      </c>
      <c r="AS19" s="37">
        <f t="shared" ca="1" si="25"/>
        <v>0</v>
      </c>
      <c r="AT19" s="37">
        <f t="shared" ca="1" si="26"/>
        <v>0</v>
      </c>
      <c r="AU19" s="37">
        <f t="shared" ca="1" si="26"/>
        <v>0</v>
      </c>
      <c r="AV19" s="37">
        <f t="shared" ca="1" si="26"/>
        <v>0</v>
      </c>
      <c r="AW19" s="37">
        <f t="shared" ca="1" si="26"/>
        <v>0</v>
      </c>
      <c r="AX19" s="37">
        <f t="shared" ca="1" si="26"/>
        <v>0</v>
      </c>
      <c r="AY19" s="37">
        <f t="shared" ca="1" si="26"/>
        <v>0</v>
      </c>
      <c r="AZ19" s="37" t="e">
        <f t="shared" ca="1" si="26"/>
        <v>#N/A</v>
      </c>
      <c r="BA19" s="37" t="e">
        <f t="shared" ca="1" si="26"/>
        <v>#N/A</v>
      </c>
      <c r="BB19" s="37" t="e">
        <f t="shared" ca="1" si="26"/>
        <v>#N/A</v>
      </c>
    </row>
    <row r="20" spans="1:54" x14ac:dyDescent="0.25">
      <c r="B20" s="1" t="s">
        <v>116</v>
      </c>
      <c r="C20" s="14">
        <f ca="1">Condom_Base!C20</f>
        <v>4.9890000000000004E-3</v>
      </c>
      <c r="D20" s="14">
        <f ca="1">Condom_Base!D20</f>
        <v>3.8332000000000001E-3</v>
      </c>
      <c r="E20" s="14">
        <f ca="1">IF('User Settings'!$N$7="On",($D20-$C20)/($D$4-$C$4),0)</f>
        <v>-2.3116000000000006E-4</v>
      </c>
      <c r="F20" s="14">
        <f ca="1">Condom_Base!F20</f>
        <v>3.1397199999999999E-3</v>
      </c>
      <c r="G20" s="1" t="str">
        <f>"Shift_RurQ1"&amp;IF(Dashboard!$Q$4="Yes",$A$1,"")</f>
        <v>Shift_RurQ1</v>
      </c>
      <c r="H20" s="14">
        <f ca="1">Condom_Base!H20*(1-INDIRECT($G20))</f>
        <v>1.9569919999999998E-3</v>
      </c>
      <c r="I20" s="14">
        <f t="shared" ca="1" si="27"/>
        <v>-3.9424266666666669E-4</v>
      </c>
      <c r="J20" s="14">
        <f t="shared" ca="1" si="20"/>
        <v>3.3708800000000001E-3</v>
      </c>
      <c r="K20" s="14">
        <f t="shared" ca="1" si="21"/>
        <v>3.1397199999999999E-3</v>
      </c>
      <c r="L20" s="15">
        <f t="shared" ca="1" si="22"/>
        <v>2.7454773333333332E-3</v>
      </c>
      <c r="M20" s="15">
        <f t="shared" ca="1" si="22"/>
        <v>2.3512346666666665E-3</v>
      </c>
      <c r="N20" s="15">
        <f t="shared" ca="1" si="22"/>
        <v>1.9569919999999998E-3</v>
      </c>
      <c r="O20" s="15">
        <f t="shared" ca="1" si="22"/>
        <v>1.5627493333333332E-3</v>
      </c>
      <c r="P20" s="15">
        <f t="shared" ca="1" si="22"/>
        <v>1.1685066666666665E-3</v>
      </c>
      <c r="Q20" s="15">
        <f t="shared" ca="1" si="22"/>
        <v>7.7426399999999977E-4</v>
      </c>
      <c r="R20" s="15">
        <f t="shared" ca="1" si="22"/>
        <v>3.8002133333333308E-4</v>
      </c>
      <c r="S20" s="15">
        <f t="shared" ca="1" si="22"/>
        <v>0</v>
      </c>
      <c r="T20" s="15">
        <f t="shared" ca="1" si="22"/>
        <v>0</v>
      </c>
      <c r="U20" s="15">
        <f t="shared" ca="1" si="22"/>
        <v>0</v>
      </c>
      <c r="V20" s="15">
        <f t="shared" ca="1" si="22"/>
        <v>0</v>
      </c>
      <c r="W20" s="15">
        <f t="shared" ca="1" si="22"/>
        <v>0</v>
      </c>
      <c r="X20" s="15">
        <f t="shared" ca="1" si="22"/>
        <v>0</v>
      </c>
      <c r="Y20" s="15">
        <f t="shared" ca="1" si="22"/>
        <v>0</v>
      </c>
      <c r="Z20" s="15">
        <f t="shared" ca="1" si="22"/>
        <v>0</v>
      </c>
      <c r="AA20" s="15">
        <f t="shared" ca="1" si="22"/>
        <v>0</v>
      </c>
      <c r="AB20" s="15">
        <f t="shared" ca="1" si="22"/>
        <v>0</v>
      </c>
      <c r="AC20" s="15">
        <f t="shared" ca="1" si="22"/>
        <v>0</v>
      </c>
      <c r="AD20" s="15">
        <f t="shared" ca="1" si="22"/>
        <v>0</v>
      </c>
      <c r="AE20" s="5"/>
      <c r="AG20" s="1" t="s">
        <v>116</v>
      </c>
      <c r="AH20" s="37">
        <f t="shared" ca="1" si="23"/>
        <v>5583.76332041553</v>
      </c>
      <c r="AI20" s="37">
        <f t="shared" ca="1" si="24"/>
        <v>5400.8545728792233</v>
      </c>
      <c r="AJ20" s="37">
        <f t="shared" ca="1" si="25"/>
        <v>4903.2273981624185</v>
      </c>
      <c r="AK20" s="37">
        <f t="shared" ca="1" si="25"/>
        <v>4353.193596497571</v>
      </c>
      <c r="AL20" s="37">
        <f t="shared" ca="1" si="25"/>
        <v>3756.1887655966234</v>
      </c>
      <c r="AM20" s="37">
        <f t="shared" ca="1" si="25"/>
        <v>3109.0110198926805</v>
      </c>
      <c r="AN20" s="37">
        <f t="shared" ca="1" si="25"/>
        <v>2408.7908053494111</v>
      </c>
      <c r="AO20" s="37">
        <f t="shared" ca="1" si="25"/>
        <v>1653.1820653563532</v>
      </c>
      <c r="AP20" s="37">
        <f t="shared" ca="1" si="25"/>
        <v>839.52490406490915</v>
      </c>
      <c r="AQ20" s="37">
        <f t="shared" ca="1" si="25"/>
        <v>0</v>
      </c>
      <c r="AR20" s="37">
        <f t="shared" ca="1" si="25"/>
        <v>0</v>
      </c>
      <c r="AS20" s="37">
        <f t="shared" ca="1" si="25"/>
        <v>0</v>
      </c>
      <c r="AT20" s="37">
        <f t="shared" ca="1" si="26"/>
        <v>0</v>
      </c>
      <c r="AU20" s="37">
        <f t="shared" ca="1" si="26"/>
        <v>0</v>
      </c>
      <c r="AV20" s="37">
        <f t="shared" ca="1" si="26"/>
        <v>0</v>
      </c>
      <c r="AW20" s="37">
        <f t="shared" ca="1" si="26"/>
        <v>0</v>
      </c>
      <c r="AX20" s="37">
        <f t="shared" ca="1" si="26"/>
        <v>0</v>
      </c>
      <c r="AY20" s="37">
        <f t="shared" ca="1" si="26"/>
        <v>0</v>
      </c>
      <c r="AZ20" s="37" t="e">
        <f t="shared" ca="1" si="26"/>
        <v>#N/A</v>
      </c>
      <c r="BA20" s="37" t="e">
        <f t="shared" ca="1" si="26"/>
        <v>#N/A</v>
      </c>
      <c r="BB20" s="37" t="e">
        <f t="shared" ca="1" si="26"/>
        <v>#N/A</v>
      </c>
    </row>
    <row r="21" spans="1:54" x14ac:dyDescent="0.25">
      <c r="C21" s="5">
        <f ca="1">SUM(C15:C20)</f>
        <v>4.6219000000000003E-2</v>
      </c>
      <c r="D21" s="5">
        <f ca="1">SUM(D15:D20)</f>
        <v>3.4091200000000002E-2</v>
      </c>
      <c r="E21" s="131"/>
      <c r="F21" s="132">
        <f ca="1">SUM(F15:F20)</f>
        <v>3.2384059999999999E-2</v>
      </c>
      <c r="G21" s="146"/>
      <c r="H21" s="132">
        <f ca="1">Condom_Base!H21</f>
        <v>3.2934020000000001E-2</v>
      </c>
      <c r="I21" s="132"/>
      <c r="J21" s="132">
        <f ca="1">SUM(J15:J20)</f>
        <v>3.4809619999999999E-2</v>
      </c>
      <c r="K21" s="132">
        <f ca="1">SUM(K15:K20)</f>
        <v>3.2384059999999999E-2</v>
      </c>
      <c r="L21" s="5">
        <f t="shared" ref="L21:AD21" ca="1" si="28">SUM(L15:L20)</f>
        <v>3.256738E-2</v>
      </c>
      <c r="M21" s="5">
        <f t="shared" ca="1" si="28"/>
        <v>3.2750700000000001E-2</v>
      </c>
      <c r="N21" s="5">
        <f t="shared" ca="1" si="28"/>
        <v>3.2934020000000001E-2</v>
      </c>
      <c r="O21" s="5">
        <f t="shared" ca="1" si="28"/>
        <v>3.3117340000000002E-2</v>
      </c>
      <c r="P21" s="5">
        <f t="shared" ca="1" si="28"/>
        <v>3.3300659999999996E-2</v>
      </c>
      <c r="Q21" s="5">
        <f t="shared" ca="1" si="28"/>
        <v>3.3483979999999997E-2</v>
      </c>
      <c r="R21" s="5">
        <f t="shared" ca="1" si="28"/>
        <v>3.366729999999999E-2</v>
      </c>
      <c r="S21" s="5">
        <f t="shared" ca="1" si="28"/>
        <v>3.3864841333333326E-2</v>
      </c>
      <c r="T21" s="5">
        <f t="shared" ca="1" si="28"/>
        <v>3.4442403999999989E-2</v>
      </c>
      <c r="U21" s="5">
        <f t="shared" ca="1" si="28"/>
        <v>3.5019966666666659E-2</v>
      </c>
      <c r="V21" s="5">
        <f t="shared" ca="1" si="28"/>
        <v>3.5597529333333322E-2</v>
      </c>
      <c r="W21" s="5">
        <f t="shared" ca="1" si="28"/>
        <v>3.6175091999999985E-2</v>
      </c>
      <c r="X21" s="5">
        <f t="shared" ca="1" si="28"/>
        <v>3.6752654666666655E-2</v>
      </c>
      <c r="Y21" s="5">
        <f t="shared" ca="1" si="28"/>
        <v>3.7330217333333318E-2</v>
      </c>
      <c r="Z21" s="5">
        <f t="shared" ca="1" si="28"/>
        <v>3.7907779999999981E-2</v>
      </c>
      <c r="AA21" s="5">
        <f t="shared" ca="1" si="28"/>
        <v>3.8485342666666651E-2</v>
      </c>
      <c r="AB21" s="5">
        <f t="shared" ca="1" si="28"/>
        <v>3.9062905333333314E-2</v>
      </c>
      <c r="AC21" s="5">
        <f t="shared" ca="1" si="28"/>
        <v>3.9640467999999977E-2</v>
      </c>
      <c r="AD21" s="5">
        <f t="shared" ca="1" si="28"/>
        <v>4.0218030666666647E-2</v>
      </c>
      <c r="AE21" s="5"/>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H23" s="4" t="s">
        <v>167</v>
      </c>
      <c r="K23" s="205" t="str">
        <f t="shared" ref="K23:AD23" si="29">IF(K24=Yr_Start,"Start Year",IF(K24=Yr_End,"End Year",""))</f>
        <v>Start Year</v>
      </c>
      <c r="L23" s="205" t="str">
        <f t="shared" si="29"/>
        <v/>
      </c>
      <c r="M23" s="205" t="str">
        <f t="shared" si="29"/>
        <v/>
      </c>
      <c r="N23" s="205" t="str">
        <f t="shared" si="29"/>
        <v>End Year</v>
      </c>
      <c r="O23" s="205" t="str">
        <f t="shared" si="29"/>
        <v/>
      </c>
      <c r="P23" s="205" t="str">
        <f t="shared" si="29"/>
        <v/>
      </c>
      <c r="Q23" s="205" t="str">
        <f t="shared" si="29"/>
        <v/>
      </c>
      <c r="R23" s="205" t="str">
        <f t="shared" si="29"/>
        <v/>
      </c>
      <c r="S23" s="205" t="str">
        <f t="shared" si="29"/>
        <v/>
      </c>
      <c r="T23" s="205" t="str">
        <f t="shared" si="29"/>
        <v/>
      </c>
      <c r="U23" s="205" t="str">
        <f t="shared" si="29"/>
        <v/>
      </c>
      <c r="V23" s="205" t="str">
        <f t="shared" si="29"/>
        <v/>
      </c>
      <c r="W23" s="205" t="str">
        <f t="shared" si="29"/>
        <v/>
      </c>
      <c r="X23" s="205" t="str">
        <f t="shared" si="29"/>
        <v/>
      </c>
      <c r="Y23" s="205" t="str">
        <f t="shared" si="29"/>
        <v/>
      </c>
      <c r="Z23" s="205" t="str">
        <f t="shared" si="29"/>
        <v/>
      </c>
      <c r="AA23" s="205" t="str">
        <f t="shared" si="29"/>
        <v/>
      </c>
      <c r="AB23" s="205" t="str">
        <f t="shared" si="29"/>
        <v/>
      </c>
      <c r="AC23" s="205" t="str">
        <f t="shared" si="29"/>
        <v/>
      </c>
      <c r="AD23" s="205" t="str">
        <f t="shared" si="29"/>
        <v/>
      </c>
      <c r="AE23" s="35"/>
      <c r="AF23" s="6" t="str">
        <f>A23</f>
        <v>Richer</v>
      </c>
      <c r="AI23" s="205" t="str">
        <f t="shared" ref="AI23:BB23" si="30">IF(AI24=Yr_Start,"Start Year",IF(AI24=Yr_End,"End Year",""))</f>
        <v>Start Year</v>
      </c>
      <c r="AJ23" s="205" t="str">
        <f t="shared" si="30"/>
        <v/>
      </c>
      <c r="AK23" s="205" t="str">
        <f t="shared" si="30"/>
        <v/>
      </c>
      <c r="AL23" s="205" t="str">
        <f t="shared" si="30"/>
        <v>End Year</v>
      </c>
      <c r="AM23" s="205" t="str">
        <f t="shared" si="30"/>
        <v/>
      </c>
      <c r="AN23" s="205" t="str">
        <f t="shared" si="30"/>
        <v/>
      </c>
      <c r="AO23" s="205" t="str">
        <f t="shared" si="30"/>
        <v/>
      </c>
      <c r="AP23" s="205" t="str">
        <f t="shared" si="30"/>
        <v/>
      </c>
      <c r="AQ23" s="205" t="str">
        <f t="shared" si="30"/>
        <v/>
      </c>
      <c r="AR23" s="205" t="str">
        <f t="shared" si="30"/>
        <v/>
      </c>
      <c r="AS23" s="205" t="str">
        <f t="shared" si="30"/>
        <v/>
      </c>
      <c r="AT23" s="205" t="str">
        <f t="shared" si="30"/>
        <v/>
      </c>
      <c r="AU23" s="205" t="str">
        <f t="shared" si="30"/>
        <v/>
      </c>
      <c r="AV23" s="205" t="str">
        <f t="shared" si="30"/>
        <v/>
      </c>
      <c r="AW23" s="205" t="str">
        <f t="shared" si="30"/>
        <v/>
      </c>
      <c r="AX23" s="205" t="str">
        <f t="shared" si="30"/>
        <v/>
      </c>
      <c r="AY23" s="205" t="str">
        <f t="shared" si="30"/>
        <v/>
      </c>
      <c r="AZ23" s="205" t="str">
        <f t="shared" si="30"/>
        <v/>
      </c>
      <c r="BA23" s="205" t="str">
        <f t="shared" si="30"/>
        <v/>
      </c>
      <c r="BB23" s="205" t="str">
        <f t="shared" si="30"/>
        <v/>
      </c>
    </row>
    <row r="24" spans="1:54" x14ac:dyDescent="0.25">
      <c r="A24" s="6" t="s">
        <v>20</v>
      </c>
      <c r="B24" s="36"/>
      <c r="C24" s="36">
        <f>Yr_DHS1</f>
        <v>2011</v>
      </c>
      <c r="D24" s="36">
        <f>Yr_DHS2</f>
        <v>2016</v>
      </c>
      <c r="E24" s="36" t="s">
        <v>168</v>
      </c>
      <c r="F24" s="36">
        <f>Yr_Start</f>
        <v>2019</v>
      </c>
      <c r="G24" s="127"/>
      <c r="H24" s="36">
        <f>Yr_End</f>
        <v>2022</v>
      </c>
      <c r="I24" s="36" t="s">
        <v>169</v>
      </c>
      <c r="J24" s="130">
        <f>K24-1</f>
        <v>2018</v>
      </c>
      <c r="K24" s="130">
        <f>Yr_Start</f>
        <v>2019</v>
      </c>
      <c r="L24" s="130">
        <f>K24+1</f>
        <v>2020</v>
      </c>
      <c r="M24" s="130">
        <f t="shared" ref="M24:AD24" si="31">L24+1</f>
        <v>2021</v>
      </c>
      <c r="N24" s="130">
        <f t="shared" si="31"/>
        <v>2022</v>
      </c>
      <c r="O24" s="130">
        <f t="shared" si="31"/>
        <v>2023</v>
      </c>
      <c r="P24" s="130">
        <f t="shared" si="31"/>
        <v>2024</v>
      </c>
      <c r="Q24" s="130">
        <f t="shared" si="31"/>
        <v>2025</v>
      </c>
      <c r="R24" s="130">
        <f t="shared" si="31"/>
        <v>2026</v>
      </c>
      <c r="S24" s="130">
        <f t="shared" si="31"/>
        <v>2027</v>
      </c>
      <c r="T24" s="130">
        <f t="shared" si="31"/>
        <v>2028</v>
      </c>
      <c r="U24" s="130">
        <f t="shared" si="31"/>
        <v>2029</v>
      </c>
      <c r="V24" s="130">
        <f t="shared" si="31"/>
        <v>2030</v>
      </c>
      <c r="W24" s="130">
        <f t="shared" si="31"/>
        <v>2031</v>
      </c>
      <c r="X24" s="130">
        <f t="shared" si="31"/>
        <v>2032</v>
      </c>
      <c r="Y24" s="130">
        <f t="shared" si="31"/>
        <v>2033</v>
      </c>
      <c r="Z24" s="130">
        <f t="shared" si="31"/>
        <v>2034</v>
      </c>
      <c r="AA24" s="130">
        <f t="shared" si="31"/>
        <v>2035</v>
      </c>
      <c r="AB24" s="130">
        <f t="shared" si="31"/>
        <v>2036</v>
      </c>
      <c r="AC24" s="130">
        <f t="shared" si="31"/>
        <v>2037</v>
      </c>
      <c r="AD24" s="130">
        <f t="shared" si="31"/>
        <v>2038</v>
      </c>
      <c r="AE24" s="6"/>
      <c r="AF24" s="6" t="str">
        <f>A24</f>
        <v>Urban</v>
      </c>
      <c r="AG24" s="38"/>
      <c r="AH24" s="161">
        <f>AI24-1</f>
        <v>2018</v>
      </c>
      <c r="AI24" s="36">
        <f>Yr_Start</f>
        <v>2019</v>
      </c>
      <c r="AJ24" s="36">
        <f>AI24+1</f>
        <v>2020</v>
      </c>
      <c r="AK24" s="36">
        <f t="shared" ref="AK24:BB24" si="32">AJ24+1</f>
        <v>2021</v>
      </c>
      <c r="AL24" s="36">
        <f t="shared" si="32"/>
        <v>2022</v>
      </c>
      <c r="AM24" s="36">
        <f t="shared" si="32"/>
        <v>2023</v>
      </c>
      <c r="AN24" s="36">
        <f t="shared" si="32"/>
        <v>2024</v>
      </c>
      <c r="AO24" s="36">
        <f t="shared" si="32"/>
        <v>2025</v>
      </c>
      <c r="AP24" s="36">
        <f t="shared" si="32"/>
        <v>2026</v>
      </c>
      <c r="AQ24" s="36">
        <f t="shared" si="32"/>
        <v>2027</v>
      </c>
      <c r="AR24" s="36">
        <f t="shared" si="32"/>
        <v>2028</v>
      </c>
      <c r="AS24" s="36">
        <f t="shared" si="32"/>
        <v>2029</v>
      </c>
      <c r="AT24" s="36">
        <f t="shared" si="32"/>
        <v>2030</v>
      </c>
      <c r="AU24" s="36">
        <f t="shared" si="32"/>
        <v>2031</v>
      </c>
      <c r="AV24" s="36">
        <f t="shared" si="32"/>
        <v>2032</v>
      </c>
      <c r="AW24" s="36">
        <f t="shared" si="32"/>
        <v>2033</v>
      </c>
      <c r="AX24" s="36">
        <f t="shared" si="32"/>
        <v>2034</v>
      </c>
      <c r="AY24" s="36">
        <f t="shared" si="32"/>
        <v>2035</v>
      </c>
      <c r="AZ24" s="36">
        <f t="shared" si="32"/>
        <v>2036</v>
      </c>
      <c r="BA24" s="36">
        <f t="shared" si="32"/>
        <v>2037</v>
      </c>
      <c r="BB24" s="36">
        <f t="shared" si="32"/>
        <v>2038</v>
      </c>
    </row>
    <row r="25" spans="1:54" x14ac:dyDescent="0.25">
      <c r="B25" s="1" t="s">
        <v>52</v>
      </c>
      <c r="C25" s="14">
        <f ca="1">Condom_Base!C25</f>
        <v>9.2235000000000008E-3</v>
      </c>
      <c r="D25" s="14">
        <f ca="1">Condom_Base!D25</f>
        <v>1.58844E-2</v>
      </c>
      <c r="E25" s="14">
        <f ca="1">IF('User Settings'!$N$7="On",($D25-$C25)/($D$4-$C$4),0)</f>
        <v>1.3321799999999999E-3</v>
      </c>
      <c r="F25" s="14">
        <f ca="1">Condom_Base!F25</f>
        <v>1.988094E-2</v>
      </c>
      <c r="G25" s="1" t="str">
        <f>"Shift_UrbQ2"&amp;IF(Dashboard!$Q$4="Yes",$A$1,"")</f>
        <v>Shift_UrbQ2</v>
      </c>
      <c r="H25" s="14">
        <f ca="1">Condom_Base!H25*(1-INDIRECT($G25))</f>
        <v>1.7908109999999998E-2</v>
      </c>
      <c r="I25" s="14">
        <f ca="1">($H25-$F25)/($H$4-$F$4)</f>
        <v>-6.5761000000000064E-4</v>
      </c>
      <c r="J25" s="14">
        <f ca="1">K25-E25</f>
        <v>1.8548760000000001E-2</v>
      </c>
      <c r="K25" s="14">
        <f ca="1">MAX(0,MIN(1,D25+(K$4-D$4)*E25))</f>
        <v>1.988094E-2</v>
      </c>
      <c r="L25" s="15">
        <f ca="1">MAX(0,MIN(1,K25+$I25))</f>
        <v>1.922333E-2</v>
      </c>
      <c r="M25" s="15">
        <f t="shared" ref="M25:AD25" ca="1" si="33">MAX(0,MIN(1,L25+$I25))</f>
        <v>1.8565720000000001E-2</v>
      </c>
      <c r="N25" s="15">
        <f ca="1">MAX(0,MIN(1,M25+$I25))</f>
        <v>1.7908110000000001E-2</v>
      </c>
      <c r="O25" s="15">
        <f t="shared" ca="1" si="33"/>
        <v>1.7250500000000002E-2</v>
      </c>
      <c r="P25" s="15">
        <f t="shared" ca="1" si="33"/>
        <v>1.6592890000000002E-2</v>
      </c>
      <c r="Q25" s="15">
        <f t="shared" ca="1" si="33"/>
        <v>1.5935280000000003E-2</v>
      </c>
      <c r="R25" s="15">
        <f t="shared" ca="1" si="33"/>
        <v>1.5277670000000002E-2</v>
      </c>
      <c r="S25" s="15">
        <f t="shared" ca="1" si="33"/>
        <v>1.4620060000000001E-2</v>
      </c>
      <c r="T25" s="15">
        <f t="shared" ca="1" si="33"/>
        <v>1.396245E-2</v>
      </c>
      <c r="U25" s="15">
        <f t="shared" ca="1" si="33"/>
        <v>1.3304839999999998E-2</v>
      </c>
      <c r="V25" s="15">
        <f t="shared" ca="1" si="33"/>
        <v>1.2647229999999997E-2</v>
      </c>
      <c r="W25" s="15">
        <f t="shared" ca="1" si="33"/>
        <v>1.1989619999999996E-2</v>
      </c>
      <c r="X25" s="15">
        <f t="shared" ca="1" si="33"/>
        <v>1.1332009999999995E-2</v>
      </c>
      <c r="Y25" s="15">
        <f t="shared" ca="1" si="33"/>
        <v>1.0674399999999994E-2</v>
      </c>
      <c r="Z25" s="15">
        <f t="shared" ca="1" si="33"/>
        <v>1.0016789999999992E-2</v>
      </c>
      <c r="AA25" s="15">
        <f t="shared" ca="1" si="33"/>
        <v>9.3591799999999913E-3</v>
      </c>
      <c r="AB25" s="15">
        <f t="shared" ca="1" si="33"/>
        <v>8.7015699999999901E-3</v>
      </c>
      <c r="AC25" s="15">
        <f t="shared" ca="1" si="33"/>
        <v>8.0439599999999889E-3</v>
      </c>
      <c r="AD25" s="15">
        <f t="shared" ca="1" si="33"/>
        <v>7.3863499999999886E-3</v>
      </c>
      <c r="AE25" s="5"/>
      <c r="AG25" s="1" t="s">
        <v>52</v>
      </c>
      <c r="AH25" s="37">
        <f ca="1">J25*AH$31</f>
        <v>11180.521179945516</v>
      </c>
      <c r="AI25" s="37">
        <f t="shared" ref="AI25:AI30" ca="1" si="34">K25*AI$31</f>
        <v>12444.341941784036</v>
      </c>
      <c r="AJ25" s="37">
        <f t="shared" ref="AJ25:AS30" ca="1" si="35">L25*AJ$31</f>
        <v>12492.698288963662</v>
      </c>
      <c r="AK25" s="37">
        <f t="shared" ca="1" si="35"/>
        <v>12507.982332523039</v>
      </c>
      <c r="AL25" s="37">
        <f t="shared" ca="1" si="35"/>
        <v>12507.530482173683</v>
      </c>
      <c r="AM25" s="37">
        <f t="shared" ca="1" si="35"/>
        <v>12488.149353359444</v>
      </c>
      <c r="AN25" s="37">
        <f t="shared" ca="1" si="35"/>
        <v>12446.675922699815</v>
      </c>
      <c r="AO25" s="37">
        <f t="shared" ca="1" si="35"/>
        <v>12380.972948375716</v>
      </c>
      <c r="AP25" s="37">
        <f t="shared" ca="1" si="35"/>
        <v>12281.352279185068</v>
      </c>
      <c r="AQ25" s="37">
        <f t="shared" ca="1" si="35"/>
        <v>12156.644645032326</v>
      </c>
      <c r="AR25" s="37">
        <f t="shared" ca="1" si="35"/>
        <v>12005.615610584468</v>
      </c>
      <c r="AS25" s="37">
        <f t="shared" ca="1" si="35"/>
        <v>11827.505892405321</v>
      </c>
      <c r="AT25" s="37">
        <f t="shared" ref="AT25:BB30" ca="1" si="36">V25*AT$31</f>
        <v>11621.062929928539</v>
      </c>
      <c r="AU25" s="37">
        <f t="shared" ca="1" si="36"/>
        <v>11378.057130074865</v>
      </c>
      <c r="AV25" s="37">
        <f t="shared" ca="1" si="36"/>
        <v>11104.966369696716</v>
      </c>
      <c r="AW25" s="37">
        <f t="shared" ca="1" si="36"/>
        <v>10799.497198299787</v>
      </c>
      <c r="AX25" s="37">
        <f t="shared" ca="1" si="36"/>
        <v>10459.431618363942</v>
      </c>
      <c r="AY25" s="37">
        <f t="shared" ca="1" si="36"/>
        <v>10082.936415989036</v>
      </c>
      <c r="AZ25" s="37" t="e">
        <f t="shared" ca="1" si="36"/>
        <v>#N/A</v>
      </c>
      <c r="BA25" s="37" t="e">
        <f t="shared" ca="1" si="36"/>
        <v>#N/A</v>
      </c>
      <c r="BB25" s="37" t="e">
        <f t="shared" ca="1" si="36"/>
        <v>#N/A</v>
      </c>
    </row>
    <row r="26" spans="1:54" x14ac:dyDescent="0.25">
      <c r="B26" s="1" t="s">
        <v>54</v>
      </c>
      <c r="C26" s="14">
        <f ca="1">Condom_Base!C26</f>
        <v>1.0977000000000001E-2</v>
      </c>
      <c r="D26" s="14">
        <f ca="1">Condom_Base!D26</f>
        <v>5.3459999999999998E-4</v>
      </c>
      <c r="E26" s="14">
        <f ca="1">IF('User Settings'!$N$7="On",($D26-$C26)/($D$4-$C$4),0)</f>
        <v>-2.0884800000000002E-3</v>
      </c>
      <c r="F26" s="14">
        <f ca="1">Condom_Base!F26</f>
        <v>0</v>
      </c>
      <c r="G26" s="1" t="str">
        <f>"Shift_UrbQ2"&amp;IF(Dashboard!$Q$4="Yes",$A$1,"")</f>
        <v>Shift_UrbQ2</v>
      </c>
      <c r="H26" s="14">
        <f ca="1">Condom_Base!H26*(1-INDIRECT($G26))</f>
        <v>0</v>
      </c>
      <c r="I26" s="14">
        <f ca="1">($H26-$F26)/($H$4-$F$4)</f>
        <v>0</v>
      </c>
      <c r="J26" s="14">
        <f t="shared" ref="J26:J30" ca="1" si="37">K26-E26</f>
        <v>2.0884800000000002E-3</v>
      </c>
      <c r="K26" s="14">
        <f t="shared" ref="K26:K30" ca="1" si="38">MAX(0,MIN(1,D26+(K$4-D$4)*E26))</f>
        <v>0</v>
      </c>
      <c r="L26" s="15">
        <f t="shared" ref="L26:AD30" ca="1" si="39">MAX(0,MIN(1,K26+$I26))</f>
        <v>0</v>
      </c>
      <c r="M26" s="15">
        <f t="shared" ca="1" si="39"/>
        <v>0</v>
      </c>
      <c r="N26" s="15">
        <f t="shared" ca="1" si="39"/>
        <v>0</v>
      </c>
      <c r="O26" s="15">
        <f t="shared" ca="1" si="39"/>
        <v>0</v>
      </c>
      <c r="P26" s="15">
        <f t="shared" ca="1" si="39"/>
        <v>0</v>
      </c>
      <c r="Q26" s="15">
        <f t="shared" ca="1" si="39"/>
        <v>0</v>
      </c>
      <c r="R26" s="15">
        <f t="shared" ca="1" si="39"/>
        <v>0</v>
      </c>
      <c r="S26" s="15">
        <f t="shared" ca="1" si="39"/>
        <v>0</v>
      </c>
      <c r="T26" s="15">
        <f t="shared" ca="1" si="39"/>
        <v>0</v>
      </c>
      <c r="U26" s="15">
        <f t="shared" ca="1" si="39"/>
        <v>0</v>
      </c>
      <c r="V26" s="15">
        <f t="shared" ca="1" si="39"/>
        <v>0</v>
      </c>
      <c r="W26" s="15">
        <f t="shared" ca="1" si="39"/>
        <v>0</v>
      </c>
      <c r="X26" s="15">
        <f t="shared" ca="1" si="39"/>
        <v>0</v>
      </c>
      <c r="Y26" s="15">
        <f t="shared" ca="1" si="39"/>
        <v>0</v>
      </c>
      <c r="Z26" s="15">
        <f t="shared" ca="1" si="39"/>
        <v>0</v>
      </c>
      <c r="AA26" s="15">
        <f t="shared" ca="1" si="39"/>
        <v>0</v>
      </c>
      <c r="AB26" s="15">
        <f t="shared" ca="1" si="39"/>
        <v>0</v>
      </c>
      <c r="AC26" s="15">
        <f t="shared" ca="1" si="39"/>
        <v>0</v>
      </c>
      <c r="AD26" s="15">
        <f t="shared" ca="1" si="39"/>
        <v>0</v>
      </c>
      <c r="AE26" s="5"/>
      <c r="AG26" s="1" t="s">
        <v>54</v>
      </c>
      <c r="AH26" s="37">
        <f t="shared" ref="AH26:AH30" ca="1" si="40">J26*AH$31</f>
        <v>1258.8601542039798</v>
      </c>
      <c r="AI26" s="37">
        <f t="shared" ca="1" si="34"/>
        <v>0</v>
      </c>
      <c r="AJ26" s="37">
        <f t="shared" ca="1" si="35"/>
        <v>0</v>
      </c>
      <c r="AK26" s="37">
        <f t="shared" ca="1" si="35"/>
        <v>0</v>
      </c>
      <c r="AL26" s="37">
        <f t="shared" ca="1" si="35"/>
        <v>0</v>
      </c>
      <c r="AM26" s="37">
        <f t="shared" ca="1" si="35"/>
        <v>0</v>
      </c>
      <c r="AN26" s="37">
        <f t="shared" ca="1" si="35"/>
        <v>0</v>
      </c>
      <c r="AO26" s="37">
        <f t="shared" ca="1" si="35"/>
        <v>0</v>
      </c>
      <c r="AP26" s="37">
        <f t="shared" ca="1" si="35"/>
        <v>0</v>
      </c>
      <c r="AQ26" s="37">
        <f t="shared" ca="1" si="35"/>
        <v>0</v>
      </c>
      <c r="AR26" s="37">
        <f t="shared" ca="1" si="35"/>
        <v>0</v>
      </c>
      <c r="AS26" s="37">
        <f t="shared" ca="1" si="35"/>
        <v>0</v>
      </c>
      <c r="AT26" s="37">
        <f t="shared" ca="1" si="36"/>
        <v>0</v>
      </c>
      <c r="AU26" s="37">
        <f t="shared" ca="1" si="36"/>
        <v>0</v>
      </c>
      <c r="AV26" s="37">
        <f t="shared" ca="1" si="36"/>
        <v>0</v>
      </c>
      <c r="AW26" s="37">
        <f t="shared" ca="1" si="36"/>
        <v>0</v>
      </c>
      <c r="AX26" s="37">
        <f t="shared" ca="1" si="36"/>
        <v>0</v>
      </c>
      <c r="AY26" s="37">
        <f t="shared" ca="1" si="36"/>
        <v>0</v>
      </c>
      <c r="AZ26" s="37" t="e">
        <f t="shared" ca="1" si="36"/>
        <v>#N/A</v>
      </c>
      <c r="BA26" s="37" t="e">
        <f t="shared" ca="1" si="36"/>
        <v>#N/A</v>
      </c>
      <c r="BB26" s="37" t="e">
        <f t="shared" ca="1" si="36"/>
        <v>#N/A</v>
      </c>
    </row>
    <row r="27" spans="1:54" x14ac:dyDescent="0.25">
      <c r="B27" s="1" t="s">
        <v>170</v>
      </c>
      <c r="C27" s="14">
        <f ca="1">Condom_Base!C27</f>
        <v>1.5233E-3</v>
      </c>
      <c r="D27" s="14">
        <f ca="1">Condom_Base!D27</f>
        <v>0</v>
      </c>
      <c r="E27" s="14">
        <f ca="1">IF('User Settings'!$N$7="On",($D27-$C27)/($D$4-$C$4),0)</f>
        <v>-3.0466E-4</v>
      </c>
      <c r="F27" s="14">
        <f ca="1">Condom_Base!F27</f>
        <v>0</v>
      </c>
      <c r="G27" s="1" t="str">
        <f>"Shift_UrbQ2"&amp;IF(Dashboard!$Q$4="Yes",$A$1,"")</f>
        <v>Shift_UrbQ2</v>
      </c>
      <c r="H27" s="14">
        <f ca="1">Condom_Base!H27*(1-INDIRECT($G27))</f>
        <v>0</v>
      </c>
      <c r="I27" s="14">
        <f t="shared" ref="I27:I30" ca="1" si="41">($H27-$F27)/($H$4-$F$4)</f>
        <v>0</v>
      </c>
      <c r="J27" s="14">
        <f t="shared" ca="1" si="37"/>
        <v>3.0466E-4</v>
      </c>
      <c r="K27" s="14">
        <f t="shared" ca="1" si="38"/>
        <v>0</v>
      </c>
      <c r="L27" s="15">
        <f t="shared" ca="1" si="39"/>
        <v>0</v>
      </c>
      <c r="M27" s="15">
        <f t="shared" ca="1" si="39"/>
        <v>0</v>
      </c>
      <c r="N27" s="15">
        <f t="shared" ca="1" si="39"/>
        <v>0</v>
      </c>
      <c r="O27" s="15">
        <f t="shared" ca="1" si="39"/>
        <v>0</v>
      </c>
      <c r="P27" s="15">
        <f t="shared" ca="1" si="39"/>
        <v>0</v>
      </c>
      <c r="Q27" s="15">
        <f t="shared" ca="1" si="39"/>
        <v>0</v>
      </c>
      <c r="R27" s="15">
        <f t="shared" ca="1" si="39"/>
        <v>0</v>
      </c>
      <c r="S27" s="15">
        <f t="shared" ca="1" si="39"/>
        <v>0</v>
      </c>
      <c r="T27" s="15">
        <f t="shared" ca="1" si="39"/>
        <v>0</v>
      </c>
      <c r="U27" s="15">
        <f t="shared" ca="1" si="39"/>
        <v>0</v>
      </c>
      <c r="V27" s="15">
        <f t="shared" ca="1" si="39"/>
        <v>0</v>
      </c>
      <c r="W27" s="15">
        <f t="shared" ca="1" si="39"/>
        <v>0</v>
      </c>
      <c r="X27" s="15">
        <f t="shared" ca="1" si="39"/>
        <v>0</v>
      </c>
      <c r="Y27" s="15">
        <f t="shared" ca="1" si="39"/>
        <v>0</v>
      </c>
      <c r="Z27" s="15">
        <f t="shared" ca="1" si="39"/>
        <v>0</v>
      </c>
      <c r="AA27" s="15">
        <f t="shared" ca="1" si="39"/>
        <v>0</v>
      </c>
      <c r="AB27" s="15">
        <f t="shared" ca="1" si="39"/>
        <v>0</v>
      </c>
      <c r="AC27" s="15">
        <f t="shared" ca="1" si="39"/>
        <v>0</v>
      </c>
      <c r="AD27" s="15">
        <f t="shared" ca="1" si="39"/>
        <v>0</v>
      </c>
      <c r="AE27" s="5"/>
      <c r="AG27" s="1" t="s">
        <v>170</v>
      </c>
      <c r="AH27" s="37">
        <f t="shared" ca="1" si="40"/>
        <v>183.63802123064835</v>
      </c>
      <c r="AI27" s="37">
        <f t="shared" ca="1" si="34"/>
        <v>0</v>
      </c>
      <c r="AJ27" s="37">
        <f t="shared" ca="1" si="35"/>
        <v>0</v>
      </c>
      <c r="AK27" s="37">
        <f t="shared" ca="1" si="35"/>
        <v>0</v>
      </c>
      <c r="AL27" s="37">
        <f t="shared" ca="1" si="35"/>
        <v>0</v>
      </c>
      <c r="AM27" s="37">
        <f t="shared" ca="1" si="35"/>
        <v>0</v>
      </c>
      <c r="AN27" s="37">
        <f t="shared" ca="1" si="35"/>
        <v>0</v>
      </c>
      <c r="AO27" s="37">
        <f t="shared" ca="1" si="35"/>
        <v>0</v>
      </c>
      <c r="AP27" s="37">
        <f t="shared" ca="1" si="35"/>
        <v>0</v>
      </c>
      <c r="AQ27" s="37">
        <f t="shared" ca="1" si="35"/>
        <v>0</v>
      </c>
      <c r="AR27" s="37">
        <f t="shared" ca="1" si="35"/>
        <v>0</v>
      </c>
      <c r="AS27" s="37">
        <f t="shared" ca="1" si="35"/>
        <v>0</v>
      </c>
      <c r="AT27" s="37">
        <f t="shared" ca="1" si="36"/>
        <v>0</v>
      </c>
      <c r="AU27" s="37">
        <f t="shared" ca="1" si="36"/>
        <v>0</v>
      </c>
      <c r="AV27" s="37">
        <f t="shared" ca="1" si="36"/>
        <v>0</v>
      </c>
      <c r="AW27" s="37">
        <f t="shared" ca="1" si="36"/>
        <v>0</v>
      </c>
      <c r="AX27" s="37">
        <f t="shared" ca="1" si="36"/>
        <v>0</v>
      </c>
      <c r="AY27" s="37">
        <f t="shared" ca="1" si="36"/>
        <v>0</v>
      </c>
      <c r="AZ27" s="37" t="e">
        <f t="shared" ca="1" si="36"/>
        <v>#N/A</v>
      </c>
      <c r="BA27" s="37" t="e">
        <f t="shared" ca="1" si="36"/>
        <v>#N/A</v>
      </c>
      <c r="BB27" s="37" t="e">
        <f t="shared" ca="1" si="36"/>
        <v>#N/A</v>
      </c>
    </row>
    <row r="28" spans="1:54" x14ac:dyDescent="0.25">
      <c r="B28" s="1" t="s">
        <v>59</v>
      </c>
      <c r="C28" s="14">
        <f ca="1">Condom_Base!C28</f>
        <v>1.7795999999999999E-2</v>
      </c>
      <c r="D28" s="14">
        <f ca="1">Condom_Base!D28</f>
        <v>2.75567E-2</v>
      </c>
      <c r="E28" s="14">
        <f ca="1">IF('User Settings'!$N$7="On",($D28-$C28)/($D$4-$C$4),0)</f>
        <v>1.9521400000000002E-3</v>
      </c>
      <c r="F28" s="14">
        <f ca="1">Condom_Base!F28</f>
        <v>3.3413120000000004E-2</v>
      </c>
      <c r="H28" s="14">
        <f ca="1">H31-SUM($H25:$H27,$H29:$H30)</f>
        <v>4.523891E-2</v>
      </c>
      <c r="I28" s="14">
        <f t="shared" ca="1" si="41"/>
        <v>3.9419299999999989E-3</v>
      </c>
      <c r="J28" s="14">
        <f t="shared" ca="1" si="37"/>
        <v>3.1460980000000006E-2</v>
      </c>
      <c r="K28" s="14">
        <f t="shared" ca="1" si="38"/>
        <v>3.3413120000000004E-2</v>
      </c>
      <c r="L28" s="15">
        <f t="shared" ca="1" si="39"/>
        <v>3.7355050000000001E-2</v>
      </c>
      <c r="M28" s="15">
        <f t="shared" ca="1" si="39"/>
        <v>4.1296979999999997E-2</v>
      </c>
      <c r="N28" s="15">
        <f t="shared" ca="1" si="39"/>
        <v>4.5238909999999993E-2</v>
      </c>
      <c r="O28" s="15">
        <f t="shared" ca="1" si="39"/>
        <v>4.918083999999999E-2</v>
      </c>
      <c r="P28" s="15">
        <f t="shared" ca="1" si="39"/>
        <v>5.3122769999999986E-2</v>
      </c>
      <c r="Q28" s="15">
        <f t="shared" ca="1" si="39"/>
        <v>5.7064699999999982E-2</v>
      </c>
      <c r="R28" s="15">
        <f t="shared" ca="1" si="39"/>
        <v>6.1006629999999978E-2</v>
      </c>
      <c r="S28" s="15">
        <f t="shared" ca="1" si="39"/>
        <v>6.4948559999999975E-2</v>
      </c>
      <c r="T28" s="15">
        <f t="shared" ca="1" si="39"/>
        <v>6.8890489999999971E-2</v>
      </c>
      <c r="U28" s="15">
        <f t="shared" ca="1" si="39"/>
        <v>7.2832419999999967E-2</v>
      </c>
      <c r="V28" s="15">
        <f t="shared" ca="1" si="39"/>
        <v>7.6774349999999963E-2</v>
      </c>
      <c r="W28" s="15">
        <f t="shared" ca="1" si="39"/>
        <v>8.071627999999996E-2</v>
      </c>
      <c r="X28" s="15">
        <f t="shared" ca="1" si="39"/>
        <v>8.4658209999999956E-2</v>
      </c>
      <c r="Y28" s="15">
        <f t="shared" ca="1" si="39"/>
        <v>8.8600139999999952E-2</v>
      </c>
      <c r="Z28" s="15">
        <f t="shared" ca="1" si="39"/>
        <v>9.2542069999999949E-2</v>
      </c>
      <c r="AA28" s="15">
        <f t="shared" ca="1" si="39"/>
        <v>9.6483999999999945E-2</v>
      </c>
      <c r="AB28" s="15">
        <f t="shared" ca="1" si="39"/>
        <v>0.10042592999999994</v>
      </c>
      <c r="AC28" s="15">
        <f t="shared" ca="1" si="39"/>
        <v>0.10436785999999994</v>
      </c>
      <c r="AD28" s="15">
        <f t="shared" ca="1" si="39"/>
        <v>0.10830978999999993</v>
      </c>
      <c r="AE28" s="5"/>
      <c r="AG28" s="1" t="s">
        <v>59</v>
      </c>
      <c r="AH28" s="37">
        <f t="shared" ca="1" si="40"/>
        <v>18963.540055067959</v>
      </c>
      <c r="AI28" s="37">
        <f t="shared" ca="1" si="34"/>
        <v>20914.71985841027</v>
      </c>
      <c r="AJ28" s="37">
        <f t="shared" ca="1" si="35"/>
        <v>24275.990123415249</v>
      </c>
      <c r="AK28" s="37">
        <f t="shared" ca="1" si="35"/>
        <v>27822.346573499828</v>
      </c>
      <c r="AL28" s="37">
        <f t="shared" ca="1" si="35"/>
        <v>31596.134142872237</v>
      </c>
      <c r="AM28" s="37">
        <f t="shared" ca="1" si="35"/>
        <v>35603.470928012175</v>
      </c>
      <c r="AN28" s="37">
        <f t="shared" ca="1" si="35"/>
        <v>39848.507541851948</v>
      </c>
      <c r="AO28" s="37">
        <f t="shared" ca="1" si="35"/>
        <v>44336.623329315538</v>
      </c>
      <c r="AP28" s="37">
        <f t="shared" ca="1" si="35"/>
        <v>49041.765818734129</v>
      </c>
      <c r="AQ28" s="37">
        <f t="shared" ca="1" si="35"/>
        <v>54005.015309551418</v>
      </c>
      <c r="AR28" s="37">
        <f t="shared" ca="1" si="35"/>
        <v>59235.502520317918</v>
      </c>
      <c r="AS28" s="37">
        <f t="shared" ca="1" si="35"/>
        <v>64745.301462335425</v>
      </c>
      <c r="AT28" s="37">
        <f t="shared" ca="1" si="36"/>
        <v>70545.056328884588</v>
      </c>
      <c r="AU28" s="37">
        <f t="shared" ca="1" si="36"/>
        <v>76599.128676898777</v>
      </c>
      <c r="AV28" s="37">
        <f t="shared" ca="1" si="36"/>
        <v>82962.031887434117</v>
      </c>
      <c r="AW28" s="37">
        <f t="shared" ca="1" si="36"/>
        <v>89638.477450626626</v>
      </c>
      <c r="AX28" s="37">
        <f t="shared" ca="1" si="36"/>
        <v>96631.501008491687</v>
      </c>
      <c r="AY28" s="37">
        <f t="shared" ca="1" si="36"/>
        <v>103945.2213933578</v>
      </c>
      <c r="AZ28" s="37" t="e">
        <f t="shared" ca="1" si="36"/>
        <v>#N/A</v>
      </c>
      <c r="BA28" s="37" t="e">
        <f t="shared" ca="1" si="36"/>
        <v>#N/A</v>
      </c>
      <c r="BB28" s="37" t="e">
        <f t="shared" ca="1" si="36"/>
        <v>#N/A</v>
      </c>
    </row>
    <row r="29" spans="1:54" x14ac:dyDescent="0.25">
      <c r="B29" s="1" t="s">
        <v>171</v>
      </c>
      <c r="C29" s="14">
        <f ca="1">Condom_Base!C29</f>
        <v>2.08845E-2</v>
      </c>
      <c r="D29" s="14">
        <f ca="1">Condom_Base!D29</f>
        <v>9.7976000000000001E-3</v>
      </c>
      <c r="E29" s="14">
        <f ca="1">IF('User Settings'!$N$7="On",($D29-$C29)/($D$4-$C$4),0)</f>
        <v>-2.2173800000000001E-3</v>
      </c>
      <c r="F29" s="14">
        <f ca="1">Condom_Base!F29</f>
        <v>3.1454599999999992E-3</v>
      </c>
      <c r="G29" s="1"/>
      <c r="H29" s="14">
        <f ca="1">Condom_Base!H29</f>
        <v>0</v>
      </c>
      <c r="I29" s="14">
        <f t="shared" ca="1" si="41"/>
        <v>-1.0484866666666665E-3</v>
      </c>
      <c r="J29" s="14">
        <f t="shared" ca="1" si="37"/>
        <v>5.3628399999999989E-3</v>
      </c>
      <c r="K29" s="14">
        <f t="shared" ca="1" si="38"/>
        <v>3.1454599999999992E-3</v>
      </c>
      <c r="L29" s="15">
        <f t="shared" ca="1" si="39"/>
        <v>2.0969733333333325E-3</v>
      </c>
      <c r="M29" s="15">
        <f t="shared" ca="1" si="39"/>
        <v>1.048486666666666E-3</v>
      </c>
      <c r="N29" s="15">
        <f t="shared" ca="1" si="39"/>
        <v>0</v>
      </c>
      <c r="O29" s="15">
        <f t="shared" ca="1" si="39"/>
        <v>0</v>
      </c>
      <c r="P29" s="15">
        <f t="shared" ca="1" si="39"/>
        <v>0</v>
      </c>
      <c r="Q29" s="15">
        <f t="shared" ca="1" si="39"/>
        <v>0</v>
      </c>
      <c r="R29" s="15">
        <f t="shared" ca="1" si="39"/>
        <v>0</v>
      </c>
      <c r="S29" s="15">
        <f t="shared" ca="1" si="39"/>
        <v>0</v>
      </c>
      <c r="T29" s="15">
        <f t="shared" ca="1" si="39"/>
        <v>0</v>
      </c>
      <c r="U29" s="15">
        <f t="shared" ca="1" si="39"/>
        <v>0</v>
      </c>
      <c r="V29" s="15">
        <f t="shared" ca="1" si="39"/>
        <v>0</v>
      </c>
      <c r="W29" s="15">
        <f t="shared" ca="1" si="39"/>
        <v>0</v>
      </c>
      <c r="X29" s="15">
        <f t="shared" ca="1" si="39"/>
        <v>0</v>
      </c>
      <c r="Y29" s="15">
        <f t="shared" ca="1" si="39"/>
        <v>0</v>
      </c>
      <c r="Z29" s="15">
        <f t="shared" ca="1" si="39"/>
        <v>0</v>
      </c>
      <c r="AA29" s="15">
        <f t="shared" ca="1" si="39"/>
        <v>0</v>
      </c>
      <c r="AB29" s="15">
        <f t="shared" ca="1" si="39"/>
        <v>0</v>
      </c>
      <c r="AC29" s="15">
        <f t="shared" ca="1" si="39"/>
        <v>0</v>
      </c>
      <c r="AD29" s="15">
        <f t="shared" ca="1" si="39"/>
        <v>0</v>
      </c>
      <c r="AE29" s="5"/>
      <c r="AG29" s="1" t="s">
        <v>171</v>
      </c>
      <c r="AH29" s="37">
        <f t="shared" ca="1" si="40"/>
        <v>3232.5258510358103</v>
      </c>
      <c r="AI29" s="37">
        <f t="shared" ca="1" si="34"/>
        <v>1968.8797312503334</v>
      </c>
      <c r="AJ29" s="37">
        <f t="shared" ca="1" si="35"/>
        <v>1362.7636405001501</v>
      </c>
      <c r="AK29" s="37">
        <f t="shared" ca="1" si="35"/>
        <v>706.37996816458667</v>
      </c>
      <c r="AL29" s="37">
        <f t="shared" ca="1" si="35"/>
        <v>0</v>
      </c>
      <c r="AM29" s="37">
        <f t="shared" ca="1" si="35"/>
        <v>0</v>
      </c>
      <c r="AN29" s="37">
        <f t="shared" ca="1" si="35"/>
        <v>0</v>
      </c>
      <c r="AO29" s="37">
        <f t="shared" ca="1" si="35"/>
        <v>0</v>
      </c>
      <c r="AP29" s="37">
        <f t="shared" ca="1" si="35"/>
        <v>0</v>
      </c>
      <c r="AQ29" s="37">
        <f t="shared" ca="1" si="35"/>
        <v>0</v>
      </c>
      <c r="AR29" s="37">
        <f t="shared" ca="1" si="35"/>
        <v>0</v>
      </c>
      <c r="AS29" s="37">
        <f t="shared" ca="1" si="35"/>
        <v>0</v>
      </c>
      <c r="AT29" s="37">
        <f t="shared" ca="1" si="36"/>
        <v>0</v>
      </c>
      <c r="AU29" s="37">
        <f t="shared" ca="1" si="36"/>
        <v>0</v>
      </c>
      <c r="AV29" s="37">
        <f t="shared" ca="1" si="36"/>
        <v>0</v>
      </c>
      <c r="AW29" s="37">
        <f t="shared" ca="1" si="36"/>
        <v>0</v>
      </c>
      <c r="AX29" s="37">
        <f t="shared" ca="1" si="36"/>
        <v>0</v>
      </c>
      <c r="AY29" s="37">
        <f t="shared" ca="1" si="36"/>
        <v>0</v>
      </c>
      <c r="AZ29" s="37" t="e">
        <f t="shared" ca="1" si="36"/>
        <v>#N/A</v>
      </c>
      <c r="BA29" s="37" t="e">
        <f t="shared" ca="1" si="36"/>
        <v>#N/A</v>
      </c>
      <c r="BB29" s="37" t="e">
        <f t="shared" ca="1" si="36"/>
        <v>#N/A</v>
      </c>
    </row>
    <row r="30" spans="1:54" ht="15.75" customHeight="1" x14ac:dyDescent="0.25">
      <c r="B30" s="1" t="s">
        <v>116</v>
      </c>
      <c r="C30" s="14">
        <f ca="1">Condom_Base!C30</f>
        <v>1.5453E-2</v>
      </c>
      <c r="D30" s="14">
        <f ca="1">Condom_Base!D30</f>
        <v>1.1969999999999999E-3</v>
      </c>
      <c r="E30" s="14">
        <f ca="1">IF('User Settings'!$N$7="On",($D30-$C30)/($D$4-$C$4),0)</f>
        <v>-2.8511999999999999E-3</v>
      </c>
      <c r="F30" s="14">
        <f ca="1">Condom_Base!F30</f>
        <v>0</v>
      </c>
      <c r="G30" s="1" t="str">
        <f>"Shift_UrbQ2"&amp;IF(Dashboard!$Q$4="Yes",$A$1,"")</f>
        <v>Shift_UrbQ2</v>
      </c>
      <c r="H30" s="14">
        <f ca="1">Condom_Base!H30*(1-INDIRECT($G30))</f>
        <v>0</v>
      </c>
      <c r="I30" s="14">
        <f t="shared" ca="1" si="41"/>
        <v>0</v>
      </c>
      <c r="J30" s="14">
        <f t="shared" ca="1" si="37"/>
        <v>2.8511999999999999E-3</v>
      </c>
      <c r="K30" s="14">
        <f t="shared" ca="1" si="38"/>
        <v>0</v>
      </c>
      <c r="L30" s="15">
        <f t="shared" ca="1" si="39"/>
        <v>0</v>
      </c>
      <c r="M30" s="15">
        <f t="shared" ca="1" si="39"/>
        <v>0</v>
      </c>
      <c r="N30" s="15">
        <f t="shared" ca="1" si="39"/>
        <v>0</v>
      </c>
      <c r="O30" s="15">
        <f t="shared" ca="1" si="39"/>
        <v>0</v>
      </c>
      <c r="P30" s="15">
        <f t="shared" ca="1" si="39"/>
        <v>0</v>
      </c>
      <c r="Q30" s="15">
        <f t="shared" ca="1" si="39"/>
        <v>0</v>
      </c>
      <c r="R30" s="15">
        <f t="shared" ca="1" si="39"/>
        <v>0</v>
      </c>
      <c r="S30" s="15">
        <f t="shared" ca="1" si="39"/>
        <v>0</v>
      </c>
      <c r="T30" s="15">
        <f t="shared" ca="1" si="39"/>
        <v>0</v>
      </c>
      <c r="U30" s="15">
        <f t="shared" ca="1" si="39"/>
        <v>0</v>
      </c>
      <c r="V30" s="15">
        <f t="shared" ca="1" si="39"/>
        <v>0</v>
      </c>
      <c r="W30" s="15">
        <f t="shared" ca="1" si="39"/>
        <v>0</v>
      </c>
      <c r="X30" s="15">
        <f t="shared" ca="1" si="39"/>
        <v>0</v>
      </c>
      <c r="Y30" s="15">
        <f t="shared" ca="1" si="39"/>
        <v>0</v>
      </c>
      <c r="Z30" s="15">
        <f t="shared" ca="1" si="39"/>
        <v>0</v>
      </c>
      <c r="AA30" s="15">
        <f t="shared" ca="1" si="39"/>
        <v>0</v>
      </c>
      <c r="AB30" s="15">
        <f t="shared" ca="1" si="39"/>
        <v>0</v>
      </c>
      <c r="AC30" s="15">
        <f t="shared" ca="1" si="39"/>
        <v>0</v>
      </c>
      <c r="AD30" s="15">
        <f t="shared" ca="1" si="39"/>
        <v>0</v>
      </c>
      <c r="AE30" s="5"/>
      <c r="AG30" s="1" t="s">
        <v>116</v>
      </c>
      <c r="AH30" s="37">
        <f t="shared" ca="1" si="40"/>
        <v>1718.6001645533529</v>
      </c>
      <c r="AI30" s="37">
        <f t="shared" ca="1" si="34"/>
        <v>0</v>
      </c>
      <c r="AJ30" s="37">
        <f t="shared" ca="1" si="35"/>
        <v>0</v>
      </c>
      <c r="AK30" s="37">
        <f t="shared" ca="1" si="35"/>
        <v>0</v>
      </c>
      <c r="AL30" s="37">
        <f t="shared" ca="1" si="35"/>
        <v>0</v>
      </c>
      <c r="AM30" s="37">
        <f t="shared" ca="1" si="35"/>
        <v>0</v>
      </c>
      <c r="AN30" s="37">
        <f t="shared" ca="1" si="35"/>
        <v>0</v>
      </c>
      <c r="AO30" s="37">
        <f t="shared" ca="1" si="35"/>
        <v>0</v>
      </c>
      <c r="AP30" s="37">
        <f t="shared" ca="1" si="35"/>
        <v>0</v>
      </c>
      <c r="AQ30" s="37">
        <f t="shared" ca="1" si="35"/>
        <v>0</v>
      </c>
      <c r="AR30" s="37">
        <f t="shared" ca="1" si="35"/>
        <v>0</v>
      </c>
      <c r="AS30" s="37">
        <f t="shared" ca="1" si="35"/>
        <v>0</v>
      </c>
      <c r="AT30" s="37">
        <f t="shared" ca="1" si="36"/>
        <v>0</v>
      </c>
      <c r="AU30" s="37">
        <f t="shared" ca="1" si="36"/>
        <v>0</v>
      </c>
      <c r="AV30" s="37">
        <f t="shared" ca="1" si="36"/>
        <v>0</v>
      </c>
      <c r="AW30" s="37">
        <f t="shared" ca="1" si="36"/>
        <v>0</v>
      </c>
      <c r="AX30" s="37">
        <f t="shared" ca="1" si="36"/>
        <v>0</v>
      </c>
      <c r="AY30" s="37">
        <f t="shared" ca="1" si="36"/>
        <v>0</v>
      </c>
      <c r="AZ30" s="37" t="e">
        <f t="shared" ca="1" si="36"/>
        <v>#N/A</v>
      </c>
      <c r="BA30" s="37" t="e">
        <f t="shared" ca="1" si="36"/>
        <v>#N/A</v>
      </c>
      <c r="BB30" s="37" t="e">
        <f t="shared" ca="1" si="36"/>
        <v>#N/A</v>
      </c>
    </row>
    <row r="31" spans="1:54" x14ac:dyDescent="0.25">
      <c r="C31" s="5">
        <f ca="1">SUM(C25:C30)</f>
        <v>7.5857300000000003E-2</v>
      </c>
      <c r="D31" s="5">
        <f ca="1">SUM(D25:D30)</f>
        <v>5.4970299999999993E-2</v>
      </c>
      <c r="E31" s="131"/>
      <c r="F31" s="132">
        <f ca="1">SUM(F25:F30)</f>
        <v>5.6439520000000007E-2</v>
      </c>
      <c r="H31" s="132">
        <f ca="1">Condom_Base!H31</f>
        <v>6.3147019999999998E-2</v>
      </c>
      <c r="I31" s="132"/>
      <c r="J31" s="132">
        <f ca="1">SUM(J25:J30)</f>
        <v>6.0616920000000005E-2</v>
      </c>
      <c r="K31" s="132">
        <f ca="1">SUM(K25:K30)</f>
        <v>5.6439520000000007E-2</v>
      </c>
      <c r="L31" s="5">
        <f t="shared" ref="L31:AD31" ca="1" si="42">SUM(L25:L30)</f>
        <v>5.8675353333333333E-2</v>
      </c>
      <c r="M31" s="5">
        <f t="shared" ca="1" si="42"/>
        <v>6.0911186666666665E-2</v>
      </c>
      <c r="N31" s="5">
        <f t="shared" ca="1" si="42"/>
        <v>6.3147019999999998E-2</v>
      </c>
      <c r="O31" s="5">
        <f t="shared" ca="1" si="42"/>
        <v>6.6431339999999992E-2</v>
      </c>
      <c r="P31" s="5">
        <f t="shared" ca="1" si="42"/>
        <v>6.9715659999999985E-2</v>
      </c>
      <c r="Q31" s="5">
        <f t="shared" ca="1" si="42"/>
        <v>7.2999979999999992E-2</v>
      </c>
      <c r="R31" s="5">
        <f t="shared" ca="1" si="42"/>
        <v>7.6284299999999985E-2</v>
      </c>
      <c r="S31" s="5">
        <f t="shared" ca="1" si="42"/>
        <v>7.9568619999999979E-2</v>
      </c>
      <c r="T31" s="5">
        <f t="shared" ca="1" si="42"/>
        <v>8.2852939999999972E-2</v>
      </c>
      <c r="U31" s="5">
        <f t="shared" ca="1" si="42"/>
        <v>8.6137259999999966E-2</v>
      </c>
      <c r="V31" s="5">
        <f t="shared" ca="1" si="42"/>
        <v>8.9421579999999959E-2</v>
      </c>
      <c r="W31" s="5">
        <f t="shared" ca="1" si="42"/>
        <v>9.2705899999999952E-2</v>
      </c>
      <c r="X31" s="5">
        <f t="shared" ca="1" si="42"/>
        <v>9.5990219999999946E-2</v>
      </c>
      <c r="Y31" s="5">
        <f t="shared" ca="1" si="42"/>
        <v>9.9274539999999939E-2</v>
      </c>
      <c r="Z31" s="5">
        <f t="shared" ca="1" si="42"/>
        <v>0.10255885999999995</v>
      </c>
      <c r="AA31" s="5">
        <f t="shared" ca="1" si="42"/>
        <v>0.10584317999999994</v>
      </c>
      <c r="AB31" s="5">
        <f t="shared" ca="1" si="42"/>
        <v>0.10912749999999993</v>
      </c>
      <c r="AC31" s="5">
        <f t="shared" ca="1" si="42"/>
        <v>0.11241181999999993</v>
      </c>
      <c r="AD31" s="5">
        <f t="shared" ca="1" si="42"/>
        <v>0.11569613999999992</v>
      </c>
      <c r="AE31" s="5"/>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H33" s="4" t="s">
        <v>167</v>
      </c>
      <c r="K33" s="205" t="str">
        <f t="shared" ref="K33:AD33" si="43">IF(K34=Yr_Start,"Start Year",IF(K34=Yr_End,"End Year",""))</f>
        <v>Start Year</v>
      </c>
      <c r="L33" s="205" t="str">
        <f t="shared" si="43"/>
        <v/>
      </c>
      <c r="M33" s="205" t="str">
        <f t="shared" si="43"/>
        <v/>
      </c>
      <c r="N33" s="205" t="str">
        <f t="shared" si="43"/>
        <v>End Year</v>
      </c>
      <c r="O33" s="205" t="str">
        <f t="shared" si="43"/>
        <v/>
      </c>
      <c r="P33" s="205" t="str">
        <f t="shared" si="43"/>
        <v/>
      </c>
      <c r="Q33" s="205" t="str">
        <f t="shared" si="43"/>
        <v/>
      </c>
      <c r="R33" s="205" t="str">
        <f t="shared" si="43"/>
        <v/>
      </c>
      <c r="S33" s="205" t="str">
        <f t="shared" si="43"/>
        <v/>
      </c>
      <c r="T33" s="205" t="str">
        <f t="shared" si="43"/>
        <v/>
      </c>
      <c r="U33" s="205" t="str">
        <f t="shared" si="43"/>
        <v/>
      </c>
      <c r="V33" s="205" t="str">
        <f t="shared" si="43"/>
        <v/>
      </c>
      <c r="W33" s="205" t="str">
        <f t="shared" si="43"/>
        <v/>
      </c>
      <c r="X33" s="205" t="str">
        <f t="shared" si="43"/>
        <v/>
      </c>
      <c r="Y33" s="205" t="str">
        <f t="shared" si="43"/>
        <v/>
      </c>
      <c r="Z33" s="205" t="str">
        <f t="shared" si="43"/>
        <v/>
      </c>
      <c r="AA33" s="205" t="str">
        <f t="shared" si="43"/>
        <v/>
      </c>
      <c r="AB33" s="205" t="str">
        <f t="shared" si="43"/>
        <v/>
      </c>
      <c r="AC33" s="205" t="str">
        <f t="shared" si="43"/>
        <v/>
      </c>
      <c r="AD33" s="205" t="str">
        <f t="shared" si="43"/>
        <v/>
      </c>
      <c r="AE33" s="35"/>
      <c r="AF33" s="6" t="str">
        <f>A33</f>
        <v>Richer</v>
      </c>
      <c r="AI33" s="205" t="str">
        <f t="shared" ref="AI33:BB33" si="44">IF(AI34=Yr_Start,"Start Year",IF(AI34=Yr_End,"End Year",""))</f>
        <v>Start Year</v>
      </c>
      <c r="AJ33" s="205" t="str">
        <f t="shared" si="44"/>
        <v/>
      </c>
      <c r="AK33" s="205" t="str">
        <f t="shared" si="44"/>
        <v/>
      </c>
      <c r="AL33" s="205" t="str">
        <f t="shared" si="44"/>
        <v>End Year</v>
      </c>
      <c r="AM33" s="205" t="str">
        <f t="shared" si="44"/>
        <v/>
      </c>
      <c r="AN33" s="205" t="str">
        <f t="shared" si="44"/>
        <v/>
      </c>
      <c r="AO33" s="205" t="str">
        <f t="shared" si="44"/>
        <v/>
      </c>
      <c r="AP33" s="205" t="str">
        <f t="shared" si="44"/>
        <v/>
      </c>
      <c r="AQ33" s="205" t="str">
        <f t="shared" si="44"/>
        <v/>
      </c>
      <c r="AR33" s="205" t="str">
        <f t="shared" si="44"/>
        <v/>
      </c>
      <c r="AS33" s="205" t="str">
        <f t="shared" si="44"/>
        <v/>
      </c>
      <c r="AT33" s="205" t="str">
        <f t="shared" si="44"/>
        <v/>
      </c>
      <c r="AU33" s="205" t="str">
        <f t="shared" si="44"/>
        <v/>
      </c>
      <c r="AV33" s="205" t="str">
        <f t="shared" si="44"/>
        <v/>
      </c>
      <c r="AW33" s="205" t="str">
        <f t="shared" si="44"/>
        <v/>
      </c>
      <c r="AX33" s="205" t="str">
        <f t="shared" si="44"/>
        <v/>
      </c>
      <c r="AY33" s="205" t="str">
        <f t="shared" si="44"/>
        <v/>
      </c>
      <c r="AZ33" s="205" t="str">
        <f t="shared" si="44"/>
        <v/>
      </c>
      <c r="BA33" s="205" t="str">
        <f t="shared" si="44"/>
        <v/>
      </c>
      <c r="BB33" s="205" t="str">
        <f t="shared" si="44"/>
        <v/>
      </c>
    </row>
    <row r="34" spans="1:54" x14ac:dyDescent="0.25">
      <c r="A34" s="6" t="s">
        <v>21</v>
      </c>
      <c r="B34" s="36"/>
      <c r="C34" s="36">
        <f>Yr_DHS1</f>
        <v>2011</v>
      </c>
      <c r="D34" s="36">
        <f>Yr_DHS2</f>
        <v>2016</v>
      </c>
      <c r="E34" s="36" t="s">
        <v>168</v>
      </c>
      <c r="F34" s="36">
        <f>Yr_Start</f>
        <v>2019</v>
      </c>
      <c r="G34" s="127"/>
      <c r="H34" s="36">
        <f>Yr_End</f>
        <v>2022</v>
      </c>
      <c r="I34" s="36" t="s">
        <v>169</v>
      </c>
      <c r="J34" s="130">
        <f>K34-1</f>
        <v>2018</v>
      </c>
      <c r="K34" s="130">
        <f>Yr_Start</f>
        <v>2019</v>
      </c>
      <c r="L34" s="130">
        <f>K34+1</f>
        <v>2020</v>
      </c>
      <c r="M34" s="130">
        <f t="shared" ref="M34:AD34" si="45">L34+1</f>
        <v>2021</v>
      </c>
      <c r="N34" s="130">
        <f t="shared" si="45"/>
        <v>2022</v>
      </c>
      <c r="O34" s="130">
        <f t="shared" si="45"/>
        <v>2023</v>
      </c>
      <c r="P34" s="130">
        <f t="shared" si="45"/>
        <v>2024</v>
      </c>
      <c r="Q34" s="130">
        <f t="shared" si="45"/>
        <v>2025</v>
      </c>
      <c r="R34" s="130">
        <f t="shared" si="45"/>
        <v>2026</v>
      </c>
      <c r="S34" s="130">
        <f t="shared" si="45"/>
        <v>2027</v>
      </c>
      <c r="T34" s="130">
        <f t="shared" si="45"/>
        <v>2028</v>
      </c>
      <c r="U34" s="130">
        <f t="shared" si="45"/>
        <v>2029</v>
      </c>
      <c r="V34" s="130">
        <f t="shared" si="45"/>
        <v>2030</v>
      </c>
      <c r="W34" s="130">
        <f t="shared" si="45"/>
        <v>2031</v>
      </c>
      <c r="X34" s="130">
        <f t="shared" si="45"/>
        <v>2032</v>
      </c>
      <c r="Y34" s="130">
        <f t="shared" si="45"/>
        <v>2033</v>
      </c>
      <c r="Z34" s="130">
        <f t="shared" si="45"/>
        <v>2034</v>
      </c>
      <c r="AA34" s="130">
        <f t="shared" si="45"/>
        <v>2035</v>
      </c>
      <c r="AB34" s="130">
        <f t="shared" si="45"/>
        <v>2036</v>
      </c>
      <c r="AC34" s="130">
        <f t="shared" si="45"/>
        <v>2037</v>
      </c>
      <c r="AD34" s="130">
        <f t="shared" si="45"/>
        <v>2038</v>
      </c>
      <c r="AE34" s="6"/>
      <c r="AF34" s="6" t="str">
        <f>A34</f>
        <v>Rural</v>
      </c>
      <c r="AG34" s="38"/>
      <c r="AH34" s="161">
        <f>AI34-1</f>
        <v>2018</v>
      </c>
      <c r="AI34" s="36">
        <f>Yr_Start</f>
        <v>2019</v>
      </c>
      <c r="AJ34" s="36">
        <f>AI34+1</f>
        <v>2020</v>
      </c>
      <c r="AK34" s="36">
        <f t="shared" ref="AK34:BB34" si="46">AJ34+1</f>
        <v>2021</v>
      </c>
      <c r="AL34" s="36">
        <f t="shared" si="46"/>
        <v>2022</v>
      </c>
      <c r="AM34" s="36">
        <f t="shared" si="46"/>
        <v>2023</v>
      </c>
      <c r="AN34" s="36">
        <f t="shared" si="46"/>
        <v>2024</v>
      </c>
      <c r="AO34" s="36">
        <f t="shared" si="46"/>
        <v>2025</v>
      </c>
      <c r="AP34" s="36">
        <f t="shared" si="46"/>
        <v>2026</v>
      </c>
      <c r="AQ34" s="36">
        <f t="shared" si="46"/>
        <v>2027</v>
      </c>
      <c r="AR34" s="36">
        <f t="shared" si="46"/>
        <v>2028</v>
      </c>
      <c r="AS34" s="36">
        <f t="shared" si="46"/>
        <v>2029</v>
      </c>
      <c r="AT34" s="36">
        <f t="shared" si="46"/>
        <v>2030</v>
      </c>
      <c r="AU34" s="36">
        <f t="shared" si="46"/>
        <v>2031</v>
      </c>
      <c r="AV34" s="36">
        <f t="shared" si="46"/>
        <v>2032</v>
      </c>
      <c r="AW34" s="36">
        <f t="shared" si="46"/>
        <v>2033</v>
      </c>
      <c r="AX34" s="36">
        <f t="shared" si="46"/>
        <v>2034</v>
      </c>
      <c r="AY34" s="36">
        <f t="shared" si="46"/>
        <v>2035</v>
      </c>
      <c r="AZ34" s="36">
        <f t="shared" si="46"/>
        <v>2036</v>
      </c>
      <c r="BA34" s="36">
        <f t="shared" si="46"/>
        <v>2037</v>
      </c>
      <c r="BB34" s="36">
        <f t="shared" si="46"/>
        <v>2038</v>
      </c>
    </row>
    <row r="35" spans="1:54" x14ac:dyDescent="0.25">
      <c r="B35" s="1" t="s">
        <v>52</v>
      </c>
      <c r="C35" s="14">
        <f ca="1">Condom_Base!C35</f>
        <v>7.3207000000000003E-3</v>
      </c>
      <c r="D35" s="14">
        <f ca="1">Condom_Base!D35</f>
        <v>1.5410999999999999E-2</v>
      </c>
      <c r="E35" s="14">
        <f ca="1">IF('User Settings'!$N$7="On",($D35-$C35)/($D$4-$C$4),0)</f>
        <v>1.6180599999999997E-3</v>
      </c>
      <c r="F35" s="14">
        <f ca="1">Condom_Base!F35</f>
        <v>2.0265180000000001E-2</v>
      </c>
      <c r="G35" s="1" t="str">
        <f>"Shift_RurQ2"&amp;IF(Dashboard!$Q$4="Yes",$A$1,"")</f>
        <v>Shift_RurQ2</v>
      </c>
      <c r="H35" s="14">
        <f ca="1">Condom_Base!H35*(1-INDIRECT($G35))</f>
        <v>2.2607424000000001E-2</v>
      </c>
      <c r="I35" s="14">
        <f ca="1">($H35-$F35)/($H$4-$F$4)</f>
        <v>7.8074800000000005E-4</v>
      </c>
      <c r="J35" s="14">
        <f ca="1">K35-E35</f>
        <v>1.864712E-2</v>
      </c>
      <c r="K35" s="14">
        <f ca="1">MAX(0,MIN(1,D35+(K$4-D$4)*E35))</f>
        <v>2.0265180000000001E-2</v>
      </c>
      <c r="L35" s="15">
        <f ca="1">MAX(0,MIN(1,K35+$I35))</f>
        <v>2.1045928000000002E-2</v>
      </c>
      <c r="M35" s="15">
        <f t="shared" ref="M35:AD35" ca="1" si="47">MAX(0,MIN(1,L35+$I35))</f>
        <v>2.1826676000000003E-2</v>
      </c>
      <c r="N35" s="15">
        <f ca="1">MAX(0,MIN(1,M35+$I35))</f>
        <v>2.2607424000000004E-2</v>
      </c>
      <c r="O35" s="15">
        <f t="shared" ca="1" si="47"/>
        <v>2.3388172000000006E-2</v>
      </c>
      <c r="P35" s="15">
        <f t="shared" ca="1" si="47"/>
        <v>2.4168920000000007E-2</v>
      </c>
      <c r="Q35" s="15">
        <f t="shared" ca="1" si="47"/>
        <v>2.4949668000000008E-2</v>
      </c>
      <c r="R35" s="15">
        <f t="shared" ca="1" si="47"/>
        <v>2.5730416000000009E-2</v>
      </c>
      <c r="S35" s="15">
        <f t="shared" ca="1" si="47"/>
        <v>2.6511164000000011E-2</v>
      </c>
      <c r="T35" s="15">
        <f t="shared" ca="1" si="47"/>
        <v>2.7291912000000012E-2</v>
      </c>
      <c r="U35" s="15">
        <f t="shared" ca="1" si="47"/>
        <v>2.8072660000000013E-2</v>
      </c>
      <c r="V35" s="15">
        <f t="shared" ca="1" si="47"/>
        <v>2.8853408000000014E-2</v>
      </c>
      <c r="W35" s="15">
        <f t="shared" ca="1" si="47"/>
        <v>2.9634156000000016E-2</v>
      </c>
      <c r="X35" s="15">
        <f t="shared" ca="1" si="47"/>
        <v>3.0414904000000017E-2</v>
      </c>
      <c r="Y35" s="15">
        <f t="shared" ca="1" si="47"/>
        <v>3.1195652000000018E-2</v>
      </c>
      <c r="Z35" s="15">
        <f t="shared" ca="1" si="47"/>
        <v>3.1976400000000016E-2</v>
      </c>
      <c r="AA35" s="15">
        <f t="shared" ca="1" si="47"/>
        <v>3.2757148000000014E-2</v>
      </c>
      <c r="AB35" s="15">
        <f t="shared" ca="1" si="47"/>
        <v>3.3537896000000011E-2</v>
      </c>
      <c r="AC35" s="15">
        <f t="shared" ca="1" si="47"/>
        <v>3.4318644000000009E-2</v>
      </c>
      <c r="AD35" s="15">
        <f t="shared" ca="1" si="47"/>
        <v>3.5099392000000007E-2</v>
      </c>
      <c r="AE35" s="5"/>
      <c r="AG35" s="1" t="s">
        <v>52</v>
      </c>
      <c r="AH35" s="37">
        <f ca="1">J35*AH$41</f>
        <v>28481.950001550416</v>
      </c>
      <c r="AI35" s="37">
        <f t="shared" ref="AI35:AI40" ca="1" si="48">K35*AI$41</f>
        <v>32143.730216553169</v>
      </c>
      <c r="AJ35" s="37">
        <f t="shared" ref="AJ35:AS40" ca="1" si="49">L35*AJ$41</f>
        <v>34658.239440497389</v>
      </c>
      <c r="AK35" s="37">
        <f t="shared" ca="1" si="49"/>
        <v>37262.659835654777</v>
      </c>
      <c r="AL35" s="37">
        <f t="shared" ca="1" si="49"/>
        <v>40011.394096553267</v>
      </c>
      <c r="AM35" s="37">
        <f t="shared" ca="1" si="49"/>
        <v>42904.561040536311</v>
      </c>
      <c r="AN35" s="37">
        <f t="shared" ca="1" si="49"/>
        <v>45940.887346069641</v>
      </c>
      <c r="AO35" s="37">
        <f t="shared" ca="1" si="49"/>
        <v>49121.388469879035</v>
      </c>
      <c r="AP35" s="37">
        <f t="shared" ca="1" si="49"/>
        <v>52413.922122725075</v>
      </c>
      <c r="AQ35" s="37">
        <f t="shared" ca="1" si="49"/>
        <v>55860.414069091123</v>
      </c>
      <c r="AR35" s="37">
        <f t="shared" ca="1" si="49"/>
        <v>59465.839313838922</v>
      </c>
      <c r="AS35" s="37">
        <f t="shared" ca="1" si="49"/>
        <v>63237.962691833818</v>
      </c>
      <c r="AT35" s="37">
        <f t="shared" ref="AT35:BB40" ca="1" si="50">V35*AT$41</f>
        <v>67182.837207514298</v>
      </c>
      <c r="AU35" s="37">
        <f t="shared" ca="1" si="50"/>
        <v>71263.318385115868</v>
      </c>
      <c r="AV35" s="37">
        <f t="shared" ca="1" si="50"/>
        <v>75527.921976287558</v>
      </c>
      <c r="AW35" s="37">
        <f t="shared" ca="1" si="50"/>
        <v>79976.964659033809</v>
      </c>
      <c r="AX35" s="37">
        <f t="shared" ca="1" si="50"/>
        <v>84609.644700554229</v>
      </c>
      <c r="AY35" s="37">
        <f t="shared" ca="1" si="50"/>
        <v>89426.472270511964</v>
      </c>
      <c r="AZ35" s="37" t="e">
        <f t="shared" ca="1" si="50"/>
        <v>#N/A</v>
      </c>
      <c r="BA35" s="37" t="e">
        <f t="shared" ca="1" si="50"/>
        <v>#N/A</v>
      </c>
      <c r="BB35" s="37" t="e">
        <f t="shared" ca="1" si="50"/>
        <v>#N/A</v>
      </c>
    </row>
    <row r="36" spans="1:54" x14ac:dyDescent="0.25">
      <c r="B36" s="1" t="s">
        <v>54</v>
      </c>
      <c r="C36" s="14">
        <f ca="1">Condom_Base!C36</f>
        <v>7.0750000000000001E-4</v>
      </c>
      <c r="D36" s="14">
        <f ca="1">Condom_Base!D36</f>
        <v>4.1169999999999998E-4</v>
      </c>
      <c r="E36" s="14">
        <f ca="1">IF('User Settings'!$N$7="On",($D36-$C36)/($D$4-$C$4),0)</f>
        <v>-5.916000000000001E-5</v>
      </c>
      <c r="F36" s="14">
        <f ca="1">Condom_Base!F36</f>
        <v>2.3421999999999994E-4</v>
      </c>
      <c r="G36" s="1" t="str">
        <f>"Shift_RurQ2"&amp;IF(Dashboard!$Q$4="Yes",$A$1,"")</f>
        <v>Shift_RurQ2</v>
      </c>
      <c r="H36" s="14">
        <f ca="1">Condom_Base!H36*(1-INDIRECT($G36))</f>
        <v>5.1065999999999907E-5</v>
      </c>
      <c r="I36" s="14">
        <f ca="1">($H36-$F36)/($H$4-$F$4)</f>
        <v>-6.1051333333333343E-5</v>
      </c>
      <c r="J36" s="14">
        <f t="shared" ref="J36:J40" ca="1" si="51">K36-E36</f>
        <v>2.9337999999999993E-4</v>
      </c>
      <c r="K36" s="14">
        <f t="shared" ref="K36:K40" ca="1" si="52">MAX(0,MIN(1,D36+(K$4-D$4)*E36))</f>
        <v>2.3421999999999994E-4</v>
      </c>
      <c r="L36" s="15">
        <f t="shared" ref="L36:AD40" ca="1" si="53">MAX(0,MIN(1,K36+$I36))</f>
        <v>1.7316866666666661E-4</v>
      </c>
      <c r="M36" s="15">
        <f t="shared" ca="1" si="53"/>
        <v>1.1211733333333326E-4</v>
      </c>
      <c r="N36" s="15">
        <f t="shared" ca="1" si="53"/>
        <v>5.1065999999999921E-5</v>
      </c>
      <c r="O36" s="15">
        <f t="shared" ca="1" si="53"/>
        <v>0</v>
      </c>
      <c r="P36" s="15">
        <f t="shared" ca="1" si="53"/>
        <v>0</v>
      </c>
      <c r="Q36" s="15">
        <f t="shared" ca="1" si="53"/>
        <v>0</v>
      </c>
      <c r="R36" s="15">
        <f t="shared" ca="1" si="53"/>
        <v>0</v>
      </c>
      <c r="S36" s="15">
        <f t="shared" ca="1" si="53"/>
        <v>0</v>
      </c>
      <c r="T36" s="15">
        <f t="shared" ca="1" si="53"/>
        <v>0</v>
      </c>
      <c r="U36" s="15">
        <f t="shared" ca="1" si="53"/>
        <v>0</v>
      </c>
      <c r="V36" s="15">
        <f t="shared" ca="1" si="53"/>
        <v>0</v>
      </c>
      <c r="W36" s="15">
        <f t="shared" ca="1" si="53"/>
        <v>0</v>
      </c>
      <c r="X36" s="15">
        <f t="shared" ca="1" si="53"/>
        <v>0</v>
      </c>
      <c r="Y36" s="15">
        <f t="shared" ca="1" si="53"/>
        <v>0</v>
      </c>
      <c r="Z36" s="15">
        <f t="shared" ca="1" si="53"/>
        <v>0</v>
      </c>
      <c r="AA36" s="15">
        <f t="shared" ca="1" si="53"/>
        <v>0</v>
      </c>
      <c r="AB36" s="15">
        <f t="shared" ca="1" si="53"/>
        <v>0</v>
      </c>
      <c r="AC36" s="15">
        <f t="shared" ca="1" si="53"/>
        <v>0</v>
      </c>
      <c r="AD36" s="15">
        <f t="shared" ca="1" si="53"/>
        <v>0</v>
      </c>
      <c r="AE36" s="5"/>
      <c r="AG36" s="1" t="s">
        <v>54</v>
      </c>
      <c r="AH36" s="37">
        <f t="shared" ref="AH36:AH40" ca="1" si="54">J36*AH$41</f>
        <v>448.11394421523858</v>
      </c>
      <c r="AI36" s="37">
        <f t="shared" ca="1" si="48"/>
        <v>371.50938167443275</v>
      </c>
      <c r="AJ36" s="37">
        <f t="shared" ca="1" si="49"/>
        <v>285.1725575097002</v>
      </c>
      <c r="AK36" s="37">
        <f t="shared" ca="1" si="49"/>
        <v>191.4075259870406</v>
      </c>
      <c r="AL36" s="37">
        <f t="shared" ca="1" si="49"/>
        <v>90.37835761095937</v>
      </c>
      <c r="AM36" s="37">
        <f t="shared" ca="1" si="49"/>
        <v>0</v>
      </c>
      <c r="AN36" s="37">
        <f t="shared" ca="1" si="49"/>
        <v>0</v>
      </c>
      <c r="AO36" s="37">
        <f t="shared" ca="1" si="49"/>
        <v>0</v>
      </c>
      <c r="AP36" s="37">
        <f t="shared" ca="1" si="49"/>
        <v>0</v>
      </c>
      <c r="AQ36" s="37">
        <f t="shared" ca="1" si="49"/>
        <v>0</v>
      </c>
      <c r="AR36" s="37">
        <f t="shared" ca="1" si="49"/>
        <v>0</v>
      </c>
      <c r="AS36" s="37">
        <f t="shared" ca="1" si="49"/>
        <v>0</v>
      </c>
      <c r="AT36" s="37">
        <f t="shared" ca="1" si="50"/>
        <v>0</v>
      </c>
      <c r="AU36" s="37">
        <f t="shared" ca="1" si="50"/>
        <v>0</v>
      </c>
      <c r="AV36" s="37">
        <f t="shared" ca="1" si="50"/>
        <v>0</v>
      </c>
      <c r="AW36" s="37">
        <f t="shared" ca="1" si="50"/>
        <v>0</v>
      </c>
      <c r="AX36" s="37">
        <f t="shared" ca="1" si="50"/>
        <v>0</v>
      </c>
      <c r="AY36" s="37">
        <f t="shared" ca="1" si="50"/>
        <v>0</v>
      </c>
      <c r="AZ36" s="37" t="e">
        <f t="shared" ca="1" si="50"/>
        <v>#N/A</v>
      </c>
      <c r="BA36" s="37" t="e">
        <f t="shared" ca="1" si="50"/>
        <v>#N/A</v>
      </c>
      <c r="BB36" s="37" t="e">
        <f t="shared" ca="1" si="50"/>
        <v>#N/A</v>
      </c>
    </row>
    <row r="37" spans="1:54" x14ac:dyDescent="0.25">
      <c r="B37" s="1" t="s">
        <v>170</v>
      </c>
      <c r="C37" s="14">
        <f ca="1">Condom_Base!C37</f>
        <v>0</v>
      </c>
      <c r="D37" s="14">
        <f ca="1">Condom_Base!D37</f>
        <v>0</v>
      </c>
      <c r="E37" s="14">
        <f ca="1">IF('User Settings'!$N$7="On",($D37-$C37)/($D$4-$C$4),0)</f>
        <v>0</v>
      </c>
      <c r="F37" s="14">
        <f ca="1">Condom_Base!F37</f>
        <v>0</v>
      </c>
      <c r="G37" s="1" t="str">
        <f>"Shift_RurQ2"&amp;IF(Dashboard!$Q$4="Yes",$A$1,"")</f>
        <v>Shift_RurQ2</v>
      </c>
      <c r="H37" s="14">
        <f ca="1">Condom_Base!H37*(1-INDIRECT($G37))</f>
        <v>0</v>
      </c>
      <c r="I37" s="14">
        <f t="shared" ref="I37:I40" ca="1" si="55">($H37-$F37)/($H$4-$F$4)</f>
        <v>0</v>
      </c>
      <c r="J37" s="14">
        <f t="shared" ca="1" si="51"/>
        <v>0</v>
      </c>
      <c r="K37" s="14">
        <f t="shared" ca="1" si="52"/>
        <v>0</v>
      </c>
      <c r="L37" s="15">
        <f t="shared" ca="1" si="53"/>
        <v>0</v>
      </c>
      <c r="M37" s="15">
        <f t="shared" ca="1" si="53"/>
        <v>0</v>
      </c>
      <c r="N37" s="15">
        <f t="shared" ca="1" si="53"/>
        <v>0</v>
      </c>
      <c r="O37" s="15">
        <f t="shared" ca="1" si="53"/>
        <v>0</v>
      </c>
      <c r="P37" s="15">
        <f t="shared" ca="1" si="53"/>
        <v>0</v>
      </c>
      <c r="Q37" s="15">
        <f t="shared" ca="1" si="53"/>
        <v>0</v>
      </c>
      <c r="R37" s="15">
        <f t="shared" ca="1" si="53"/>
        <v>0</v>
      </c>
      <c r="S37" s="15">
        <f t="shared" ca="1" si="53"/>
        <v>0</v>
      </c>
      <c r="T37" s="15">
        <f t="shared" ca="1" si="53"/>
        <v>0</v>
      </c>
      <c r="U37" s="15">
        <f t="shared" ca="1" si="53"/>
        <v>0</v>
      </c>
      <c r="V37" s="15">
        <f t="shared" ca="1" si="53"/>
        <v>0</v>
      </c>
      <c r="W37" s="15">
        <f t="shared" ca="1" si="53"/>
        <v>0</v>
      </c>
      <c r="X37" s="15">
        <f t="shared" ca="1" si="53"/>
        <v>0</v>
      </c>
      <c r="Y37" s="15">
        <f t="shared" ca="1" si="53"/>
        <v>0</v>
      </c>
      <c r="Z37" s="15">
        <f t="shared" ca="1" si="53"/>
        <v>0</v>
      </c>
      <c r="AA37" s="15">
        <f t="shared" ca="1" si="53"/>
        <v>0</v>
      </c>
      <c r="AB37" s="15">
        <f t="shared" ca="1" si="53"/>
        <v>0</v>
      </c>
      <c r="AC37" s="15">
        <f t="shared" ca="1" si="53"/>
        <v>0</v>
      </c>
      <c r="AD37" s="15">
        <f t="shared" ca="1" si="53"/>
        <v>0</v>
      </c>
      <c r="AE37" s="5"/>
      <c r="AG37" s="1" t="s">
        <v>170</v>
      </c>
      <c r="AH37" s="37">
        <f t="shared" ca="1" si="54"/>
        <v>0</v>
      </c>
      <c r="AI37" s="37">
        <f t="shared" ca="1" si="48"/>
        <v>0</v>
      </c>
      <c r="AJ37" s="37">
        <f t="shared" ca="1" si="49"/>
        <v>0</v>
      </c>
      <c r="AK37" s="37">
        <f t="shared" ca="1" si="49"/>
        <v>0</v>
      </c>
      <c r="AL37" s="37">
        <f t="shared" ca="1" si="49"/>
        <v>0</v>
      </c>
      <c r="AM37" s="37">
        <f t="shared" ca="1" si="49"/>
        <v>0</v>
      </c>
      <c r="AN37" s="37">
        <f t="shared" ca="1" si="49"/>
        <v>0</v>
      </c>
      <c r="AO37" s="37">
        <f t="shared" ca="1" si="49"/>
        <v>0</v>
      </c>
      <c r="AP37" s="37">
        <f t="shared" ca="1" si="49"/>
        <v>0</v>
      </c>
      <c r="AQ37" s="37">
        <f t="shared" ca="1" si="49"/>
        <v>0</v>
      </c>
      <c r="AR37" s="37">
        <f t="shared" ca="1" si="49"/>
        <v>0</v>
      </c>
      <c r="AS37" s="37">
        <f t="shared" ca="1" si="49"/>
        <v>0</v>
      </c>
      <c r="AT37" s="37">
        <f t="shared" ca="1" si="50"/>
        <v>0</v>
      </c>
      <c r="AU37" s="37">
        <f t="shared" ca="1" si="50"/>
        <v>0</v>
      </c>
      <c r="AV37" s="37">
        <f t="shared" ca="1" si="50"/>
        <v>0</v>
      </c>
      <c r="AW37" s="37">
        <f t="shared" ca="1" si="50"/>
        <v>0</v>
      </c>
      <c r="AX37" s="37">
        <f t="shared" ca="1" si="50"/>
        <v>0</v>
      </c>
      <c r="AY37" s="37">
        <f t="shared" ca="1" si="50"/>
        <v>0</v>
      </c>
      <c r="AZ37" s="37" t="e">
        <f t="shared" ca="1" si="50"/>
        <v>#N/A</v>
      </c>
      <c r="BA37" s="37" t="e">
        <f t="shared" ca="1" si="50"/>
        <v>#N/A</v>
      </c>
      <c r="BB37" s="37" t="e">
        <f t="shared" ca="1" si="50"/>
        <v>#N/A</v>
      </c>
    </row>
    <row r="38" spans="1:54" x14ac:dyDescent="0.25">
      <c r="B38" s="1" t="s">
        <v>59</v>
      </c>
      <c r="C38" s="14">
        <f ca="1">Condom_Base!C38</f>
        <v>4.6369000000000002E-3</v>
      </c>
      <c r="D38" s="14">
        <f ca="1">Condom_Base!D38</f>
        <v>1.0894600000000001E-2</v>
      </c>
      <c r="E38" s="14">
        <f ca="1">IF('User Settings'!$N$7="On",($D38-$C38)/($D$4-$C$4),0)</f>
        <v>1.2515400000000002E-3</v>
      </c>
      <c r="F38" s="14">
        <f ca="1">Condom_Base!F38</f>
        <v>1.4649220000000001E-2</v>
      </c>
      <c r="H38" s="14">
        <f ca="1">H41-SUM($H35:$H37,$H39:$H40)</f>
        <v>2.1212171999999998E-2</v>
      </c>
      <c r="I38" s="14">
        <f t="shared" ca="1" si="55"/>
        <v>2.1876506666666656E-3</v>
      </c>
      <c r="J38" s="14">
        <f t="shared" ca="1" si="51"/>
        <v>1.339768E-2</v>
      </c>
      <c r="K38" s="14">
        <f t="shared" ca="1" si="52"/>
        <v>1.4649220000000001E-2</v>
      </c>
      <c r="L38" s="15">
        <f t="shared" ca="1" si="53"/>
        <v>1.6836870666666667E-2</v>
      </c>
      <c r="M38" s="15">
        <f t="shared" ca="1" si="53"/>
        <v>1.9024521333333332E-2</v>
      </c>
      <c r="N38" s="15">
        <f t="shared" ca="1" si="53"/>
        <v>2.1212171999999998E-2</v>
      </c>
      <c r="O38" s="15">
        <f t="shared" ca="1" si="53"/>
        <v>2.3399822666666664E-2</v>
      </c>
      <c r="P38" s="15">
        <f t="shared" ca="1" si="53"/>
        <v>2.5587473333333329E-2</v>
      </c>
      <c r="Q38" s="15">
        <f t="shared" ca="1" si="53"/>
        <v>2.7775123999999995E-2</v>
      </c>
      <c r="R38" s="15">
        <f t="shared" ca="1" si="53"/>
        <v>2.996277466666666E-2</v>
      </c>
      <c r="S38" s="15">
        <f t="shared" ca="1" si="53"/>
        <v>3.215042533333333E-2</v>
      </c>
      <c r="T38" s="15">
        <f t="shared" ca="1" si="53"/>
        <v>3.4338075999999995E-2</v>
      </c>
      <c r="U38" s="15">
        <f t="shared" ca="1" si="53"/>
        <v>3.6525726666666661E-2</v>
      </c>
      <c r="V38" s="15">
        <f t="shared" ca="1" si="53"/>
        <v>3.8713377333333326E-2</v>
      </c>
      <c r="W38" s="15">
        <f t="shared" ca="1" si="53"/>
        <v>4.0901027999999992E-2</v>
      </c>
      <c r="X38" s="15">
        <f t="shared" ca="1" si="53"/>
        <v>4.3088678666666658E-2</v>
      </c>
      <c r="Y38" s="15">
        <f t="shared" ca="1" si="53"/>
        <v>4.5276329333333323E-2</v>
      </c>
      <c r="Z38" s="15">
        <f t="shared" ca="1" si="53"/>
        <v>4.7463979999999989E-2</v>
      </c>
      <c r="AA38" s="15">
        <f t="shared" ca="1" si="53"/>
        <v>4.9651630666666655E-2</v>
      </c>
      <c r="AB38" s="15">
        <f t="shared" ca="1" si="53"/>
        <v>5.183928133333332E-2</v>
      </c>
      <c r="AC38" s="15">
        <f t="shared" ca="1" si="53"/>
        <v>5.4026931999999986E-2</v>
      </c>
      <c r="AD38" s="15">
        <f t="shared" ca="1" si="53"/>
        <v>5.6214582666666651E-2</v>
      </c>
      <c r="AE38" s="5"/>
      <c r="AG38" s="1" t="s">
        <v>59</v>
      </c>
      <c r="AH38" s="37">
        <f t="shared" ca="1" si="54"/>
        <v>20463.859936374734</v>
      </c>
      <c r="AI38" s="37">
        <f t="shared" ca="1" si="48"/>
        <v>23235.943404545877</v>
      </c>
      <c r="AJ38" s="37">
        <f t="shared" ca="1" si="49"/>
        <v>27726.802780757407</v>
      </c>
      <c r="AK38" s="37">
        <f t="shared" ca="1" si="49"/>
        <v>32478.801031369014</v>
      </c>
      <c r="AL38" s="37">
        <f t="shared" ca="1" si="49"/>
        <v>37542.029270379157</v>
      </c>
      <c r="AM38" s="37">
        <f t="shared" ca="1" si="49"/>
        <v>42925.933670221202</v>
      </c>
      <c r="AN38" s="37">
        <f t="shared" ca="1" si="49"/>
        <v>48637.308985144024</v>
      </c>
      <c r="AO38" s="37">
        <f t="shared" ca="1" si="49"/>
        <v>54684.20083998952</v>
      </c>
      <c r="AP38" s="37">
        <f t="shared" ca="1" si="49"/>
        <v>61035.41186273186</v>
      </c>
      <c r="AQ38" s="37">
        <f t="shared" ca="1" si="49"/>
        <v>67742.633692635907</v>
      </c>
      <c r="AR38" s="37">
        <f t="shared" ca="1" si="49"/>
        <v>74818.594965511671</v>
      </c>
      <c r="AS38" s="37">
        <f t="shared" ca="1" si="49"/>
        <v>82279.78895618672</v>
      </c>
      <c r="AT38" s="37">
        <f t="shared" ca="1" si="50"/>
        <v>90140.981860389089</v>
      </c>
      <c r="AU38" s="37">
        <f t="shared" ca="1" si="50"/>
        <v>98357.550005559024</v>
      </c>
      <c r="AV38" s="37">
        <f t="shared" ca="1" si="50"/>
        <v>107000.11942820283</v>
      </c>
      <c r="AW38" s="37">
        <f t="shared" ca="1" si="50"/>
        <v>116075.90028837266</v>
      </c>
      <c r="AX38" s="37">
        <f t="shared" ca="1" si="50"/>
        <v>125589.8251170929</v>
      </c>
      <c r="AY38" s="37">
        <f t="shared" ca="1" si="50"/>
        <v>135548.1305331699</v>
      </c>
      <c r="AZ38" s="37" t="e">
        <f t="shared" ca="1" si="50"/>
        <v>#N/A</v>
      </c>
      <c r="BA38" s="37" t="e">
        <f t="shared" ca="1" si="50"/>
        <v>#N/A</v>
      </c>
      <c r="BB38" s="37" t="e">
        <f t="shared" ca="1" si="50"/>
        <v>#N/A</v>
      </c>
    </row>
    <row r="39" spans="1:54" x14ac:dyDescent="0.25">
      <c r="B39" s="1" t="s">
        <v>171</v>
      </c>
      <c r="C39" s="14">
        <f ca="1">Condom_Base!C39</f>
        <v>1.29192E-2</v>
      </c>
      <c r="D39" s="14">
        <f ca="1">Condom_Base!D39</f>
        <v>1.2262E-3</v>
      </c>
      <c r="E39" s="14">
        <f ca="1">IF('User Settings'!$N$7="On",($D39-$C39)/($D$4-$C$4),0)</f>
        <v>-2.3386000000000001E-3</v>
      </c>
      <c r="F39" s="14">
        <f ca="1">Condom_Base!F39</f>
        <v>0</v>
      </c>
      <c r="G39" s="1"/>
      <c r="H39" s="14">
        <f ca="1">Condom_Base!H39</f>
        <v>0</v>
      </c>
      <c r="I39" s="14">
        <f t="shared" ca="1" si="55"/>
        <v>0</v>
      </c>
      <c r="J39" s="14">
        <f t="shared" ca="1" si="51"/>
        <v>2.3386000000000001E-3</v>
      </c>
      <c r="K39" s="14">
        <f t="shared" ca="1" si="52"/>
        <v>0</v>
      </c>
      <c r="L39" s="15">
        <f t="shared" ca="1" si="53"/>
        <v>0</v>
      </c>
      <c r="M39" s="15">
        <f t="shared" ca="1" si="53"/>
        <v>0</v>
      </c>
      <c r="N39" s="15">
        <f t="shared" ca="1" si="53"/>
        <v>0</v>
      </c>
      <c r="O39" s="15">
        <f t="shared" ca="1" si="53"/>
        <v>0</v>
      </c>
      <c r="P39" s="15">
        <f t="shared" ca="1" si="53"/>
        <v>0</v>
      </c>
      <c r="Q39" s="15">
        <f t="shared" ca="1" si="53"/>
        <v>0</v>
      </c>
      <c r="R39" s="15">
        <f t="shared" ca="1" si="53"/>
        <v>0</v>
      </c>
      <c r="S39" s="15">
        <f t="shared" ca="1" si="53"/>
        <v>0</v>
      </c>
      <c r="T39" s="15">
        <f t="shared" ca="1" si="53"/>
        <v>0</v>
      </c>
      <c r="U39" s="15">
        <f t="shared" ca="1" si="53"/>
        <v>0</v>
      </c>
      <c r="V39" s="15">
        <f t="shared" ca="1" si="53"/>
        <v>0</v>
      </c>
      <c r="W39" s="15">
        <f t="shared" ca="1" si="53"/>
        <v>0</v>
      </c>
      <c r="X39" s="15">
        <f t="shared" ca="1" si="53"/>
        <v>0</v>
      </c>
      <c r="Y39" s="15">
        <f t="shared" ca="1" si="53"/>
        <v>0</v>
      </c>
      <c r="Z39" s="15">
        <f t="shared" ca="1" si="53"/>
        <v>0</v>
      </c>
      <c r="AA39" s="15">
        <f t="shared" ca="1" si="53"/>
        <v>0</v>
      </c>
      <c r="AB39" s="15">
        <f t="shared" ca="1" si="53"/>
        <v>0</v>
      </c>
      <c r="AC39" s="15">
        <f t="shared" ca="1" si="53"/>
        <v>0</v>
      </c>
      <c r="AD39" s="15">
        <f t="shared" ca="1" si="53"/>
        <v>0</v>
      </c>
      <c r="AE39" s="5"/>
      <c r="AG39" s="1" t="s">
        <v>171</v>
      </c>
      <c r="AH39" s="37">
        <f t="shared" ca="1" si="54"/>
        <v>3572.0201443239393</v>
      </c>
      <c r="AI39" s="37">
        <f t="shared" ca="1" si="48"/>
        <v>0</v>
      </c>
      <c r="AJ39" s="37">
        <f t="shared" ca="1" si="49"/>
        <v>0</v>
      </c>
      <c r="AK39" s="37">
        <f t="shared" ca="1" si="49"/>
        <v>0</v>
      </c>
      <c r="AL39" s="37">
        <f t="shared" ca="1" si="49"/>
        <v>0</v>
      </c>
      <c r="AM39" s="37">
        <f t="shared" ca="1" si="49"/>
        <v>0</v>
      </c>
      <c r="AN39" s="37">
        <f t="shared" ca="1" si="49"/>
        <v>0</v>
      </c>
      <c r="AO39" s="37">
        <f t="shared" ca="1" si="49"/>
        <v>0</v>
      </c>
      <c r="AP39" s="37">
        <f t="shared" ca="1" si="49"/>
        <v>0</v>
      </c>
      <c r="AQ39" s="37">
        <f t="shared" ca="1" si="49"/>
        <v>0</v>
      </c>
      <c r="AR39" s="37">
        <f t="shared" ca="1" si="49"/>
        <v>0</v>
      </c>
      <c r="AS39" s="37">
        <f t="shared" ca="1" si="49"/>
        <v>0</v>
      </c>
      <c r="AT39" s="37">
        <f t="shared" ca="1" si="50"/>
        <v>0</v>
      </c>
      <c r="AU39" s="37">
        <f t="shared" ca="1" si="50"/>
        <v>0</v>
      </c>
      <c r="AV39" s="37">
        <f t="shared" ca="1" si="50"/>
        <v>0</v>
      </c>
      <c r="AW39" s="37">
        <f t="shared" ca="1" si="50"/>
        <v>0</v>
      </c>
      <c r="AX39" s="37">
        <f t="shared" ca="1" si="50"/>
        <v>0</v>
      </c>
      <c r="AY39" s="37">
        <f t="shared" ca="1" si="50"/>
        <v>0</v>
      </c>
      <c r="AZ39" s="37" t="e">
        <f t="shared" ca="1" si="50"/>
        <v>#N/A</v>
      </c>
      <c r="BA39" s="37" t="e">
        <f t="shared" ca="1" si="50"/>
        <v>#N/A</v>
      </c>
      <c r="BB39" s="37" t="e">
        <f t="shared" ca="1" si="50"/>
        <v>#N/A</v>
      </c>
    </row>
    <row r="40" spans="1:54" x14ac:dyDescent="0.25">
      <c r="B40" s="1" t="s">
        <v>116</v>
      </c>
      <c r="C40" s="14">
        <f ca="1">Condom_Base!C40</f>
        <v>2.3316999999999999E-3</v>
      </c>
      <c r="D40" s="14">
        <f ca="1">Condom_Base!D40</f>
        <v>2.5933000000000002E-3</v>
      </c>
      <c r="E40" s="14">
        <f ca="1">IF('User Settings'!$N$7="On",($D40-$C40)/($D$4-$C$4),0)</f>
        <v>5.2320000000000055E-5</v>
      </c>
      <c r="F40" s="14">
        <f ca="1">Condom_Base!F40</f>
        <v>2.7502600000000005E-3</v>
      </c>
      <c r="G40" s="1" t="str">
        <f>"Shift_RurQ2"&amp;IF(Dashboard!$Q$4="Yes",$A$1,"")</f>
        <v>Shift_RurQ2</v>
      </c>
      <c r="H40" s="14">
        <f ca="1">Condom_Base!H40*(1-INDIRECT($G40))</f>
        <v>2.6164980000000005E-3</v>
      </c>
      <c r="I40" s="14">
        <f t="shared" ca="1" si="55"/>
        <v>-4.4587333333333312E-5</v>
      </c>
      <c r="J40" s="14">
        <f t="shared" ca="1" si="51"/>
        <v>2.6979400000000002E-3</v>
      </c>
      <c r="K40" s="14">
        <f t="shared" ca="1" si="52"/>
        <v>2.7502600000000005E-3</v>
      </c>
      <c r="L40" s="15">
        <f t="shared" ca="1" si="53"/>
        <v>2.7056726666666673E-3</v>
      </c>
      <c r="M40" s="15">
        <f t="shared" ca="1" si="53"/>
        <v>2.6610853333333341E-3</v>
      </c>
      <c r="N40" s="15">
        <f t="shared" ca="1" si="53"/>
        <v>2.616498000000001E-3</v>
      </c>
      <c r="O40" s="15">
        <f t="shared" ca="1" si="53"/>
        <v>2.5719106666666678E-3</v>
      </c>
      <c r="P40" s="15">
        <f t="shared" ca="1" si="53"/>
        <v>2.5273233333333346E-3</v>
      </c>
      <c r="Q40" s="15">
        <f t="shared" ca="1" si="53"/>
        <v>2.4827360000000014E-3</v>
      </c>
      <c r="R40" s="15">
        <f t="shared" ca="1" si="53"/>
        <v>2.4381486666666683E-3</v>
      </c>
      <c r="S40" s="15">
        <f t="shared" ca="1" si="53"/>
        <v>2.3935613333333351E-3</v>
      </c>
      <c r="T40" s="15">
        <f t="shared" ca="1" si="53"/>
        <v>2.3489740000000019E-3</v>
      </c>
      <c r="U40" s="15">
        <f t="shared" ca="1" si="53"/>
        <v>2.3043866666666688E-3</v>
      </c>
      <c r="V40" s="15">
        <f t="shared" ca="1" si="53"/>
        <v>2.2597993333333356E-3</v>
      </c>
      <c r="W40" s="15">
        <f t="shared" ca="1" si="53"/>
        <v>2.2152120000000024E-3</v>
      </c>
      <c r="X40" s="15">
        <f t="shared" ca="1" si="53"/>
        <v>2.1706246666666693E-3</v>
      </c>
      <c r="Y40" s="15">
        <f t="shared" ca="1" si="53"/>
        <v>2.1260373333333361E-3</v>
      </c>
      <c r="Z40" s="15">
        <f t="shared" ca="1" si="53"/>
        <v>2.0814500000000029E-3</v>
      </c>
      <c r="AA40" s="15">
        <f t="shared" ca="1" si="53"/>
        <v>2.0368626666666697E-3</v>
      </c>
      <c r="AB40" s="15">
        <f t="shared" ca="1" si="53"/>
        <v>1.9922753333333366E-3</v>
      </c>
      <c r="AC40" s="15">
        <f t="shared" ca="1" si="53"/>
        <v>1.9476880000000032E-3</v>
      </c>
      <c r="AD40" s="15">
        <f t="shared" ca="1" si="53"/>
        <v>1.9031006666666698E-3</v>
      </c>
      <c r="AE40" s="5"/>
      <c r="AG40" s="1" t="s">
        <v>116</v>
      </c>
      <c r="AH40" s="37">
        <f t="shared" ca="1" si="54"/>
        <v>4120.8825913697638</v>
      </c>
      <c r="AI40" s="37">
        <f t="shared" ca="1" si="48"/>
        <v>4362.340500571795</v>
      </c>
      <c r="AJ40" s="37">
        <f t="shared" ca="1" si="49"/>
        <v>4455.6767052012356</v>
      </c>
      <c r="AK40" s="37">
        <f t="shared" ca="1" si="49"/>
        <v>4543.0242135655481</v>
      </c>
      <c r="AL40" s="37">
        <f t="shared" ca="1" si="49"/>
        <v>4630.767867707681</v>
      </c>
      <c r="AM40" s="37">
        <f t="shared" ca="1" si="49"/>
        <v>4718.0556987868249</v>
      </c>
      <c r="AN40" s="37">
        <f t="shared" ca="1" si="49"/>
        <v>4803.9993737312179</v>
      </c>
      <c r="AO40" s="37">
        <f t="shared" ca="1" si="49"/>
        <v>4888.0586116077229</v>
      </c>
      <c r="AP40" s="37">
        <f t="shared" ca="1" si="49"/>
        <v>4966.6097251708907</v>
      </c>
      <c r="AQ40" s="37">
        <f t="shared" ca="1" si="49"/>
        <v>5043.3593628618446</v>
      </c>
      <c r="AR40" s="37">
        <f t="shared" ca="1" si="49"/>
        <v>5118.1357479236167</v>
      </c>
      <c r="AS40" s="37">
        <f t="shared" ca="1" si="49"/>
        <v>5190.98361374469</v>
      </c>
      <c r="AT40" s="37">
        <f t="shared" ca="1" si="50"/>
        <v>5261.7607851725088</v>
      </c>
      <c r="AU40" s="37">
        <f t="shared" ca="1" si="50"/>
        <v>5327.0745435277249</v>
      </c>
      <c r="AV40" s="37">
        <f t="shared" ca="1" si="50"/>
        <v>5390.2116693777925</v>
      </c>
      <c r="AW40" s="37">
        <f t="shared" ca="1" si="50"/>
        <v>5450.5676839768121</v>
      </c>
      <c r="AX40" s="37">
        <f t="shared" ca="1" si="50"/>
        <v>5507.5225779627717</v>
      </c>
      <c r="AY40" s="37">
        <f t="shared" ca="1" si="50"/>
        <v>5560.6013923894689</v>
      </c>
      <c r="AZ40" s="37" t="e">
        <f t="shared" ca="1" si="50"/>
        <v>#N/A</v>
      </c>
      <c r="BA40" s="37" t="e">
        <f t="shared" ca="1" si="50"/>
        <v>#N/A</v>
      </c>
      <c r="BB40" s="37" t="e">
        <f t="shared" ca="1" si="50"/>
        <v>#N/A</v>
      </c>
    </row>
    <row r="41" spans="1:54" x14ac:dyDescent="0.25">
      <c r="C41" s="5">
        <f ca="1">SUM(C35:C40)</f>
        <v>2.7916000000000003E-2</v>
      </c>
      <c r="D41" s="5">
        <f ca="1">SUM(D35:D40)</f>
        <v>3.0536799999999999E-2</v>
      </c>
      <c r="E41" s="131"/>
      <c r="F41" s="132">
        <f ca="1">SUM(F35:F40)</f>
        <v>3.7898880000000003E-2</v>
      </c>
      <c r="G41" s="132"/>
      <c r="H41" s="132">
        <f ca="1">Condom_Base!H41</f>
        <v>4.648716E-2</v>
      </c>
      <c r="I41" s="132"/>
      <c r="J41" s="132">
        <f ca="1">SUM(J35:J40)</f>
        <v>3.7374720000000007E-2</v>
      </c>
      <c r="K41" s="132">
        <f ca="1">SUM(K35:K40)</f>
        <v>3.7898880000000003E-2</v>
      </c>
      <c r="L41" s="5">
        <f t="shared" ref="L41:AD41" ca="1" si="56">SUM(L35:L40)</f>
        <v>4.0761640000000002E-2</v>
      </c>
      <c r="M41" s="5">
        <f t="shared" ca="1" si="56"/>
        <v>4.3624400000000001E-2</v>
      </c>
      <c r="N41" s="5">
        <f t="shared" ca="1" si="56"/>
        <v>4.6487160000000007E-2</v>
      </c>
      <c r="O41" s="5">
        <f t="shared" ca="1" si="56"/>
        <v>4.9359905333333336E-2</v>
      </c>
      <c r="P41" s="5">
        <f t="shared" ca="1" si="56"/>
        <v>5.2283716666666674E-2</v>
      </c>
      <c r="Q41" s="5">
        <f t="shared" ca="1" si="56"/>
        <v>5.5207528000000006E-2</v>
      </c>
      <c r="R41" s="5">
        <f t="shared" ca="1" si="56"/>
        <v>5.8131339333333337E-2</v>
      </c>
      <c r="S41" s="5">
        <f t="shared" ca="1" si="56"/>
        <v>6.1055150666666676E-2</v>
      </c>
      <c r="T41" s="5">
        <f t="shared" ca="1" si="56"/>
        <v>6.3978962000000014E-2</v>
      </c>
      <c r="U41" s="5">
        <f t="shared" ca="1" si="56"/>
        <v>6.6902773333333346E-2</v>
      </c>
      <c r="V41" s="5">
        <f t="shared" ca="1" si="56"/>
        <v>6.9826584666666677E-2</v>
      </c>
      <c r="W41" s="5">
        <f t="shared" ca="1" si="56"/>
        <v>7.2750396000000009E-2</v>
      </c>
      <c r="X41" s="5">
        <f t="shared" ca="1" si="56"/>
        <v>7.5674207333333354E-2</v>
      </c>
      <c r="Y41" s="5">
        <f t="shared" ca="1" si="56"/>
        <v>7.8598018666666672E-2</v>
      </c>
      <c r="Z41" s="5">
        <f t="shared" ca="1" si="56"/>
        <v>8.1521830000000003E-2</v>
      </c>
      <c r="AA41" s="5">
        <f t="shared" ca="1" si="56"/>
        <v>8.4445641333333335E-2</v>
      </c>
      <c r="AB41" s="5">
        <f t="shared" ca="1" si="56"/>
        <v>8.7369452666666667E-2</v>
      </c>
      <c r="AC41" s="5">
        <f t="shared" ca="1" si="56"/>
        <v>9.0293263999999998E-2</v>
      </c>
      <c r="AD41" s="5">
        <f t="shared" ca="1" si="56"/>
        <v>9.321707533333333E-2</v>
      </c>
      <c r="AE41" s="5"/>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57">IF(K44=Yr_Start,"Start Year",IF(K44=Yr_End,"End Year",""))</f>
        <v>Start Year</v>
      </c>
      <c r="L43" s="205" t="str">
        <f t="shared" si="57"/>
        <v/>
      </c>
      <c r="M43" s="205" t="str">
        <f t="shared" si="57"/>
        <v/>
      </c>
      <c r="N43" s="205" t="str">
        <f t="shared" si="57"/>
        <v>End Year</v>
      </c>
      <c r="O43" s="205" t="str">
        <f t="shared" si="57"/>
        <v/>
      </c>
      <c r="P43" s="205" t="str">
        <f t="shared" si="57"/>
        <v/>
      </c>
      <c r="Q43" s="205" t="str">
        <f t="shared" si="57"/>
        <v/>
      </c>
      <c r="R43" s="205" t="str">
        <f t="shared" si="57"/>
        <v/>
      </c>
      <c r="S43" s="205" t="str">
        <f t="shared" si="57"/>
        <v/>
      </c>
      <c r="T43" s="205" t="str">
        <f t="shared" si="57"/>
        <v/>
      </c>
      <c r="U43" s="205" t="str">
        <f t="shared" si="57"/>
        <v/>
      </c>
      <c r="V43" s="205" t="str">
        <f t="shared" si="57"/>
        <v/>
      </c>
      <c r="W43" s="205" t="str">
        <f t="shared" si="57"/>
        <v/>
      </c>
      <c r="X43" s="205" t="str">
        <f t="shared" si="57"/>
        <v/>
      </c>
      <c r="Y43" s="205" t="str">
        <f t="shared" si="57"/>
        <v/>
      </c>
      <c r="Z43" s="205" t="str">
        <f t="shared" si="57"/>
        <v/>
      </c>
      <c r="AA43" s="205" t="str">
        <f t="shared" si="57"/>
        <v/>
      </c>
      <c r="AB43" s="205" t="str">
        <f t="shared" si="57"/>
        <v/>
      </c>
      <c r="AC43" s="205" t="str">
        <f t="shared" si="57"/>
        <v/>
      </c>
      <c r="AD43" s="205" t="str">
        <f t="shared" si="57"/>
        <v/>
      </c>
      <c r="AE43" s="35"/>
      <c r="AF43" s="6" t="str">
        <f>A43</f>
        <v>Other</v>
      </c>
      <c r="AI43" s="205" t="str">
        <f t="shared" ref="AI43:BB43" si="58">IF(AI44=Yr_Start,"Start Year",IF(AI44=Yr_End,"End Year",""))</f>
        <v>Start Year</v>
      </c>
      <c r="AJ43" s="205" t="str">
        <f t="shared" si="58"/>
        <v/>
      </c>
      <c r="AK43" s="205" t="str">
        <f t="shared" si="58"/>
        <v/>
      </c>
      <c r="AL43" s="205" t="str">
        <f t="shared" si="58"/>
        <v>End Year</v>
      </c>
      <c r="AM43" s="205" t="str">
        <f t="shared" si="58"/>
        <v/>
      </c>
      <c r="AN43" s="205" t="str">
        <f t="shared" si="58"/>
        <v/>
      </c>
      <c r="AO43" s="205" t="str">
        <f t="shared" si="58"/>
        <v/>
      </c>
      <c r="AP43" s="205" t="str">
        <f t="shared" si="58"/>
        <v/>
      </c>
      <c r="AQ43" s="205" t="str">
        <f t="shared" si="58"/>
        <v/>
      </c>
      <c r="AR43" s="205" t="str">
        <f t="shared" si="58"/>
        <v/>
      </c>
      <c r="AS43" s="205" t="str">
        <f t="shared" si="58"/>
        <v/>
      </c>
      <c r="AT43" s="205" t="str">
        <f t="shared" si="58"/>
        <v/>
      </c>
      <c r="AU43" s="205" t="str">
        <f t="shared" si="58"/>
        <v/>
      </c>
      <c r="AV43" s="205" t="str">
        <f t="shared" si="58"/>
        <v/>
      </c>
      <c r="AW43" s="205" t="str">
        <f t="shared" si="58"/>
        <v/>
      </c>
      <c r="AX43" s="205" t="str">
        <f t="shared" si="58"/>
        <v/>
      </c>
      <c r="AY43" s="205" t="str">
        <f t="shared" si="58"/>
        <v/>
      </c>
      <c r="AZ43" s="205" t="str">
        <f t="shared" si="58"/>
        <v/>
      </c>
      <c r="BA43" s="205" t="str">
        <f t="shared" si="58"/>
        <v/>
      </c>
      <c r="BB43" s="205" t="str">
        <f t="shared" si="58"/>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59">L44+1</f>
        <v>2021</v>
      </c>
      <c r="N44" s="130">
        <f t="shared" si="59"/>
        <v>2022</v>
      </c>
      <c r="O44" s="130">
        <f t="shared" si="59"/>
        <v>2023</v>
      </c>
      <c r="P44" s="130">
        <f t="shared" si="59"/>
        <v>2024</v>
      </c>
      <c r="Q44" s="130">
        <f t="shared" si="59"/>
        <v>2025</v>
      </c>
      <c r="R44" s="130">
        <f t="shared" si="59"/>
        <v>2026</v>
      </c>
      <c r="S44" s="130">
        <f t="shared" si="59"/>
        <v>2027</v>
      </c>
      <c r="T44" s="130">
        <f t="shared" si="59"/>
        <v>2028</v>
      </c>
      <c r="U44" s="130">
        <f t="shared" si="59"/>
        <v>2029</v>
      </c>
      <c r="V44" s="130">
        <f t="shared" si="59"/>
        <v>2030</v>
      </c>
      <c r="W44" s="130">
        <f t="shared" si="59"/>
        <v>2031</v>
      </c>
      <c r="X44" s="130">
        <f t="shared" si="59"/>
        <v>2032</v>
      </c>
      <c r="Y44" s="130">
        <f t="shared" si="59"/>
        <v>2033</v>
      </c>
      <c r="Z44" s="130">
        <f t="shared" si="59"/>
        <v>2034</v>
      </c>
      <c r="AA44" s="130">
        <f t="shared" si="59"/>
        <v>2035</v>
      </c>
      <c r="AB44" s="130">
        <f t="shared" si="59"/>
        <v>2036</v>
      </c>
      <c r="AC44" s="130">
        <f t="shared" si="59"/>
        <v>2037</v>
      </c>
      <c r="AD44" s="130">
        <f t="shared" si="59"/>
        <v>2038</v>
      </c>
      <c r="AE44" s="6"/>
      <c r="AF44" s="6" t="str">
        <f>A44</f>
        <v>Urban</v>
      </c>
      <c r="AG44" s="38"/>
      <c r="AH44" s="161">
        <f>AI44-1</f>
        <v>2018</v>
      </c>
      <c r="AI44" s="36">
        <f>Yr_Start</f>
        <v>2019</v>
      </c>
      <c r="AJ44" s="36">
        <f>AI44+1</f>
        <v>2020</v>
      </c>
      <c r="AK44" s="36">
        <f t="shared" ref="AK44:BB44" si="60">AJ44+1</f>
        <v>2021</v>
      </c>
      <c r="AL44" s="36">
        <f t="shared" si="60"/>
        <v>2022</v>
      </c>
      <c r="AM44" s="36">
        <f t="shared" si="60"/>
        <v>2023</v>
      </c>
      <c r="AN44" s="36">
        <f t="shared" si="60"/>
        <v>2024</v>
      </c>
      <c r="AO44" s="36">
        <f t="shared" si="60"/>
        <v>2025</v>
      </c>
      <c r="AP44" s="36">
        <f t="shared" si="60"/>
        <v>2026</v>
      </c>
      <c r="AQ44" s="36">
        <f t="shared" si="60"/>
        <v>2027</v>
      </c>
      <c r="AR44" s="36">
        <f t="shared" si="60"/>
        <v>2028</v>
      </c>
      <c r="AS44" s="36">
        <f t="shared" si="60"/>
        <v>2029</v>
      </c>
      <c r="AT44" s="36">
        <f t="shared" si="60"/>
        <v>2030</v>
      </c>
      <c r="AU44" s="36">
        <f t="shared" si="60"/>
        <v>2031</v>
      </c>
      <c r="AV44" s="36">
        <f t="shared" si="60"/>
        <v>2032</v>
      </c>
      <c r="AW44" s="36">
        <f t="shared" si="60"/>
        <v>2033</v>
      </c>
      <c r="AX44" s="36">
        <f t="shared" si="60"/>
        <v>2034</v>
      </c>
      <c r="AY44" s="36">
        <f t="shared" si="60"/>
        <v>2035</v>
      </c>
      <c r="AZ44" s="36">
        <f t="shared" si="60"/>
        <v>2036</v>
      </c>
      <c r="BA44" s="36">
        <f t="shared" si="60"/>
        <v>2037</v>
      </c>
      <c r="BB44" s="36">
        <f t="shared" si="60"/>
        <v>2038</v>
      </c>
    </row>
    <row r="45" spans="1:54" x14ac:dyDescent="0.25">
      <c r="B45" s="1" t="s">
        <v>52</v>
      </c>
      <c r="C45" s="14">
        <f ca="1">Condom_Base!C45</f>
        <v>6.2303999999999997E-3</v>
      </c>
      <c r="D45" s="14">
        <f ca="1">Condom_Base!D45</f>
        <v>1.4560200000000001E-2</v>
      </c>
      <c r="E45" s="14">
        <f ca="1">IF('User Settings'!$N$7="On",($D45-$C45)/($D$4-$C$4),0)</f>
        <v>1.6659600000000004E-3</v>
      </c>
      <c r="F45" s="14">
        <f ca="1">Condom_Base!F45</f>
        <v>1.9558080000000002E-2</v>
      </c>
      <c r="G45" s="14"/>
      <c r="H45" s="14">
        <f ca="1">MAX(0,MIN(1,($D45+$E45*(H$4-$D$4))*$H$1))</f>
        <v>2.4555960000000002E-2</v>
      </c>
      <c r="I45" s="14">
        <f ca="1">($H45-$F45)/($H$4-$F$4)</f>
        <v>1.66596E-3</v>
      </c>
      <c r="J45" s="14">
        <f ca="1">K45-E45</f>
        <v>1.7892120000000001E-2</v>
      </c>
      <c r="K45" s="14">
        <f ca="1">MAX(0,MIN(1,D45+(K$4-D$4)*E45))</f>
        <v>1.9558080000000002E-2</v>
      </c>
      <c r="L45" s="15">
        <f ca="1">MAX(0,MIN(1,K45+$I45))</f>
        <v>2.1224040000000003E-2</v>
      </c>
      <c r="M45" s="15">
        <f t="shared" ref="M45:AD45" ca="1" si="61">MAX(0,MIN(1,L45+$I45))</f>
        <v>2.2890000000000004E-2</v>
      </c>
      <c r="N45" s="15">
        <f ca="1">MAX(0,MIN(1,M45+$I45))</f>
        <v>2.4555960000000005E-2</v>
      </c>
      <c r="O45" s="15">
        <f t="shared" ca="1" si="61"/>
        <v>2.6221920000000006E-2</v>
      </c>
      <c r="P45" s="15">
        <f t="shared" ca="1" si="61"/>
        <v>2.7887880000000007E-2</v>
      </c>
      <c r="Q45" s="15">
        <f t="shared" ca="1" si="61"/>
        <v>2.9553840000000008E-2</v>
      </c>
      <c r="R45" s="15">
        <f t="shared" ca="1" si="61"/>
        <v>3.1219800000000009E-2</v>
      </c>
      <c r="S45" s="15">
        <f t="shared" ca="1" si="61"/>
        <v>3.2885760000000007E-2</v>
      </c>
      <c r="T45" s="15">
        <f t="shared" ca="1" si="61"/>
        <v>3.4551720000000008E-2</v>
      </c>
      <c r="U45" s="15">
        <f t="shared" ca="1" si="61"/>
        <v>3.6217680000000009E-2</v>
      </c>
      <c r="V45" s="15">
        <f t="shared" ca="1" si="61"/>
        <v>3.788364000000001E-2</v>
      </c>
      <c r="W45" s="15">
        <f t="shared" ca="1" si="61"/>
        <v>3.9549600000000011E-2</v>
      </c>
      <c r="X45" s="15">
        <f t="shared" ca="1" si="61"/>
        <v>4.1215560000000012E-2</v>
      </c>
      <c r="Y45" s="15">
        <f t="shared" ca="1" si="61"/>
        <v>4.2881520000000013E-2</v>
      </c>
      <c r="Z45" s="15">
        <f t="shared" ca="1" si="61"/>
        <v>4.4547480000000014E-2</v>
      </c>
      <c r="AA45" s="15">
        <f t="shared" ca="1" si="61"/>
        <v>4.6213440000000015E-2</v>
      </c>
      <c r="AB45" s="15">
        <f t="shared" ca="1" si="61"/>
        <v>4.7879400000000016E-2</v>
      </c>
      <c r="AC45" s="15">
        <f t="shared" ca="1" si="61"/>
        <v>4.9545360000000017E-2</v>
      </c>
      <c r="AD45" s="15">
        <f t="shared" ca="1" si="61"/>
        <v>5.1211320000000018E-2</v>
      </c>
      <c r="AE45" s="5"/>
      <c r="AG45" s="1" t="s">
        <v>52</v>
      </c>
      <c r="AH45" s="37">
        <f ca="1">J45*AH$51</f>
        <v>26232.167724718744</v>
      </c>
      <c r="AI45" s="37">
        <f t="shared" ref="AI45:AI50" ca="1" si="62">K45*AI$51</f>
        <v>29777.377805595319</v>
      </c>
      <c r="AJ45" s="37">
        <f t="shared" ref="AJ45:AS50" ca="1" si="63">L45*AJ$51</f>
        <v>33549.101773815011</v>
      </c>
      <c r="AK45" s="37">
        <f t="shared" ca="1" si="63"/>
        <v>37509.948425683891</v>
      </c>
      <c r="AL45" s="37">
        <f t="shared" ca="1" si="63"/>
        <v>41716.123588425733</v>
      </c>
      <c r="AM45" s="37">
        <f t="shared" ca="1" si="63"/>
        <v>46172.78771885296</v>
      </c>
      <c r="AN45" s="37">
        <f t="shared" ca="1" si="63"/>
        <v>50882.924013433105</v>
      </c>
      <c r="AO45" s="37">
        <f t="shared" ca="1" si="63"/>
        <v>55851.41816968684</v>
      </c>
      <c r="AP45" s="37">
        <f t="shared" ca="1" si="63"/>
        <v>61044.197954488205</v>
      </c>
      <c r="AQ45" s="37">
        <f t="shared" ca="1" si="63"/>
        <v>66511.640757224333</v>
      </c>
      <c r="AR45" s="37">
        <f t="shared" ca="1" si="63"/>
        <v>72263.282723241791</v>
      </c>
      <c r="AS45" s="37">
        <f t="shared" ca="1" si="63"/>
        <v>78312.187554539618</v>
      </c>
      <c r="AT45" s="37">
        <f t="shared" ref="AT45:BB50" ca="1" si="64">V45*AT$51</f>
        <v>84669.568957736701</v>
      </c>
      <c r="AU45" s="37">
        <f t="shared" ca="1" si="64"/>
        <v>91291.427547006169</v>
      </c>
      <c r="AV45" s="37">
        <f t="shared" ca="1" si="64"/>
        <v>98241.891403114729</v>
      </c>
      <c r="AW45" s="37">
        <f t="shared" ca="1" si="64"/>
        <v>105525.02065402341</v>
      </c>
      <c r="AX45" s="37">
        <f t="shared" ca="1" si="64"/>
        <v>113143.04666135815</v>
      </c>
      <c r="AY45" s="37">
        <f t="shared" ca="1" si="64"/>
        <v>121099.60805345682</v>
      </c>
      <c r="AZ45" s="37" t="e">
        <f t="shared" ca="1" si="64"/>
        <v>#N/A</v>
      </c>
      <c r="BA45" s="37" t="e">
        <f t="shared" ca="1" si="64"/>
        <v>#N/A</v>
      </c>
      <c r="BB45" s="37" t="e">
        <f t="shared" ca="1" si="64"/>
        <v>#N/A</v>
      </c>
    </row>
    <row r="46" spans="1:54" x14ac:dyDescent="0.25">
      <c r="B46" s="1" t="s">
        <v>54</v>
      </c>
      <c r="C46" s="14">
        <f ca="1">Condom_Base!C46</f>
        <v>1.4342000000000001E-3</v>
      </c>
      <c r="D46" s="14">
        <f ca="1">Condom_Base!D46</f>
        <v>9.7659999999999999E-4</v>
      </c>
      <c r="E46" s="14">
        <f ca="1">IF('User Settings'!$N$7="On",($D46-$C46)/($D$4-$C$4),0)</f>
        <v>-9.1520000000000018E-5</v>
      </c>
      <c r="F46" s="14">
        <f ca="1">Condom_Base!F46</f>
        <v>7.0203999999999991E-4</v>
      </c>
      <c r="G46" s="14"/>
      <c r="H46" s="14">
        <f t="shared" ref="H46:H50" ca="1" si="65">MAX(0,MIN(1,($D46+$E46*(H$4-$D$4))*$H$1))</f>
        <v>4.2747999999999983E-4</v>
      </c>
      <c r="I46" s="14">
        <f ca="1">($H46-$F46)/($H$4-$F$4)</f>
        <v>-9.1520000000000032E-5</v>
      </c>
      <c r="J46" s="14">
        <f t="shared" ref="J46:J50" ca="1" si="66">K46-E46</f>
        <v>7.935599999999999E-4</v>
      </c>
      <c r="K46" s="14">
        <f t="shared" ref="K46:K50" ca="1" si="67">MAX(0,MIN(1,D46+(K$4-D$4)*E46))</f>
        <v>7.0203999999999991E-4</v>
      </c>
      <c r="L46" s="15">
        <f t="shared" ref="L46:AD50" ca="1" si="68">MAX(0,MIN(1,K46+$I46))</f>
        <v>6.1051999999999992E-4</v>
      </c>
      <c r="M46" s="15">
        <f t="shared" ca="1" si="68"/>
        <v>5.1899999999999993E-4</v>
      </c>
      <c r="N46" s="15">
        <f t="shared" ca="1" si="68"/>
        <v>4.2747999999999988E-4</v>
      </c>
      <c r="O46" s="15">
        <f t="shared" ca="1" si="68"/>
        <v>3.3595999999999984E-4</v>
      </c>
      <c r="P46" s="15">
        <f t="shared" ca="1" si="68"/>
        <v>2.4443999999999979E-4</v>
      </c>
      <c r="Q46" s="15">
        <f t="shared" ca="1" si="68"/>
        <v>1.5291999999999975E-4</v>
      </c>
      <c r="R46" s="15">
        <f t="shared" ca="1" si="68"/>
        <v>6.1399999999999717E-5</v>
      </c>
      <c r="S46" s="15">
        <f t="shared" ca="1" si="68"/>
        <v>0</v>
      </c>
      <c r="T46" s="15">
        <f t="shared" ca="1" si="68"/>
        <v>0</v>
      </c>
      <c r="U46" s="15">
        <f t="shared" ca="1" si="68"/>
        <v>0</v>
      </c>
      <c r="V46" s="15">
        <f t="shared" ca="1" si="68"/>
        <v>0</v>
      </c>
      <c r="W46" s="15">
        <f t="shared" ca="1" si="68"/>
        <v>0</v>
      </c>
      <c r="X46" s="15">
        <f t="shared" ca="1" si="68"/>
        <v>0</v>
      </c>
      <c r="Y46" s="15">
        <f t="shared" ca="1" si="68"/>
        <v>0</v>
      </c>
      <c r="Z46" s="15">
        <f t="shared" ca="1" si="68"/>
        <v>0</v>
      </c>
      <c r="AA46" s="15">
        <f t="shared" ca="1" si="68"/>
        <v>0</v>
      </c>
      <c r="AB46" s="15">
        <f t="shared" ca="1" si="68"/>
        <v>0</v>
      </c>
      <c r="AC46" s="15">
        <f t="shared" ca="1" si="68"/>
        <v>0</v>
      </c>
      <c r="AD46" s="15">
        <f t="shared" ca="1" si="68"/>
        <v>0</v>
      </c>
      <c r="AE46" s="5"/>
      <c r="AG46" s="1" t="s">
        <v>54</v>
      </c>
      <c r="AH46" s="37">
        <f t="shared" ref="AH46:AH50" ca="1" si="69">J46*AH$51</f>
        <v>1163.4618491060758</v>
      </c>
      <c r="AI46" s="37">
        <f t="shared" ca="1" si="62"/>
        <v>1068.8631151237817</v>
      </c>
      <c r="AJ46" s="37">
        <f t="shared" ca="1" si="63"/>
        <v>965.05649324772924</v>
      </c>
      <c r="AK46" s="37">
        <f t="shared" ca="1" si="63"/>
        <v>850.48769038575495</v>
      </c>
      <c r="AL46" s="37">
        <f t="shared" ca="1" si="63"/>
        <v>726.21100993731159</v>
      </c>
      <c r="AM46" s="37">
        <f t="shared" ca="1" si="63"/>
        <v>591.574139575814</v>
      </c>
      <c r="AN46" s="37">
        <f t="shared" ca="1" si="63"/>
        <v>445.99381329249746</v>
      </c>
      <c r="AO46" s="37">
        <f t="shared" ca="1" si="63"/>
        <v>288.99117226419628</v>
      </c>
      <c r="AP46" s="37">
        <f t="shared" ca="1" si="63"/>
        <v>120.05566193266957</v>
      </c>
      <c r="AQ46" s="37">
        <f t="shared" ca="1" si="63"/>
        <v>0</v>
      </c>
      <c r="AR46" s="37">
        <f t="shared" ca="1" si="63"/>
        <v>0</v>
      </c>
      <c r="AS46" s="37">
        <f t="shared" ca="1" si="63"/>
        <v>0</v>
      </c>
      <c r="AT46" s="37">
        <f t="shared" ca="1" si="64"/>
        <v>0</v>
      </c>
      <c r="AU46" s="37">
        <f t="shared" ca="1" si="64"/>
        <v>0</v>
      </c>
      <c r="AV46" s="37">
        <f t="shared" ca="1" si="64"/>
        <v>0</v>
      </c>
      <c r="AW46" s="37">
        <f t="shared" ca="1" si="64"/>
        <v>0</v>
      </c>
      <c r="AX46" s="37">
        <f t="shared" ca="1" si="64"/>
        <v>0</v>
      </c>
      <c r="AY46" s="37">
        <f t="shared" ca="1" si="64"/>
        <v>0</v>
      </c>
      <c r="AZ46" s="37" t="e">
        <f t="shared" ca="1" si="64"/>
        <v>#N/A</v>
      </c>
      <c r="BA46" s="37" t="e">
        <f t="shared" ca="1" si="64"/>
        <v>#N/A</v>
      </c>
      <c r="BB46" s="37" t="e">
        <f t="shared" ca="1" si="64"/>
        <v>#N/A</v>
      </c>
    </row>
    <row r="47" spans="1:54" x14ac:dyDescent="0.25">
      <c r="B47" s="1" t="s">
        <v>170</v>
      </c>
      <c r="C47" s="14">
        <f ca="1">Condom_Base!C47</f>
        <v>0</v>
      </c>
      <c r="D47" s="14">
        <f ca="1">Condom_Base!D47</f>
        <v>0</v>
      </c>
      <c r="E47" s="14">
        <f ca="1">IF('User Settings'!$N$7="On",($D47-$C47)/($D$4-$C$4),0)</f>
        <v>0</v>
      </c>
      <c r="F47" s="14">
        <f ca="1">Condom_Base!F47</f>
        <v>0</v>
      </c>
      <c r="G47" s="14"/>
      <c r="H47" s="14">
        <f t="shared" ca="1" si="65"/>
        <v>0</v>
      </c>
      <c r="I47" s="14">
        <f t="shared" ref="I47:I50" ca="1" si="70">($H47-$F47)/($H$4-$F$4)</f>
        <v>0</v>
      </c>
      <c r="J47" s="14">
        <f t="shared" ca="1" si="66"/>
        <v>0</v>
      </c>
      <c r="K47" s="14">
        <f t="shared" ca="1" si="67"/>
        <v>0</v>
      </c>
      <c r="L47" s="15">
        <f t="shared" ca="1" si="68"/>
        <v>0</v>
      </c>
      <c r="M47" s="15">
        <f t="shared" ca="1" si="68"/>
        <v>0</v>
      </c>
      <c r="N47" s="15">
        <f t="shared" ca="1" si="68"/>
        <v>0</v>
      </c>
      <c r="O47" s="15">
        <f t="shared" ca="1" si="68"/>
        <v>0</v>
      </c>
      <c r="P47" s="15">
        <f t="shared" ca="1" si="68"/>
        <v>0</v>
      </c>
      <c r="Q47" s="15">
        <f t="shared" ca="1" si="68"/>
        <v>0</v>
      </c>
      <c r="R47" s="15">
        <f t="shared" ca="1" si="68"/>
        <v>0</v>
      </c>
      <c r="S47" s="15">
        <f t="shared" ca="1" si="68"/>
        <v>0</v>
      </c>
      <c r="T47" s="15">
        <f t="shared" ca="1" si="68"/>
        <v>0</v>
      </c>
      <c r="U47" s="15">
        <f t="shared" ca="1" si="68"/>
        <v>0</v>
      </c>
      <c r="V47" s="15">
        <f t="shared" ca="1" si="68"/>
        <v>0</v>
      </c>
      <c r="W47" s="15">
        <f t="shared" ca="1" si="68"/>
        <v>0</v>
      </c>
      <c r="X47" s="15">
        <f t="shared" ca="1" si="68"/>
        <v>0</v>
      </c>
      <c r="Y47" s="15">
        <f t="shared" ca="1" si="68"/>
        <v>0</v>
      </c>
      <c r="Z47" s="15">
        <f t="shared" ca="1" si="68"/>
        <v>0</v>
      </c>
      <c r="AA47" s="15">
        <f t="shared" ca="1" si="68"/>
        <v>0</v>
      </c>
      <c r="AB47" s="15">
        <f t="shared" ca="1" si="68"/>
        <v>0</v>
      </c>
      <c r="AC47" s="15">
        <f t="shared" ca="1" si="68"/>
        <v>0</v>
      </c>
      <c r="AD47" s="15">
        <f t="shared" ca="1" si="68"/>
        <v>0</v>
      </c>
      <c r="AE47" s="5"/>
      <c r="AG47" s="1" t="s">
        <v>170</v>
      </c>
      <c r="AH47" s="37">
        <f t="shared" ca="1" si="69"/>
        <v>0</v>
      </c>
      <c r="AI47" s="37">
        <f t="shared" ca="1" si="62"/>
        <v>0</v>
      </c>
      <c r="AJ47" s="37">
        <f t="shared" ca="1" si="63"/>
        <v>0</v>
      </c>
      <c r="AK47" s="37">
        <f t="shared" ca="1" si="63"/>
        <v>0</v>
      </c>
      <c r="AL47" s="37">
        <f t="shared" ca="1" si="63"/>
        <v>0</v>
      </c>
      <c r="AM47" s="37">
        <f t="shared" ca="1" si="63"/>
        <v>0</v>
      </c>
      <c r="AN47" s="37">
        <f t="shared" ca="1" si="63"/>
        <v>0</v>
      </c>
      <c r="AO47" s="37">
        <f t="shared" ca="1" si="63"/>
        <v>0</v>
      </c>
      <c r="AP47" s="37">
        <f t="shared" ca="1" si="63"/>
        <v>0</v>
      </c>
      <c r="AQ47" s="37">
        <f t="shared" ca="1" si="63"/>
        <v>0</v>
      </c>
      <c r="AR47" s="37">
        <f t="shared" ca="1" si="63"/>
        <v>0</v>
      </c>
      <c r="AS47" s="37">
        <f t="shared" ca="1" si="63"/>
        <v>0</v>
      </c>
      <c r="AT47" s="37">
        <f t="shared" ca="1" si="64"/>
        <v>0</v>
      </c>
      <c r="AU47" s="37">
        <f t="shared" ca="1" si="64"/>
        <v>0</v>
      </c>
      <c r="AV47" s="37">
        <f t="shared" ca="1" si="64"/>
        <v>0</v>
      </c>
      <c r="AW47" s="37">
        <f t="shared" ca="1" si="64"/>
        <v>0</v>
      </c>
      <c r="AX47" s="37">
        <f t="shared" ca="1" si="64"/>
        <v>0</v>
      </c>
      <c r="AY47" s="37">
        <f t="shared" ca="1" si="64"/>
        <v>0</v>
      </c>
      <c r="AZ47" s="37" t="e">
        <f t="shared" ca="1" si="64"/>
        <v>#N/A</v>
      </c>
      <c r="BA47" s="37" t="e">
        <f t="shared" ca="1" si="64"/>
        <v>#N/A</v>
      </c>
      <c r="BB47" s="37" t="e">
        <f t="shared" ca="1" si="64"/>
        <v>#N/A</v>
      </c>
    </row>
    <row r="48" spans="1:54" x14ac:dyDescent="0.25">
      <c r="B48" s="1" t="s">
        <v>59</v>
      </c>
      <c r="C48" s="14">
        <f ca="1">Condom_Base!C48</f>
        <v>1.8495899999999999E-2</v>
      </c>
      <c r="D48" s="14">
        <f ca="1">Condom_Base!D48</f>
        <v>1.35995E-2</v>
      </c>
      <c r="E48" s="14">
        <f ca="1">IF('User Settings'!$N$7="On",($D48-$C48)/($D$4-$C$4),0)</f>
        <v>-9.7927999999999969E-4</v>
      </c>
      <c r="F48" s="14">
        <f ca="1">Condom_Base!F48</f>
        <v>1.0661660000000002E-2</v>
      </c>
      <c r="G48" s="14"/>
      <c r="H48" s="14">
        <f t="shared" ca="1" si="65"/>
        <v>7.7238200000000028E-3</v>
      </c>
      <c r="I48" s="14">
        <f t="shared" ca="1" si="70"/>
        <v>-9.7927999999999969E-4</v>
      </c>
      <c r="J48" s="14">
        <f t="shared" ca="1" si="66"/>
        <v>1.1640940000000001E-2</v>
      </c>
      <c r="K48" s="14">
        <f t="shared" ca="1" si="67"/>
        <v>1.0661660000000002E-2</v>
      </c>
      <c r="L48" s="15">
        <f t="shared" ca="1" si="68"/>
        <v>9.6823800000000026E-3</v>
      </c>
      <c r="M48" s="15">
        <f t="shared" ca="1" si="68"/>
        <v>8.7031000000000035E-3</v>
      </c>
      <c r="N48" s="15">
        <f t="shared" ca="1" si="68"/>
        <v>7.7238200000000036E-3</v>
      </c>
      <c r="O48" s="15">
        <f t="shared" ca="1" si="68"/>
        <v>6.7445400000000037E-3</v>
      </c>
      <c r="P48" s="15">
        <f t="shared" ca="1" si="68"/>
        <v>5.7652600000000038E-3</v>
      </c>
      <c r="Q48" s="15">
        <f t="shared" ca="1" si="68"/>
        <v>4.7859800000000039E-3</v>
      </c>
      <c r="R48" s="15">
        <f t="shared" ca="1" si="68"/>
        <v>3.806700000000004E-3</v>
      </c>
      <c r="S48" s="15">
        <f t="shared" ca="1" si="68"/>
        <v>2.8274200000000041E-3</v>
      </c>
      <c r="T48" s="15">
        <f t="shared" ca="1" si="68"/>
        <v>1.8481400000000044E-3</v>
      </c>
      <c r="U48" s="15">
        <f t="shared" ca="1" si="68"/>
        <v>8.6886000000000472E-4</v>
      </c>
      <c r="V48" s="15">
        <f t="shared" ca="1" si="68"/>
        <v>0</v>
      </c>
      <c r="W48" s="15">
        <f t="shared" ca="1" si="68"/>
        <v>0</v>
      </c>
      <c r="X48" s="15">
        <f t="shared" ca="1" si="68"/>
        <v>0</v>
      </c>
      <c r="Y48" s="15">
        <f t="shared" ca="1" si="68"/>
        <v>0</v>
      </c>
      <c r="Z48" s="15">
        <f t="shared" ca="1" si="68"/>
        <v>0</v>
      </c>
      <c r="AA48" s="15">
        <f t="shared" ca="1" si="68"/>
        <v>0</v>
      </c>
      <c r="AB48" s="15">
        <f t="shared" ca="1" si="68"/>
        <v>0</v>
      </c>
      <c r="AC48" s="15">
        <f t="shared" ca="1" si="68"/>
        <v>0</v>
      </c>
      <c r="AD48" s="15">
        <f t="shared" ca="1" si="68"/>
        <v>0</v>
      </c>
      <c r="AE48" s="5"/>
      <c r="AG48" s="1" t="s">
        <v>59</v>
      </c>
      <c r="AH48" s="37">
        <f t="shared" ca="1" si="69"/>
        <v>17067.127347311969</v>
      </c>
      <c r="AI48" s="37">
        <f t="shared" ca="1" si="62"/>
        <v>16232.486923808645</v>
      </c>
      <c r="AJ48" s="37">
        <f t="shared" ca="1" si="63"/>
        <v>15305.057474107241</v>
      </c>
      <c r="AK48" s="37">
        <f t="shared" ca="1" si="63"/>
        <v>14261.810054328071</v>
      </c>
      <c r="AL48" s="37">
        <f t="shared" ca="1" si="63"/>
        <v>13121.369707995718</v>
      </c>
      <c r="AM48" s="37">
        <f t="shared" ca="1" si="63"/>
        <v>11876.102653097585</v>
      </c>
      <c r="AN48" s="37">
        <f t="shared" ca="1" si="63"/>
        <v>10519.024267806855</v>
      </c>
      <c r="AO48" s="37">
        <f t="shared" ca="1" si="63"/>
        <v>9044.6375270272147</v>
      </c>
      <c r="AP48" s="37">
        <f t="shared" ca="1" si="63"/>
        <v>7443.2555094315276</v>
      </c>
      <c r="AQ48" s="37">
        <f t="shared" ca="1" si="63"/>
        <v>5718.4733851305691</v>
      </c>
      <c r="AR48" s="37">
        <f t="shared" ca="1" si="63"/>
        <v>3865.2971062549814</v>
      </c>
      <c r="AS48" s="37">
        <f t="shared" ca="1" si="63"/>
        <v>1878.7047452690965</v>
      </c>
      <c r="AT48" s="37">
        <f t="shared" ca="1" si="64"/>
        <v>0</v>
      </c>
      <c r="AU48" s="37">
        <f t="shared" ca="1" si="64"/>
        <v>0</v>
      </c>
      <c r="AV48" s="37">
        <f t="shared" ca="1" si="64"/>
        <v>0</v>
      </c>
      <c r="AW48" s="37">
        <f t="shared" ca="1" si="64"/>
        <v>0</v>
      </c>
      <c r="AX48" s="37">
        <f t="shared" ca="1" si="64"/>
        <v>0</v>
      </c>
      <c r="AY48" s="37">
        <f t="shared" ca="1" si="64"/>
        <v>0</v>
      </c>
      <c r="AZ48" s="37" t="e">
        <f t="shared" ca="1" si="64"/>
        <v>#N/A</v>
      </c>
      <c r="BA48" s="37" t="e">
        <f t="shared" ca="1" si="64"/>
        <v>#N/A</v>
      </c>
      <c r="BB48" s="37" t="e">
        <f t="shared" ca="1" si="64"/>
        <v>#N/A</v>
      </c>
    </row>
    <row r="49" spans="1:54" x14ac:dyDescent="0.25">
      <c r="B49" s="1" t="s">
        <v>171</v>
      </c>
      <c r="C49" s="14">
        <f ca="1">Condom_Base!C49</f>
        <v>1.8627600000000001E-2</v>
      </c>
      <c r="D49" s="14">
        <f ca="1">Condom_Base!D49</f>
        <v>3.9009000000000001E-3</v>
      </c>
      <c r="E49" s="14">
        <f ca="1">IF('User Settings'!$N$7="On",($D49-$C49)/($D$4-$C$4),0)</f>
        <v>-2.9453400000000003E-3</v>
      </c>
      <c r="F49" s="14">
        <f ca="1">Condom_Base!F49</f>
        <v>0</v>
      </c>
      <c r="G49" s="14"/>
      <c r="H49" s="14">
        <f t="shared" ca="1" si="65"/>
        <v>0</v>
      </c>
      <c r="I49" s="14">
        <f t="shared" ca="1" si="70"/>
        <v>0</v>
      </c>
      <c r="J49" s="14">
        <f t="shared" ca="1" si="66"/>
        <v>2.9453400000000003E-3</v>
      </c>
      <c r="K49" s="14">
        <f t="shared" ca="1" si="67"/>
        <v>0</v>
      </c>
      <c r="L49" s="15">
        <f t="shared" ca="1" si="68"/>
        <v>0</v>
      </c>
      <c r="M49" s="15">
        <f t="shared" ca="1" si="68"/>
        <v>0</v>
      </c>
      <c r="N49" s="15">
        <f t="shared" ca="1" si="68"/>
        <v>0</v>
      </c>
      <c r="O49" s="15">
        <f t="shared" ca="1" si="68"/>
        <v>0</v>
      </c>
      <c r="P49" s="15">
        <f t="shared" ca="1" si="68"/>
        <v>0</v>
      </c>
      <c r="Q49" s="15">
        <f t="shared" ca="1" si="68"/>
        <v>0</v>
      </c>
      <c r="R49" s="15">
        <f t="shared" ca="1" si="68"/>
        <v>0</v>
      </c>
      <c r="S49" s="15">
        <f t="shared" ca="1" si="68"/>
        <v>0</v>
      </c>
      <c r="T49" s="15">
        <f t="shared" ca="1" si="68"/>
        <v>0</v>
      </c>
      <c r="U49" s="15">
        <f t="shared" ca="1" si="68"/>
        <v>0</v>
      </c>
      <c r="V49" s="15">
        <f t="shared" ca="1" si="68"/>
        <v>0</v>
      </c>
      <c r="W49" s="15">
        <f t="shared" ca="1" si="68"/>
        <v>0</v>
      </c>
      <c r="X49" s="15">
        <f t="shared" ca="1" si="68"/>
        <v>0</v>
      </c>
      <c r="Y49" s="15">
        <f t="shared" ca="1" si="68"/>
        <v>0</v>
      </c>
      <c r="Z49" s="15">
        <f t="shared" ca="1" si="68"/>
        <v>0</v>
      </c>
      <c r="AA49" s="15">
        <f t="shared" ca="1" si="68"/>
        <v>0</v>
      </c>
      <c r="AB49" s="15">
        <f t="shared" ca="1" si="68"/>
        <v>0</v>
      </c>
      <c r="AC49" s="15">
        <f t="shared" ca="1" si="68"/>
        <v>0</v>
      </c>
      <c r="AD49" s="15">
        <f t="shared" ca="1" si="68"/>
        <v>0</v>
      </c>
      <c r="AE49" s="5"/>
      <c r="AG49" s="1" t="s">
        <v>171</v>
      </c>
      <c r="AH49" s="37">
        <f t="shared" ca="1" si="69"/>
        <v>4318.2503183704948</v>
      </c>
      <c r="AI49" s="37">
        <f t="shared" ca="1" si="62"/>
        <v>0</v>
      </c>
      <c r="AJ49" s="37">
        <f t="shared" ca="1" si="63"/>
        <v>0</v>
      </c>
      <c r="AK49" s="37">
        <f t="shared" ca="1" si="63"/>
        <v>0</v>
      </c>
      <c r="AL49" s="37">
        <f t="shared" ca="1" si="63"/>
        <v>0</v>
      </c>
      <c r="AM49" s="37">
        <f t="shared" ca="1" si="63"/>
        <v>0</v>
      </c>
      <c r="AN49" s="37">
        <f t="shared" ca="1" si="63"/>
        <v>0</v>
      </c>
      <c r="AO49" s="37">
        <f t="shared" ca="1" si="63"/>
        <v>0</v>
      </c>
      <c r="AP49" s="37">
        <f t="shared" ca="1" si="63"/>
        <v>0</v>
      </c>
      <c r="AQ49" s="37">
        <f t="shared" ca="1" si="63"/>
        <v>0</v>
      </c>
      <c r="AR49" s="37">
        <f t="shared" ca="1" si="63"/>
        <v>0</v>
      </c>
      <c r="AS49" s="37">
        <f t="shared" ca="1" si="63"/>
        <v>0</v>
      </c>
      <c r="AT49" s="37">
        <f t="shared" ca="1" si="64"/>
        <v>0</v>
      </c>
      <c r="AU49" s="37">
        <f t="shared" ca="1" si="64"/>
        <v>0</v>
      </c>
      <c r="AV49" s="37">
        <f t="shared" ca="1" si="64"/>
        <v>0</v>
      </c>
      <c r="AW49" s="37">
        <f t="shared" ca="1" si="64"/>
        <v>0</v>
      </c>
      <c r="AX49" s="37">
        <f t="shared" ca="1" si="64"/>
        <v>0</v>
      </c>
      <c r="AY49" s="37">
        <f t="shared" ca="1" si="64"/>
        <v>0</v>
      </c>
      <c r="AZ49" s="37" t="e">
        <f t="shared" ca="1" si="64"/>
        <v>#N/A</v>
      </c>
      <c r="BA49" s="37" t="e">
        <f t="shared" ca="1" si="64"/>
        <v>#N/A</v>
      </c>
      <c r="BB49" s="37" t="e">
        <f t="shared" ca="1" si="64"/>
        <v>#N/A</v>
      </c>
    </row>
    <row r="50" spans="1:54" x14ac:dyDescent="0.25">
      <c r="B50" s="1" t="s">
        <v>116</v>
      </c>
      <c r="C50" s="14">
        <f ca="1">Condom_Base!C50</f>
        <v>3.8636E-3</v>
      </c>
      <c r="D50" s="14">
        <f ca="1">Condom_Base!D50</f>
        <v>2.7366999999999999E-3</v>
      </c>
      <c r="E50" s="14">
        <f ca="1">IF('User Settings'!$N$7="On",($D50-$C50)/($D$4-$C$4),0)</f>
        <v>-2.2538000000000001E-4</v>
      </c>
      <c r="F50" s="14">
        <f ca="1">Condom_Base!F50</f>
        <v>2.0605599999999999E-3</v>
      </c>
      <c r="G50" s="14"/>
      <c r="H50" s="14">
        <f t="shared" ca="1" si="65"/>
        <v>1.3844199999999999E-3</v>
      </c>
      <c r="I50" s="14">
        <f t="shared" ca="1" si="70"/>
        <v>-2.2537999999999999E-4</v>
      </c>
      <c r="J50" s="14">
        <f t="shared" ca="1" si="66"/>
        <v>2.2859399999999998E-3</v>
      </c>
      <c r="K50" s="14">
        <f t="shared" ca="1" si="67"/>
        <v>2.0605599999999999E-3</v>
      </c>
      <c r="L50" s="15">
        <f t="shared" ca="1" si="68"/>
        <v>1.8351799999999998E-3</v>
      </c>
      <c r="M50" s="15">
        <f t="shared" ca="1" si="68"/>
        <v>1.6097999999999998E-3</v>
      </c>
      <c r="N50" s="15">
        <f t="shared" ca="1" si="68"/>
        <v>1.3844199999999997E-3</v>
      </c>
      <c r="O50" s="15">
        <f t="shared" ca="1" si="68"/>
        <v>1.1590399999999996E-3</v>
      </c>
      <c r="P50" s="15">
        <f t="shared" ca="1" si="68"/>
        <v>9.3365999999999968E-4</v>
      </c>
      <c r="Q50" s="15">
        <f t="shared" ca="1" si="68"/>
        <v>7.0827999999999972E-4</v>
      </c>
      <c r="R50" s="15">
        <f t="shared" ca="1" si="68"/>
        <v>4.8289999999999976E-4</v>
      </c>
      <c r="S50" s="15">
        <f t="shared" ca="1" si="68"/>
        <v>2.575199999999998E-4</v>
      </c>
      <c r="T50" s="15">
        <f t="shared" ca="1" si="68"/>
        <v>3.2139999999999811E-5</v>
      </c>
      <c r="U50" s="15">
        <f t="shared" ca="1" si="68"/>
        <v>0</v>
      </c>
      <c r="V50" s="15">
        <f t="shared" ca="1" si="68"/>
        <v>0</v>
      </c>
      <c r="W50" s="15">
        <f t="shared" ca="1" si="68"/>
        <v>0</v>
      </c>
      <c r="X50" s="15">
        <f t="shared" ca="1" si="68"/>
        <v>0</v>
      </c>
      <c r="Y50" s="15">
        <f t="shared" ca="1" si="68"/>
        <v>0</v>
      </c>
      <c r="Z50" s="15">
        <f t="shared" ca="1" si="68"/>
        <v>0</v>
      </c>
      <c r="AA50" s="15">
        <f t="shared" ca="1" si="68"/>
        <v>0</v>
      </c>
      <c r="AB50" s="15">
        <f t="shared" ca="1" si="68"/>
        <v>0</v>
      </c>
      <c r="AC50" s="15">
        <f t="shared" ca="1" si="68"/>
        <v>0</v>
      </c>
      <c r="AD50" s="15">
        <f t="shared" ca="1" si="68"/>
        <v>0</v>
      </c>
      <c r="AE50" s="5"/>
      <c r="AG50" s="1" t="s">
        <v>116</v>
      </c>
      <c r="AH50" s="37">
        <f t="shared" ca="1" si="69"/>
        <v>3351.4844237934662</v>
      </c>
      <c r="AI50" s="37">
        <f t="shared" ca="1" si="62"/>
        <v>3137.2237771344367</v>
      </c>
      <c r="AJ50" s="37">
        <f t="shared" ca="1" si="63"/>
        <v>2900.8916583868963</v>
      </c>
      <c r="AK50" s="37">
        <f t="shared" ca="1" si="63"/>
        <v>2637.986674341018</v>
      </c>
      <c r="AL50" s="37">
        <f t="shared" ca="1" si="63"/>
        <v>2351.8785589440745</v>
      </c>
      <c r="AM50" s="37">
        <f t="shared" ca="1" si="63"/>
        <v>2040.892042903773</v>
      </c>
      <c r="AN50" s="37">
        <f t="shared" ca="1" si="63"/>
        <v>1703.5124518027876</v>
      </c>
      <c r="AO50" s="37">
        <f t="shared" ca="1" si="63"/>
        <v>1338.5212365373084</v>
      </c>
      <c r="AP50" s="37">
        <f t="shared" ca="1" si="63"/>
        <v>944.21627275710705</v>
      </c>
      <c r="AQ50" s="37">
        <f t="shared" ca="1" si="63"/>
        <v>520.83569690347406</v>
      </c>
      <c r="AR50" s="37">
        <f t="shared" ca="1" si="63"/>
        <v>67.219284791754987</v>
      </c>
      <c r="AS50" s="37">
        <f t="shared" ca="1" si="63"/>
        <v>0</v>
      </c>
      <c r="AT50" s="37">
        <f t="shared" ca="1" si="64"/>
        <v>0</v>
      </c>
      <c r="AU50" s="37">
        <f t="shared" ca="1" si="64"/>
        <v>0</v>
      </c>
      <c r="AV50" s="37">
        <f t="shared" ca="1" si="64"/>
        <v>0</v>
      </c>
      <c r="AW50" s="37">
        <f t="shared" ca="1" si="64"/>
        <v>0</v>
      </c>
      <c r="AX50" s="37">
        <f t="shared" ca="1" si="64"/>
        <v>0</v>
      </c>
      <c r="AY50" s="37">
        <f t="shared" ca="1" si="64"/>
        <v>0</v>
      </c>
      <c r="AZ50" s="37" t="e">
        <f t="shared" ca="1" si="64"/>
        <v>#N/A</v>
      </c>
      <c r="BA50" s="37" t="e">
        <f t="shared" ca="1" si="64"/>
        <v>#N/A</v>
      </c>
      <c r="BB50" s="37" t="e">
        <f t="shared" ca="1" si="64"/>
        <v>#N/A</v>
      </c>
    </row>
    <row r="51" spans="1:54" x14ac:dyDescent="0.25">
      <c r="D51" s="5">
        <f ca="1">SUM(D45:D50)</f>
        <v>3.5773900000000004E-2</v>
      </c>
      <c r="F51" s="132">
        <f ca="1">SUM(F45:F50)</f>
        <v>3.2982340000000006E-2</v>
      </c>
      <c r="G51" s="132"/>
      <c r="H51" s="132">
        <f ca="1">SUM(H45:H50)</f>
        <v>3.4091679999999999E-2</v>
      </c>
      <c r="I51" s="132"/>
      <c r="J51" s="132">
        <f ca="1">SUM(J45:J50)</f>
        <v>3.5557899999999996E-2</v>
      </c>
      <c r="K51" s="132">
        <f ca="1">SUM(K45:K50)</f>
        <v>3.2982340000000006E-2</v>
      </c>
      <c r="L51" s="5">
        <f t="shared" ref="L51:AD51" ca="1" si="71">SUM(L45:L50)</f>
        <v>3.3352120000000006E-2</v>
      </c>
      <c r="M51" s="5">
        <f t="shared" ca="1" si="71"/>
        <v>3.3721900000000006E-2</v>
      </c>
      <c r="N51" s="5">
        <f t="shared" ca="1" si="71"/>
        <v>3.4091680000000006E-2</v>
      </c>
      <c r="O51" s="5">
        <f t="shared" ca="1" si="71"/>
        <v>3.4461460000000013E-2</v>
      </c>
      <c r="P51" s="5">
        <f t="shared" ca="1" si="71"/>
        <v>3.4831240000000013E-2</v>
      </c>
      <c r="Q51" s="5">
        <f t="shared" ca="1" si="71"/>
        <v>3.5201020000000013E-2</v>
      </c>
      <c r="R51" s="5">
        <f t="shared" ca="1" si="71"/>
        <v>3.5570800000000014E-2</v>
      </c>
      <c r="S51" s="5">
        <f t="shared" ca="1" si="71"/>
        <v>3.5970700000000008E-2</v>
      </c>
      <c r="T51" s="5">
        <f t="shared" ca="1" si="71"/>
        <v>3.6432000000000013E-2</v>
      </c>
      <c r="U51" s="5">
        <f t="shared" ca="1" si="71"/>
        <v>3.7086540000000015E-2</v>
      </c>
      <c r="V51" s="5">
        <f t="shared" ca="1" si="71"/>
        <v>3.788364000000001E-2</v>
      </c>
      <c r="W51" s="5">
        <f t="shared" ca="1" si="71"/>
        <v>3.9549600000000011E-2</v>
      </c>
      <c r="X51" s="5">
        <f t="shared" ca="1" si="71"/>
        <v>4.1215560000000012E-2</v>
      </c>
      <c r="Y51" s="5">
        <f t="shared" ca="1" si="71"/>
        <v>4.2881520000000013E-2</v>
      </c>
      <c r="Z51" s="5">
        <f t="shared" ca="1" si="71"/>
        <v>4.4547480000000014E-2</v>
      </c>
      <c r="AA51" s="5">
        <f t="shared" ca="1" si="71"/>
        <v>4.6213440000000015E-2</v>
      </c>
      <c r="AB51" s="5">
        <f t="shared" ca="1" si="71"/>
        <v>4.7879400000000016E-2</v>
      </c>
      <c r="AC51" s="5">
        <f t="shared" ca="1" si="71"/>
        <v>4.9545360000000017E-2</v>
      </c>
      <c r="AD51" s="5">
        <f t="shared" ca="1" si="71"/>
        <v>5.1211320000000018E-2</v>
      </c>
      <c r="AE51" s="5"/>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72">IF(K54=Yr_Start,"Start Year",IF(K54=Yr_End,"End Year",""))</f>
        <v>Start Year</v>
      </c>
      <c r="L53" s="205" t="str">
        <f t="shared" si="72"/>
        <v/>
      </c>
      <c r="M53" s="205" t="str">
        <f t="shared" si="72"/>
        <v/>
      </c>
      <c r="N53" s="205" t="str">
        <f t="shared" si="72"/>
        <v>End Year</v>
      </c>
      <c r="O53" s="205" t="str">
        <f t="shared" si="72"/>
        <v/>
      </c>
      <c r="P53" s="205" t="str">
        <f t="shared" si="72"/>
        <v/>
      </c>
      <c r="Q53" s="205" t="str">
        <f t="shared" si="72"/>
        <v/>
      </c>
      <c r="R53" s="205" t="str">
        <f t="shared" si="72"/>
        <v/>
      </c>
      <c r="S53" s="205" t="str">
        <f t="shared" si="72"/>
        <v/>
      </c>
      <c r="T53" s="205" t="str">
        <f t="shared" si="72"/>
        <v/>
      </c>
      <c r="U53" s="205" t="str">
        <f t="shared" si="72"/>
        <v/>
      </c>
      <c r="V53" s="205" t="str">
        <f t="shared" si="72"/>
        <v/>
      </c>
      <c r="W53" s="205" t="str">
        <f t="shared" si="72"/>
        <v/>
      </c>
      <c r="X53" s="205" t="str">
        <f t="shared" si="72"/>
        <v/>
      </c>
      <c r="Y53" s="205" t="str">
        <f t="shared" si="72"/>
        <v/>
      </c>
      <c r="Z53" s="205" t="str">
        <f t="shared" si="72"/>
        <v/>
      </c>
      <c r="AA53" s="205" t="str">
        <f t="shared" si="72"/>
        <v/>
      </c>
      <c r="AB53" s="205" t="str">
        <f t="shared" si="72"/>
        <v/>
      </c>
      <c r="AC53" s="205" t="str">
        <f t="shared" si="72"/>
        <v/>
      </c>
      <c r="AD53" s="205" t="str">
        <f t="shared" si="72"/>
        <v/>
      </c>
      <c r="AE53" s="35"/>
      <c r="AF53" s="6" t="str">
        <f>A53</f>
        <v>Other</v>
      </c>
      <c r="AI53" s="205" t="str">
        <f t="shared" ref="AI53:BB53" si="73">IF(AI54=Yr_Start,"Start Year",IF(AI54=Yr_End,"End Year",""))</f>
        <v>Start Year</v>
      </c>
      <c r="AJ53" s="205" t="str">
        <f t="shared" si="73"/>
        <v/>
      </c>
      <c r="AK53" s="205" t="str">
        <f t="shared" si="73"/>
        <v/>
      </c>
      <c r="AL53" s="205" t="str">
        <f t="shared" si="73"/>
        <v>End Year</v>
      </c>
      <c r="AM53" s="205" t="str">
        <f t="shared" si="73"/>
        <v/>
      </c>
      <c r="AN53" s="205" t="str">
        <f t="shared" si="73"/>
        <v/>
      </c>
      <c r="AO53" s="205" t="str">
        <f t="shared" si="73"/>
        <v/>
      </c>
      <c r="AP53" s="205" t="str">
        <f t="shared" si="73"/>
        <v/>
      </c>
      <c r="AQ53" s="205" t="str">
        <f t="shared" si="73"/>
        <v/>
      </c>
      <c r="AR53" s="205" t="str">
        <f t="shared" si="73"/>
        <v/>
      </c>
      <c r="AS53" s="205" t="str">
        <f t="shared" si="73"/>
        <v/>
      </c>
      <c r="AT53" s="205" t="str">
        <f t="shared" si="73"/>
        <v/>
      </c>
      <c r="AU53" s="205" t="str">
        <f t="shared" si="73"/>
        <v/>
      </c>
      <c r="AV53" s="205" t="str">
        <f t="shared" si="73"/>
        <v/>
      </c>
      <c r="AW53" s="205" t="str">
        <f t="shared" si="73"/>
        <v/>
      </c>
      <c r="AX53" s="205" t="str">
        <f t="shared" si="73"/>
        <v/>
      </c>
      <c r="AY53" s="205" t="str">
        <f t="shared" si="73"/>
        <v/>
      </c>
      <c r="AZ53" s="205" t="str">
        <f t="shared" si="73"/>
        <v/>
      </c>
      <c r="BA53" s="205" t="str">
        <f t="shared" si="73"/>
        <v/>
      </c>
      <c r="BB53" s="205" t="str">
        <f t="shared" si="73"/>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74">L54+1</f>
        <v>2021</v>
      </c>
      <c r="N54" s="130">
        <f t="shared" si="74"/>
        <v>2022</v>
      </c>
      <c r="O54" s="130">
        <f t="shared" si="74"/>
        <v>2023</v>
      </c>
      <c r="P54" s="130">
        <f t="shared" si="74"/>
        <v>2024</v>
      </c>
      <c r="Q54" s="130">
        <f t="shared" si="74"/>
        <v>2025</v>
      </c>
      <c r="R54" s="130">
        <f t="shared" si="74"/>
        <v>2026</v>
      </c>
      <c r="S54" s="130">
        <f t="shared" si="74"/>
        <v>2027</v>
      </c>
      <c r="T54" s="130">
        <f t="shared" si="74"/>
        <v>2028</v>
      </c>
      <c r="U54" s="130">
        <f t="shared" si="74"/>
        <v>2029</v>
      </c>
      <c r="V54" s="130">
        <f t="shared" si="74"/>
        <v>2030</v>
      </c>
      <c r="W54" s="130">
        <f t="shared" si="74"/>
        <v>2031</v>
      </c>
      <c r="X54" s="130">
        <f t="shared" si="74"/>
        <v>2032</v>
      </c>
      <c r="Y54" s="130">
        <f t="shared" si="74"/>
        <v>2033</v>
      </c>
      <c r="Z54" s="130">
        <f t="shared" si="74"/>
        <v>2034</v>
      </c>
      <c r="AA54" s="130">
        <f t="shared" si="74"/>
        <v>2035</v>
      </c>
      <c r="AB54" s="130">
        <f t="shared" si="74"/>
        <v>2036</v>
      </c>
      <c r="AC54" s="130">
        <f t="shared" si="74"/>
        <v>2037</v>
      </c>
      <c r="AD54" s="130">
        <f t="shared" si="74"/>
        <v>2038</v>
      </c>
      <c r="AE54" s="6"/>
      <c r="AF54" s="6" t="str">
        <f>A54</f>
        <v>Rural</v>
      </c>
      <c r="AG54" s="38"/>
      <c r="AH54" s="161">
        <f>AI54-1</f>
        <v>2018</v>
      </c>
      <c r="AI54" s="36">
        <f>Yr_Start</f>
        <v>2019</v>
      </c>
      <c r="AJ54" s="36">
        <f>AI54+1</f>
        <v>2020</v>
      </c>
      <c r="AK54" s="36">
        <f t="shared" ref="AK54:BB54" si="75">AJ54+1</f>
        <v>2021</v>
      </c>
      <c r="AL54" s="36">
        <f t="shared" si="75"/>
        <v>2022</v>
      </c>
      <c r="AM54" s="36">
        <f t="shared" si="75"/>
        <v>2023</v>
      </c>
      <c r="AN54" s="36">
        <f t="shared" si="75"/>
        <v>2024</v>
      </c>
      <c r="AO54" s="36">
        <f t="shared" si="75"/>
        <v>2025</v>
      </c>
      <c r="AP54" s="36">
        <f t="shared" si="75"/>
        <v>2026</v>
      </c>
      <c r="AQ54" s="36">
        <f t="shared" si="75"/>
        <v>2027</v>
      </c>
      <c r="AR54" s="36">
        <f t="shared" si="75"/>
        <v>2028</v>
      </c>
      <c r="AS54" s="36">
        <f t="shared" si="75"/>
        <v>2029</v>
      </c>
      <c r="AT54" s="36">
        <f t="shared" si="75"/>
        <v>2030</v>
      </c>
      <c r="AU54" s="36">
        <f t="shared" si="75"/>
        <v>2031</v>
      </c>
      <c r="AV54" s="36">
        <f t="shared" si="75"/>
        <v>2032</v>
      </c>
      <c r="AW54" s="36">
        <f t="shared" si="75"/>
        <v>2033</v>
      </c>
      <c r="AX54" s="36">
        <f t="shared" si="75"/>
        <v>2034</v>
      </c>
      <c r="AY54" s="36">
        <f t="shared" si="75"/>
        <v>2035</v>
      </c>
      <c r="AZ54" s="36">
        <f t="shared" si="75"/>
        <v>2036</v>
      </c>
      <c r="BA54" s="36">
        <f t="shared" si="75"/>
        <v>2037</v>
      </c>
      <c r="BB54" s="36">
        <f t="shared" si="75"/>
        <v>2038</v>
      </c>
    </row>
    <row r="55" spans="1:54" x14ac:dyDescent="0.25">
      <c r="B55" s="1" t="s">
        <v>52</v>
      </c>
      <c r="C55" s="14">
        <f ca="1">Condom_Base!C55</f>
        <v>5.1729999999999996E-3</v>
      </c>
      <c r="D55" s="14">
        <f ca="1">Condom_Base!D55</f>
        <v>1.00652E-2</v>
      </c>
      <c r="E55" s="14">
        <f ca="1">IF('User Settings'!$N$7="On",($D55-$C55)/($D$4-$C$4),0)</f>
        <v>9.7844000000000013E-4</v>
      </c>
      <c r="F55" s="14">
        <f ca="1">Condom_Base!F55</f>
        <v>1.300052E-2</v>
      </c>
      <c r="G55" s="14"/>
      <c r="H55" s="14">
        <f ca="1">MAX(0,MIN(1,($D55+$E55*(H$4-$D$4))*$H$1))</f>
        <v>1.593584E-2</v>
      </c>
      <c r="I55" s="14">
        <f ca="1">($H55-$F55)/($H$4-$F$4)</f>
        <v>9.7843999999999991E-4</v>
      </c>
      <c r="J55" s="14">
        <f ca="1">K55-E55</f>
        <v>1.2022079999999999E-2</v>
      </c>
      <c r="K55" s="14">
        <f ca="1">MAX(0,MIN(1,D55+(K$4-D$4)*E55))</f>
        <v>1.300052E-2</v>
      </c>
      <c r="L55" s="15">
        <f ca="1">MAX(0,MIN(1,K55+$I55))</f>
        <v>1.397896E-2</v>
      </c>
      <c r="M55" s="15">
        <f t="shared" ref="M55:AD55" ca="1" si="76">MAX(0,MIN(1,L55+$I55))</f>
        <v>1.4957400000000001E-2</v>
      </c>
      <c r="N55" s="15">
        <f ca="1">MAX(0,MIN(1,M55+$I55))</f>
        <v>1.593584E-2</v>
      </c>
      <c r="O55" s="15">
        <f t="shared" ca="1" si="76"/>
        <v>1.691428E-2</v>
      </c>
      <c r="P55" s="15">
        <f t="shared" ca="1" si="76"/>
        <v>1.7892720000000001E-2</v>
      </c>
      <c r="Q55" s="15">
        <f t="shared" ca="1" si="76"/>
        <v>1.8871160000000001E-2</v>
      </c>
      <c r="R55" s="15">
        <f t="shared" ca="1" si="76"/>
        <v>1.9849600000000002E-2</v>
      </c>
      <c r="S55" s="15">
        <f t="shared" ca="1" si="76"/>
        <v>2.0828040000000003E-2</v>
      </c>
      <c r="T55" s="15">
        <f t="shared" ca="1" si="76"/>
        <v>2.1806480000000003E-2</v>
      </c>
      <c r="U55" s="15">
        <f t="shared" ca="1" si="76"/>
        <v>2.2784920000000004E-2</v>
      </c>
      <c r="V55" s="15">
        <f t="shared" ca="1" si="76"/>
        <v>2.3763360000000004E-2</v>
      </c>
      <c r="W55" s="15">
        <f t="shared" ca="1" si="76"/>
        <v>2.4741800000000005E-2</v>
      </c>
      <c r="X55" s="15">
        <f t="shared" ca="1" si="76"/>
        <v>2.5720240000000005E-2</v>
      </c>
      <c r="Y55" s="15">
        <f t="shared" ca="1" si="76"/>
        <v>2.6698680000000006E-2</v>
      </c>
      <c r="Z55" s="15">
        <f t="shared" ca="1" si="76"/>
        <v>2.7677120000000006E-2</v>
      </c>
      <c r="AA55" s="15">
        <f t="shared" ca="1" si="76"/>
        <v>2.8655560000000007E-2</v>
      </c>
      <c r="AB55" s="15">
        <f t="shared" ca="1" si="76"/>
        <v>2.9634000000000008E-2</v>
      </c>
      <c r="AC55" s="15">
        <f t="shared" ca="1" si="76"/>
        <v>3.0612440000000008E-2</v>
      </c>
      <c r="AD55" s="15">
        <f t="shared" ca="1" si="76"/>
        <v>3.1590880000000009E-2</v>
      </c>
      <c r="AE55" s="5"/>
      <c r="AG55" s="1" t="s">
        <v>52</v>
      </c>
      <c r="AH55" s="37">
        <f ca="1">J55*AH$61</f>
        <v>51132.599020626018</v>
      </c>
      <c r="AI55" s="37">
        <f t="shared" ref="AI55:AI60" ca="1" si="77">K55*AI$61</f>
        <v>57420.481885883353</v>
      </c>
      <c r="AJ55" s="37">
        <f t="shared" ref="AJ55:AS60" ca="1" si="78">L55*AJ$61</f>
        <v>64102.295226242168</v>
      </c>
      <c r="AK55" s="37">
        <f t="shared" ca="1" si="78"/>
        <v>71105.412225245411</v>
      </c>
      <c r="AL55" s="37">
        <f t="shared" ca="1" si="78"/>
        <v>78535.834907219876</v>
      </c>
      <c r="AM55" s="37">
        <f t="shared" ca="1" si="78"/>
        <v>86401.443849297939</v>
      </c>
      <c r="AN55" s="37">
        <f t="shared" ca="1" si="78"/>
        <v>94706.285046634293</v>
      </c>
      <c r="AO55" s="37">
        <f t="shared" ca="1" si="78"/>
        <v>103458.16241834394</v>
      </c>
      <c r="AP55" s="37">
        <f t="shared" ca="1" si="78"/>
        <v>112593.13487550177</v>
      </c>
      <c r="AQ55" s="37">
        <f t="shared" ca="1" si="78"/>
        <v>122203.61624996844</v>
      </c>
      <c r="AR55" s="37">
        <f t="shared" ca="1" si="78"/>
        <v>132305.97529537353</v>
      </c>
      <c r="AS55" s="37">
        <f t="shared" ca="1" si="78"/>
        <v>142922.99640540336</v>
      </c>
      <c r="AT55" s="37">
        <f t="shared" ref="AT55:BB60" ca="1" si="79">V55*AT$61</f>
        <v>154074.00488636311</v>
      </c>
      <c r="AU55" s="37">
        <f t="shared" ca="1" si="79"/>
        <v>165678.08688107345</v>
      </c>
      <c r="AV55" s="37">
        <f t="shared" ca="1" si="79"/>
        <v>177851.03753023769</v>
      </c>
      <c r="AW55" s="37">
        <f t="shared" ca="1" si="79"/>
        <v>190599.14185484836</v>
      </c>
      <c r="AX55" s="37">
        <f t="shared" ca="1" si="79"/>
        <v>203925.4833914593</v>
      </c>
      <c r="AY55" s="37">
        <f t="shared" ca="1" si="79"/>
        <v>217835.78065561462</v>
      </c>
      <c r="AZ55" s="37" t="e">
        <f t="shared" ca="1" si="79"/>
        <v>#N/A</v>
      </c>
      <c r="BA55" s="37" t="e">
        <f t="shared" ca="1" si="79"/>
        <v>#N/A</v>
      </c>
      <c r="BB55" s="37" t="e">
        <f t="shared" ca="1" si="79"/>
        <v>#N/A</v>
      </c>
    </row>
    <row r="56" spans="1:54" x14ac:dyDescent="0.25">
      <c r="B56" s="1" t="s">
        <v>54</v>
      </c>
      <c r="C56" s="14">
        <f ca="1">Condom_Base!C56</f>
        <v>2.0980999999999999E-3</v>
      </c>
      <c r="D56" s="14">
        <f ca="1">Condom_Base!D56</f>
        <v>1.0005000000000001E-3</v>
      </c>
      <c r="E56" s="14">
        <f ca="1">IF('User Settings'!$N$7="On",($D56-$C56)/($D$4-$C$4),0)</f>
        <v>-2.1951999999999996E-4</v>
      </c>
      <c r="F56" s="14">
        <f ca="1">Condom_Base!F56</f>
        <v>3.4194000000000021E-4</v>
      </c>
      <c r="G56" s="14"/>
      <c r="H56" s="14">
        <f t="shared" ref="H56:H60" ca="1" si="80">MAX(0,MIN(1,($D56+$E56*(H$4-$D$4))*$H$1))</f>
        <v>0</v>
      </c>
      <c r="I56" s="14">
        <f ca="1">($H56-$F56)/($H$4-$F$4)</f>
        <v>-1.1398000000000007E-4</v>
      </c>
      <c r="J56" s="14">
        <f t="shared" ref="J56:J60" ca="1" si="81">K56-E56</f>
        <v>5.6146000000000017E-4</v>
      </c>
      <c r="K56" s="14">
        <f t="shared" ref="K56:K60" ca="1" si="82">MAX(0,MIN(1,D56+(K$4-D$4)*E56))</f>
        <v>3.4194000000000021E-4</v>
      </c>
      <c r="L56" s="15">
        <f t="shared" ref="L56:AD60" ca="1" si="83">MAX(0,MIN(1,K56+$I56))</f>
        <v>2.2796000000000014E-4</v>
      </c>
      <c r="M56" s="15">
        <f t="shared" ca="1" si="83"/>
        <v>1.1398000000000007E-4</v>
      </c>
      <c r="N56" s="15">
        <f t="shared" ca="1" si="83"/>
        <v>0</v>
      </c>
      <c r="O56" s="15">
        <f t="shared" ca="1" si="83"/>
        <v>0</v>
      </c>
      <c r="P56" s="15">
        <f t="shared" ca="1" si="83"/>
        <v>0</v>
      </c>
      <c r="Q56" s="15">
        <f t="shared" ca="1" si="83"/>
        <v>0</v>
      </c>
      <c r="R56" s="15">
        <f t="shared" ca="1" si="83"/>
        <v>0</v>
      </c>
      <c r="S56" s="15">
        <f t="shared" ca="1" si="83"/>
        <v>0</v>
      </c>
      <c r="T56" s="15">
        <f t="shared" ca="1" si="83"/>
        <v>0</v>
      </c>
      <c r="U56" s="15">
        <f t="shared" ca="1" si="83"/>
        <v>0</v>
      </c>
      <c r="V56" s="15">
        <f t="shared" ca="1" si="83"/>
        <v>0</v>
      </c>
      <c r="W56" s="15">
        <f t="shared" ca="1" si="83"/>
        <v>0</v>
      </c>
      <c r="X56" s="15">
        <f t="shared" ca="1" si="83"/>
        <v>0</v>
      </c>
      <c r="Y56" s="15">
        <f t="shared" ca="1" si="83"/>
        <v>0</v>
      </c>
      <c r="Z56" s="15">
        <f t="shared" ca="1" si="83"/>
        <v>0</v>
      </c>
      <c r="AA56" s="15">
        <f t="shared" ca="1" si="83"/>
        <v>0</v>
      </c>
      <c r="AB56" s="15">
        <f t="shared" ca="1" si="83"/>
        <v>0</v>
      </c>
      <c r="AC56" s="15">
        <f t="shared" ca="1" si="83"/>
        <v>0</v>
      </c>
      <c r="AD56" s="15">
        <f t="shared" ca="1" si="83"/>
        <v>0</v>
      </c>
      <c r="AE56" s="5"/>
      <c r="AG56" s="1" t="s">
        <v>54</v>
      </c>
      <c r="AH56" s="37">
        <f t="shared" ref="AH56:AH60" ca="1" si="84">J56*AH$61</f>
        <v>2388.0151393203751</v>
      </c>
      <c r="AI56" s="37">
        <f t="shared" ca="1" si="77"/>
        <v>1510.2749410068957</v>
      </c>
      <c r="AJ56" s="37">
        <f t="shared" ca="1" si="78"/>
        <v>1045.3395116499491</v>
      </c>
      <c r="AK56" s="37">
        <f t="shared" ca="1" si="78"/>
        <v>541.84516596691117</v>
      </c>
      <c r="AL56" s="37">
        <f t="shared" ca="1" si="78"/>
        <v>0</v>
      </c>
      <c r="AM56" s="37">
        <f t="shared" ca="1" si="78"/>
        <v>0</v>
      </c>
      <c r="AN56" s="37">
        <f t="shared" ca="1" si="78"/>
        <v>0</v>
      </c>
      <c r="AO56" s="37">
        <f t="shared" ca="1" si="78"/>
        <v>0</v>
      </c>
      <c r="AP56" s="37">
        <f t="shared" ca="1" si="78"/>
        <v>0</v>
      </c>
      <c r="AQ56" s="37">
        <f t="shared" ca="1" si="78"/>
        <v>0</v>
      </c>
      <c r="AR56" s="37">
        <f t="shared" ca="1" si="78"/>
        <v>0</v>
      </c>
      <c r="AS56" s="37">
        <f t="shared" ca="1" si="78"/>
        <v>0</v>
      </c>
      <c r="AT56" s="37">
        <f t="shared" ca="1" si="79"/>
        <v>0</v>
      </c>
      <c r="AU56" s="37">
        <f t="shared" ca="1" si="79"/>
        <v>0</v>
      </c>
      <c r="AV56" s="37">
        <f t="shared" ca="1" si="79"/>
        <v>0</v>
      </c>
      <c r="AW56" s="37">
        <f t="shared" ca="1" si="79"/>
        <v>0</v>
      </c>
      <c r="AX56" s="37">
        <f t="shared" ca="1" si="79"/>
        <v>0</v>
      </c>
      <c r="AY56" s="37">
        <f t="shared" ca="1" si="79"/>
        <v>0</v>
      </c>
      <c r="AZ56" s="37" t="e">
        <f t="shared" ca="1" si="79"/>
        <v>#N/A</v>
      </c>
      <c r="BA56" s="37" t="e">
        <f t="shared" ca="1" si="79"/>
        <v>#N/A</v>
      </c>
      <c r="BB56" s="37" t="e">
        <f t="shared" ca="1" si="79"/>
        <v>#N/A</v>
      </c>
    </row>
    <row r="57" spans="1:54" x14ac:dyDescent="0.25">
      <c r="B57" s="1" t="s">
        <v>170</v>
      </c>
      <c r="C57" s="14">
        <f ca="1">Condom_Base!C57</f>
        <v>0</v>
      </c>
      <c r="D57" s="14">
        <f ca="1">Condom_Base!D57</f>
        <v>3.2069999999999999E-4</v>
      </c>
      <c r="E57" s="14">
        <f ca="1">IF('User Settings'!$N$7="On",($D57-$C57)/($D$4-$C$4),0)</f>
        <v>6.4139999999999992E-5</v>
      </c>
      <c r="F57" s="14">
        <f ca="1">Condom_Base!F57</f>
        <v>5.1311999999999994E-4</v>
      </c>
      <c r="G57" s="14"/>
      <c r="H57" s="14">
        <f t="shared" ca="1" si="80"/>
        <v>7.0553999999999994E-4</v>
      </c>
      <c r="I57" s="14">
        <f t="shared" ref="I57:I60" ca="1" si="85">($H57-$F57)/($H$4-$F$4)</f>
        <v>6.4140000000000006E-5</v>
      </c>
      <c r="J57" s="14">
        <f t="shared" ca="1" si="81"/>
        <v>4.4897999999999997E-4</v>
      </c>
      <c r="K57" s="14">
        <f t="shared" ca="1" si="82"/>
        <v>5.1311999999999994E-4</v>
      </c>
      <c r="L57" s="15">
        <f t="shared" ca="1" si="83"/>
        <v>5.772599999999999E-4</v>
      </c>
      <c r="M57" s="15">
        <f t="shared" ca="1" si="83"/>
        <v>6.4139999999999987E-4</v>
      </c>
      <c r="N57" s="15">
        <f t="shared" ca="1" si="83"/>
        <v>7.0553999999999983E-4</v>
      </c>
      <c r="O57" s="15">
        <f t="shared" ca="1" si="83"/>
        <v>7.696799999999998E-4</v>
      </c>
      <c r="P57" s="15">
        <f t="shared" ca="1" si="83"/>
        <v>8.3381999999999977E-4</v>
      </c>
      <c r="Q57" s="15">
        <f t="shared" ca="1" si="83"/>
        <v>8.9795999999999973E-4</v>
      </c>
      <c r="R57" s="15">
        <f t="shared" ca="1" si="83"/>
        <v>9.620999999999997E-4</v>
      </c>
      <c r="S57" s="15">
        <f t="shared" ca="1" si="83"/>
        <v>1.0262399999999997E-3</v>
      </c>
      <c r="T57" s="15">
        <f t="shared" ca="1" si="83"/>
        <v>1.0903799999999997E-3</v>
      </c>
      <c r="U57" s="15">
        <f t="shared" ca="1" si="83"/>
        <v>1.1545199999999998E-3</v>
      </c>
      <c r="V57" s="15">
        <f t="shared" ca="1" si="83"/>
        <v>1.2186599999999999E-3</v>
      </c>
      <c r="W57" s="15">
        <f t="shared" ca="1" si="83"/>
        <v>1.2828E-3</v>
      </c>
      <c r="X57" s="15">
        <f t="shared" ca="1" si="83"/>
        <v>1.34694E-3</v>
      </c>
      <c r="Y57" s="15">
        <f t="shared" ca="1" si="83"/>
        <v>1.4110800000000001E-3</v>
      </c>
      <c r="Z57" s="15">
        <f t="shared" ca="1" si="83"/>
        <v>1.4752200000000002E-3</v>
      </c>
      <c r="AA57" s="15">
        <f t="shared" ca="1" si="83"/>
        <v>1.5393600000000003E-3</v>
      </c>
      <c r="AB57" s="15">
        <f t="shared" ca="1" si="83"/>
        <v>1.6035000000000003E-3</v>
      </c>
      <c r="AC57" s="15">
        <f t="shared" ca="1" si="83"/>
        <v>1.6676400000000004E-3</v>
      </c>
      <c r="AD57" s="15">
        <f t="shared" ca="1" si="83"/>
        <v>1.7317800000000005E-3</v>
      </c>
      <c r="AE57" s="5"/>
      <c r="AG57" s="1" t="s">
        <v>170</v>
      </c>
      <c r="AH57" s="37">
        <f t="shared" ca="1" si="84"/>
        <v>1909.6125053468841</v>
      </c>
      <c r="AI57" s="37">
        <f t="shared" ca="1" si="77"/>
        <v>2266.3399360398248</v>
      </c>
      <c r="AJ57" s="37">
        <f t="shared" ca="1" si="78"/>
        <v>2647.0989932227108</v>
      </c>
      <c r="AK57" s="37">
        <f t="shared" ca="1" si="78"/>
        <v>3049.1269472817735</v>
      </c>
      <c r="AL57" s="37">
        <f t="shared" ca="1" si="78"/>
        <v>3477.0788964020658</v>
      </c>
      <c r="AM57" s="37">
        <f t="shared" ca="1" si="78"/>
        <v>3931.6756788895314</v>
      </c>
      <c r="AN57" s="37">
        <f t="shared" ca="1" si="78"/>
        <v>4413.4147629641884</v>
      </c>
      <c r="AO57" s="37">
        <f t="shared" ca="1" si="78"/>
        <v>4922.9242677808934</v>
      </c>
      <c r="AP57" s="37">
        <f t="shared" ca="1" si="78"/>
        <v>5457.3318889912243</v>
      </c>
      <c r="AQ57" s="37">
        <f t="shared" ca="1" si="78"/>
        <v>6021.2213506584185</v>
      </c>
      <c r="AR57" s="37">
        <f t="shared" ca="1" si="78"/>
        <v>6615.6385323339373</v>
      </c>
      <c r="AS57" s="37">
        <f t="shared" ca="1" si="78"/>
        <v>7241.9590593237199</v>
      </c>
      <c r="AT57" s="37">
        <f t="shared" ca="1" si="79"/>
        <v>7901.4005929639252</v>
      </c>
      <c r="AU57" s="37">
        <f t="shared" ca="1" si="79"/>
        <v>8589.9914254840387</v>
      </c>
      <c r="AV57" s="37">
        <f t="shared" ca="1" si="79"/>
        <v>9313.8585211871396</v>
      </c>
      <c r="AW57" s="37">
        <f t="shared" ca="1" si="79"/>
        <v>10073.555587337629</v>
      </c>
      <c r="AX57" s="37">
        <f t="shared" ca="1" si="79"/>
        <v>10869.445650730588</v>
      </c>
      <c r="AY57" s="37">
        <f t="shared" ca="1" si="79"/>
        <v>11702.011313337687</v>
      </c>
      <c r="AZ57" s="37" t="e">
        <f t="shared" ca="1" si="79"/>
        <v>#N/A</v>
      </c>
      <c r="BA57" s="37" t="e">
        <f t="shared" ca="1" si="79"/>
        <v>#N/A</v>
      </c>
      <c r="BB57" s="37" t="e">
        <f t="shared" ca="1" si="79"/>
        <v>#N/A</v>
      </c>
    </row>
    <row r="58" spans="1:54" x14ac:dyDescent="0.25">
      <c r="B58" s="1" t="s">
        <v>59</v>
      </c>
      <c r="C58" s="14">
        <f ca="1">Condom_Base!C58</f>
        <v>3.5108000000000001E-3</v>
      </c>
      <c r="D58" s="14">
        <f ca="1">Condom_Base!D58</f>
        <v>5.8703000000000002E-3</v>
      </c>
      <c r="E58" s="14">
        <f ca="1">IF('User Settings'!$N$7="On",($D58-$C58)/($D$4-$C$4),0)</f>
        <v>4.7190000000000003E-4</v>
      </c>
      <c r="F58" s="14">
        <f ca="1">Condom_Base!F58</f>
        <v>7.2860000000000008E-3</v>
      </c>
      <c r="G58" s="14"/>
      <c r="H58" s="14">
        <f t="shared" ca="1" si="80"/>
        <v>8.7016999999999997E-3</v>
      </c>
      <c r="I58" s="14">
        <f t="shared" ca="1" si="85"/>
        <v>4.7189999999999965E-4</v>
      </c>
      <c r="J58" s="14">
        <f t="shared" ca="1" si="81"/>
        <v>6.8141000000000009E-3</v>
      </c>
      <c r="K58" s="14">
        <f t="shared" ca="1" si="82"/>
        <v>7.2860000000000008E-3</v>
      </c>
      <c r="L58" s="15">
        <f t="shared" ca="1" si="83"/>
        <v>7.7579000000000007E-3</v>
      </c>
      <c r="M58" s="15">
        <f t="shared" ca="1" si="83"/>
        <v>8.2298000000000007E-3</v>
      </c>
      <c r="N58" s="15">
        <f t="shared" ca="1" si="83"/>
        <v>8.7016999999999997E-3</v>
      </c>
      <c r="O58" s="15">
        <f t="shared" ca="1" si="83"/>
        <v>9.1735999999999988E-3</v>
      </c>
      <c r="P58" s="15">
        <f t="shared" ca="1" si="83"/>
        <v>9.6454999999999978E-3</v>
      </c>
      <c r="Q58" s="15">
        <f t="shared" ca="1" si="83"/>
        <v>1.0117399999999997E-2</v>
      </c>
      <c r="R58" s="15">
        <f t="shared" ca="1" si="83"/>
        <v>1.0589299999999996E-2</v>
      </c>
      <c r="S58" s="15">
        <f t="shared" ca="1" si="83"/>
        <v>1.1061199999999995E-2</v>
      </c>
      <c r="T58" s="15">
        <f t="shared" ca="1" si="83"/>
        <v>1.1533099999999994E-2</v>
      </c>
      <c r="U58" s="15">
        <f t="shared" ca="1" si="83"/>
        <v>1.2004999999999993E-2</v>
      </c>
      <c r="V58" s="15">
        <f t="shared" ca="1" si="83"/>
        <v>1.2476899999999992E-2</v>
      </c>
      <c r="W58" s="15">
        <f t="shared" ca="1" si="83"/>
        <v>1.2948799999999991E-2</v>
      </c>
      <c r="X58" s="15">
        <f t="shared" ca="1" si="83"/>
        <v>1.342069999999999E-2</v>
      </c>
      <c r="Y58" s="15">
        <f t="shared" ca="1" si="83"/>
        <v>1.3892599999999989E-2</v>
      </c>
      <c r="Z58" s="15">
        <f t="shared" ca="1" si="83"/>
        <v>1.4364499999999988E-2</v>
      </c>
      <c r="AA58" s="15">
        <f t="shared" ca="1" si="83"/>
        <v>1.4836399999999987E-2</v>
      </c>
      <c r="AB58" s="15">
        <f t="shared" ca="1" si="83"/>
        <v>1.5308299999999987E-2</v>
      </c>
      <c r="AC58" s="15">
        <f t="shared" ca="1" si="83"/>
        <v>1.5780199999999987E-2</v>
      </c>
      <c r="AD58" s="15">
        <f t="shared" ca="1" si="83"/>
        <v>1.6252099999999988E-2</v>
      </c>
      <c r="AE58" s="5"/>
      <c r="AG58" s="1" t="s">
        <v>59</v>
      </c>
      <c r="AH58" s="37">
        <f t="shared" ca="1" si="84"/>
        <v>28981.89356471158</v>
      </c>
      <c r="AI58" s="37">
        <f t="shared" ca="1" si="77"/>
        <v>32180.684389589507</v>
      </c>
      <c r="AJ58" s="37">
        <f t="shared" ca="1" si="78"/>
        <v>35574.835047504544</v>
      </c>
      <c r="AK58" s="37">
        <f t="shared" ca="1" si="78"/>
        <v>39123.331697442387</v>
      </c>
      <c r="AL58" s="37">
        <f t="shared" ca="1" si="78"/>
        <v>42884.170185704374</v>
      </c>
      <c r="AM58" s="37">
        <f t="shared" ca="1" si="78"/>
        <v>46860.539455177488</v>
      </c>
      <c r="AN58" s="37">
        <f t="shared" ca="1" si="78"/>
        <v>51053.695157433351</v>
      </c>
      <c r="AO58" s="37">
        <f t="shared" ca="1" si="78"/>
        <v>55467.051969849897</v>
      </c>
      <c r="AP58" s="37">
        <f t="shared" ca="1" si="78"/>
        <v>60065.819116614453</v>
      </c>
      <c r="AQ58" s="37">
        <f t="shared" ca="1" si="78"/>
        <v>64898.984256999232</v>
      </c>
      <c r="AR58" s="37">
        <f t="shared" ca="1" si="78"/>
        <v>69974.523337974388</v>
      </c>
      <c r="AS58" s="37">
        <f t="shared" ca="1" si="78"/>
        <v>75303.778632835485</v>
      </c>
      <c r="AT58" s="37">
        <f t="shared" ca="1" si="79"/>
        <v>80896.218025004142</v>
      </c>
      <c r="AU58" s="37">
        <f t="shared" ca="1" si="79"/>
        <v>86708.825202921449</v>
      </c>
      <c r="AV58" s="37">
        <f t="shared" ca="1" si="79"/>
        <v>92801.833084841317</v>
      </c>
      <c r="AW58" s="37">
        <f t="shared" ca="1" si="79"/>
        <v>99177.848422943149</v>
      </c>
      <c r="AX58" s="37">
        <f t="shared" ca="1" si="79"/>
        <v>105837.87641837785</v>
      </c>
      <c r="AY58" s="37">
        <f t="shared" ca="1" si="79"/>
        <v>112784.35236020366</v>
      </c>
      <c r="AZ58" s="37" t="e">
        <f t="shared" ca="1" si="79"/>
        <v>#N/A</v>
      </c>
      <c r="BA58" s="37" t="e">
        <f t="shared" ca="1" si="79"/>
        <v>#N/A</v>
      </c>
      <c r="BB58" s="37" t="e">
        <f t="shared" ca="1" si="79"/>
        <v>#N/A</v>
      </c>
    </row>
    <row r="59" spans="1:54" x14ac:dyDescent="0.25">
      <c r="B59" s="1" t="s">
        <v>171</v>
      </c>
      <c r="C59" s="14">
        <f ca="1">Condom_Base!C59</f>
        <v>3.7452000000000002E-3</v>
      </c>
      <c r="D59" s="14">
        <f ca="1">Condom_Base!D59</f>
        <v>1.4220999999999999E-3</v>
      </c>
      <c r="E59" s="14">
        <f ca="1">IF('User Settings'!$N$7="On",($D59-$C59)/($D$4-$C$4),0)</f>
        <v>-4.6462000000000006E-4</v>
      </c>
      <c r="F59" s="14">
        <f ca="1">Condom_Base!F59</f>
        <v>2.8239999999999689E-5</v>
      </c>
      <c r="G59" s="14"/>
      <c r="H59" s="14">
        <f t="shared" ca="1" si="80"/>
        <v>0</v>
      </c>
      <c r="I59" s="14">
        <f t="shared" ca="1" si="85"/>
        <v>-9.4133333333332302E-6</v>
      </c>
      <c r="J59" s="14">
        <f t="shared" ca="1" si="81"/>
        <v>4.928599999999997E-4</v>
      </c>
      <c r="K59" s="14">
        <f t="shared" ca="1" si="82"/>
        <v>2.8239999999999689E-5</v>
      </c>
      <c r="L59" s="15">
        <f t="shared" ca="1" si="83"/>
        <v>1.8826666666666457E-5</v>
      </c>
      <c r="M59" s="15">
        <f t="shared" ca="1" si="83"/>
        <v>9.4133333333332268E-6</v>
      </c>
      <c r="N59" s="15">
        <f t="shared" ca="1" si="83"/>
        <v>0</v>
      </c>
      <c r="O59" s="15">
        <f t="shared" ca="1" si="83"/>
        <v>0</v>
      </c>
      <c r="P59" s="15">
        <f t="shared" ca="1" si="83"/>
        <v>0</v>
      </c>
      <c r="Q59" s="15">
        <f t="shared" ca="1" si="83"/>
        <v>0</v>
      </c>
      <c r="R59" s="15">
        <f t="shared" ca="1" si="83"/>
        <v>0</v>
      </c>
      <c r="S59" s="15">
        <f t="shared" ca="1" si="83"/>
        <v>0</v>
      </c>
      <c r="T59" s="15">
        <f t="shared" ca="1" si="83"/>
        <v>0</v>
      </c>
      <c r="U59" s="15">
        <f t="shared" ca="1" si="83"/>
        <v>0</v>
      </c>
      <c r="V59" s="15">
        <f t="shared" ca="1" si="83"/>
        <v>0</v>
      </c>
      <c r="W59" s="15">
        <f t="shared" ca="1" si="83"/>
        <v>0</v>
      </c>
      <c r="X59" s="15">
        <f t="shared" ca="1" si="83"/>
        <v>0</v>
      </c>
      <c r="Y59" s="15">
        <f t="shared" ca="1" si="83"/>
        <v>0</v>
      </c>
      <c r="Z59" s="15">
        <f t="shared" ca="1" si="83"/>
        <v>0</v>
      </c>
      <c r="AA59" s="15">
        <f t="shared" ca="1" si="83"/>
        <v>0</v>
      </c>
      <c r="AB59" s="15">
        <f t="shared" ca="1" si="83"/>
        <v>0</v>
      </c>
      <c r="AC59" s="15">
        <f t="shared" ca="1" si="83"/>
        <v>0</v>
      </c>
      <c r="AD59" s="15">
        <f t="shared" ca="1" si="83"/>
        <v>0</v>
      </c>
      <c r="AE59" s="5"/>
      <c r="AG59" s="1" t="s">
        <v>171</v>
      </c>
      <c r="AH59" s="37">
        <f t="shared" ca="1" si="84"/>
        <v>2096.243973863568</v>
      </c>
      <c r="AI59" s="37">
        <f t="shared" ca="1" si="77"/>
        <v>124.72996529810563</v>
      </c>
      <c r="AJ59" s="37">
        <f t="shared" ca="1" si="78"/>
        <v>86.33206939519863</v>
      </c>
      <c r="AK59" s="37">
        <f t="shared" ca="1" si="78"/>
        <v>44.74968557906471</v>
      </c>
      <c r="AL59" s="37">
        <f t="shared" ca="1" si="78"/>
        <v>0</v>
      </c>
      <c r="AM59" s="37">
        <f t="shared" ca="1" si="78"/>
        <v>0</v>
      </c>
      <c r="AN59" s="37">
        <f t="shared" ca="1" si="78"/>
        <v>0</v>
      </c>
      <c r="AO59" s="37">
        <f t="shared" ca="1" si="78"/>
        <v>0</v>
      </c>
      <c r="AP59" s="37">
        <f t="shared" ca="1" si="78"/>
        <v>0</v>
      </c>
      <c r="AQ59" s="37">
        <f t="shared" ca="1" si="78"/>
        <v>0</v>
      </c>
      <c r="AR59" s="37">
        <f t="shared" ca="1" si="78"/>
        <v>0</v>
      </c>
      <c r="AS59" s="37">
        <f t="shared" ca="1" si="78"/>
        <v>0</v>
      </c>
      <c r="AT59" s="37">
        <f t="shared" ca="1" si="79"/>
        <v>0</v>
      </c>
      <c r="AU59" s="37">
        <f t="shared" ca="1" si="79"/>
        <v>0</v>
      </c>
      <c r="AV59" s="37">
        <f t="shared" ca="1" si="79"/>
        <v>0</v>
      </c>
      <c r="AW59" s="37">
        <f t="shared" ca="1" si="79"/>
        <v>0</v>
      </c>
      <c r="AX59" s="37">
        <f t="shared" ca="1" si="79"/>
        <v>0</v>
      </c>
      <c r="AY59" s="37">
        <f t="shared" ca="1" si="79"/>
        <v>0</v>
      </c>
      <c r="AZ59" s="37" t="e">
        <f t="shared" ca="1" si="79"/>
        <v>#N/A</v>
      </c>
      <c r="BA59" s="37" t="e">
        <f t="shared" ca="1" si="79"/>
        <v>#N/A</v>
      </c>
      <c r="BB59" s="37" t="e">
        <f t="shared" ca="1" si="79"/>
        <v>#N/A</v>
      </c>
    </row>
    <row r="60" spans="1:54" x14ac:dyDescent="0.25">
      <c r="B60" s="1" t="s">
        <v>116</v>
      </c>
      <c r="C60" s="14">
        <f ca="1">Condom_Base!C60</f>
        <v>1.2780999999999999E-3</v>
      </c>
      <c r="D60" s="14">
        <f ca="1">Condom_Base!D60</f>
        <v>1.1502999999999999E-3</v>
      </c>
      <c r="E60" s="14">
        <f ca="1">IF('User Settings'!$N$7="On",($D60-$C60)/($D$4-$C$4),0)</f>
        <v>-2.5559999999999992E-5</v>
      </c>
      <c r="F60" s="14">
        <f ca="1">Condom_Base!F60</f>
        <v>1.07362E-3</v>
      </c>
      <c r="G60" s="14"/>
      <c r="H60" s="14">
        <f t="shared" ca="1" si="80"/>
        <v>9.9693999999999998E-4</v>
      </c>
      <c r="I60" s="14">
        <f t="shared" ca="1" si="85"/>
        <v>-2.5559999999999992E-5</v>
      </c>
      <c r="J60" s="14">
        <f t="shared" ca="1" si="81"/>
        <v>1.0991799999999999E-3</v>
      </c>
      <c r="K60" s="14">
        <f t="shared" ca="1" si="82"/>
        <v>1.07362E-3</v>
      </c>
      <c r="L60" s="15">
        <f t="shared" ca="1" si="83"/>
        <v>1.04806E-3</v>
      </c>
      <c r="M60" s="15">
        <f t="shared" ca="1" si="83"/>
        <v>1.0225E-3</v>
      </c>
      <c r="N60" s="15">
        <f t="shared" ca="1" si="83"/>
        <v>9.9693999999999998E-4</v>
      </c>
      <c r="O60" s="15">
        <f t="shared" ca="1" si="83"/>
        <v>9.7137999999999999E-4</v>
      </c>
      <c r="P60" s="15">
        <f t="shared" ca="1" si="83"/>
        <v>9.4581999999999999E-4</v>
      </c>
      <c r="Q60" s="15">
        <f t="shared" ca="1" si="83"/>
        <v>9.2026E-4</v>
      </c>
      <c r="R60" s="15">
        <f t="shared" ca="1" si="83"/>
        <v>8.9470000000000001E-4</v>
      </c>
      <c r="S60" s="15">
        <f t="shared" ca="1" si="83"/>
        <v>8.6914000000000002E-4</v>
      </c>
      <c r="T60" s="15">
        <f t="shared" ca="1" si="83"/>
        <v>8.4358000000000002E-4</v>
      </c>
      <c r="U60" s="15">
        <f t="shared" ca="1" si="83"/>
        <v>8.1802000000000003E-4</v>
      </c>
      <c r="V60" s="15">
        <f t="shared" ca="1" si="83"/>
        <v>7.9246000000000004E-4</v>
      </c>
      <c r="W60" s="15">
        <f t="shared" ca="1" si="83"/>
        <v>7.6690000000000005E-4</v>
      </c>
      <c r="X60" s="15">
        <f t="shared" ca="1" si="83"/>
        <v>7.4134000000000005E-4</v>
      </c>
      <c r="Y60" s="15">
        <f t="shared" ca="1" si="83"/>
        <v>7.1578000000000006E-4</v>
      </c>
      <c r="Z60" s="15">
        <f t="shared" ca="1" si="83"/>
        <v>6.9022000000000007E-4</v>
      </c>
      <c r="AA60" s="15">
        <f t="shared" ca="1" si="83"/>
        <v>6.6466000000000008E-4</v>
      </c>
      <c r="AB60" s="15">
        <f t="shared" ca="1" si="83"/>
        <v>6.3910000000000008E-4</v>
      </c>
      <c r="AC60" s="15">
        <f t="shared" ca="1" si="83"/>
        <v>6.1354000000000009E-4</v>
      </c>
      <c r="AD60" s="15">
        <f t="shared" ca="1" si="83"/>
        <v>5.879800000000001E-4</v>
      </c>
      <c r="AE60" s="5"/>
      <c r="AG60" s="1" t="s">
        <v>116</v>
      </c>
      <c r="AH60" s="37">
        <f t="shared" ca="1" si="84"/>
        <v>4675.0587412071545</v>
      </c>
      <c r="AI60" s="37">
        <f t="shared" ca="1" si="77"/>
        <v>4741.94707306493</v>
      </c>
      <c r="AJ60" s="37">
        <f t="shared" ca="1" si="78"/>
        <v>4806.0121450247634</v>
      </c>
      <c r="AK60" s="37">
        <f t="shared" ca="1" si="78"/>
        <v>4860.8236725843681</v>
      </c>
      <c r="AL60" s="37">
        <f t="shared" ca="1" si="78"/>
        <v>4913.1715210747461</v>
      </c>
      <c r="AM60" s="37">
        <f t="shared" ca="1" si="78"/>
        <v>4961.9986500360073</v>
      </c>
      <c r="AN60" s="37">
        <f t="shared" ca="1" si="78"/>
        <v>5006.2315021309032</v>
      </c>
      <c r="AO60" s="37">
        <f t="shared" ca="1" si="78"/>
        <v>5045.1805054435008</v>
      </c>
      <c r="AP60" s="37">
        <f t="shared" ca="1" si="78"/>
        <v>5075.0180241975368</v>
      </c>
      <c r="AQ60" s="37">
        <f t="shared" ca="1" si="78"/>
        <v>5099.474123705234</v>
      </c>
      <c r="AR60" s="37">
        <f t="shared" ca="1" si="78"/>
        <v>5118.2343339993986</v>
      </c>
      <c r="AS60" s="37">
        <f t="shared" ca="1" si="78"/>
        <v>5131.1950851505308</v>
      </c>
      <c r="AT60" s="37">
        <f t="shared" ca="1" si="79"/>
        <v>5138.0564832686669</v>
      </c>
      <c r="AU60" s="37">
        <f t="shared" ca="1" si="79"/>
        <v>5135.3791894322649</v>
      </c>
      <c r="AV60" s="37">
        <f t="shared" ca="1" si="79"/>
        <v>5126.238641733763</v>
      </c>
      <c r="AW60" s="37">
        <f t="shared" ca="1" si="79"/>
        <v>5109.8801048165433</v>
      </c>
      <c r="AX60" s="37">
        <f t="shared" ca="1" si="79"/>
        <v>5085.5525121997161</v>
      </c>
      <c r="AY60" s="37">
        <f t="shared" ca="1" si="79"/>
        <v>5052.6574937136393</v>
      </c>
      <c r="AZ60" s="37" t="e">
        <f t="shared" ca="1" si="79"/>
        <v>#N/A</v>
      </c>
      <c r="BA60" s="37" t="e">
        <f t="shared" ca="1" si="79"/>
        <v>#N/A</v>
      </c>
      <c r="BB60" s="37" t="e">
        <f t="shared" ca="1" si="79"/>
        <v>#N/A</v>
      </c>
    </row>
    <row r="61" spans="1:54" x14ac:dyDescent="0.25">
      <c r="D61" s="5">
        <f ca="1">SUM(D55:D60)</f>
        <v>1.9829099999999999E-2</v>
      </c>
      <c r="F61" s="132">
        <f ca="1">SUM(F55:F60)</f>
        <v>2.224344E-2</v>
      </c>
      <c r="G61" s="132"/>
      <c r="H61" s="132">
        <f ca="1">SUM(H55:H60)</f>
        <v>2.6340019999999999E-2</v>
      </c>
      <c r="I61" s="132"/>
      <c r="J61" s="132">
        <f ca="1">SUM(J55:J60)</f>
        <v>2.1438659999999998E-2</v>
      </c>
      <c r="K61" s="132">
        <f ca="1">SUM(K55:K60)</f>
        <v>2.224344E-2</v>
      </c>
      <c r="L61" s="5">
        <f t="shared" ref="L61:AD61" ca="1" si="86">SUM(L55:L60)</f>
        <v>2.3608966666666668E-2</v>
      </c>
      <c r="M61" s="5">
        <f t="shared" ca="1" si="86"/>
        <v>2.497449333333333E-2</v>
      </c>
      <c r="N61" s="5">
        <f t="shared" ca="1" si="86"/>
        <v>2.6340019999999999E-2</v>
      </c>
      <c r="O61" s="5">
        <f t="shared" ca="1" si="86"/>
        <v>2.7828939999999996E-2</v>
      </c>
      <c r="P61" s="5">
        <f t="shared" ca="1" si="86"/>
        <v>2.9317859999999998E-2</v>
      </c>
      <c r="Q61" s="5">
        <f t="shared" ca="1" si="86"/>
        <v>3.0806779999999999E-2</v>
      </c>
      <c r="R61" s="5">
        <f t="shared" ca="1" si="86"/>
        <v>3.2295699999999997E-2</v>
      </c>
      <c r="S61" s="5">
        <f t="shared" ca="1" si="86"/>
        <v>3.3784619999999994E-2</v>
      </c>
      <c r="T61" s="5">
        <f t="shared" ca="1" si="86"/>
        <v>3.5273539999999992E-2</v>
      </c>
      <c r="U61" s="5">
        <f t="shared" ca="1" si="86"/>
        <v>3.6762459999999997E-2</v>
      </c>
      <c r="V61" s="5">
        <f t="shared" ca="1" si="86"/>
        <v>3.8251379999999995E-2</v>
      </c>
      <c r="W61" s="5">
        <f t="shared" ca="1" si="86"/>
        <v>3.9740299999999999E-2</v>
      </c>
      <c r="X61" s="5">
        <f t="shared" ca="1" si="86"/>
        <v>4.1229219999999997E-2</v>
      </c>
      <c r="Y61" s="5">
        <f t="shared" ca="1" si="86"/>
        <v>4.2718139999999995E-2</v>
      </c>
      <c r="Z61" s="5">
        <f t="shared" ca="1" si="86"/>
        <v>4.4207059999999992E-2</v>
      </c>
      <c r="AA61" s="5">
        <f t="shared" ca="1" si="86"/>
        <v>4.569597999999999E-2</v>
      </c>
      <c r="AB61" s="5">
        <f t="shared" ca="1" si="86"/>
        <v>4.7184900000000002E-2</v>
      </c>
      <c r="AC61" s="5">
        <f t="shared" ca="1" si="86"/>
        <v>4.867382E-2</v>
      </c>
      <c r="AD61" s="5">
        <f t="shared" ca="1" si="86"/>
        <v>5.0162739999999997E-2</v>
      </c>
      <c r="AE61" s="5"/>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E6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BB66" si="87">AJ66+1</f>
        <v>2021</v>
      </c>
      <c r="AL66" s="36">
        <f t="shared" si="87"/>
        <v>2022</v>
      </c>
      <c r="AM66" s="36">
        <f t="shared" si="87"/>
        <v>2023</v>
      </c>
      <c r="AN66" s="36">
        <f t="shared" si="87"/>
        <v>2024</v>
      </c>
      <c r="AO66" s="36">
        <f t="shared" si="87"/>
        <v>2025</v>
      </c>
      <c r="AP66" s="36">
        <f t="shared" si="87"/>
        <v>2026</v>
      </c>
      <c r="AQ66" s="36">
        <f t="shared" si="87"/>
        <v>2027</v>
      </c>
      <c r="AR66" s="36">
        <f t="shared" si="87"/>
        <v>2028</v>
      </c>
      <c r="AS66" s="36">
        <f t="shared" si="87"/>
        <v>2029</v>
      </c>
      <c r="AT66" s="36">
        <f t="shared" si="87"/>
        <v>2030</v>
      </c>
      <c r="AU66" s="36">
        <f t="shared" si="87"/>
        <v>2031</v>
      </c>
      <c r="AV66" s="36">
        <f t="shared" si="87"/>
        <v>2032</v>
      </c>
      <c r="AW66" s="36">
        <f t="shared" si="87"/>
        <v>2033</v>
      </c>
      <c r="AX66" s="36">
        <f t="shared" si="87"/>
        <v>2034</v>
      </c>
      <c r="AY66" s="36">
        <f t="shared" si="87"/>
        <v>2035</v>
      </c>
      <c r="AZ66" s="36">
        <f t="shared" si="87"/>
        <v>2036</v>
      </c>
      <c r="BA66" s="36">
        <f t="shared" si="87"/>
        <v>2037</v>
      </c>
      <c r="BB66" s="36">
        <f t="shared" si="87"/>
        <v>2038</v>
      </c>
    </row>
    <row r="67" spans="1:54" x14ac:dyDescent="0.25">
      <c r="A67"/>
      <c r="AF67"/>
      <c r="AH67" s="128">
        <f>AI67</f>
        <v>0.9</v>
      </c>
      <c r="AI67" s="128">
        <f>1-VLOOKUP($A$1,Dashboard!$U$4:$W$9,2,FALSE)</f>
        <v>0.9</v>
      </c>
      <c r="AJ67" s="128">
        <f>MAX(0,AI67-(VLOOKUP($A$1,Dashboard!$U$4:$W$9,3,FALSE)-VLOOKUP($A$1,Dashboard!$U$4:$W$9,2,FALSE))/(Yr_End-Yr_Start))</f>
        <v>0.8</v>
      </c>
      <c r="AK67" s="128">
        <f>MAX(0,AJ67-(VLOOKUP($A$1,Dashboard!$U$4:$W$9,3,FALSE)-VLOOKUP($A$1,Dashboard!$U$4:$W$9,2,FALSE))/(Yr_End-Yr_Start))</f>
        <v>0.70000000000000007</v>
      </c>
      <c r="AL67" s="128">
        <f>MAX(0,AK67-(VLOOKUP($A$1,Dashboard!$U$4:$W$9,3,FALSE)-VLOOKUP($A$1,Dashboard!$U$4:$W$9,2,FALSE))/(Yr_End-Yr_Start))</f>
        <v>0.60000000000000009</v>
      </c>
      <c r="AM67" s="128">
        <f>MAX(0,AL67-(VLOOKUP($A$1,Dashboard!$U$4:$W$9,3,FALSE)-VLOOKUP($A$1,Dashboard!$U$4:$W$9,2,FALSE))/(Yr_End-Yr_Start))</f>
        <v>0.50000000000000011</v>
      </c>
      <c r="AN67" s="128">
        <f>MAX(0,AM67-(VLOOKUP($A$1,Dashboard!$U$4:$W$9,3,FALSE)-VLOOKUP($A$1,Dashboard!$U$4:$W$9,2,FALSE))/(Yr_End-Yr_Start))</f>
        <v>0.40000000000000008</v>
      </c>
      <c r="AO67" s="128">
        <f>MAX(0,AN67-(VLOOKUP($A$1,Dashboard!$U$4:$W$9,3,FALSE)-VLOOKUP($A$1,Dashboard!$U$4:$W$9,2,FALSE))/(Yr_End-Yr_Start))</f>
        <v>0.30000000000000004</v>
      </c>
      <c r="AP67" s="128">
        <f>MAX(0,AO67-(VLOOKUP($A$1,Dashboard!$U$4:$W$9,3,FALSE)-VLOOKUP($A$1,Dashboard!$U$4:$W$9,2,FALSE))/(Yr_End-Yr_Start))</f>
        <v>0.2</v>
      </c>
      <c r="AQ67" s="128">
        <f>MAX(0,AP67-(VLOOKUP($A$1,Dashboard!$U$4:$W$9,3,FALSE)-VLOOKUP($A$1,Dashboard!$U$4:$W$9,2,FALSE))/(Yr_End-Yr_Start))</f>
        <v>9.9999999999999992E-2</v>
      </c>
      <c r="AR67" s="128">
        <f>MAX(0,AQ67-(VLOOKUP($A$1,Dashboard!$U$4:$W$9,3,FALSE)-VLOOKUP($A$1,Dashboard!$U$4:$W$9,2,FALSE))/(Yr_End-Yr_Start))</f>
        <v>0</v>
      </c>
      <c r="AS67" s="128">
        <f>MAX(0,AR67-(VLOOKUP($A$1,Dashboard!$U$4:$W$9,3,FALSE)-VLOOKUP($A$1,Dashboard!$U$4:$W$9,2,FALSE))/(Yr_End-Yr_Start))</f>
        <v>0</v>
      </c>
      <c r="AT67" s="128">
        <f>MAX(0,AS67-(VLOOKUP($A$1,Dashboard!$U$4:$W$9,3,FALSE)-VLOOKUP($A$1,Dashboard!$U$4:$W$9,2,FALSE))/(Yr_End-Yr_Start))</f>
        <v>0</v>
      </c>
      <c r="AU67" s="128">
        <f>MAX(0,AT67-(VLOOKUP($A$1,Dashboard!$U$4:$W$9,3,FALSE)-VLOOKUP($A$1,Dashboard!$U$4:$W$9,2,FALSE))/(Yr_End-Yr_Start))</f>
        <v>0</v>
      </c>
      <c r="AV67" s="128">
        <f>MAX(0,AU67-(VLOOKUP($A$1,Dashboard!$U$4:$W$9,3,FALSE)-VLOOKUP($A$1,Dashboard!$U$4:$W$9,2,FALSE))/(Yr_End-Yr_Start))</f>
        <v>0</v>
      </c>
      <c r="AW67" s="128">
        <f>MAX(0,AV67-(VLOOKUP($A$1,Dashboard!$U$4:$W$9,3,FALSE)-VLOOKUP($A$1,Dashboard!$U$4:$W$9,2,FALSE))/(Yr_End-Yr_Start))</f>
        <v>0</v>
      </c>
      <c r="AX67" s="128">
        <f>MAX(0,AW67-(VLOOKUP($A$1,Dashboard!$U$4:$W$9,3,FALSE)-VLOOKUP($A$1,Dashboard!$U$4:$W$9,2,FALSE))/(Yr_End-Yr_Start))</f>
        <v>0</v>
      </c>
      <c r="AY67" s="128">
        <f>MAX(0,AX67-(VLOOKUP($A$1,Dashboard!$U$4:$W$9,3,FALSE)-VLOOKUP($A$1,Dashboard!$U$4:$W$9,2,FALSE))/(Yr_End-Yr_Start))</f>
        <v>0</v>
      </c>
      <c r="AZ67" s="128">
        <f>MAX(0,AY67-(VLOOKUP($A$1,Dashboard!$U$4:$W$9,3,FALSE)-VLOOKUP($A$1,Dashboard!$U$4:$W$9,2,FALSE))/(Yr_End-Yr_Start))</f>
        <v>0</v>
      </c>
      <c r="BA67" s="128">
        <f>MAX(0,AZ67-(VLOOKUP($A$1,Dashboard!$U$4:$W$9,3,FALSE)-VLOOKUP($A$1,Dashboard!$U$4:$W$9,2,FALSE))/(Yr_End-Yr_Start))</f>
        <v>0</v>
      </c>
      <c r="BB67" s="128">
        <f>MAX(0,BA67-(VLOOKUP($A$1,Dashboard!$U$4:$W$9,3,FALSE)-VLOOKUP($A$1,Dashboard!$U$4:$W$9,2,FALSE))/(Yr_End-Yr_Start))</f>
        <v>0</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88">AJ70+1</f>
        <v>2021</v>
      </c>
      <c r="AL70" s="36">
        <f t="shared" si="88"/>
        <v>2022</v>
      </c>
      <c r="AM70" s="36">
        <f t="shared" si="88"/>
        <v>2023</v>
      </c>
      <c r="AN70" s="36">
        <f t="shared" si="88"/>
        <v>2024</v>
      </c>
      <c r="AO70" s="36">
        <f t="shared" si="88"/>
        <v>2025</v>
      </c>
      <c r="AP70" s="36">
        <f t="shared" si="88"/>
        <v>2026</v>
      </c>
      <c r="AQ70" s="36">
        <f t="shared" si="88"/>
        <v>2027</v>
      </c>
      <c r="AR70" s="36">
        <f t="shared" si="88"/>
        <v>2028</v>
      </c>
      <c r="AS70" s="36">
        <f t="shared" si="88"/>
        <v>2029</v>
      </c>
      <c r="AT70" s="36">
        <f t="shared" si="88"/>
        <v>2030</v>
      </c>
      <c r="AU70" s="36">
        <f t="shared" si="88"/>
        <v>2031</v>
      </c>
      <c r="AV70" s="36">
        <f t="shared" si="88"/>
        <v>2032</v>
      </c>
      <c r="AW70" s="36">
        <f t="shared" si="88"/>
        <v>2033</v>
      </c>
      <c r="AX70" s="36">
        <f t="shared" si="88"/>
        <v>2034</v>
      </c>
      <c r="AY70" s="36">
        <f t="shared" si="88"/>
        <v>2035</v>
      </c>
      <c r="AZ70" s="36">
        <f t="shared" si="88"/>
        <v>2036</v>
      </c>
      <c r="BA70" s="36">
        <f t="shared" si="88"/>
        <v>2037</v>
      </c>
      <c r="BB70" s="36">
        <f t="shared" si="88"/>
        <v>2038</v>
      </c>
    </row>
    <row r="71" spans="1:54" x14ac:dyDescent="0.25">
      <c r="A71"/>
      <c r="AF71" s="6" t="s">
        <v>179</v>
      </c>
      <c r="AG71" s="1" t="s">
        <v>52</v>
      </c>
      <c r="AH71" s="37">
        <f ca="1">SUM(AH35,AH25,AH15,AH5)</f>
        <v>69107.976106951974</v>
      </c>
      <c r="AI71" s="37">
        <f ca="1">SUM(AI35,AI25,AI15,AI5)</f>
        <v>75819.710722534408</v>
      </c>
      <c r="AJ71" s="37">
        <f t="shared" ref="AJ71:BB71" ca="1" si="89">SUM(AJ35,AJ25,AJ15,AJ5)</f>
        <v>77152.656619080197</v>
      </c>
      <c r="AK71" s="37">
        <f t="shared" ca="1" si="89"/>
        <v>78360.28965453351</v>
      </c>
      <c r="AL71" s="37">
        <f t="shared" ca="1" si="89"/>
        <v>79552.416722659851</v>
      </c>
      <c r="AM71" s="37">
        <f t="shared" ca="1" si="89"/>
        <v>80713.217221715939</v>
      </c>
      <c r="AN71" s="37">
        <f t="shared" ca="1" si="89"/>
        <v>81826.416546948021</v>
      </c>
      <c r="AO71" s="37">
        <f t="shared" ca="1" si="89"/>
        <v>82881.833098127798</v>
      </c>
      <c r="AP71" s="37">
        <f t="shared" ca="1" si="89"/>
        <v>84301.351486834668</v>
      </c>
      <c r="AQ71" s="37">
        <f t="shared" ca="1" si="89"/>
        <v>86608.609099697293</v>
      </c>
      <c r="AR71" s="37">
        <f t="shared" ca="1" si="89"/>
        <v>88950.862406731409</v>
      </c>
      <c r="AS71" s="37">
        <f ca="1">SUM(AS35,AS25,AS15,AS5)</f>
        <v>91331.649287171458</v>
      </c>
      <c r="AT71" s="37">
        <f t="shared" ca="1" si="89"/>
        <v>93751.434420365011</v>
      </c>
      <c r="AU71" s="37">
        <f t="shared" ca="1" si="89"/>
        <v>96152.120445904511</v>
      </c>
      <c r="AV71" s="37">
        <f t="shared" ca="1" si="89"/>
        <v>98594.765073177565</v>
      </c>
      <c r="AW71" s="37">
        <f t="shared" ca="1" si="89"/>
        <v>101071.65929544953</v>
      </c>
      <c r="AX71" s="37">
        <f t="shared" ca="1" si="89"/>
        <v>103574.46681908742</v>
      </c>
      <c r="AY71" s="37">
        <f t="shared" ca="1" si="89"/>
        <v>106097.22999695217</v>
      </c>
      <c r="AZ71" s="37" t="e">
        <f t="shared" ca="1" si="89"/>
        <v>#N/A</v>
      </c>
      <c r="BA71" s="37" t="e">
        <f t="shared" ca="1" si="89"/>
        <v>#N/A</v>
      </c>
      <c r="BB71" s="37" t="e">
        <f t="shared" ca="1" si="89"/>
        <v>#N/A</v>
      </c>
    </row>
    <row r="72" spans="1:54" x14ac:dyDescent="0.25">
      <c r="B72" s="6"/>
      <c r="AG72" s="1" t="s">
        <v>54</v>
      </c>
      <c r="AH72" s="37">
        <f ca="1">SUM(AH36,AH26,AH16,AH6)+SUM(AH40,AH30,AH20,AH10)</f>
        <v>19348.806900033233</v>
      </c>
      <c r="AI72" s="37">
        <f ca="1">SUM(AI36,AI26,AI16,AI6)+SUM(AI40,AI30,AI20,AI10)</f>
        <v>16299.717335487419</v>
      </c>
      <c r="AJ72" s="37">
        <f t="shared" ref="AJ72:BB72" ca="1" si="90">SUM(AJ36,AJ26,AJ16,AJ6)+SUM(AJ40,AJ30,AJ20,AJ10)</f>
        <v>15113.44117920825</v>
      </c>
      <c r="AK72" s="37">
        <f t="shared" ca="1" si="90"/>
        <v>13792.156370414134</v>
      </c>
      <c r="AL72" s="37">
        <f t="shared" ca="1" si="90"/>
        <v>12353.538204535071</v>
      </c>
      <c r="AM72" s="37">
        <f t="shared" ca="1" si="90"/>
        <v>10807.346016828738</v>
      </c>
      <c r="AN72" s="37">
        <f t="shared" ca="1" si="90"/>
        <v>9225.9055944775355</v>
      </c>
      <c r="AO72" s="37">
        <f t="shared" ca="1" si="90"/>
        <v>8150.2255743577389</v>
      </c>
      <c r="AP72" s="37">
        <f t="shared" ca="1" si="90"/>
        <v>7008.44558068278</v>
      </c>
      <c r="AQ72" s="37">
        <f t="shared" ca="1" si="90"/>
        <v>5808.6720987555864</v>
      </c>
      <c r="AR72" s="37">
        <f t="shared" ca="1" si="90"/>
        <v>5414.9115208895155</v>
      </c>
      <c r="AS72" s="37">
        <f t="shared" ca="1" si="90"/>
        <v>5190.98361374469</v>
      </c>
      <c r="AT72" s="37">
        <f t="shared" ca="1" si="90"/>
        <v>5261.7607851725088</v>
      </c>
      <c r="AU72" s="37">
        <f t="shared" ca="1" si="90"/>
        <v>5327.0745435277249</v>
      </c>
      <c r="AV72" s="37">
        <f t="shared" ca="1" si="90"/>
        <v>5390.2116693777925</v>
      </c>
      <c r="AW72" s="37">
        <f t="shared" ca="1" si="90"/>
        <v>5450.5676839768121</v>
      </c>
      <c r="AX72" s="37">
        <f t="shared" ca="1" si="90"/>
        <v>5507.5225779627717</v>
      </c>
      <c r="AY72" s="37">
        <f t="shared" ca="1" si="90"/>
        <v>5560.6013923894689</v>
      </c>
      <c r="AZ72" s="37" t="e">
        <f t="shared" ca="1" si="90"/>
        <v>#N/A</v>
      </c>
      <c r="BA72" s="37" t="e">
        <f t="shared" ca="1" si="90"/>
        <v>#N/A</v>
      </c>
      <c r="BB72" s="37" t="e">
        <f t="shared" ca="1" si="90"/>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80688.655429336563</v>
      </c>
      <c r="AI73" s="39">
        <f ca="1">SUM(AI37,AI27,AI17,AI7)+SUM(AI38,AI28,AI18,AI8)*AI67</f>
        <v>87181.861676454151</v>
      </c>
      <c r="AJ73" s="39">
        <f t="shared" ref="AJ73:BB73" ca="1" si="91">SUM(AJ37,AJ27,AJ17,AJ7)+SUM(AJ38,AJ28,AJ18,AJ8)*AJ67</f>
        <v>89951.955385356501</v>
      </c>
      <c r="AK73" s="39">
        <f t="shared" ca="1" si="91"/>
        <v>90248.525070102463</v>
      </c>
      <c r="AL73" s="39">
        <f t="shared" ca="1" si="91"/>
        <v>87936.465939854475</v>
      </c>
      <c r="AM73" s="39">
        <f t="shared" ca="1" si="91"/>
        <v>82718.606853161094</v>
      </c>
      <c r="AN73" s="39">
        <f t="shared" ca="1" si="91"/>
        <v>74283.017245478884</v>
      </c>
      <c r="AO73" s="39">
        <f t="shared" ca="1" si="91"/>
        <v>62311.991174133218</v>
      </c>
      <c r="AP73" s="39">
        <f t="shared" ca="1" si="91"/>
        <v>46448.277956710837</v>
      </c>
      <c r="AQ73" s="39">
        <f t="shared" ca="1" si="91"/>
        <v>26415.261128581726</v>
      </c>
      <c r="AR73" s="39">
        <f t="shared" ca="1" si="91"/>
        <v>1860.1159539843486</v>
      </c>
      <c r="AS73" s="39">
        <f ca="1">SUM(AS37,AS27,AS17,AS7)+SUM(AS38,AS28,AS18,AS8)*AS67</f>
        <v>1762.2523660569591</v>
      </c>
      <c r="AT73" s="39">
        <f t="shared" ca="1" si="91"/>
        <v>1655.2720886383306</v>
      </c>
      <c r="AU73" s="39">
        <f t="shared" ca="1" si="91"/>
        <v>1537.8454286691858</v>
      </c>
      <c r="AV73" s="39">
        <f t="shared" ca="1" si="91"/>
        <v>1410.7280055312494</v>
      </c>
      <c r="AW73" s="39">
        <f t="shared" ca="1" si="91"/>
        <v>1273.3881946583333</v>
      </c>
      <c r="AX73" s="39">
        <f t="shared" ca="1" si="91"/>
        <v>1125.328589253164</v>
      </c>
      <c r="AY73" s="39">
        <f ca="1">SUM(AY37,AY27,AY17,AY7)+SUM(AY38,AY28,AY18,AY8)*AY67</f>
        <v>966.12036752322444</v>
      </c>
      <c r="AZ73" s="39" t="e">
        <f t="shared" ca="1" si="91"/>
        <v>#N/A</v>
      </c>
      <c r="BA73" s="39" t="e">
        <f t="shared" ca="1" si="91"/>
        <v>#N/A</v>
      </c>
      <c r="BB73" s="39" t="e">
        <f t="shared" ca="1" si="91"/>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14994.884789291296</v>
      </c>
      <c r="AI74" s="37">
        <f ca="1">SUM(AI39,AI29,AI19,AI9)</f>
        <v>4307.4675617125949</v>
      </c>
      <c r="AJ74" s="37">
        <f t="shared" ref="AJ74:BB74" ca="1" si="92">SUM(AJ39,AJ29,AJ19,AJ9)</f>
        <v>2981.4214055664997</v>
      </c>
      <c r="AK74" s="37">
        <f t="shared" ca="1" si="92"/>
        <v>1545.4010475186656</v>
      </c>
      <c r="AL74" s="37">
        <f t="shared" ca="1" si="92"/>
        <v>3.2249642270142274E-13</v>
      </c>
      <c r="AM74" s="37">
        <f t="shared" ca="1" si="92"/>
        <v>0</v>
      </c>
      <c r="AN74" s="37">
        <f t="shared" ca="1" si="92"/>
        <v>0</v>
      </c>
      <c r="AO74" s="37">
        <f t="shared" ca="1" si="92"/>
        <v>0</v>
      </c>
      <c r="AP74" s="37">
        <f t="shared" ca="1" si="92"/>
        <v>0</v>
      </c>
      <c r="AQ74" s="37">
        <f t="shared" ca="1" si="92"/>
        <v>0</v>
      </c>
      <c r="AR74" s="37">
        <f t="shared" ca="1" si="92"/>
        <v>0</v>
      </c>
      <c r="AS74" s="37">
        <f t="shared" ca="1" si="92"/>
        <v>0</v>
      </c>
      <c r="AT74" s="37">
        <f t="shared" ca="1" si="92"/>
        <v>0</v>
      </c>
      <c r="AU74" s="37">
        <f t="shared" ca="1" si="92"/>
        <v>0</v>
      </c>
      <c r="AV74" s="37">
        <f t="shared" ca="1" si="92"/>
        <v>0</v>
      </c>
      <c r="AW74" s="37">
        <f t="shared" ca="1" si="92"/>
        <v>0</v>
      </c>
      <c r="AX74" s="37">
        <f t="shared" ca="1" si="92"/>
        <v>0</v>
      </c>
      <c r="AY74" s="37">
        <f t="shared" ca="1" si="92"/>
        <v>0</v>
      </c>
      <c r="AZ74" s="37" t="e">
        <f t="shared" ca="1" si="92"/>
        <v>#N/A</v>
      </c>
      <c r="BA74" s="37" t="e">
        <f t="shared" ca="1" si="92"/>
        <v>#N/A</v>
      </c>
      <c r="BB74" s="37" t="e">
        <f t="shared" ca="1" si="92"/>
        <v>#N/A</v>
      </c>
    </row>
    <row r="75" spans="1:54" x14ac:dyDescent="0.25">
      <c r="AG75" s="1" t="s">
        <v>59</v>
      </c>
      <c r="AH75" s="37">
        <f ca="1">+SUM(AH38,AH28,AH18,AH8)*(1-AH67)</f>
        <v>8697.0724710935046</v>
      </c>
      <c r="AI75" s="37">
        <f ca="1">+SUM(AI38,AI28,AI18,AI8)*(1-AI67)</f>
        <v>9423.1636952202462</v>
      </c>
      <c r="AJ75" s="37">
        <f t="shared" ref="AJ75:BB75" ca="1" si="93">+SUM(AJ38,AJ28,AJ18,AJ8)*(1-AJ67)</f>
        <v>21901.355245520026</v>
      </c>
      <c r="AK75" s="37">
        <f t="shared" ca="1" si="93"/>
        <v>37687.628294625596</v>
      </c>
      <c r="AL75" s="37">
        <f t="shared" ca="1" si="93"/>
        <v>57111.561636548649</v>
      </c>
      <c r="AM75" s="37">
        <f t="shared" ca="1" si="93"/>
        <v>80497.61450989345</v>
      </c>
      <c r="AN75" s="37">
        <f t="shared" ca="1" si="93"/>
        <v>108176.08849497348</v>
      </c>
      <c r="AO75" s="37">
        <f t="shared" ca="1" si="93"/>
        <v>140488.77794682136</v>
      </c>
      <c r="AP75" s="37">
        <f t="shared" ca="1" si="93"/>
        <v>177673.42357515023</v>
      </c>
      <c r="AQ75" s="37">
        <f t="shared" ca="1" si="93"/>
        <v>220194.17242459365</v>
      </c>
      <c r="AR75" s="37">
        <f t="shared" ca="1" si="93"/>
        <v>268445.07627668593</v>
      </c>
      <c r="AS75" s="37">
        <f ca="1">+SUM(AS38,AS28,AS18,AS8)*(1-AS67)</f>
        <v>293501.36591040588</v>
      </c>
      <c r="AT75" s="37">
        <f t="shared" ca="1" si="93"/>
        <v>319877.52680161095</v>
      </c>
      <c r="AU75" s="37">
        <f t="shared" ca="1" si="93"/>
        <v>347412.11917507782</v>
      </c>
      <c r="AV75" s="37">
        <f t="shared" ca="1" si="93"/>
        <v>376352.49478179519</v>
      </c>
      <c r="AW75" s="37">
        <f t="shared" ca="1" si="93"/>
        <v>406720.22312022746</v>
      </c>
      <c r="AX75" s="37">
        <f t="shared" ca="1" si="93"/>
        <v>438529.25119680876</v>
      </c>
      <c r="AY75" s="37">
        <f t="shared" ca="1" si="93"/>
        <v>471798.42376793793</v>
      </c>
      <c r="AZ75" s="37" t="e">
        <f t="shared" ca="1" si="93"/>
        <v>#N/A</v>
      </c>
      <c r="BA75" s="37" t="e">
        <f t="shared" ca="1" si="93"/>
        <v>#N/A</v>
      </c>
      <c r="BB75" s="37" t="e">
        <f t="shared" ca="1" si="93"/>
        <v>#N/A</v>
      </c>
    </row>
    <row r="76" spans="1:54" x14ac:dyDescent="0.25">
      <c r="AG76" s="12" t="s">
        <v>60</v>
      </c>
      <c r="AH76" s="45">
        <f ca="1">SUM(AH71:AH75)</f>
        <v>192837.39569670658</v>
      </c>
      <c r="AI76" s="45">
        <f ca="1">SUM(AI71:AI75)</f>
        <v>193031.92099140884</v>
      </c>
      <c r="AJ76" s="45">
        <f t="shared" ref="AJ76:BB76" ca="1" si="94">SUM(AJ71:AJ75)</f>
        <v>207100.82983473147</v>
      </c>
      <c r="AK76" s="45">
        <f t="shared" ca="1" si="94"/>
        <v>221634.00043719437</v>
      </c>
      <c r="AL76" s="45">
        <f t="shared" ca="1" si="94"/>
        <v>236953.98250359803</v>
      </c>
      <c r="AM76" s="45">
        <f t="shared" ca="1" si="94"/>
        <v>254736.78460159921</v>
      </c>
      <c r="AN76" s="45">
        <f t="shared" ca="1" si="94"/>
        <v>273511.42788187793</v>
      </c>
      <c r="AO76" s="45">
        <f t="shared" ca="1" si="94"/>
        <v>293832.82779344008</v>
      </c>
      <c r="AP76" s="45">
        <f t="shared" ca="1" si="94"/>
        <v>315431.49859937851</v>
      </c>
      <c r="AQ76" s="45">
        <f t="shared" ca="1" si="94"/>
        <v>339026.71475162823</v>
      </c>
      <c r="AR76" s="45">
        <f t="shared" ca="1" si="94"/>
        <v>364670.96615829121</v>
      </c>
      <c r="AS76" s="45">
        <f ca="1">SUM(AS71:AS75)</f>
        <v>391786.25117737899</v>
      </c>
      <c r="AT76" s="45">
        <f t="shared" ca="1" si="94"/>
        <v>420545.99409578682</v>
      </c>
      <c r="AU76" s="45">
        <f t="shared" ca="1" si="94"/>
        <v>450429.15959317924</v>
      </c>
      <c r="AV76" s="45">
        <f t="shared" ca="1" si="94"/>
        <v>481748.19952988182</v>
      </c>
      <c r="AW76" s="45">
        <f t="shared" ca="1" si="94"/>
        <v>514515.83829431213</v>
      </c>
      <c r="AX76" s="45">
        <f t="shared" ca="1" si="94"/>
        <v>548736.56918311212</v>
      </c>
      <c r="AY76" s="45">
        <f t="shared" ca="1" si="94"/>
        <v>584422.37552480283</v>
      </c>
      <c r="AZ76" s="45" t="e">
        <f t="shared" ca="1" si="94"/>
        <v>#N/A</v>
      </c>
      <c r="BA76" s="45" t="e">
        <f t="shared" ca="1" si="94"/>
        <v>#N/A</v>
      </c>
      <c r="BB76" s="45" t="e">
        <f t="shared" ca="1" si="94"/>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95">AJ79+1</f>
        <v>2021</v>
      </c>
      <c r="AL79" s="36">
        <f t="shared" si="95"/>
        <v>2022</v>
      </c>
      <c r="AM79" s="36">
        <f t="shared" si="95"/>
        <v>2023</v>
      </c>
      <c r="AN79" s="36">
        <f t="shared" si="95"/>
        <v>2024</v>
      </c>
      <c r="AO79" s="36">
        <f t="shared" si="95"/>
        <v>2025</v>
      </c>
      <c r="AP79" s="36">
        <f t="shared" si="95"/>
        <v>2026</v>
      </c>
      <c r="AQ79" s="36">
        <f t="shared" si="95"/>
        <v>2027</v>
      </c>
      <c r="AR79" s="36">
        <f t="shared" si="95"/>
        <v>2028</v>
      </c>
      <c r="AS79" s="36">
        <f t="shared" si="95"/>
        <v>2029</v>
      </c>
      <c r="AT79" s="36">
        <f t="shared" si="95"/>
        <v>2030</v>
      </c>
      <c r="AU79" s="36">
        <f t="shared" si="95"/>
        <v>2031</v>
      </c>
      <c r="AV79" s="36">
        <f t="shared" si="95"/>
        <v>2032</v>
      </c>
      <c r="AW79" s="36">
        <f t="shared" si="95"/>
        <v>2033</v>
      </c>
      <c r="AX79" s="36">
        <f t="shared" si="95"/>
        <v>2034</v>
      </c>
      <c r="AY79" s="36">
        <f t="shared" si="95"/>
        <v>2035</v>
      </c>
      <c r="AZ79" s="36">
        <f t="shared" si="95"/>
        <v>2036</v>
      </c>
      <c r="BA79" s="36">
        <f t="shared" si="95"/>
        <v>2037</v>
      </c>
      <c r="BB79" s="36">
        <f t="shared" si="95"/>
        <v>2038</v>
      </c>
    </row>
    <row r="80" spans="1:54" x14ac:dyDescent="0.25">
      <c r="AG80" s="1" t="s">
        <v>52</v>
      </c>
      <c r="AH80" s="37">
        <f ca="1">SUM(AH55,AH45)</f>
        <v>77364.766745344765</v>
      </c>
      <c r="AI80" s="37">
        <f ca="1">SUM(AI55,AI45)</f>
        <v>87197.859691478676</v>
      </c>
      <c r="AJ80" s="37">
        <f t="shared" ref="AJ80:BB80" ca="1" si="96">SUM(AJ55,AJ45)</f>
        <v>97651.397000057186</v>
      </c>
      <c r="AK80" s="37">
        <f t="shared" ca="1" si="96"/>
        <v>108615.3606509293</v>
      </c>
      <c r="AL80" s="37">
        <f t="shared" ca="1" si="96"/>
        <v>120251.95849564561</v>
      </c>
      <c r="AM80" s="37">
        <f t="shared" ca="1" si="96"/>
        <v>132574.23156815089</v>
      </c>
      <c r="AN80" s="37">
        <f t="shared" ca="1" si="96"/>
        <v>145589.2090600674</v>
      </c>
      <c r="AO80" s="37">
        <f t="shared" ca="1" si="96"/>
        <v>159309.58058803077</v>
      </c>
      <c r="AP80" s="37">
        <f t="shared" ca="1" si="96"/>
        <v>173637.33282998996</v>
      </c>
      <c r="AQ80" s="37">
        <f t="shared" ca="1" si="96"/>
        <v>188715.25700719276</v>
      </c>
      <c r="AR80" s="37">
        <f t="shared" ca="1" si="96"/>
        <v>204569.25801861531</v>
      </c>
      <c r="AS80" s="37">
        <f t="shared" ca="1" si="96"/>
        <v>221235.18395994298</v>
      </c>
      <c r="AT80" s="37">
        <f t="shared" ca="1" si="96"/>
        <v>238743.57384409982</v>
      </c>
      <c r="AU80" s="37">
        <f t="shared" ca="1" si="96"/>
        <v>256969.51442807962</v>
      </c>
      <c r="AV80" s="37">
        <f t="shared" ca="1" si="96"/>
        <v>276092.92893335241</v>
      </c>
      <c r="AW80" s="37">
        <f t="shared" ca="1" si="96"/>
        <v>296124.16250887176</v>
      </c>
      <c r="AX80" s="37">
        <f t="shared" ca="1" si="96"/>
        <v>317068.53005281743</v>
      </c>
      <c r="AY80" s="37">
        <f t="shared" ca="1" si="96"/>
        <v>338935.38870907144</v>
      </c>
      <c r="AZ80" s="37" t="e">
        <f t="shared" ca="1" si="96"/>
        <v>#N/A</v>
      </c>
      <c r="BA80" s="37" t="e">
        <f t="shared" ca="1" si="96"/>
        <v>#N/A</v>
      </c>
      <c r="BB80" s="37" t="e">
        <f t="shared" ca="1" si="96"/>
        <v>#N/A</v>
      </c>
    </row>
    <row r="81" spans="12:54" x14ac:dyDescent="0.25">
      <c r="AG81" s="1" t="s">
        <v>54</v>
      </c>
      <c r="AH81" s="37">
        <f ca="1">SUM(AH56,AH46,AH50,AH60)</f>
        <v>11578.020153427071</v>
      </c>
      <c r="AI81" s="37">
        <f ca="1">SUM(AI56,AI46,AI50,AI60)</f>
        <v>10458.308906330043</v>
      </c>
      <c r="AJ81" s="37">
        <f t="shared" ref="AJ81:BB81" ca="1" si="97">SUM(AJ56,AJ46,AJ50,AJ60)</f>
        <v>9717.2998083093371</v>
      </c>
      <c r="AK81" s="37">
        <f t="shared" ca="1" si="97"/>
        <v>8891.1432032780522</v>
      </c>
      <c r="AL81" s="37">
        <f t="shared" ca="1" si="97"/>
        <v>7991.2610899561323</v>
      </c>
      <c r="AM81" s="37">
        <f t="shared" ca="1" si="97"/>
        <v>7594.464832515594</v>
      </c>
      <c r="AN81" s="37">
        <f t="shared" ca="1" si="97"/>
        <v>7155.7377672261882</v>
      </c>
      <c r="AO81" s="37">
        <f t="shared" ca="1" si="97"/>
        <v>6672.6929142450053</v>
      </c>
      <c r="AP81" s="37">
        <f t="shared" ca="1" si="97"/>
        <v>6139.2899588873133</v>
      </c>
      <c r="AQ81" s="37">
        <f t="shared" ca="1" si="97"/>
        <v>5620.3098206087079</v>
      </c>
      <c r="AR81" s="37">
        <f t="shared" ca="1" si="97"/>
        <v>5185.4536187911535</v>
      </c>
      <c r="AS81" s="37">
        <f t="shared" ca="1" si="97"/>
        <v>5131.1950851505308</v>
      </c>
      <c r="AT81" s="37">
        <f t="shared" ca="1" si="97"/>
        <v>5138.0564832686669</v>
      </c>
      <c r="AU81" s="37">
        <f t="shared" ca="1" si="97"/>
        <v>5135.3791894322649</v>
      </c>
      <c r="AV81" s="37">
        <f t="shared" ca="1" si="97"/>
        <v>5126.238641733763</v>
      </c>
      <c r="AW81" s="37">
        <f t="shared" ca="1" si="97"/>
        <v>5109.8801048165433</v>
      </c>
      <c r="AX81" s="37">
        <f t="shared" ca="1" si="97"/>
        <v>5085.5525121997161</v>
      </c>
      <c r="AY81" s="37">
        <f t="shared" ca="1" si="97"/>
        <v>5052.6574937136393</v>
      </c>
      <c r="AZ81" s="37" t="e">
        <f t="shared" ca="1" si="97"/>
        <v>#N/A</v>
      </c>
      <c r="BA81" s="37" t="e">
        <f t="shared" ca="1" si="97"/>
        <v>#N/A</v>
      </c>
      <c r="BB81" s="37" t="e">
        <f t="shared" ca="1" si="97"/>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43353.731326168083</v>
      </c>
      <c r="AI82" s="39">
        <f ca="1">SUM(AI57,AI47)+SUM(AI48,AI58)*AI67</f>
        <v>45838.194118098167</v>
      </c>
      <c r="AJ82" s="39">
        <f t="shared" ref="AJ82:BB82" ca="1" si="98">SUM(AJ57,AJ47)+SUM(AJ48,AJ58)*AJ67</f>
        <v>43351.013010512143</v>
      </c>
      <c r="AK82" s="39">
        <f t="shared" ca="1" si="98"/>
        <v>40418.726173521092</v>
      </c>
      <c r="AL82" s="39">
        <f t="shared" ca="1" si="98"/>
        <v>37080.402832622131</v>
      </c>
      <c r="AM82" s="39">
        <f t="shared" ca="1" si="98"/>
        <v>33299.996733027074</v>
      </c>
      <c r="AN82" s="39">
        <f t="shared" ca="1" si="98"/>
        <v>29042.502533060277</v>
      </c>
      <c r="AO82" s="39">
        <f t="shared" ca="1" si="98"/>
        <v>24276.431116844029</v>
      </c>
      <c r="AP82" s="39">
        <f t="shared" ca="1" si="98"/>
        <v>18959.146814200423</v>
      </c>
      <c r="AQ82" s="39">
        <f t="shared" ca="1" si="98"/>
        <v>13082.967114871397</v>
      </c>
      <c r="AR82" s="39">
        <f t="shared" ca="1" si="98"/>
        <v>6615.6385323339373</v>
      </c>
      <c r="AS82" s="39">
        <f t="shared" ca="1" si="98"/>
        <v>7241.9590593237199</v>
      </c>
      <c r="AT82" s="39">
        <f t="shared" ca="1" si="98"/>
        <v>7901.4005929639252</v>
      </c>
      <c r="AU82" s="39">
        <f t="shared" ca="1" si="98"/>
        <v>8589.9914254840387</v>
      </c>
      <c r="AV82" s="39">
        <f t="shared" ca="1" si="98"/>
        <v>9313.8585211871396</v>
      </c>
      <c r="AW82" s="39">
        <f t="shared" ca="1" si="98"/>
        <v>10073.555587337629</v>
      </c>
      <c r="AX82" s="39">
        <f t="shared" ca="1" si="98"/>
        <v>10869.445650730588</v>
      </c>
      <c r="AY82" s="39">
        <f t="shared" ca="1" si="98"/>
        <v>11702.011313337687</v>
      </c>
      <c r="AZ82" s="39" t="e">
        <f t="shared" ca="1" si="98"/>
        <v>#N/A</v>
      </c>
      <c r="BA82" s="39" t="e">
        <f t="shared" ca="1" si="98"/>
        <v>#N/A</v>
      </c>
      <c r="BB82" s="39" t="e">
        <f t="shared" ca="1" si="98"/>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6414.4942922340633</v>
      </c>
      <c r="AI83" s="37">
        <f ca="1">SUM(AI59,AI49)</f>
        <v>124.72996529810563</v>
      </c>
      <c r="AJ83" s="37">
        <f t="shared" ref="AJ83:BB83" ca="1" si="99">SUM(AJ59,AJ49)</f>
        <v>86.33206939519863</v>
      </c>
      <c r="AK83" s="37">
        <f t="shared" ca="1" si="99"/>
        <v>44.74968557906471</v>
      </c>
      <c r="AL83" s="37">
        <f t="shared" ca="1" si="99"/>
        <v>0</v>
      </c>
      <c r="AM83" s="37">
        <f t="shared" ca="1" si="99"/>
        <v>0</v>
      </c>
      <c r="AN83" s="37">
        <f t="shared" ca="1" si="99"/>
        <v>0</v>
      </c>
      <c r="AO83" s="37">
        <f t="shared" ca="1" si="99"/>
        <v>0</v>
      </c>
      <c r="AP83" s="37">
        <f t="shared" ca="1" si="99"/>
        <v>0</v>
      </c>
      <c r="AQ83" s="37">
        <f t="shared" ca="1" si="99"/>
        <v>0</v>
      </c>
      <c r="AR83" s="37">
        <f t="shared" ca="1" si="99"/>
        <v>0</v>
      </c>
      <c r="AS83" s="37">
        <f t="shared" ca="1" si="99"/>
        <v>0</v>
      </c>
      <c r="AT83" s="37">
        <f t="shared" ca="1" si="99"/>
        <v>0</v>
      </c>
      <c r="AU83" s="37">
        <f t="shared" ca="1" si="99"/>
        <v>0</v>
      </c>
      <c r="AV83" s="37">
        <f t="shared" ca="1" si="99"/>
        <v>0</v>
      </c>
      <c r="AW83" s="37">
        <f t="shared" ca="1" si="99"/>
        <v>0</v>
      </c>
      <c r="AX83" s="37">
        <f t="shared" ca="1" si="99"/>
        <v>0</v>
      </c>
      <c r="AY83" s="37">
        <f t="shared" ca="1" si="99"/>
        <v>0</v>
      </c>
      <c r="AZ83" s="37" t="e">
        <f t="shared" ca="1" si="99"/>
        <v>#N/A</v>
      </c>
      <c r="BA83" s="37" t="e">
        <f t="shared" ca="1" si="99"/>
        <v>#N/A</v>
      </c>
      <c r="BB83" s="37" t="e">
        <f t="shared" ca="1" si="99"/>
        <v>#N/A</v>
      </c>
    </row>
    <row r="84" spans="12:54" x14ac:dyDescent="0.25">
      <c r="AG84" s="1" t="s">
        <v>59</v>
      </c>
      <c r="AH84" s="37">
        <f ca="1">SUM(AH48,AH58)*(1-AH67)</f>
        <v>4604.9020912023543</v>
      </c>
      <c r="AI84" s="37">
        <f ca="1">SUM(AI48,AI58)*(1-AI67)</f>
        <v>4841.3171313398143</v>
      </c>
      <c r="AJ84" s="37">
        <f t="shared" ref="AJ84:BB84" ca="1" si="100">SUM(AJ48,AJ58)*(1-AJ67)</f>
        <v>10175.978504322355</v>
      </c>
      <c r="AK84" s="37">
        <f t="shared" ca="1" si="100"/>
        <v>16015.542525531133</v>
      </c>
      <c r="AL84" s="37">
        <f t="shared" ca="1" si="100"/>
        <v>22402.215957480032</v>
      </c>
      <c r="AM84" s="37">
        <f t="shared" ca="1" si="100"/>
        <v>29368.32105413753</v>
      </c>
      <c r="AN84" s="37">
        <f t="shared" ca="1" si="100"/>
        <v>36943.631655144112</v>
      </c>
      <c r="AO84" s="37">
        <f t="shared" ca="1" si="100"/>
        <v>45158.18264781397</v>
      </c>
      <c r="AP84" s="37">
        <f t="shared" ca="1" si="100"/>
        <v>54007.259700836788</v>
      </c>
      <c r="AQ84" s="37">
        <f t="shared" ca="1" si="100"/>
        <v>63555.711877916816</v>
      </c>
      <c r="AR84" s="37">
        <f t="shared" ca="1" si="100"/>
        <v>73839.820444229365</v>
      </c>
      <c r="AS84" s="37">
        <f t="shared" ca="1" si="100"/>
        <v>77182.483378104575</v>
      </c>
      <c r="AT84" s="37">
        <f t="shared" ca="1" si="100"/>
        <v>80896.218025004142</v>
      </c>
      <c r="AU84" s="37">
        <f t="shared" ca="1" si="100"/>
        <v>86708.825202921449</v>
      </c>
      <c r="AV84" s="37">
        <f t="shared" ca="1" si="100"/>
        <v>92801.833084841317</v>
      </c>
      <c r="AW84" s="37">
        <f t="shared" ca="1" si="100"/>
        <v>99177.848422943149</v>
      </c>
      <c r="AX84" s="37">
        <f t="shared" ca="1" si="100"/>
        <v>105837.87641837785</v>
      </c>
      <c r="AY84" s="37">
        <f t="shared" ca="1" si="100"/>
        <v>112784.35236020366</v>
      </c>
      <c r="AZ84" s="37" t="e">
        <f t="shared" ca="1" si="100"/>
        <v>#N/A</v>
      </c>
      <c r="BA84" s="37" t="e">
        <f t="shared" ca="1" si="100"/>
        <v>#N/A</v>
      </c>
      <c r="BB84" s="37" t="e">
        <f t="shared" ca="1" si="100"/>
        <v>#N/A</v>
      </c>
    </row>
    <row r="85" spans="12:54" x14ac:dyDescent="0.25">
      <c r="AG85" s="12" t="s">
        <v>60</v>
      </c>
      <c r="AH85" s="45">
        <f ca="1">SUM(AH80:AH84)</f>
        <v>143315.91460837636</v>
      </c>
      <c r="AI85" s="45">
        <f ca="1">SUM(AI80:AI84)</f>
        <v>148460.40981254479</v>
      </c>
      <c r="AJ85" s="45">
        <f t="shared" ref="AJ85:BB85" ca="1" si="101">SUM(AJ80:AJ84)</f>
        <v>160982.02039259623</v>
      </c>
      <c r="AK85" s="45">
        <f t="shared" ca="1" si="101"/>
        <v>173985.52223883866</v>
      </c>
      <c r="AL85" s="45">
        <f t="shared" ca="1" si="101"/>
        <v>187725.8383757039</v>
      </c>
      <c r="AM85" s="45">
        <f t="shared" ca="1" si="101"/>
        <v>202837.01418783108</v>
      </c>
      <c r="AN85" s="45">
        <f t="shared" ca="1" si="101"/>
        <v>218731.08101549797</v>
      </c>
      <c r="AO85" s="45">
        <f t="shared" ca="1" si="101"/>
        <v>235416.8872669338</v>
      </c>
      <c r="AP85" s="45">
        <f t="shared" ca="1" si="101"/>
        <v>252743.02930391449</v>
      </c>
      <c r="AQ85" s="45">
        <f t="shared" ca="1" si="101"/>
        <v>270974.24582058965</v>
      </c>
      <c r="AR85" s="45">
        <f t="shared" ca="1" si="101"/>
        <v>290210.17061396979</v>
      </c>
      <c r="AS85" s="45">
        <f t="shared" ca="1" si="101"/>
        <v>310790.82148252183</v>
      </c>
      <c r="AT85" s="45">
        <f t="shared" ca="1" si="101"/>
        <v>332679.24894533656</v>
      </c>
      <c r="AU85" s="45">
        <f t="shared" ca="1" si="101"/>
        <v>357403.71024591738</v>
      </c>
      <c r="AV85" s="45">
        <f t="shared" ca="1" si="101"/>
        <v>383334.85918111465</v>
      </c>
      <c r="AW85" s="45">
        <f t="shared" ca="1" si="101"/>
        <v>410485.44662396907</v>
      </c>
      <c r="AX85" s="45">
        <f t="shared" ca="1" si="101"/>
        <v>438861.40463412559</v>
      </c>
      <c r="AY85" s="45">
        <f t="shared" ca="1" si="101"/>
        <v>468474.40987632645</v>
      </c>
      <c r="AZ85" s="45" t="e">
        <f t="shared" ca="1" si="101"/>
        <v>#N/A</v>
      </c>
      <c r="BA85" s="45" t="e">
        <f t="shared" ca="1" si="101"/>
        <v>#N/A</v>
      </c>
      <c r="BB85" s="45" t="e">
        <f t="shared" ca="1" si="101"/>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185</v>
      </c>
      <c r="AH87" s="6"/>
    </row>
    <row r="88" spans="12:54" x14ac:dyDescent="0.25">
      <c r="AF88" s="6" t="s">
        <v>178</v>
      </c>
      <c r="AG88" s="38"/>
      <c r="AH88" s="36">
        <f>AI88-1</f>
        <v>2018</v>
      </c>
      <c r="AI88" s="36">
        <f>Yr_Start</f>
        <v>2019</v>
      </c>
      <c r="AJ88" s="36">
        <f>AI88+1</f>
        <v>2020</v>
      </c>
      <c r="AK88" s="36">
        <f t="shared" ref="AK88:BB88" si="102">AJ88+1</f>
        <v>2021</v>
      </c>
      <c r="AL88" s="36">
        <f t="shared" si="102"/>
        <v>2022</v>
      </c>
      <c r="AM88" s="36">
        <f t="shared" si="102"/>
        <v>2023</v>
      </c>
      <c r="AN88" s="36">
        <f t="shared" si="102"/>
        <v>2024</v>
      </c>
      <c r="AO88" s="36">
        <f t="shared" si="102"/>
        <v>2025</v>
      </c>
      <c r="AP88" s="36">
        <f t="shared" si="102"/>
        <v>2026</v>
      </c>
      <c r="AQ88" s="36">
        <f t="shared" si="102"/>
        <v>2027</v>
      </c>
      <c r="AR88" s="36">
        <f t="shared" si="102"/>
        <v>2028</v>
      </c>
      <c r="AS88" s="36">
        <f t="shared" si="102"/>
        <v>2029</v>
      </c>
      <c r="AT88" s="36">
        <f t="shared" si="102"/>
        <v>2030</v>
      </c>
      <c r="AU88" s="36">
        <f t="shared" si="102"/>
        <v>2031</v>
      </c>
      <c r="AV88" s="36">
        <f t="shared" si="102"/>
        <v>2032</v>
      </c>
      <c r="AW88" s="36">
        <f t="shared" si="102"/>
        <v>2033</v>
      </c>
      <c r="AX88" s="36">
        <f t="shared" si="102"/>
        <v>2034</v>
      </c>
      <c r="AY88" s="36">
        <f t="shared" si="102"/>
        <v>2035</v>
      </c>
      <c r="AZ88" s="36">
        <f t="shared" si="102"/>
        <v>2036</v>
      </c>
      <c r="BA88" s="36">
        <f t="shared" si="102"/>
        <v>2037</v>
      </c>
      <c r="BB88" s="36">
        <f t="shared" si="102"/>
        <v>2038</v>
      </c>
    </row>
    <row r="89" spans="12:54" x14ac:dyDescent="0.25">
      <c r="AG89" s="1" t="s">
        <v>52</v>
      </c>
      <c r="AH89" s="1"/>
      <c r="AI89" s="39">
        <f ca="1">AI71*98</f>
        <v>7430331.6508083716</v>
      </c>
      <c r="AJ89" s="39">
        <f t="shared" ref="AJ89:BB93" ca="1" si="103">AJ71*98</f>
        <v>7560960.3486698596</v>
      </c>
      <c r="AK89" s="39">
        <f t="shared" ca="1" si="103"/>
        <v>7679308.3861442842</v>
      </c>
      <c r="AL89" s="39">
        <f t="shared" ca="1" si="103"/>
        <v>7796136.8388206651</v>
      </c>
      <c r="AM89" s="39">
        <f t="shared" ca="1" si="103"/>
        <v>7909895.2877281616</v>
      </c>
      <c r="AN89" s="39">
        <f t="shared" ca="1" si="103"/>
        <v>8018988.8216009066</v>
      </c>
      <c r="AO89" s="39">
        <f t="shared" ca="1" si="103"/>
        <v>8122419.6436165245</v>
      </c>
      <c r="AP89" s="39">
        <f t="shared" ca="1" si="103"/>
        <v>8261532.4457097976</v>
      </c>
      <c r="AQ89" s="39">
        <f t="shared" ca="1" si="103"/>
        <v>8487643.6917703338</v>
      </c>
      <c r="AR89" s="39">
        <f t="shared" ca="1" si="103"/>
        <v>8717184.5158596784</v>
      </c>
      <c r="AS89" s="39">
        <f t="shared" ca="1" si="103"/>
        <v>8950501.6301428024</v>
      </c>
      <c r="AT89" s="39">
        <f t="shared" ca="1" si="103"/>
        <v>9187640.5731957704</v>
      </c>
      <c r="AU89" s="39">
        <f t="shared" ca="1" si="103"/>
        <v>9422907.8036986422</v>
      </c>
      <c r="AV89" s="39">
        <f t="shared" ca="1" si="103"/>
        <v>9662286.9771714006</v>
      </c>
      <c r="AW89" s="39">
        <f t="shared" ca="1" si="103"/>
        <v>9905022.6109540537</v>
      </c>
      <c r="AX89" s="39">
        <f t="shared" ca="1" si="103"/>
        <v>10150297.748270568</v>
      </c>
      <c r="AY89" s="39">
        <f t="shared" ca="1" si="103"/>
        <v>10397528.539701313</v>
      </c>
      <c r="AZ89" s="39" t="e">
        <f t="shared" ca="1" si="103"/>
        <v>#N/A</v>
      </c>
      <c r="BA89" s="39" t="e">
        <f t="shared" ca="1" si="103"/>
        <v>#N/A</v>
      </c>
      <c r="BB89" s="39" t="e">
        <f t="shared" ca="1" si="103"/>
        <v>#N/A</v>
      </c>
    </row>
    <row r="90" spans="12:54" x14ac:dyDescent="0.25">
      <c r="AG90" s="1" t="s">
        <v>54</v>
      </c>
      <c r="AH90" s="1"/>
      <c r="AI90" s="39">
        <f t="shared" ref="AI90:AX93" ca="1" si="104">AI72*98</f>
        <v>1597372.2988777671</v>
      </c>
      <c r="AJ90" s="39">
        <f t="shared" ca="1" si="104"/>
        <v>1481117.2355624086</v>
      </c>
      <c r="AK90" s="39">
        <f t="shared" ca="1" si="104"/>
        <v>1351631.3243005851</v>
      </c>
      <c r="AL90" s="39">
        <f t="shared" ca="1" si="104"/>
        <v>1210646.7440444368</v>
      </c>
      <c r="AM90" s="39">
        <f t="shared" ca="1" si="104"/>
        <v>1059119.9096492163</v>
      </c>
      <c r="AN90" s="39">
        <f t="shared" ca="1" si="104"/>
        <v>904138.7482587985</v>
      </c>
      <c r="AO90" s="39">
        <f t="shared" ca="1" si="104"/>
        <v>798722.10628705844</v>
      </c>
      <c r="AP90" s="39">
        <f t="shared" ca="1" si="104"/>
        <v>686827.66690691246</v>
      </c>
      <c r="AQ90" s="39">
        <f t="shared" ca="1" si="104"/>
        <v>569249.86567804741</v>
      </c>
      <c r="AR90" s="39">
        <f t="shared" ca="1" si="104"/>
        <v>530661.32904717256</v>
      </c>
      <c r="AS90" s="39">
        <f t="shared" ca="1" si="104"/>
        <v>508716.39414697961</v>
      </c>
      <c r="AT90" s="39">
        <f t="shared" ca="1" si="104"/>
        <v>515652.55694690585</v>
      </c>
      <c r="AU90" s="39">
        <f t="shared" ca="1" si="104"/>
        <v>522053.30526571703</v>
      </c>
      <c r="AV90" s="39">
        <f t="shared" ca="1" si="104"/>
        <v>528240.74359902367</v>
      </c>
      <c r="AW90" s="39">
        <f t="shared" ca="1" si="104"/>
        <v>534155.63302972761</v>
      </c>
      <c r="AX90" s="39">
        <f t="shared" ca="1" si="104"/>
        <v>539737.21264035162</v>
      </c>
      <c r="AY90" s="39">
        <f t="shared" ca="1" si="103"/>
        <v>544938.93645416794</v>
      </c>
      <c r="AZ90" s="39" t="e">
        <f t="shared" ca="1" si="103"/>
        <v>#N/A</v>
      </c>
      <c r="BA90" s="39" t="e">
        <f t="shared" ca="1" si="103"/>
        <v>#N/A</v>
      </c>
      <c r="BB90" s="39" t="e">
        <f t="shared" ca="1" si="103"/>
        <v>#N/A</v>
      </c>
    </row>
    <row r="91" spans="12:54" x14ac:dyDescent="0.25">
      <c r="AG91" s="1" t="s">
        <v>56</v>
      </c>
      <c r="AH91" s="1"/>
      <c r="AI91" s="39">
        <f t="shared" ca="1" si="104"/>
        <v>8543822.4442925062</v>
      </c>
      <c r="AJ91" s="39">
        <f t="shared" ca="1" si="103"/>
        <v>8815291.6277649365</v>
      </c>
      <c r="AK91" s="39">
        <f t="shared" ca="1" si="103"/>
        <v>8844355.4568700418</v>
      </c>
      <c r="AL91" s="39">
        <f t="shared" ca="1" si="103"/>
        <v>8617773.6621057391</v>
      </c>
      <c r="AM91" s="39">
        <f t="shared" ca="1" si="103"/>
        <v>8106423.4716097871</v>
      </c>
      <c r="AN91" s="39">
        <f t="shared" ca="1" si="103"/>
        <v>7279735.6900569303</v>
      </c>
      <c r="AO91" s="39">
        <f t="shared" ca="1" si="103"/>
        <v>6106575.1350650555</v>
      </c>
      <c r="AP91" s="39">
        <f t="shared" ca="1" si="103"/>
        <v>4551931.2397576617</v>
      </c>
      <c r="AQ91" s="39">
        <f t="shared" ca="1" si="103"/>
        <v>2588695.5906010093</v>
      </c>
      <c r="AR91" s="39">
        <f t="shared" ca="1" si="103"/>
        <v>182291.36349046617</v>
      </c>
      <c r="AS91" s="39">
        <f t="shared" ca="1" si="103"/>
        <v>172700.731873582</v>
      </c>
      <c r="AT91" s="39">
        <f t="shared" ca="1" si="103"/>
        <v>162216.66468655641</v>
      </c>
      <c r="AU91" s="39">
        <f t="shared" ca="1" si="103"/>
        <v>150708.85200958021</v>
      </c>
      <c r="AV91" s="39">
        <f t="shared" ca="1" si="103"/>
        <v>138251.34454206243</v>
      </c>
      <c r="AW91" s="39">
        <f t="shared" ca="1" si="103"/>
        <v>124792.04307651667</v>
      </c>
      <c r="AX91" s="39">
        <f t="shared" ca="1" si="103"/>
        <v>110282.20174681007</v>
      </c>
      <c r="AY91" s="39">
        <f t="shared" ca="1" si="103"/>
        <v>94679.796017275992</v>
      </c>
      <c r="AZ91" s="39" t="e">
        <f t="shared" ca="1" si="103"/>
        <v>#N/A</v>
      </c>
      <c r="BA91" s="39" t="e">
        <f t="shared" ca="1" si="103"/>
        <v>#N/A</v>
      </c>
      <c r="BB91" s="39" t="e">
        <f t="shared" ca="1" si="103"/>
        <v>#N/A</v>
      </c>
    </row>
    <row r="92" spans="12:54" x14ac:dyDescent="0.25">
      <c r="AG92" s="1" t="s">
        <v>57</v>
      </c>
      <c r="AH92" s="1"/>
      <c r="AI92" s="39">
        <f t="shared" ca="1" si="104"/>
        <v>422131.8210478343</v>
      </c>
      <c r="AJ92" s="39">
        <f t="shared" ca="1" si="103"/>
        <v>292179.29774551699</v>
      </c>
      <c r="AK92" s="39">
        <f t="shared" ca="1" si="103"/>
        <v>151449.30265682921</v>
      </c>
      <c r="AL92" s="39">
        <f t="shared" ca="1" si="103"/>
        <v>3.1604649424739429E-11</v>
      </c>
      <c r="AM92" s="39">
        <f t="shared" ca="1" si="103"/>
        <v>0</v>
      </c>
      <c r="AN92" s="39">
        <f t="shared" ca="1" si="103"/>
        <v>0</v>
      </c>
      <c r="AO92" s="39">
        <f t="shared" ca="1" si="103"/>
        <v>0</v>
      </c>
      <c r="AP92" s="39">
        <f t="shared" ca="1" si="103"/>
        <v>0</v>
      </c>
      <c r="AQ92" s="39">
        <f t="shared" ca="1" si="103"/>
        <v>0</v>
      </c>
      <c r="AR92" s="39">
        <f t="shared" ca="1" si="103"/>
        <v>0</v>
      </c>
      <c r="AS92" s="39">
        <f t="shared" ca="1" si="103"/>
        <v>0</v>
      </c>
      <c r="AT92" s="39">
        <f t="shared" ca="1" si="103"/>
        <v>0</v>
      </c>
      <c r="AU92" s="39">
        <f t="shared" ca="1" si="103"/>
        <v>0</v>
      </c>
      <c r="AV92" s="39">
        <f t="shared" ca="1" si="103"/>
        <v>0</v>
      </c>
      <c r="AW92" s="39">
        <f t="shared" ca="1" si="103"/>
        <v>0</v>
      </c>
      <c r="AX92" s="39">
        <f t="shared" ca="1" si="103"/>
        <v>0</v>
      </c>
      <c r="AY92" s="39">
        <f t="shared" ca="1" si="103"/>
        <v>0</v>
      </c>
      <c r="AZ92" s="39" t="e">
        <f t="shared" ca="1" si="103"/>
        <v>#N/A</v>
      </c>
      <c r="BA92" s="39" t="e">
        <f t="shared" ca="1" si="103"/>
        <v>#N/A</v>
      </c>
      <c r="BB92" s="39" t="e">
        <f t="shared" ca="1" si="103"/>
        <v>#N/A</v>
      </c>
    </row>
    <row r="93" spans="12:54" x14ac:dyDescent="0.25">
      <c r="AG93" s="1" t="s">
        <v>59</v>
      </c>
      <c r="AH93" s="1"/>
      <c r="AI93" s="39">
        <f t="shared" ca="1" si="104"/>
        <v>923470.04213158414</v>
      </c>
      <c r="AJ93" s="39">
        <f t="shared" ca="1" si="103"/>
        <v>2146332.8140609628</v>
      </c>
      <c r="AK93" s="39">
        <f t="shared" ca="1" si="103"/>
        <v>3693387.5728733083</v>
      </c>
      <c r="AL93" s="39">
        <f t="shared" ca="1" si="103"/>
        <v>5596933.0403817678</v>
      </c>
      <c r="AM93" s="39">
        <f t="shared" ca="1" si="103"/>
        <v>7888766.2219695579</v>
      </c>
      <c r="AN93" s="39">
        <f t="shared" ca="1" si="103"/>
        <v>10601256.6725074</v>
      </c>
      <c r="AO93" s="39">
        <f t="shared" ca="1" si="103"/>
        <v>13767900.238788493</v>
      </c>
      <c r="AP93" s="39">
        <f t="shared" ca="1" si="103"/>
        <v>17411995.510364722</v>
      </c>
      <c r="AQ93" s="39">
        <f t="shared" ca="1" si="103"/>
        <v>21579028.897610176</v>
      </c>
      <c r="AR93" s="39">
        <f t="shared" ca="1" si="103"/>
        <v>26307617.475115221</v>
      </c>
      <c r="AS93" s="39">
        <f t="shared" ca="1" si="103"/>
        <v>28763133.859219775</v>
      </c>
      <c r="AT93" s="39">
        <f t="shared" ca="1" si="103"/>
        <v>31347997.626557872</v>
      </c>
      <c r="AU93" s="39">
        <f t="shared" ca="1" si="103"/>
        <v>34046387.67915763</v>
      </c>
      <c r="AV93" s="39">
        <f t="shared" ca="1" si="103"/>
        <v>36882544.48861593</v>
      </c>
      <c r="AW93" s="39">
        <f t="shared" ca="1" si="103"/>
        <v>39858581.865782291</v>
      </c>
      <c r="AX93" s="39">
        <f t="shared" ca="1" si="103"/>
        <v>42975866.617287256</v>
      </c>
      <c r="AY93" s="39">
        <f t="shared" ca="1" si="103"/>
        <v>46236245.529257916</v>
      </c>
      <c r="AZ93" s="39" t="e">
        <f t="shared" ca="1" si="103"/>
        <v>#N/A</v>
      </c>
      <c r="BA93" s="39" t="e">
        <f t="shared" ca="1" si="103"/>
        <v>#N/A</v>
      </c>
      <c r="BB93" s="39" t="e">
        <f t="shared" ca="1" si="103"/>
        <v>#N/A</v>
      </c>
    </row>
    <row r="94" spans="12:54" x14ac:dyDescent="0.25">
      <c r="AG94" s="12" t="s">
        <v>60</v>
      </c>
      <c r="AH94" s="12"/>
      <c r="AI94" s="45">
        <f ca="1">SUM(AI89:AI93)</f>
        <v>18917128.257158063</v>
      </c>
      <c r="AJ94" s="45">
        <f ca="1">SUM(AJ89:AJ93)</f>
        <v>20295881.323803686</v>
      </c>
      <c r="AK94" s="45">
        <f t="shared" ref="AK94:BB94" ca="1" si="105">SUM(AK89:AK93)</f>
        <v>21720132.042845048</v>
      </c>
      <c r="AL94" s="45">
        <f t="shared" ca="1" si="105"/>
        <v>23221490.28535261</v>
      </c>
      <c r="AM94" s="45">
        <f t="shared" ca="1" si="105"/>
        <v>24964204.890956722</v>
      </c>
      <c r="AN94" s="45">
        <f t="shared" ca="1" si="105"/>
        <v>26804119.932424039</v>
      </c>
      <c r="AO94" s="45">
        <f t="shared" ca="1" si="105"/>
        <v>28795617.123757131</v>
      </c>
      <c r="AP94" s="45">
        <f t="shared" ca="1" si="105"/>
        <v>30912286.862739094</v>
      </c>
      <c r="AQ94" s="45">
        <f t="shared" ca="1" si="105"/>
        <v>33224618.045659568</v>
      </c>
      <c r="AR94" s="45">
        <f t="shared" ca="1" si="105"/>
        <v>35737754.683512539</v>
      </c>
      <c r="AS94" s="45">
        <f t="shared" ca="1" si="105"/>
        <v>38395052.615383133</v>
      </c>
      <c r="AT94" s="45">
        <f t="shared" ca="1" si="105"/>
        <v>41213507.421387106</v>
      </c>
      <c r="AU94" s="45">
        <f t="shared" ca="1" si="105"/>
        <v>44142057.64013157</v>
      </c>
      <c r="AV94" s="45">
        <f t="shared" ca="1" si="105"/>
        <v>47211323.55392842</v>
      </c>
      <c r="AW94" s="45">
        <f t="shared" ca="1" si="105"/>
        <v>50422552.152842589</v>
      </c>
      <c r="AX94" s="45">
        <f t="shared" ca="1" si="105"/>
        <v>53776183.779944986</v>
      </c>
      <c r="AY94" s="45">
        <f t="shared" ca="1" si="105"/>
        <v>57273392.801430672</v>
      </c>
      <c r="AZ94" s="45" t="e">
        <f t="shared" ca="1" si="105"/>
        <v>#N/A</v>
      </c>
      <c r="BA94" s="45" t="e">
        <f t="shared" ca="1" si="105"/>
        <v>#N/A</v>
      </c>
      <c r="BB94" s="45" t="e">
        <f t="shared" ca="1" si="105"/>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185</v>
      </c>
      <c r="AH96" s="6"/>
    </row>
    <row r="97" spans="32:54" x14ac:dyDescent="0.25">
      <c r="AF97" s="6" t="s">
        <v>178</v>
      </c>
      <c r="AG97" s="38"/>
      <c r="AH97" s="36">
        <f>AI97-1</f>
        <v>2018</v>
      </c>
      <c r="AI97" s="36">
        <f>Yr_Start</f>
        <v>2019</v>
      </c>
      <c r="AJ97" s="36">
        <f>AI97+1</f>
        <v>2020</v>
      </c>
      <c r="AK97" s="36">
        <f t="shared" ref="AK97:BB97" si="106">AJ97+1</f>
        <v>2021</v>
      </c>
      <c r="AL97" s="36">
        <f t="shared" si="106"/>
        <v>2022</v>
      </c>
      <c r="AM97" s="36">
        <f t="shared" si="106"/>
        <v>2023</v>
      </c>
      <c r="AN97" s="36">
        <f t="shared" si="106"/>
        <v>2024</v>
      </c>
      <c r="AO97" s="36">
        <f t="shared" si="106"/>
        <v>2025</v>
      </c>
      <c r="AP97" s="36">
        <f t="shared" si="106"/>
        <v>2026</v>
      </c>
      <c r="AQ97" s="36">
        <f t="shared" si="106"/>
        <v>2027</v>
      </c>
      <c r="AR97" s="36">
        <f t="shared" si="106"/>
        <v>2028</v>
      </c>
      <c r="AS97" s="36">
        <f t="shared" si="106"/>
        <v>2029</v>
      </c>
      <c r="AT97" s="36">
        <f t="shared" si="106"/>
        <v>2030</v>
      </c>
      <c r="AU97" s="36">
        <f t="shared" si="106"/>
        <v>2031</v>
      </c>
      <c r="AV97" s="36">
        <f t="shared" si="106"/>
        <v>2032</v>
      </c>
      <c r="AW97" s="36">
        <f t="shared" si="106"/>
        <v>2033</v>
      </c>
      <c r="AX97" s="36">
        <f t="shared" si="106"/>
        <v>2034</v>
      </c>
      <c r="AY97" s="36">
        <f t="shared" si="106"/>
        <v>2035</v>
      </c>
      <c r="AZ97" s="36">
        <f t="shared" si="106"/>
        <v>2036</v>
      </c>
      <c r="BA97" s="36">
        <f t="shared" si="106"/>
        <v>2037</v>
      </c>
      <c r="BB97" s="36">
        <f t="shared" si="106"/>
        <v>2038</v>
      </c>
    </row>
    <row r="98" spans="32:54" x14ac:dyDescent="0.25">
      <c r="AG98" s="1" t="s">
        <v>52</v>
      </c>
      <c r="AH98" s="1"/>
      <c r="AI98" s="39">
        <f ca="1">AI80*98</f>
        <v>8545390.24976491</v>
      </c>
      <c r="AJ98" s="39">
        <f t="shared" ref="AJ98:BB102" ca="1" si="107">AJ80*98</f>
        <v>9569836.9060056042</v>
      </c>
      <c r="AK98" s="39">
        <f t="shared" ca="1" si="107"/>
        <v>10644305.343791071</v>
      </c>
      <c r="AL98" s="39">
        <f t="shared" ca="1" si="107"/>
        <v>11784691.93257327</v>
      </c>
      <c r="AM98" s="39">
        <f t="shared" ca="1" si="107"/>
        <v>12992274.693678787</v>
      </c>
      <c r="AN98" s="39">
        <f t="shared" ca="1" si="107"/>
        <v>14267742.487886606</v>
      </c>
      <c r="AO98" s="39">
        <f t="shared" ca="1" si="107"/>
        <v>15612338.897627017</v>
      </c>
      <c r="AP98" s="39">
        <f t="shared" ca="1" si="107"/>
        <v>17016458.617339015</v>
      </c>
      <c r="AQ98" s="39">
        <f t="shared" ca="1" si="107"/>
        <v>18494095.186704889</v>
      </c>
      <c r="AR98" s="39">
        <f t="shared" ca="1" si="107"/>
        <v>20047787.285824299</v>
      </c>
      <c r="AS98" s="39">
        <f t="shared" ca="1" si="107"/>
        <v>21681048.028074414</v>
      </c>
      <c r="AT98" s="39">
        <f t="shared" ca="1" si="107"/>
        <v>23396870.236721784</v>
      </c>
      <c r="AU98" s="39">
        <f t="shared" ca="1" si="107"/>
        <v>25183012.413951803</v>
      </c>
      <c r="AV98" s="39">
        <f t="shared" ca="1" si="107"/>
        <v>27057107.035468537</v>
      </c>
      <c r="AW98" s="39">
        <f t="shared" ca="1" si="107"/>
        <v>29020167.925869431</v>
      </c>
      <c r="AX98" s="39">
        <f t="shared" ca="1" si="107"/>
        <v>31072715.94517611</v>
      </c>
      <c r="AY98" s="39">
        <f t="shared" ca="1" si="107"/>
        <v>33215668.093489002</v>
      </c>
      <c r="AZ98" s="39" t="e">
        <f t="shared" ca="1" si="107"/>
        <v>#N/A</v>
      </c>
      <c r="BA98" s="39" t="e">
        <f t="shared" ca="1" si="107"/>
        <v>#N/A</v>
      </c>
      <c r="BB98" s="39" t="e">
        <f t="shared" ca="1" si="107"/>
        <v>#N/A</v>
      </c>
    </row>
    <row r="99" spans="32:54" x14ac:dyDescent="0.25">
      <c r="AG99" s="1" t="s">
        <v>54</v>
      </c>
      <c r="AH99" s="1"/>
      <c r="AI99" s="39">
        <f t="shared" ref="AI99:AX102" ca="1" si="108">AI81*98</f>
        <v>1024914.2728203442</v>
      </c>
      <c r="AJ99" s="39">
        <f t="shared" ca="1" si="108"/>
        <v>952295.38121431507</v>
      </c>
      <c r="AK99" s="39">
        <f t="shared" ca="1" si="108"/>
        <v>871332.03392124909</v>
      </c>
      <c r="AL99" s="39">
        <f t="shared" ca="1" si="108"/>
        <v>783143.58681570098</v>
      </c>
      <c r="AM99" s="39">
        <f t="shared" ca="1" si="108"/>
        <v>744257.55358652817</v>
      </c>
      <c r="AN99" s="39">
        <f t="shared" ca="1" si="108"/>
        <v>701262.30118816649</v>
      </c>
      <c r="AO99" s="39">
        <f t="shared" ca="1" si="108"/>
        <v>653923.9055960105</v>
      </c>
      <c r="AP99" s="39">
        <f t="shared" ca="1" si="108"/>
        <v>601650.41597095667</v>
      </c>
      <c r="AQ99" s="39">
        <f t="shared" ca="1" si="108"/>
        <v>550790.36241965333</v>
      </c>
      <c r="AR99" s="39">
        <f t="shared" ca="1" si="108"/>
        <v>508174.45464153303</v>
      </c>
      <c r="AS99" s="39">
        <f t="shared" ca="1" si="108"/>
        <v>502857.118344752</v>
      </c>
      <c r="AT99" s="39">
        <f t="shared" ca="1" si="108"/>
        <v>503529.53536032938</v>
      </c>
      <c r="AU99" s="39">
        <f t="shared" ca="1" si="108"/>
        <v>503267.16056436196</v>
      </c>
      <c r="AV99" s="39">
        <f t="shared" ca="1" si="108"/>
        <v>502371.38688990875</v>
      </c>
      <c r="AW99" s="39">
        <f t="shared" ca="1" si="108"/>
        <v>500768.25027202122</v>
      </c>
      <c r="AX99" s="39">
        <f t="shared" ca="1" si="108"/>
        <v>498384.14619557216</v>
      </c>
      <c r="AY99" s="39">
        <f t="shared" ca="1" si="107"/>
        <v>495160.43438393663</v>
      </c>
      <c r="AZ99" s="39" t="e">
        <f t="shared" ca="1" si="107"/>
        <v>#N/A</v>
      </c>
      <c r="BA99" s="39" t="e">
        <f t="shared" ca="1" si="107"/>
        <v>#N/A</v>
      </c>
      <c r="BB99" s="39" t="e">
        <f t="shared" ca="1" si="107"/>
        <v>#N/A</v>
      </c>
    </row>
    <row r="100" spans="32:54" x14ac:dyDescent="0.25">
      <c r="AG100" s="1" t="s">
        <v>56</v>
      </c>
      <c r="AH100" s="1"/>
      <c r="AI100" s="39">
        <f t="shared" ca="1" si="108"/>
        <v>4492143.0235736202</v>
      </c>
      <c r="AJ100" s="39">
        <f t="shared" ca="1" si="107"/>
        <v>4248399.2750301901</v>
      </c>
      <c r="AK100" s="39">
        <f t="shared" ca="1" si="107"/>
        <v>3961035.1650050669</v>
      </c>
      <c r="AL100" s="39">
        <f t="shared" ca="1" si="107"/>
        <v>3633879.4775969689</v>
      </c>
      <c r="AM100" s="39">
        <f t="shared" ca="1" si="107"/>
        <v>3263399.6798366532</v>
      </c>
      <c r="AN100" s="39">
        <f t="shared" ca="1" si="107"/>
        <v>2846165.248239907</v>
      </c>
      <c r="AO100" s="39">
        <f t="shared" ca="1" si="107"/>
        <v>2379090.2494507148</v>
      </c>
      <c r="AP100" s="39">
        <f t="shared" ca="1" si="107"/>
        <v>1857996.3877916415</v>
      </c>
      <c r="AQ100" s="39">
        <f t="shared" ca="1" si="107"/>
        <v>1282130.7772573968</v>
      </c>
      <c r="AR100" s="39">
        <f t="shared" ca="1" si="107"/>
        <v>648332.57616872585</v>
      </c>
      <c r="AS100" s="39">
        <f t="shared" ca="1" si="107"/>
        <v>709711.98781372455</v>
      </c>
      <c r="AT100" s="39">
        <f t="shared" ca="1" si="107"/>
        <v>774337.25811046467</v>
      </c>
      <c r="AU100" s="39">
        <f t="shared" ca="1" si="107"/>
        <v>841819.1596974358</v>
      </c>
      <c r="AV100" s="39">
        <f t="shared" ca="1" si="107"/>
        <v>912758.13507633971</v>
      </c>
      <c r="AW100" s="39">
        <f t="shared" ca="1" si="107"/>
        <v>987208.44755908765</v>
      </c>
      <c r="AX100" s="39">
        <f t="shared" ca="1" si="107"/>
        <v>1065205.6737715977</v>
      </c>
      <c r="AY100" s="39">
        <f t="shared" ca="1" si="107"/>
        <v>1146797.1087070934</v>
      </c>
      <c r="AZ100" s="39" t="e">
        <f t="shared" ca="1" si="107"/>
        <v>#N/A</v>
      </c>
      <c r="BA100" s="39" t="e">
        <f t="shared" ca="1" si="107"/>
        <v>#N/A</v>
      </c>
      <c r="BB100" s="39" t="e">
        <f t="shared" ca="1" si="107"/>
        <v>#N/A</v>
      </c>
    </row>
    <row r="101" spans="32:54" x14ac:dyDescent="0.25">
      <c r="AG101" s="1" t="s">
        <v>57</v>
      </c>
      <c r="AH101" s="1"/>
      <c r="AI101" s="39">
        <f t="shared" ca="1" si="108"/>
        <v>12223.536599214351</v>
      </c>
      <c r="AJ101" s="39">
        <f t="shared" ca="1" si="107"/>
        <v>8460.5428007294649</v>
      </c>
      <c r="AK101" s="39">
        <f t="shared" ca="1" si="107"/>
        <v>4385.4691867483416</v>
      </c>
      <c r="AL101" s="39">
        <f t="shared" ca="1" si="107"/>
        <v>0</v>
      </c>
      <c r="AM101" s="39">
        <f t="shared" ca="1" si="107"/>
        <v>0</v>
      </c>
      <c r="AN101" s="39">
        <f t="shared" ca="1" si="107"/>
        <v>0</v>
      </c>
      <c r="AO101" s="39">
        <f t="shared" ca="1" si="107"/>
        <v>0</v>
      </c>
      <c r="AP101" s="39">
        <f t="shared" ca="1" si="107"/>
        <v>0</v>
      </c>
      <c r="AQ101" s="39">
        <f t="shared" ca="1" si="107"/>
        <v>0</v>
      </c>
      <c r="AR101" s="39">
        <f t="shared" ca="1" si="107"/>
        <v>0</v>
      </c>
      <c r="AS101" s="39">
        <f t="shared" ca="1" si="107"/>
        <v>0</v>
      </c>
      <c r="AT101" s="39">
        <f t="shared" ca="1" si="107"/>
        <v>0</v>
      </c>
      <c r="AU101" s="39">
        <f t="shared" ca="1" si="107"/>
        <v>0</v>
      </c>
      <c r="AV101" s="39">
        <f t="shared" ca="1" si="107"/>
        <v>0</v>
      </c>
      <c r="AW101" s="39">
        <f t="shared" ca="1" si="107"/>
        <v>0</v>
      </c>
      <c r="AX101" s="39">
        <f t="shared" ca="1" si="107"/>
        <v>0</v>
      </c>
      <c r="AY101" s="39">
        <f t="shared" ca="1" si="107"/>
        <v>0</v>
      </c>
      <c r="AZ101" s="39" t="e">
        <f t="shared" ca="1" si="107"/>
        <v>#N/A</v>
      </c>
      <c r="BA101" s="39" t="e">
        <f t="shared" ca="1" si="107"/>
        <v>#N/A</v>
      </c>
      <c r="BB101" s="39" t="e">
        <f t="shared" ca="1" si="107"/>
        <v>#N/A</v>
      </c>
    </row>
    <row r="102" spans="32:54" x14ac:dyDescent="0.25">
      <c r="AG102" s="1" t="s">
        <v>59</v>
      </c>
      <c r="AH102" s="1"/>
      <c r="AI102" s="39">
        <f t="shared" ca="1" si="108"/>
        <v>474449.07887130178</v>
      </c>
      <c r="AJ102" s="39">
        <f t="shared" ca="1" si="107"/>
        <v>997245.89342359081</v>
      </c>
      <c r="AK102" s="39">
        <f t="shared" ca="1" si="107"/>
        <v>1569523.167502051</v>
      </c>
      <c r="AL102" s="39">
        <f t="shared" ca="1" si="107"/>
        <v>2195417.1638330431</v>
      </c>
      <c r="AM102" s="39">
        <f t="shared" ca="1" si="107"/>
        <v>2878095.463305478</v>
      </c>
      <c r="AN102" s="39">
        <f t="shared" ca="1" si="107"/>
        <v>3620475.9022041229</v>
      </c>
      <c r="AO102" s="39">
        <f t="shared" ca="1" si="107"/>
        <v>4425501.8994857688</v>
      </c>
      <c r="AP102" s="39">
        <f t="shared" ca="1" si="107"/>
        <v>5292711.4506820049</v>
      </c>
      <c r="AQ102" s="39">
        <f t="shared" ca="1" si="107"/>
        <v>6228459.764035848</v>
      </c>
      <c r="AR102" s="39">
        <f t="shared" ca="1" si="107"/>
        <v>7236302.4035344776</v>
      </c>
      <c r="AS102" s="39">
        <f t="shared" ca="1" si="107"/>
        <v>7563883.371054248</v>
      </c>
      <c r="AT102" s="39">
        <f t="shared" ca="1" si="107"/>
        <v>7927829.3664504057</v>
      </c>
      <c r="AU102" s="39">
        <f t="shared" ca="1" si="107"/>
        <v>8497464.8698863015</v>
      </c>
      <c r="AV102" s="39">
        <f t="shared" ca="1" si="107"/>
        <v>9094579.642314449</v>
      </c>
      <c r="AW102" s="39">
        <f t="shared" ca="1" si="107"/>
        <v>9719429.1454484276</v>
      </c>
      <c r="AX102" s="39">
        <f t="shared" ca="1" si="107"/>
        <v>10372111.88900103</v>
      </c>
      <c r="AY102" s="39">
        <f t="shared" ca="1" si="107"/>
        <v>11052866.531299958</v>
      </c>
      <c r="AZ102" s="39" t="e">
        <f t="shared" ca="1" si="107"/>
        <v>#N/A</v>
      </c>
      <c r="BA102" s="39" t="e">
        <f t="shared" ca="1" si="107"/>
        <v>#N/A</v>
      </c>
      <c r="BB102" s="39" t="e">
        <f t="shared" ca="1" si="107"/>
        <v>#N/A</v>
      </c>
    </row>
    <row r="103" spans="32:54" x14ac:dyDescent="0.25">
      <c r="AG103" s="12" t="s">
        <v>60</v>
      </c>
      <c r="AH103" s="12"/>
      <c r="AI103" s="45">
        <f ca="1">SUM(AI98:AI102)</f>
        <v>14549120.161629392</v>
      </c>
      <c r="AJ103" s="45">
        <f ca="1">SUM(AJ98:AJ102)</f>
        <v>15776237.99847443</v>
      </c>
      <c r="AK103" s="45">
        <f t="shared" ref="AK103:BB103" ca="1" si="109">SUM(AK98:AK102)</f>
        <v>17050581.179406185</v>
      </c>
      <c r="AL103" s="45">
        <f t="shared" ca="1" si="109"/>
        <v>18397132.160818983</v>
      </c>
      <c r="AM103" s="45">
        <f t="shared" ca="1" si="109"/>
        <v>19878027.390407447</v>
      </c>
      <c r="AN103" s="45">
        <f t="shared" ca="1" si="109"/>
        <v>21435645.939518802</v>
      </c>
      <c r="AO103" s="45">
        <f t="shared" ca="1" si="109"/>
        <v>23070854.952159509</v>
      </c>
      <c r="AP103" s="45">
        <f t="shared" ca="1" si="109"/>
        <v>24768816.871783614</v>
      </c>
      <c r="AQ103" s="45">
        <f t="shared" ca="1" si="109"/>
        <v>26555476.090417787</v>
      </c>
      <c r="AR103" s="45">
        <f t="shared" ca="1" si="109"/>
        <v>28440596.720169038</v>
      </c>
      <c r="AS103" s="45">
        <f t="shared" ca="1" si="109"/>
        <v>30457500.505287137</v>
      </c>
      <c r="AT103" s="45">
        <f t="shared" ca="1" si="109"/>
        <v>32602566.396642983</v>
      </c>
      <c r="AU103" s="45">
        <f t="shared" ca="1" si="109"/>
        <v>35025563.6040999</v>
      </c>
      <c r="AV103" s="45">
        <f t="shared" ca="1" si="109"/>
        <v>37566816.199749231</v>
      </c>
      <c r="AW103" s="45">
        <f t="shared" ca="1" si="109"/>
        <v>40227573.769148968</v>
      </c>
      <c r="AX103" s="45">
        <f t="shared" ca="1" si="109"/>
        <v>43008417.654144309</v>
      </c>
      <c r="AY103" s="45">
        <f t="shared" ca="1" si="109"/>
        <v>45910492.167879991</v>
      </c>
      <c r="AZ103" s="45" t="e">
        <f t="shared" ca="1" si="109"/>
        <v>#N/A</v>
      </c>
      <c r="BA103" s="45" t="e">
        <f t="shared" ca="1" si="109"/>
        <v>#N/A</v>
      </c>
      <c r="BB103" s="45" t="e">
        <f t="shared" ca="1" si="109"/>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110">AJ107+1</f>
        <v>2021</v>
      </c>
      <c r="AL107" s="36">
        <f t="shared" si="110"/>
        <v>2022</v>
      </c>
      <c r="AM107" s="36">
        <f t="shared" si="110"/>
        <v>2023</v>
      </c>
      <c r="AN107" s="36">
        <f t="shared" si="110"/>
        <v>2024</v>
      </c>
      <c r="AO107" s="36">
        <f t="shared" si="110"/>
        <v>2025</v>
      </c>
      <c r="AP107" s="36">
        <f t="shared" si="110"/>
        <v>2026</v>
      </c>
      <c r="AQ107" s="36">
        <f t="shared" si="110"/>
        <v>2027</v>
      </c>
      <c r="AR107" s="36">
        <f t="shared" si="110"/>
        <v>2028</v>
      </c>
      <c r="AS107" s="36">
        <f t="shared" si="110"/>
        <v>2029</v>
      </c>
      <c r="AT107" s="36">
        <f t="shared" si="110"/>
        <v>2030</v>
      </c>
      <c r="AU107" s="36">
        <f t="shared" si="110"/>
        <v>2031</v>
      </c>
      <c r="AV107" s="36">
        <f t="shared" si="110"/>
        <v>2032</v>
      </c>
      <c r="AW107" s="36">
        <f t="shared" si="110"/>
        <v>2033</v>
      </c>
      <c r="AX107" s="36">
        <f t="shared" si="110"/>
        <v>2034</v>
      </c>
      <c r="AY107" s="36">
        <f t="shared" si="110"/>
        <v>2035</v>
      </c>
      <c r="AZ107" s="36">
        <f t="shared" si="110"/>
        <v>2036</v>
      </c>
      <c r="BA107" s="36">
        <f t="shared" si="110"/>
        <v>2037</v>
      </c>
      <c r="BB107" s="36">
        <f t="shared" si="110"/>
        <v>2038</v>
      </c>
    </row>
    <row r="108" spans="32:54" x14ac:dyDescent="0.25">
      <c r="AF108"/>
      <c r="AG108" s="1" t="s">
        <v>52</v>
      </c>
      <c r="AH108" s="1"/>
      <c r="AI108" s="37">
        <f ca="1">AI89+AI98</f>
        <v>15975721.900573282</v>
      </c>
      <c r="AJ108" s="37">
        <f ca="1">AJ89+AJ98</f>
        <v>17130797.254675463</v>
      </c>
      <c r="AK108" s="37">
        <f t="shared" ref="AK108:BB108" ca="1" si="111">AK89+AK98</f>
        <v>18323613.729935355</v>
      </c>
      <c r="AL108" s="37">
        <f t="shared" ca="1" si="111"/>
        <v>19580828.771393936</v>
      </c>
      <c r="AM108" s="37">
        <f t="shared" ca="1" si="111"/>
        <v>20902169.981406949</v>
      </c>
      <c r="AN108" s="37">
        <f t="shared" ca="1" si="111"/>
        <v>22286731.309487514</v>
      </c>
      <c r="AO108" s="37">
        <f t="shared" ca="1" si="111"/>
        <v>23734758.541243542</v>
      </c>
      <c r="AP108" s="37">
        <f t="shared" ca="1" si="111"/>
        <v>25277991.063048813</v>
      </c>
      <c r="AQ108" s="37">
        <f t="shared" ca="1" si="111"/>
        <v>26981738.878475223</v>
      </c>
      <c r="AR108" s="37">
        <f t="shared" ca="1" si="111"/>
        <v>28764971.801683977</v>
      </c>
      <c r="AS108" s="37">
        <f t="shared" ca="1" si="111"/>
        <v>30631549.658217214</v>
      </c>
      <c r="AT108" s="37">
        <f t="shared" ca="1" si="111"/>
        <v>32584510.809917554</v>
      </c>
      <c r="AU108" s="37">
        <f t="shared" ca="1" si="111"/>
        <v>34605920.217650443</v>
      </c>
      <c r="AV108" s="37">
        <f t="shared" ca="1" si="111"/>
        <v>36719394.01263994</v>
      </c>
      <c r="AW108" s="37">
        <f t="shared" ca="1" si="111"/>
        <v>38925190.536823481</v>
      </c>
      <c r="AX108" s="37">
        <f t="shared" ca="1" si="111"/>
        <v>41223013.693446681</v>
      </c>
      <c r="AY108" s="37">
        <f t="shared" ca="1" si="111"/>
        <v>43613196.633190319</v>
      </c>
      <c r="AZ108" s="37" t="e">
        <f t="shared" ca="1" si="111"/>
        <v>#N/A</v>
      </c>
      <c r="BA108" s="37" t="e">
        <f t="shared" ca="1" si="111"/>
        <v>#N/A</v>
      </c>
      <c r="BB108" s="37" t="e">
        <f t="shared" ca="1" si="111"/>
        <v>#N/A</v>
      </c>
    </row>
    <row r="109" spans="32:54" x14ac:dyDescent="0.25">
      <c r="AF109"/>
      <c r="AG109" s="1" t="s">
        <v>54</v>
      </c>
      <c r="AH109" s="1"/>
      <c r="AI109" s="37">
        <f t="shared" ref="AI109:BB112" ca="1" si="112">AI90+AI99</f>
        <v>2622286.5716981115</v>
      </c>
      <c r="AJ109" s="37">
        <f t="shared" ca="1" si="112"/>
        <v>2433412.6167767234</v>
      </c>
      <c r="AK109" s="37">
        <f t="shared" ca="1" si="112"/>
        <v>2222963.3582218341</v>
      </c>
      <c r="AL109" s="37">
        <f t="shared" ca="1" si="112"/>
        <v>1993790.3308601379</v>
      </c>
      <c r="AM109" s="37">
        <f t="shared" ca="1" si="112"/>
        <v>1803377.4632357445</v>
      </c>
      <c r="AN109" s="37">
        <f t="shared" ca="1" si="112"/>
        <v>1605401.0494469651</v>
      </c>
      <c r="AO109" s="37">
        <f t="shared" ca="1" si="112"/>
        <v>1452646.0118830688</v>
      </c>
      <c r="AP109" s="37">
        <f t="shared" ca="1" si="112"/>
        <v>1288478.0828778693</v>
      </c>
      <c r="AQ109" s="37">
        <f t="shared" ca="1" si="112"/>
        <v>1120040.2280977007</v>
      </c>
      <c r="AR109" s="37">
        <f t="shared" ca="1" si="112"/>
        <v>1038835.7836887056</v>
      </c>
      <c r="AS109" s="37">
        <f t="shared" ca="1" si="112"/>
        <v>1011573.5124917317</v>
      </c>
      <c r="AT109" s="37">
        <f t="shared" ca="1" si="112"/>
        <v>1019182.0923072352</v>
      </c>
      <c r="AU109" s="37">
        <f t="shared" ca="1" si="112"/>
        <v>1025320.465830079</v>
      </c>
      <c r="AV109" s="37">
        <f t="shared" ca="1" si="112"/>
        <v>1030612.1304889324</v>
      </c>
      <c r="AW109" s="37">
        <f t="shared" ca="1" si="112"/>
        <v>1034923.8833017489</v>
      </c>
      <c r="AX109" s="37">
        <f t="shared" ca="1" si="112"/>
        <v>1038121.3588359237</v>
      </c>
      <c r="AY109" s="37">
        <f t="shared" ca="1" si="112"/>
        <v>1040099.3708381045</v>
      </c>
      <c r="AZ109" s="37" t="e">
        <f t="shared" ca="1" si="112"/>
        <v>#N/A</v>
      </c>
      <c r="BA109" s="37" t="e">
        <f t="shared" ca="1" si="112"/>
        <v>#N/A</v>
      </c>
      <c r="BB109" s="37" t="e">
        <f t="shared" ca="1" si="112"/>
        <v>#N/A</v>
      </c>
    </row>
    <row r="110" spans="32:54" x14ac:dyDescent="0.25">
      <c r="AF110"/>
      <c r="AG110" s="1" t="s">
        <v>56</v>
      </c>
      <c r="AH110" s="1"/>
      <c r="AI110" s="37">
        <f t="shared" ca="1" si="112"/>
        <v>13035965.467866126</v>
      </c>
      <c r="AJ110" s="37">
        <f t="shared" ca="1" si="112"/>
        <v>13063690.902795127</v>
      </c>
      <c r="AK110" s="37">
        <f t="shared" ca="1" si="112"/>
        <v>12805390.621875109</v>
      </c>
      <c r="AL110" s="37">
        <f t="shared" ca="1" si="112"/>
        <v>12251653.139702708</v>
      </c>
      <c r="AM110" s="37">
        <f t="shared" ca="1" si="112"/>
        <v>11369823.151446439</v>
      </c>
      <c r="AN110" s="37">
        <f t="shared" ca="1" si="112"/>
        <v>10125900.938296838</v>
      </c>
      <c r="AO110" s="37">
        <f t="shared" ca="1" si="112"/>
        <v>8485665.3845157698</v>
      </c>
      <c r="AP110" s="37">
        <f t="shared" ca="1" si="112"/>
        <v>6409927.6275493037</v>
      </c>
      <c r="AQ110" s="37">
        <f t="shared" ca="1" si="112"/>
        <v>3870826.3678584062</v>
      </c>
      <c r="AR110" s="37">
        <f t="shared" ca="1" si="112"/>
        <v>830623.93965919199</v>
      </c>
      <c r="AS110" s="37">
        <f t="shared" ca="1" si="112"/>
        <v>882412.71968730655</v>
      </c>
      <c r="AT110" s="37">
        <f t="shared" ca="1" si="112"/>
        <v>936553.92279702111</v>
      </c>
      <c r="AU110" s="37">
        <f t="shared" ca="1" si="112"/>
        <v>992528.01170701603</v>
      </c>
      <c r="AV110" s="37">
        <f t="shared" ca="1" si="112"/>
        <v>1051009.4796184022</v>
      </c>
      <c r="AW110" s="37">
        <f t="shared" ca="1" si="112"/>
        <v>1112000.4906356044</v>
      </c>
      <c r="AX110" s="37">
        <f t="shared" ca="1" si="112"/>
        <v>1175487.8755184077</v>
      </c>
      <c r="AY110" s="37">
        <f t="shared" ca="1" si="112"/>
        <v>1241476.9047243693</v>
      </c>
      <c r="AZ110" s="37" t="e">
        <f t="shared" ca="1" si="112"/>
        <v>#N/A</v>
      </c>
      <c r="BA110" s="37" t="e">
        <f t="shared" ca="1" si="112"/>
        <v>#N/A</v>
      </c>
      <c r="BB110" s="37" t="e">
        <f t="shared" ca="1" si="112"/>
        <v>#N/A</v>
      </c>
    </row>
    <row r="111" spans="32:54" x14ac:dyDescent="0.25">
      <c r="AF111"/>
      <c r="AG111" s="1" t="s">
        <v>57</v>
      </c>
      <c r="AH111" s="1"/>
      <c r="AI111" s="37">
        <f t="shared" ca="1" si="112"/>
        <v>434355.35764704866</v>
      </c>
      <c r="AJ111" s="37">
        <f t="shared" ca="1" si="112"/>
        <v>300639.84054624644</v>
      </c>
      <c r="AK111" s="37">
        <f t="shared" ca="1" si="112"/>
        <v>155834.77184357756</v>
      </c>
      <c r="AL111" s="37">
        <f t="shared" ca="1" si="112"/>
        <v>3.1604649424739429E-11</v>
      </c>
      <c r="AM111" s="37">
        <f t="shared" ca="1" si="112"/>
        <v>0</v>
      </c>
      <c r="AN111" s="37">
        <f t="shared" ca="1" si="112"/>
        <v>0</v>
      </c>
      <c r="AO111" s="37">
        <f t="shared" ca="1" si="112"/>
        <v>0</v>
      </c>
      <c r="AP111" s="37">
        <f t="shared" ca="1" si="112"/>
        <v>0</v>
      </c>
      <c r="AQ111" s="37">
        <f t="shared" ca="1" si="112"/>
        <v>0</v>
      </c>
      <c r="AR111" s="37">
        <f t="shared" ca="1" si="112"/>
        <v>0</v>
      </c>
      <c r="AS111" s="37">
        <f t="shared" ca="1" si="112"/>
        <v>0</v>
      </c>
      <c r="AT111" s="37">
        <f t="shared" ca="1" si="112"/>
        <v>0</v>
      </c>
      <c r="AU111" s="37">
        <f t="shared" ca="1" si="112"/>
        <v>0</v>
      </c>
      <c r="AV111" s="37">
        <f t="shared" ca="1" si="112"/>
        <v>0</v>
      </c>
      <c r="AW111" s="37">
        <f t="shared" ca="1" si="112"/>
        <v>0</v>
      </c>
      <c r="AX111" s="37">
        <f t="shared" ca="1" si="112"/>
        <v>0</v>
      </c>
      <c r="AY111" s="37">
        <f t="shared" ca="1" si="112"/>
        <v>0</v>
      </c>
      <c r="AZ111" s="37" t="e">
        <f t="shared" ca="1" si="112"/>
        <v>#N/A</v>
      </c>
      <c r="BA111" s="37" t="e">
        <f t="shared" ca="1" si="112"/>
        <v>#N/A</v>
      </c>
      <c r="BB111" s="37" t="e">
        <f t="shared" ca="1" si="112"/>
        <v>#N/A</v>
      </c>
    </row>
    <row r="112" spans="32:54" x14ac:dyDescent="0.25">
      <c r="AF112"/>
      <c r="AG112" s="1" t="s">
        <v>59</v>
      </c>
      <c r="AH112" s="1"/>
      <c r="AI112" s="37">
        <f t="shared" ca="1" si="112"/>
        <v>1397919.121002886</v>
      </c>
      <c r="AJ112" s="37">
        <f ca="1">AJ93+AJ102</f>
        <v>3143578.7074845536</v>
      </c>
      <c r="AK112" s="37">
        <f t="shared" ca="1" si="112"/>
        <v>5262910.7403753595</v>
      </c>
      <c r="AL112" s="37">
        <f t="shared" ca="1" si="112"/>
        <v>7792350.2042148113</v>
      </c>
      <c r="AM112" s="37">
        <f t="shared" ca="1" si="112"/>
        <v>10766861.685275037</v>
      </c>
      <c r="AN112" s="37">
        <f t="shared" ca="1" si="112"/>
        <v>14221732.574711522</v>
      </c>
      <c r="AO112" s="37">
        <f t="shared" ca="1" si="112"/>
        <v>18193402.13827426</v>
      </c>
      <c r="AP112" s="37">
        <f t="shared" ca="1" si="112"/>
        <v>22704706.961046726</v>
      </c>
      <c r="AQ112" s="37">
        <f t="shared" ca="1" si="112"/>
        <v>27807488.661646023</v>
      </c>
      <c r="AR112" s="37">
        <f t="shared" ca="1" si="112"/>
        <v>33543919.878649697</v>
      </c>
      <c r="AS112" s="37">
        <f t="shared" ca="1" si="112"/>
        <v>36327017.230274022</v>
      </c>
      <c r="AT112" s="37">
        <f t="shared" ca="1" si="112"/>
        <v>39275826.993008278</v>
      </c>
      <c r="AU112" s="37">
        <f t="shared" ca="1" si="112"/>
        <v>42543852.549043931</v>
      </c>
      <c r="AV112" s="37">
        <f t="shared" ca="1" si="112"/>
        <v>45977124.130930379</v>
      </c>
      <c r="AW112" s="37">
        <f t="shared" ca="1" si="112"/>
        <v>49578011.011230722</v>
      </c>
      <c r="AX112" s="37">
        <f t="shared" ca="1" si="112"/>
        <v>53347978.50628829</v>
      </c>
      <c r="AY112" s="37">
        <f t="shared" ca="1" si="112"/>
        <v>57289112.060557872</v>
      </c>
      <c r="AZ112" s="37" t="e">
        <f t="shared" ca="1" si="112"/>
        <v>#N/A</v>
      </c>
      <c r="BA112" s="37" t="e">
        <f t="shared" ca="1" si="112"/>
        <v>#N/A</v>
      </c>
      <c r="BB112" s="37" t="e">
        <f t="shared" ca="1" si="112"/>
        <v>#N/A</v>
      </c>
    </row>
    <row r="113" spans="32:54" x14ac:dyDescent="0.25">
      <c r="AF113"/>
      <c r="AG113" s="12" t="s">
        <v>60</v>
      </c>
      <c r="AH113" s="12"/>
      <c r="AI113" s="45">
        <f ca="1">SUM(AI108:AI112)</f>
        <v>33466248.418787457</v>
      </c>
      <c r="AJ113" s="45">
        <f ca="1">SUM(AJ108:AJ112)</f>
        <v>36072119.322278112</v>
      </c>
      <c r="AK113" s="45">
        <f t="shared" ref="AK113:BB113" ca="1" si="113">SUM(AK108:AK112)</f>
        <v>38770713.222251236</v>
      </c>
      <c r="AL113" s="45">
        <f t="shared" ca="1" si="113"/>
        <v>41618622.446171597</v>
      </c>
      <c r="AM113" s="45">
        <f t="shared" ca="1" si="113"/>
        <v>44842232.281364173</v>
      </c>
      <c r="AN113" s="45">
        <f t="shared" ca="1" si="113"/>
        <v>48239765.871942841</v>
      </c>
      <c r="AO113" s="45">
        <f t="shared" ca="1" si="113"/>
        <v>51866472.07591664</v>
      </c>
      <c r="AP113" s="45">
        <f t="shared" ca="1" si="113"/>
        <v>55681103.734522715</v>
      </c>
      <c r="AQ113" s="45">
        <f t="shared" ca="1" si="113"/>
        <v>59780094.136077352</v>
      </c>
      <c r="AR113" s="45">
        <f t="shared" ca="1" si="113"/>
        <v>64178351.403681576</v>
      </c>
      <c r="AS113" s="45">
        <f t="shared" ca="1" si="113"/>
        <v>68852553.120670274</v>
      </c>
      <c r="AT113" s="45">
        <f t="shared" ca="1" si="113"/>
        <v>73816073.818030089</v>
      </c>
      <c r="AU113" s="45">
        <f t="shared" ca="1" si="113"/>
        <v>79167621.244231462</v>
      </c>
      <c r="AV113" s="45">
        <f t="shared" ca="1" si="113"/>
        <v>84778139.753677651</v>
      </c>
      <c r="AW113" s="45">
        <f t="shared" ca="1" si="113"/>
        <v>90650125.921991557</v>
      </c>
      <c r="AX113" s="45">
        <f t="shared" ca="1" si="113"/>
        <v>96784601.434089303</v>
      </c>
      <c r="AY113" s="45">
        <f t="shared" ca="1" si="113"/>
        <v>103183884.96931067</v>
      </c>
      <c r="AZ113" s="45" t="e">
        <f t="shared" ca="1" si="113"/>
        <v>#N/A</v>
      </c>
      <c r="BA113" s="45" t="e">
        <f t="shared" ca="1" si="113"/>
        <v>#N/A</v>
      </c>
      <c r="BB113" s="45" t="e">
        <f t="shared" ca="1" si="113"/>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114">AJ116+1</f>
        <v>2021</v>
      </c>
      <c r="AL116" s="36">
        <f t="shared" si="114"/>
        <v>2022</v>
      </c>
      <c r="AM116" s="36">
        <f t="shared" si="114"/>
        <v>2023</v>
      </c>
      <c r="AN116" s="36">
        <f t="shared" si="114"/>
        <v>2024</v>
      </c>
      <c r="AO116" s="36">
        <f t="shared" si="114"/>
        <v>2025</v>
      </c>
      <c r="AP116" s="36">
        <f t="shared" si="114"/>
        <v>2026</v>
      </c>
      <c r="AQ116" s="36">
        <f t="shared" si="114"/>
        <v>2027</v>
      </c>
      <c r="AR116" s="36">
        <f t="shared" si="114"/>
        <v>2028</v>
      </c>
      <c r="AS116" s="36">
        <f t="shared" si="114"/>
        <v>2029</v>
      </c>
      <c r="AT116" s="36">
        <f t="shared" si="114"/>
        <v>2030</v>
      </c>
      <c r="AU116" s="36">
        <f t="shared" si="114"/>
        <v>2031</v>
      </c>
      <c r="AV116" s="36">
        <f t="shared" si="114"/>
        <v>2032</v>
      </c>
      <c r="AW116" s="36">
        <f t="shared" si="114"/>
        <v>2033</v>
      </c>
      <c r="AX116" s="36">
        <f t="shared" si="114"/>
        <v>2034</v>
      </c>
      <c r="AY116" s="36">
        <f t="shared" si="114"/>
        <v>2035</v>
      </c>
      <c r="AZ116" s="36">
        <f t="shared" si="114"/>
        <v>2036</v>
      </c>
      <c r="BA116" s="36">
        <f t="shared" si="114"/>
        <v>2037</v>
      </c>
      <c r="BB116" s="36">
        <f t="shared" si="114"/>
        <v>2038</v>
      </c>
    </row>
    <row r="117" spans="32:54" x14ac:dyDescent="0.25">
      <c r="AF117"/>
      <c r="AG117" s="1" t="s">
        <v>52</v>
      </c>
      <c r="AH117" s="1"/>
      <c r="AI117" s="37">
        <f ca="1">AI71+AI80</f>
        <v>163017.57041401308</v>
      </c>
      <c r="AJ117" s="37">
        <f t="shared" ref="AJ117:BB117" ca="1" si="115">AJ71+AJ80</f>
        <v>174804.05361913738</v>
      </c>
      <c r="AK117" s="37">
        <f t="shared" ca="1" si="115"/>
        <v>186975.65030546283</v>
      </c>
      <c r="AL117" s="37">
        <f t="shared" ca="1" si="115"/>
        <v>199804.37521830545</v>
      </c>
      <c r="AM117" s="37">
        <f t="shared" ca="1" si="115"/>
        <v>213287.44878986682</v>
      </c>
      <c r="AN117" s="37">
        <f t="shared" ca="1" si="115"/>
        <v>227415.62560701542</v>
      </c>
      <c r="AO117" s="37">
        <f t="shared" ca="1" si="115"/>
        <v>242191.41368615857</v>
      </c>
      <c r="AP117" s="37">
        <f t="shared" ca="1" si="115"/>
        <v>257938.68431682463</v>
      </c>
      <c r="AQ117" s="37">
        <f t="shared" ca="1" si="115"/>
        <v>275323.86610689003</v>
      </c>
      <c r="AR117" s="37">
        <f t="shared" ca="1" si="115"/>
        <v>293520.12042534671</v>
      </c>
      <c r="AS117" s="37">
        <f t="shared" ca="1" si="115"/>
        <v>312566.83324711444</v>
      </c>
      <c r="AT117" s="37">
        <f t="shared" ca="1" si="115"/>
        <v>332495.00826446485</v>
      </c>
      <c r="AU117" s="37">
        <f t="shared" ca="1" si="115"/>
        <v>353121.63487398415</v>
      </c>
      <c r="AV117" s="37">
        <f t="shared" ca="1" si="115"/>
        <v>374687.69400652999</v>
      </c>
      <c r="AW117" s="37">
        <f t="shared" ca="1" si="115"/>
        <v>397195.82180432125</v>
      </c>
      <c r="AX117" s="37">
        <f t="shared" ca="1" si="115"/>
        <v>420642.99687190482</v>
      </c>
      <c r="AY117" s="37">
        <f t="shared" ca="1" si="115"/>
        <v>445032.61870602361</v>
      </c>
      <c r="AZ117" s="37" t="e">
        <f t="shared" ca="1" si="115"/>
        <v>#N/A</v>
      </c>
      <c r="BA117" s="37" t="e">
        <f t="shared" ca="1" si="115"/>
        <v>#N/A</v>
      </c>
      <c r="BB117" s="37" t="e">
        <f t="shared" ca="1" si="115"/>
        <v>#N/A</v>
      </c>
    </row>
    <row r="118" spans="32:54" x14ac:dyDescent="0.25">
      <c r="AF118"/>
      <c r="AG118" s="1" t="s">
        <v>54</v>
      </c>
      <c r="AH118" s="1"/>
      <c r="AI118" s="37">
        <f t="shared" ref="AI118:BB121" ca="1" si="116">AI72+AI81</f>
        <v>26758.026241817461</v>
      </c>
      <c r="AJ118" s="37">
        <f t="shared" ca="1" si="116"/>
        <v>24830.740987517587</v>
      </c>
      <c r="AK118" s="37">
        <f t="shared" ca="1" si="116"/>
        <v>22683.299573692188</v>
      </c>
      <c r="AL118" s="37">
        <f t="shared" ca="1" si="116"/>
        <v>20344.799294491204</v>
      </c>
      <c r="AM118" s="37">
        <f t="shared" ca="1" si="116"/>
        <v>18401.810849344332</v>
      </c>
      <c r="AN118" s="37">
        <f t="shared" ca="1" si="116"/>
        <v>16381.643361703724</v>
      </c>
      <c r="AO118" s="37">
        <f t="shared" ca="1" si="116"/>
        <v>14822.918488602743</v>
      </c>
      <c r="AP118" s="37">
        <f t="shared" ca="1" si="116"/>
        <v>13147.735539570094</v>
      </c>
      <c r="AQ118" s="37">
        <f t="shared" ca="1" si="116"/>
        <v>11428.981919364294</v>
      </c>
      <c r="AR118" s="37">
        <f t="shared" ca="1" si="116"/>
        <v>10600.365139680669</v>
      </c>
      <c r="AS118" s="37">
        <f t="shared" ca="1" si="116"/>
        <v>10322.178698895221</v>
      </c>
      <c r="AT118" s="37">
        <f t="shared" ca="1" si="116"/>
        <v>10399.817268441177</v>
      </c>
      <c r="AU118" s="37">
        <f t="shared" ca="1" si="116"/>
        <v>10462.45373295999</v>
      </c>
      <c r="AV118" s="37">
        <f t="shared" ca="1" si="116"/>
        <v>10516.450311111555</v>
      </c>
      <c r="AW118" s="37">
        <f t="shared" ca="1" si="116"/>
        <v>10560.447788793355</v>
      </c>
      <c r="AX118" s="37">
        <f t="shared" ca="1" si="116"/>
        <v>10593.075090162489</v>
      </c>
      <c r="AY118" s="37">
        <f t="shared" ca="1" si="116"/>
        <v>10613.258886103107</v>
      </c>
      <c r="AZ118" s="37" t="e">
        <f t="shared" ca="1" si="116"/>
        <v>#N/A</v>
      </c>
      <c r="BA118" s="37" t="e">
        <f t="shared" ca="1" si="116"/>
        <v>#N/A</v>
      </c>
      <c r="BB118" s="37" t="e">
        <f t="shared" ca="1" si="116"/>
        <v>#N/A</v>
      </c>
    </row>
    <row r="119" spans="32:54" x14ac:dyDescent="0.25">
      <c r="AF119"/>
      <c r="AG119" s="1" t="s">
        <v>56</v>
      </c>
      <c r="AH119" s="1"/>
      <c r="AI119" s="37">
        <f t="shared" ca="1" si="116"/>
        <v>133020.05579455232</v>
      </c>
      <c r="AJ119" s="37">
        <f t="shared" ca="1" si="116"/>
        <v>133302.96839586864</v>
      </c>
      <c r="AK119" s="37">
        <f t="shared" ca="1" si="116"/>
        <v>130667.25124362356</v>
      </c>
      <c r="AL119" s="37">
        <f t="shared" ca="1" si="116"/>
        <v>125016.86877247661</v>
      </c>
      <c r="AM119" s="37">
        <f t="shared" ca="1" si="116"/>
        <v>116018.60358618817</v>
      </c>
      <c r="AN119" s="37">
        <f t="shared" ca="1" si="116"/>
        <v>103325.51977853916</v>
      </c>
      <c r="AO119" s="37">
        <f t="shared" ca="1" si="116"/>
        <v>86588.422290977251</v>
      </c>
      <c r="AP119" s="37">
        <f t="shared" ca="1" si="116"/>
        <v>65407.424770911261</v>
      </c>
      <c r="AQ119" s="37">
        <f t="shared" ca="1" si="116"/>
        <v>39498.228243453123</v>
      </c>
      <c r="AR119" s="37">
        <f t="shared" ca="1" si="116"/>
        <v>8475.7544863182866</v>
      </c>
      <c r="AS119" s="37">
        <f t="shared" ca="1" si="116"/>
        <v>9004.2114253806794</v>
      </c>
      <c r="AT119" s="37">
        <f t="shared" ca="1" si="116"/>
        <v>9556.6726816022565</v>
      </c>
      <c r="AU119" s="37">
        <f t="shared" ca="1" si="116"/>
        <v>10127.836854153225</v>
      </c>
      <c r="AV119" s="37">
        <f t="shared" ca="1" si="116"/>
        <v>10724.586526718389</v>
      </c>
      <c r="AW119" s="37">
        <f t="shared" ca="1" si="116"/>
        <v>11346.943781995962</v>
      </c>
      <c r="AX119" s="37">
        <f t="shared" ca="1" si="116"/>
        <v>11994.774239983752</v>
      </c>
      <c r="AY119" s="37">
        <f t="shared" ca="1" si="116"/>
        <v>12668.131680860912</v>
      </c>
      <c r="AZ119" s="37" t="e">
        <f t="shared" ca="1" si="116"/>
        <v>#N/A</v>
      </c>
      <c r="BA119" s="37" t="e">
        <f t="shared" ca="1" si="116"/>
        <v>#N/A</v>
      </c>
      <c r="BB119" s="37" t="e">
        <f t="shared" ca="1" si="116"/>
        <v>#N/A</v>
      </c>
    </row>
    <row r="120" spans="32:54" x14ac:dyDescent="0.25">
      <c r="AF120"/>
      <c r="AG120" s="1" t="s">
        <v>57</v>
      </c>
      <c r="AH120" s="1"/>
      <c r="AI120" s="37">
        <f t="shared" ca="1" si="116"/>
        <v>4432.1975270107005</v>
      </c>
      <c r="AJ120" s="37">
        <f t="shared" ca="1" si="116"/>
        <v>3067.7534749616984</v>
      </c>
      <c r="AK120" s="37">
        <f t="shared" ca="1" si="116"/>
        <v>1590.1507330977304</v>
      </c>
      <c r="AL120" s="37">
        <f t="shared" ca="1" si="116"/>
        <v>3.2249642270142274E-13</v>
      </c>
      <c r="AM120" s="37">
        <f t="shared" ca="1" si="116"/>
        <v>0</v>
      </c>
      <c r="AN120" s="37">
        <f t="shared" ca="1" si="116"/>
        <v>0</v>
      </c>
      <c r="AO120" s="37">
        <f t="shared" ca="1" si="116"/>
        <v>0</v>
      </c>
      <c r="AP120" s="37">
        <f t="shared" ca="1" si="116"/>
        <v>0</v>
      </c>
      <c r="AQ120" s="37">
        <f t="shared" ca="1" si="116"/>
        <v>0</v>
      </c>
      <c r="AR120" s="37">
        <f t="shared" ca="1" si="116"/>
        <v>0</v>
      </c>
      <c r="AS120" s="37">
        <f t="shared" ca="1" si="116"/>
        <v>0</v>
      </c>
      <c r="AT120" s="37">
        <f t="shared" ca="1" si="116"/>
        <v>0</v>
      </c>
      <c r="AU120" s="37">
        <f t="shared" ca="1" si="116"/>
        <v>0</v>
      </c>
      <c r="AV120" s="37">
        <f t="shared" ca="1" si="116"/>
        <v>0</v>
      </c>
      <c r="AW120" s="37">
        <f t="shared" ca="1" si="116"/>
        <v>0</v>
      </c>
      <c r="AX120" s="37">
        <f t="shared" ca="1" si="116"/>
        <v>0</v>
      </c>
      <c r="AY120" s="37">
        <f t="shared" ca="1" si="116"/>
        <v>0</v>
      </c>
      <c r="AZ120" s="37" t="e">
        <f t="shared" ca="1" si="116"/>
        <v>#N/A</v>
      </c>
      <c r="BA120" s="37" t="e">
        <f t="shared" ca="1" si="116"/>
        <v>#N/A</v>
      </c>
      <c r="BB120" s="37" t="e">
        <f t="shared" ca="1" si="116"/>
        <v>#N/A</v>
      </c>
    </row>
    <row r="121" spans="32:54" x14ac:dyDescent="0.25">
      <c r="AF121"/>
      <c r="AG121" s="1" t="s">
        <v>59</v>
      </c>
      <c r="AH121" s="1"/>
      <c r="AI121" s="37">
        <f t="shared" ca="1" si="116"/>
        <v>14264.48082656006</v>
      </c>
      <c r="AJ121" s="37">
        <f t="shared" ca="1" si="116"/>
        <v>32077.333749842379</v>
      </c>
      <c r="AK121" s="37">
        <f t="shared" ca="1" si="116"/>
        <v>53703.170820156731</v>
      </c>
      <c r="AL121" s="37">
        <f t="shared" ca="1" si="116"/>
        <v>79513.777594028681</v>
      </c>
      <c r="AM121" s="37">
        <f t="shared" ca="1" si="116"/>
        <v>109865.93556403098</v>
      </c>
      <c r="AN121" s="37">
        <f t="shared" ca="1" si="116"/>
        <v>145119.72015011759</v>
      </c>
      <c r="AO121" s="37">
        <f t="shared" ca="1" si="116"/>
        <v>185646.96059463534</v>
      </c>
      <c r="AP121" s="37">
        <f t="shared" ca="1" si="116"/>
        <v>231680.68327598702</v>
      </c>
      <c r="AQ121" s="37">
        <f t="shared" ca="1" si="116"/>
        <v>283749.88430251047</v>
      </c>
      <c r="AR121" s="37">
        <f t="shared" ca="1" si="116"/>
        <v>342284.89672091528</v>
      </c>
      <c r="AS121" s="37">
        <f t="shared" ca="1" si="116"/>
        <v>370683.84928851045</v>
      </c>
      <c r="AT121" s="37">
        <f t="shared" ca="1" si="116"/>
        <v>400773.74482661509</v>
      </c>
      <c r="AU121" s="37">
        <f t="shared" ca="1" si="116"/>
        <v>434120.94437799929</v>
      </c>
      <c r="AV121" s="37">
        <f t="shared" ca="1" si="116"/>
        <v>469154.32786663651</v>
      </c>
      <c r="AW121" s="37">
        <f t="shared" ca="1" si="116"/>
        <v>505898.0715431706</v>
      </c>
      <c r="AX121" s="37">
        <f t="shared" ca="1" si="116"/>
        <v>544367.12761518662</v>
      </c>
      <c r="AY121" s="37">
        <f t="shared" ca="1" si="116"/>
        <v>584582.77612814156</v>
      </c>
      <c r="AZ121" s="37" t="e">
        <f t="shared" ca="1" si="116"/>
        <v>#N/A</v>
      </c>
      <c r="BA121" s="37" t="e">
        <f t="shared" ca="1" si="116"/>
        <v>#N/A</v>
      </c>
      <c r="BB121" s="37" t="e">
        <f t="shared" ca="1" si="116"/>
        <v>#N/A</v>
      </c>
    </row>
    <row r="122" spans="32:54" x14ac:dyDescent="0.25">
      <c r="AF122"/>
      <c r="AG122" s="12" t="s">
        <v>60</v>
      </c>
      <c r="AH122" s="12"/>
      <c r="AI122" s="45">
        <f ca="1">SUM(AI117:AI121)</f>
        <v>341492.33080395358</v>
      </c>
      <c r="AJ122" s="45">
        <f ca="1">SUM(AJ117:AJ121)</f>
        <v>368082.85022732761</v>
      </c>
      <c r="AK122" s="45">
        <f t="shared" ref="AK122:BB122" ca="1" si="117">SUM(AK117:AK121)</f>
        <v>395619.52267603308</v>
      </c>
      <c r="AL122" s="45">
        <f t="shared" ca="1" si="117"/>
        <v>424679.82087930193</v>
      </c>
      <c r="AM122" s="45">
        <f t="shared" ca="1" si="117"/>
        <v>457573.79878943029</v>
      </c>
      <c r="AN122" s="45">
        <f t="shared" ca="1" si="117"/>
        <v>492242.5088973759</v>
      </c>
      <c r="AO122" s="45">
        <f t="shared" ca="1" si="117"/>
        <v>529249.71506037388</v>
      </c>
      <c r="AP122" s="45">
        <f t="shared" ca="1" si="117"/>
        <v>568174.52790329303</v>
      </c>
      <c r="AQ122" s="45">
        <f t="shared" ca="1" si="117"/>
        <v>610000.96057221794</v>
      </c>
      <c r="AR122" s="45">
        <f t="shared" ca="1" si="117"/>
        <v>654881.136772261</v>
      </c>
      <c r="AS122" s="45">
        <f t="shared" ca="1" si="117"/>
        <v>702577.07265990076</v>
      </c>
      <c r="AT122" s="45">
        <f t="shared" ca="1" si="117"/>
        <v>753225.24304112338</v>
      </c>
      <c r="AU122" s="45">
        <f t="shared" ca="1" si="117"/>
        <v>807832.86983909667</v>
      </c>
      <c r="AV122" s="45">
        <f t="shared" ca="1" si="117"/>
        <v>865083.05871099653</v>
      </c>
      <c r="AW122" s="45">
        <f t="shared" ca="1" si="117"/>
        <v>925001.28491828125</v>
      </c>
      <c r="AX122" s="45">
        <f t="shared" ca="1" si="117"/>
        <v>987597.97381723765</v>
      </c>
      <c r="AY122" s="45">
        <f t="shared" ca="1" si="117"/>
        <v>1052896.7854011292</v>
      </c>
      <c r="AZ122" s="45" t="e">
        <f t="shared" ca="1" si="117"/>
        <v>#N/A</v>
      </c>
      <c r="BA122" s="45" t="e">
        <f t="shared" ca="1" si="117"/>
        <v>#N/A</v>
      </c>
      <c r="BB122" s="45" t="e">
        <f t="shared" ca="1" si="117"/>
        <v>#N/A</v>
      </c>
    </row>
    <row r="123" spans="32:54" x14ac:dyDescent="0.25">
      <c r="AF123"/>
    </row>
  </sheetData>
  <conditionalFormatting sqref="AJ77">
    <cfRule type="cellIs" dxfId="16" priority="11" operator="equal">
      <formula>"Check"</formula>
    </cfRule>
  </conditionalFormatting>
  <conditionalFormatting sqref="AK77:BB77">
    <cfRule type="cellIs" dxfId="15" priority="14" operator="equal">
      <formula>"Check"</formula>
    </cfRule>
  </conditionalFormatting>
  <conditionalFormatting sqref="AK86:BB86">
    <cfRule type="cellIs" dxfId="14" priority="13" operator="equal">
      <formula>"Check"</formula>
    </cfRule>
  </conditionalFormatting>
  <conditionalFormatting sqref="AK104:BB104">
    <cfRule type="cellIs" dxfId="13" priority="12" operator="equal">
      <formula>"Check"</formula>
    </cfRule>
  </conditionalFormatting>
  <conditionalFormatting sqref="AI77">
    <cfRule type="cellIs" dxfId="12" priority="10" operator="equal">
      <formula>"Check"</formula>
    </cfRule>
  </conditionalFormatting>
  <conditionalFormatting sqref="AI86:AJ86">
    <cfRule type="cellIs" dxfId="11" priority="9" operator="equal">
      <formula>"Check"</formula>
    </cfRule>
  </conditionalFormatting>
  <conditionalFormatting sqref="AK95:BB95">
    <cfRule type="cellIs" dxfId="10" priority="8" operator="equal">
      <formula>"Check"</formula>
    </cfRule>
  </conditionalFormatting>
  <conditionalFormatting sqref="K11:AE11 K21:AE21 K31:AE31 K41:AE41 K51:AE51 K61:AE61">
    <cfRule type="expression" dxfId="9" priority="7">
      <formula>K11&gt;1</formula>
    </cfRule>
  </conditionalFormatting>
  <conditionalFormatting sqref="J11">
    <cfRule type="expression" dxfId="8" priority="6">
      <formula>J11&gt;1</formula>
    </cfRule>
  </conditionalFormatting>
  <conditionalFormatting sqref="J21">
    <cfRule type="expression" dxfId="7" priority="5">
      <formula>J21&gt;1</formula>
    </cfRule>
  </conditionalFormatting>
  <conditionalFormatting sqref="J31">
    <cfRule type="expression" dxfId="6" priority="4">
      <formula>J31&gt;1</formula>
    </cfRule>
  </conditionalFormatting>
  <conditionalFormatting sqref="J41">
    <cfRule type="expression" dxfId="5" priority="3">
      <formula>J41&gt;1</formula>
    </cfRule>
  </conditionalFormatting>
  <conditionalFormatting sqref="J51">
    <cfRule type="expression" dxfId="4" priority="2">
      <formula>J51&gt;1</formula>
    </cfRule>
  </conditionalFormatting>
  <conditionalFormatting sqref="J61">
    <cfRule type="expression" dxfId="3" priority="1">
      <formula>J61&gt;1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AZ54"/>
  <sheetViews>
    <sheetView topLeftCell="A19" workbookViewId="0">
      <pane xSplit="3" topLeftCell="W1" activePane="topRight" state="frozen"/>
      <selection pane="topRight" activeCell="AE41" sqref="AE41"/>
    </sheetView>
  </sheetViews>
  <sheetFormatPr defaultRowHeight="15" x14ac:dyDescent="0.25"/>
  <cols>
    <col min="1" max="1" width="2.28515625" customWidth="1"/>
    <col min="2" max="2" width="7.42578125" style="6" bestFit="1" customWidth="1"/>
    <col min="3" max="3" width="12.42578125" bestFit="1" customWidth="1"/>
    <col min="30" max="30" width="3.85546875" customWidth="1"/>
    <col min="31" max="31" width="8.5703125" style="6" bestFit="1" customWidth="1"/>
    <col min="32" max="32" width="19.140625" bestFit="1" customWidth="1"/>
    <col min="33" max="33" width="14.7109375" bestFit="1" customWidth="1"/>
    <col min="34" max="47" width="10.7109375" bestFit="1" customWidth="1"/>
    <col min="48" max="52" width="10.5703125" bestFit="1" customWidth="1"/>
  </cols>
  <sheetData>
    <row r="1" spans="2:52" ht="6.75" customHeight="1" x14ac:dyDescent="0.25"/>
    <row r="2" spans="2:52" x14ac:dyDescent="0.25">
      <c r="B2" s="6" t="s">
        <v>112</v>
      </c>
      <c r="AE2" s="6" t="str">
        <f>B2</f>
        <v>Female Condom</v>
      </c>
      <c r="AF2" t="str">
        <f>CONCATENATE("WRA ",AE2," Urban")</f>
        <v>WRA Female Condom Urban</v>
      </c>
      <c r="AG2" s="38" t="e">
        <f t="array" ref="AG2">INDEX(#REF!,MATCH(FCondom!AG$6&amp;FCondom!$AE$2,#REF!&amp;#REF!,0),MATCH(CONCATENATE("WRA_",FCondom!$AE$6),#REF!,0))</f>
        <v>#REF!</v>
      </c>
      <c r="AH2" s="38" t="e">
        <f>AG2*INDEX(#REF!,MATCH(FCondom!AH6,#REF!,0),MATCH("% Growth",#REF!,0))</f>
        <v>#REF!</v>
      </c>
      <c r="AI2" s="38" t="e">
        <f>AH2*INDEX(#REF!,MATCH(FCondom!AI6,#REF!,0),MATCH("% Growth",#REF!,0))</f>
        <v>#REF!</v>
      </c>
      <c r="AJ2" s="38" t="e">
        <f>AI2*INDEX(#REF!,MATCH(FCondom!AJ6,#REF!,0),MATCH("% Growth",#REF!,0))</f>
        <v>#REF!</v>
      </c>
      <c r="AK2" s="38" t="e">
        <f>AJ2*INDEX(#REF!,MATCH(FCondom!AK6,#REF!,0),MATCH("% Growth",#REF!,0))</f>
        <v>#REF!</v>
      </c>
      <c r="AL2" s="38" t="e">
        <f>AK2*INDEX(#REF!,MATCH(FCondom!AL6,#REF!,0),MATCH("% Growth",#REF!,0))</f>
        <v>#REF!</v>
      </c>
      <c r="AM2" s="38" t="e">
        <f>AL2*INDEX(#REF!,MATCH(FCondom!AM6,#REF!,0),MATCH("% Growth",#REF!,0))</f>
        <v>#REF!</v>
      </c>
      <c r="AN2" s="38" t="e">
        <f>AM2*INDEX(#REF!,MATCH(FCondom!AN6,#REF!,0),MATCH("% Growth",#REF!,0))</f>
        <v>#REF!</v>
      </c>
      <c r="AO2" s="38" t="e">
        <f>AN2*INDEX(#REF!,MATCH(FCondom!AO6,#REF!,0),MATCH("% Growth",#REF!,0))</f>
        <v>#REF!</v>
      </c>
      <c r="AP2" s="38" t="e">
        <f>AO2*INDEX(#REF!,MATCH(FCondom!AP6,#REF!,0),MATCH("% Growth",#REF!,0))</f>
        <v>#REF!</v>
      </c>
      <c r="AQ2" s="38" t="e">
        <f>AP2*INDEX(#REF!,MATCH(FCondom!AQ6,#REF!,0),MATCH("% Growth",#REF!,0))</f>
        <v>#REF!</v>
      </c>
      <c r="AR2" s="38" t="e">
        <f>AQ2*INDEX(#REF!,MATCH(FCondom!AR6,#REF!,0),MATCH("% Growth",#REF!,0))</f>
        <v>#REF!</v>
      </c>
      <c r="AS2" s="38" t="e">
        <f>AR2*INDEX(#REF!,MATCH(FCondom!AS6,#REF!,0),MATCH("% Growth",#REF!,0))</f>
        <v>#REF!</v>
      </c>
      <c r="AT2" s="38" t="e">
        <f>AS2*INDEX(#REF!,MATCH(FCondom!AT6,#REF!,0),MATCH("% Growth",#REF!,0))</f>
        <v>#REF!</v>
      </c>
      <c r="AU2" s="38" t="e">
        <f>AT2*INDEX(#REF!,MATCH(FCondom!AU6,#REF!,0),MATCH("% Growth",#REF!,0))</f>
        <v>#REF!</v>
      </c>
      <c r="AV2" s="38" t="e">
        <f>AU2*INDEX(#REF!,MATCH(FCondom!AV6,#REF!,0),MATCH("% Growth",#REF!,0))</f>
        <v>#REF!</v>
      </c>
      <c r="AW2" s="38" t="e">
        <f>AV2*INDEX(#REF!,MATCH(FCondom!AW6,#REF!,0),MATCH("% Growth",#REF!,0))</f>
        <v>#REF!</v>
      </c>
      <c r="AX2" s="38" t="e">
        <f>AW2*INDEX(#REF!,MATCH(FCondom!AX6,#REF!,0),MATCH("% Growth",#REF!,0))</f>
        <v>#REF!</v>
      </c>
      <c r="AY2" s="38" t="e">
        <f>AX2*INDEX(#REF!,MATCH(FCondom!AY6,#REF!,0),MATCH("% Growth",#REF!,0))</f>
        <v>#REF!</v>
      </c>
      <c r="AZ2" s="38" t="e">
        <f>AY2*INDEX(#REF!,MATCH(FCondom!AZ6,#REF!,0),MATCH("% Growth",#REF!,0))</f>
        <v>#REF!</v>
      </c>
    </row>
    <row r="3" spans="2:52" x14ac:dyDescent="0.25">
      <c r="AF3" t="str">
        <f>CONCATENATE("WRA ",AE2," Rural")</f>
        <v>WRA Female Condom Rural</v>
      </c>
      <c r="AG3" s="38" t="e">
        <f t="array" ref="AG3">INDEX(#REF!,MATCH(FCondom!AG$6&amp;FCondom!$AE$2,#REF!&amp;#REF!,0),MATCH(CONCATENATE("WRA_",FCondom!$AE$14),#REF!,0))</f>
        <v>#REF!</v>
      </c>
      <c r="AH3" s="38" t="e">
        <f>AG3*INDEX(#REF!,MATCH(FCondom!AH6,#REF!,0),MATCH("% Growth",#REF!,0))</f>
        <v>#REF!</v>
      </c>
      <c r="AI3" s="38" t="e">
        <f>AH3*INDEX(#REF!,MATCH(FCondom!AI6,#REF!,0),MATCH("% Growth",#REF!,0))</f>
        <v>#REF!</v>
      </c>
      <c r="AJ3" s="38" t="e">
        <f>AI3*INDEX(#REF!,MATCH(FCondom!AJ6,#REF!,0),MATCH("% Growth",#REF!,0))</f>
        <v>#REF!</v>
      </c>
      <c r="AK3" s="38" t="e">
        <f>AJ3*INDEX(#REF!,MATCH(FCondom!AK6,#REF!,0),MATCH("% Growth",#REF!,0))</f>
        <v>#REF!</v>
      </c>
      <c r="AL3" s="38" t="e">
        <f>AK3*INDEX(#REF!,MATCH(FCondom!AL6,#REF!,0),MATCH("% Growth",#REF!,0))</f>
        <v>#REF!</v>
      </c>
      <c r="AM3" s="38" t="e">
        <f>AL3*INDEX(#REF!,MATCH(FCondom!AM6,#REF!,0),MATCH("% Growth",#REF!,0))</f>
        <v>#REF!</v>
      </c>
      <c r="AN3" s="38" t="e">
        <f>AM3*INDEX(#REF!,MATCH(FCondom!AN6,#REF!,0),MATCH("% Growth",#REF!,0))</f>
        <v>#REF!</v>
      </c>
      <c r="AO3" s="38" t="e">
        <f>AN3*INDEX(#REF!,MATCH(FCondom!AO6,#REF!,0),MATCH("% Growth",#REF!,0))</f>
        <v>#REF!</v>
      </c>
      <c r="AP3" s="38" t="e">
        <f>AO3*INDEX(#REF!,MATCH(FCondom!AP6,#REF!,0),MATCH("% Growth",#REF!,0))</f>
        <v>#REF!</v>
      </c>
      <c r="AQ3" s="38" t="e">
        <f>AP3*INDEX(#REF!,MATCH(FCondom!AQ6,#REF!,0),MATCH("% Growth",#REF!,0))</f>
        <v>#REF!</v>
      </c>
      <c r="AR3" s="38" t="e">
        <f>AQ3*INDEX(#REF!,MATCH(FCondom!AR6,#REF!,0),MATCH("% Growth",#REF!,0))</f>
        <v>#REF!</v>
      </c>
      <c r="AS3" s="38" t="e">
        <f>AR3*INDEX(#REF!,MATCH(FCondom!AS6,#REF!,0),MATCH("% Growth",#REF!,0))</f>
        <v>#REF!</v>
      </c>
      <c r="AT3" s="38" t="e">
        <f>AS3*INDEX(#REF!,MATCH(FCondom!AT6,#REF!,0),MATCH("% Growth",#REF!,0))</f>
        <v>#REF!</v>
      </c>
      <c r="AU3" s="38" t="e">
        <f>AT3*INDEX(#REF!,MATCH(FCondom!AU6,#REF!,0),MATCH("% Growth",#REF!,0))</f>
        <v>#REF!</v>
      </c>
      <c r="AV3" s="38" t="e">
        <f>AU3*INDEX(#REF!,MATCH(FCondom!AV6,#REF!,0),MATCH("% Growth",#REF!,0))</f>
        <v>#REF!</v>
      </c>
      <c r="AW3" s="38" t="e">
        <f>AV3*INDEX(#REF!,MATCH(FCondom!AW6,#REF!,0),MATCH("% Growth",#REF!,0))</f>
        <v>#REF!</v>
      </c>
      <c r="AX3" s="38" t="e">
        <f>AW3*INDEX(#REF!,MATCH(FCondom!AX6,#REF!,0),MATCH("% Growth",#REF!,0))</f>
        <v>#REF!</v>
      </c>
      <c r="AY3" s="38" t="e">
        <f>AX3*INDEX(#REF!,MATCH(FCondom!AY6,#REF!,0),MATCH("% Growth",#REF!,0))</f>
        <v>#REF!</v>
      </c>
      <c r="AZ3" s="38" t="e">
        <f>AY3*INDEX(#REF!,MATCH(FCondom!AZ6,#REF!,0),MATCH("% Growth",#REF!,0))</f>
        <v>#REF!</v>
      </c>
    </row>
    <row r="4" spans="2:52" ht="3.75" customHeight="1" x14ac:dyDescent="0.25"/>
    <row r="5" spans="2:52" x14ac:dyDescent="0.25">
      <c r="B5" s="6" t="s">
        <v>162</v>
      </c>
      <c r="D5" s="4" t="s">
        <v>163</v>
      </c>
      <c r="E5" s="4" t="s">
        <v>164</v>
      </c>
      <c r="F5" s="4" t="s">
        <v>165</v>
      </c>
      <c r="G5" s="4" t="s">
        <v>186</v>
      </c>
      <c r="J5" s="35" t="str">
        <f t="shared" ref="J5:AC5" si="0">IF(J6=Yr_DHS2,"Most Recent DHS",IF(J6=Yr_Start,"Start Year",IF(J6=Yr_End,"End Year","")))</f>
        <v>Most Recent DHS</v>
      </c>
      <c r="K5" s="35" t="str">
        <f t="shared" si="0"/>
        <v/>
      </c>
      <c r="L5" s="35" t="str">
        <f t="shared" si="0"/>
        <v/>
      </c>
      <c r="M5" s="35" t="str">
        <f t="shared" si="0"/>
        <v>Start Year</v>
      </c>
      <c r="N5" s="35" t="str">
        <f t="shared" si="0"/>
        <v/>
      </c>
      <c r="O5" s="35" t="str">
        <f t="shared" si="0"/>
        <v/>
      </c>
      <c r="P5" s="35" t="str">
        <f t="shared" si="0"/>
        <v>End Year</v>
      </c>
      <c r="Q5" s="35" t="str">
        <f t="shared" si="0"/>
        <v/>
      </c>
      <c r="R5" s="35" t="str">
        <f t="shared" si="0"/>
        <v/>
      </c>
      <c r="S5" s="35" t="str">
        <f t="shared" si="0"/>
        <v/>
      </c>
      <c r="T5" s="35" t="str">
        <f t="shared" si="0"/>
        <v/>
      </c>
      <c r="U5" s="35" t="str">
        <f t="shared" si="0"/>
        <v/>
      </c>
      <c r="V5" s="35" t="str">
        <f t="shared" si="0"/>
        <v/>
      </c>
      <c r="W5" s="35" t="str">
        <f t="shared" si="0"/>
        <v/>
      </c>
      <c r="X5" s="35" t="str">
        <f t="shared" si="0"/>
        <v/>
      </c>
      <c r="Y5" s="35" t="str">
        <f t="shared" si="0"/>
        <v/>
      </c>
      <c r="Z5" s="35" t="str">
        <f t="shared" si="0"/>
        <v/>
      </c>
      <c r="AA5" s="35" t="str">
        <f t="shared" si="0"/>
        <v/>
      </c>
      <c r="AB5" s="35" t="str">
        <f t="shared" si="0"/>
        <v/>
      </c>
      <c r="AC5" s="35" t="str">
        <f t="shared" si="0"/>
        <v/>
      </c>
      <c r="AE5" s="6" t="s">
        <v>162</v>
      </c>
      <c r="AG5" s="35" t="str">
        <f t="shared" ref="AG5:AZ5" si="1">IF(AG6=Yr_DHS2,"Most Recent DHS",IF(AG6=Yr_Start,"Start Year",IF(AG6=Yr_End,"End Year","")))</f>
        <v>Most Recent DHS</v>
      </c>
      <c r="AH5" s="35" t="str">
        <f t="shared" si="1"/>
        <v/>
      </c>
      <c r="AI5" s="35" t="str">
        <f t="shared" si="1"/>
        <v/>
      </c>
      <c r="AJ5" s="35" t="str">
        <f t="shared" si="1"/>
        <v>Start Year</v>
      </c>
      <c r="AK5" s="35" t="str">
        <f t="shared" si="1"/>
        <v/>
      </c>
      <c r="AL5" s="35" t="str">
        <f t="shared" si="1"/>
        <v/>
      </c>
      <c r="AM5" s="35" t="str">
        <f t="shared" si="1"/>
        <v>End Year</v>
      </c>
      <c r="AN5" s="35" t="str">
        <f t="shared" si="1"/>
        <v/>
      </c>
      <c r="AO5" s="35" t="str">
        <f t="shared" si="1"/>
        <v/>
      </c>
      <c r="AP5" s="35" t="str">
        <f t="shared" si="1"/>
        <v/>
      </c>
      <c r="AQ5" s="35" t="str">
        <f t="shared" si="1"/>
        <v/>
      </c>
      <c r="AR5" s="35" t="str">
        <f t="shared" si="1"/>
        <v/>
      </c>
      <c r="AS5" s="35" t="str">
        <f t="shared" si="1"/>
        <v/>
      </c>
      <c r="AT5" s="35" t="str">
        <f t="shared" si="1"/>
        <v/>
      </c>
      <c r="AU5" s="35" t="str">
        <f t="shared" si="1"/>
        <v/>
      </c>
      <c r="AV5" s="35" t="str">
        <f t="shared" si="1"/>
        <v/>
      </c>
      <c r="AW5" s="35" t="str">
        <f t="shared" si="1"/>
        <v/>
      </c>
      <c r="AX5" s="35" t="str">
        <f t="shared" si="1"/>
        <v/>
      </c>
      <c r="AY5" s="35" t="str">
        <f t="shared" si="1"/>
        <v/>
      </c>
      <c r="AZ5" s="35" t="str">
        <f t="shared" si="1"/>
        <v/>
      </c>
    </row>
    <row r="6" spans="2:52" x14ac:dyDescent="0.25">
      <c r="B6" s="6" t="s">
        <v>20</v>
      </c>
      <c r="C6" s="36"/>
      <c r="D6" s="36">
        <f>Yr_DHS1</f>
        <v>2011</v>
      </c>
      <c r="E6" s="36">
        <f>Yr_DHS2</f>
        <v>2016</v>
      </c>
      <c r="F6" s="36">
        <f>Yr_Start</f>
        <v>2019</v>
      </c>
      <c r="G6" s="36">
        <f>Yr_End</f>
        <v>2022</v>
      </c>
      <c r="H6" s="36" t="s">
        <v>168</v>
      </c>
      <c r="I6" s="36" t="s">
        <v>187</v>
      </c>
      <c r="J6" s="36">
        <f>Yr_DHS2</f>
        <v>2016</v>
      </c>
      <c r="K6" s="36">
        <f>J6+1</f>
        <v>2017</v>
      </c>
      <c r="L6" s="36">
        <f t="shared" ref="L6:AC6" si="2">K6+1</f>
        <v>2018</v>
      </c>
      <c r="M6" s="36">
        <f t="shared" si="2"/>
        <v>2019</v>
      </c>
      <c r="N6" s="36">
        <f t="shared" si="2"/>
        <v>2020</v>
      </c>
      <c r="O6" s="36">
        <f t="shared" si="2"/>
        <v>2021</v>
      </c>
      <c r="P6" s="36">
        <f t="shared" si="2"/>
        <v>2022</v>
      </c>
      <c r="Q6" s="36">
        <f t="shared" si="2"/>
        <v>2023</v>
      </c>
      <c r="R6" s="36">
        <f t="shared" si="2"/>
        <v>2024</v>
      </c>
      <c r="S6" s="36">
        <f t="shared" si="2"/>
        <v>2025</v>
      </c>
      <c r="T6" s="36">
        <f t="shared" si="2"/>
        <v>2026</v>
      </c>
      <c r="U6" s="36">
        <f t="shared" si="2"/>
        <v>2027</v>
      </c>
      <c r="V6" s="36">
        <f t="shared" si="2"/>
        <v>2028</v>
      </c>
      <c r="W6" s="36">
        <f t="shared" si="2"/>
        <v>2029</v>
      </c>
      <c r="X6" s="36">
        <f t="shared" si="2"/>
        <v>2030</v>
      </c>
      <c r="Y6" s="36">
        <f t="shared" si="2"/>
        <v>2031</v>
      </c>
      <c r="Z6" s="36">
        <f t="shared" si="2"/>
        <v>2032</v>
      </c>
      <c r="AA6" s="36">
        <f t="shared" si="2"/>
        <v>2033</v>
      </c>
      <c r="AB6" s="36">
        <f t="shared" si="2"/>
        <v>2034</v>
      </c>
      <c r="AC6" s="36">
        <f t="shared" si="2"/>
        <v>2035</v>
      </c>
      <c r="AE6" s="6" t="s">
        <v>20</v>
      </c>
      <c r="AF6" s="38"/>
      <c r="AG6" s="36">
        <f>Yr_DHS2</f>
        <v>2016</v>
      </c>
      <c r="AH6" s="36">
        <f>AG6+1</f>
        <v>2017</v>
      </c>
      <c r="AI6" s="36">
        <f t="shared" ref="AI6:AZ6" si="3">AH6+1</f>
        <v>2018</v>
      </c>
      <c r="AJ6" s="36">
        <f t="shared" si="3"/>
        <v>2019</v>
      </c>
      <c r="AK6" s="36">
        <f t="shared" si="3"/>
        <v>2020</v>
      </c>
      <c r="AL6" s="36">
        <f t="shared" si="3"/>
        <v>2021</v>
      </c>
      <c r="AM6" s="36">
        <f t="shared" si="3"/>
        <v>2022</v>
      </c>
      <c r="AN6" s="36">
        <f t="shared" si="3"/>
        <v>2023</v>
      </c>
      <c r="AO6" s="36">
        <f t="shared" si="3"/>
        <v>2024</v>
      </c>
      <c r="AP6" s="36">
        <f t="shared" si="3"/>
        <v>2025</v>
      </c>
      <c r="AQ6" s="36">
        <f t="shared" si="3"/>
        <v>2026</v>
      </c>
      <c r="AR6" s="36">
        <f t="shared" si="3"/>
        <v>2027</v>
      </c>
      <c r="AS6" s="36">
        <f t="shared" si="3"/>
        <v>2028</v>
      </c>
      <c r="AT6" s="36">
        <f t="shared" si="3"/>
        <v>2029</v>
      </c>
      <c r="AU6" s="36">
        <f t="shared" si="3"/>
        <v>2030</v>
      </c>
      <c r="AV6" s="36">
        <f t="shared" si="3"/>
        <v>2031</v>
      </c>
      <c r="AW6" s="36">
        <f t="shared" si="3"/>
        <v>2032</v>
      </c>
      <c r="AX6" s="36">
        <f t="shared" si="3"/>
        <v>2033</v>
      </c>
      <c r="AY6" s="36">
        <f t="shared" si="3"/>
        <v>2034</v>
      </c>
      <c r="AZ6" s="36">
        <f t="shared" si="3"/>
        <v>2035</v>
      </c>
    </row>
    <row r="7" spans="2:52" x14ac:dyDescent="0.25">
      <c r="C7" s="1" t="s">
        <v>188</v>
      </c>
      <c r="D7" s="14" t="e">
        <f t="array" ref="D7">INDEX(Data_FP!$B$2:$H$184,MATCH(FCondom!D$6&amp;FCondom!$B$6&amp;FCondom!$C7&amp;$B$2,Data_FP!$B$2:$B$184&amp;Data_FP!$C$2:$C$184&amp;Data_FP!$D$2:$D$184&amp;Data_FP!$E$2:$E$184,0),MATCH(FCondom!$B$5,Data_FP!$B$2:$H$2,0))</f>
        <v>#N/A</v>
      </c>
      <c r="E7" s="14" t="e">
        <f t="array" ref="E7">INDEX(Data_FP!$B$2:$H$184,MATCH(FCondom!E$6&amp;FCondom!$B$6&amp;FCondom!$C7&amp;$B$2,Data_FP!$B$2:$B$184&amp;Data_FP!$C$2:$C$184&amp;Data_FP!$D$2:$D$184&amp;Data_FP!$E$2:$E$184,0),MATCH(FCondom!$B$5,Data_FP!$B$2:$H$2,0))</f>
        <v>#N/A</v>
      </c>
      <c r="F7" s="14" t="e">
        <f>IF(E7+H7*(Yr_Start-Yr_DHS2)&lt;0,0,E7+H7*(Yr_Start-Yr_DHS2))</f>
        <v>#N/A</v>
      </c>
      <c r="G7" s="14" t="e">
        <f>E7*(1-Shift_UrbQ1)</f>
        <v>#N/A</v>
      </c>
      <c r="H7" s="14" t="e">
        <f>+($E7-$D7)/($E$6-$D$6)</f>
        <v>#N/A</v>
      </c>
      <c r="I7" s="14" t="e">
        <f>+($G7-$F7)/($G$6-$F$6)</f>
        <v>#N/A</v>
      </c>
      <c r="J7" s="15" t="e">
        <f>E7</f>
        <v>#N/A</v>
      </c>
      <c r="K7" s="15" t="e">
        <f t="shared" ref="K7:AC7" si="4">IF(IF(K$6&lt;=Yr_Start,J7+$H7,J7+$I7)&lt;0,0,IF(K$6&lt;=Yr_Start,J7+$H7,J7+$I7))</f>
        <v>#N/A</v>
      </c>
      <c r="L7" s="15" t="e">
        <f t="shared" si="4"/>
        <v>#N/A</v>
      </c>
      <c r="M7" s="15" t="e">
        <f t="shared" si="4"/>
        <v>#N/A</v>
      </c>
      <c r="N7" s="15" t="e">
        <f t="shared" si="4"/>
        <v>#N/A</v>
      </c>
      <c r="O7" s="15" t="e">
        <f t="shared" si="4"/>
        <v>#N/A</v>
      </c>
      <c r="P7" s="15" t="e">
        <f t="shared" si="4"/>
        <v>#N/A</v>
      </c>
      <c r="Q7" s="15" t="e">
        <f t="shared" si="4"/>
        <v>#N/A</v>
      </c>
      <c r="R7" s="15" t="e">
        <f t="shared" si="4"/>
        <v>#N/A</v>
      </c>
      <c r="S7" s="15" t="e">
        <f t="shared" si="4"/>
        <v>#N/A</v>
      </c>
      <c r="T7" s="15" t="e">
        <f t="shared" si="4"/>
        <v>#N/A</v>
      </c>
      <c r="U7" s="15" t="e">
        <f t="shared" si="4"/>
        <v>#N/A</v>
      </c>
      <c r="V7" s="15" t="e">
        <f t="shared" si="4"/>
        <v>#N/A</v>
      </c>
      <c r="W7" s="15" t="e">
        <f t="shared" si="4"/>
        <v>#N/A</v>
      </c>
      <c r="X7" s="15" t="e">
        <f t="shared" si="4"/>
        <v>#N/A</v>
      </c>
      <c r="Y7" s="15" t="e">
        <f t="shared" si="4"/>
        <v>#N/A</v>
      </c>
      <c r="Z7" s="15" t="e">
        <f t="shared" si="4"/>
        <v>#N/A</v>
      </c>
      <c r="AA7" s="15" t="e">
        <f t="shared" si="4"/>
        <v>#N/A</v>
      </c>
      <c r="AB7" s="15" t="e">
        <f t="shared" si="4"/>
        <v>#N/A</v>
      </c>
      <c r="AC7" s="15" t="e">
        <f t="shared" si="4"/>
        <v>#N/A</v>
      </c>
      <c r="AF7" s="1" t="s">
        <v>188</v>
      </c>
      <c r="AG7" s="37" t="e">
        <f>+J7*AG$2</f>
        <v>#N/A</v>
      </c>
      <c r="AH7" s="37" t="e">
        <f>+K7*AH$2</f>
        <v>#N/A</v>
      </c>
      <c r="AI7" s="37" t="e">
        <f t="shared" ref="AI7:AX10" si="5">+L7*AI$2</f>
        <v>#N/A</v>
      </c>
      <c r="AJ7" s="37" t="e">
        <f t="shared" si="5"/>
        <v>#N/A</v>
      </c>
      <c r="AK7" s="37" t="e">
        <f t="shared" si="5"/>
        <v>#N/A</v>
      </c>
      <c r="AL7" s="37" t="e">
        <f t="shared" si="5"/>
        <v>#N/A</v>
      </c>
      <c r="AM7" s="37" t="e">
        <f t="shared" si="5"/>
        <v>#N/A</v>
      </c>
      <c r="AN7" s="37" t="e">
        <f t="shared" si="5"/>
        <v>#N/A</v>
      </c>
      <c r="AO7" s="37" t="e">
        <f t="shared" si="5"/>
        <v>#N/A</v>
      </c>
      <c r="AP7" s="37" t="e">
        <f t="shared" si="5"/>
        <v>#N/A</v>
      </c>
      <c r="AQ7" s="37" t="e">
        <f t="shared" si="5"/>
        <v>#N/A</v>
      </c>
      <c r="AR7" s="37" t="e">
        <f t="shared" si="5"/>
        <v>#N/A</v>
      </c>
      <c r="AS7" s="37" t="e">
        <f t="shared" si="5"/>
        <v>#N/A</v>
      </c>
      <c r="AT7" s="37" t="e">
        <f t="shared" si="5"/>
        <v>#N/A</v>
      </c>
      <c r="AU7" s="37" t="e">
        <f t="shared" si="5"/>
        <v>#N/A</v>
      </c>
      <c r="AV7" s="37" t="e">
        <f t="shared" si="5"/>
        <v>#N/A</v>
      </c>
      <c r="AW7" s="37" t="e">
        <f t="shared" si="5"/>
        <v>#N/A</v>
      </c>
      <c r="AX7" s="37" t="e">
        <f t="shared" si="5"/>
        <v>#N/A</v>
      </c>
      <c r="AY7" s="37" t="e">
        <f t="shared" ref="AY7:AZ10" si="6">+AB7*AY$2</f>
        <v>#N/A</v>
      </c>
      <c r="AZ7" s="37" t="e">
        <f t="shared" si="6"/>
        <v>#N/A</v>
      </c>
    </row>
    <row r="8" spans="2:52" x14ac:dyDescent="0.25">
      <c r="C8" s="1" t="s">
        <v>170</v>
      </c>
      <c r="D8" s="14" t="e">
        <f t="array" ref="D8">INDEX(Data_FP!$B$2:$H$184,MATCH(FCondom!D$6&amp;FCondom!$B$6&amp;FCondom!$C8&amp;$B$2,Data_FP!$B$2:$B$184&amp;Data_FP!$C$2:$C$184&amp;Data_FP!$D$2:$D$184&amp;Data_FP!$E$2:$E$184,0),MATCH(FCondom!$B$5,Data_FP!$B$2:$H$2,0))</f>
        <v>#N/A</v>
      </c>
      <c r="E8" s="14" t="e">
        <f t="array" ref="E8">INDEX(Data_FP!$B$2:$H$184,MATCH(FCondom!E$6&amp;FCondom!$B$6&amp;FCondom!$C8&amp;$B$2,Data_FP!$B$2:$B$184&amp;Data_FP!$C$2:$C$184&amp;Data_FP!$D$2:$D$184&amp;Data_FP!$E$2:$E$184,0),MATCH(FCondom!$B$5,Data_FP!$B$2:$H$2,0))</f>
        <v>#N/A</v>
      </c>
      <c r="F8" s="14" t="e">
        <f>IF(E8+H8*(Yr_Start-Yr_DHS2)&lt;0,0,E8+H8*(Yr_Start-Yr_DHS2))</f>
        <v>#N/A</v>
      </c>
      <c r="G8" s="14" t="e">
        <f>E8*(1-Shift_UrbQ1)</f>
        <v>#N/A</v>
      </c>
      <c r="H8" s="14" t="e">
        <f t="shared" ref="H8:H10" si="7">+($E8-$D8)/($E$6-$D$6)</f>
        <v>#N/A</v>
      </c>
      <c r="I8" s="14" t="e">
        <f t="shared" ref="I8:I10" si="8">+($G8-$F8)/($G$6-$F$6)</f>
        <v>#N/A</v>
      </c>
      <c r="J8" s="15" t="e">
        <f t="shared" ref="J8:J10" si="9">E8</f>
        <v>#N/A</v>
      </c>
      <c r="K8" s="15" t="e">
        <f t="shared" ref="K8:AC8" si="10">IF(IF(K$6&lt;=Yr_Start,J8+$H8,J8+$I8)&lt;0,0,IF(K$6&lt;=Yr_Start,J8+$H8,J8+$I8))</f>
        <v>#N/A</v>
      </c>
      <c r="L8" s="15" t="e">
        <f t="shared" si="10"/>
        <v>#N/A</v>
      </c>
      <c r="M8" s="15" t="e">
        <f t="shared" si="10"/>
        <v>#N/A</v>
      </c>
      <c r="N8" s="15" t="e">
        <f t="shared" si="10"/>
        <v>#N/A</v>
      </c>
      <c r="O8" s="15" t="e">
        <f t="shared" si="10"/>
        <v>#N/A</v>
      </c>
      <c r="P8" s="15" t="e">
        <f t="shared" si="10"/>
        <v>#N/A</v>
      </c>
      <c r="Q8" s="15" t="e">
        <f t="shared" si="10"/>
        <v>#N/A</v>
      </c>
      <c r="R8" s="15" t="e">
        <f t="shared" si="10"/>
        <v>#N/A</v>
      </c>
      <c r="S8" s="15" t="e">
        <f t="shared" si="10"/>
        <v>#N/A</v>
      </c>
      <c r="T8" s="15" t="e">
        <f t="shared" si="10"/>
        <v>#N/A</v>
      </c>
      <c r="U8" s="15" t="e">
        <f t="shared" si="10"/>
        <v>#N/A</v>
      </c>
      <c r="V8" s="15" t="e">
        <f t="shared" si="10"/>
        <v>#N/A</v>
      </c>
      <c r="W8" s="15" t="e">
        <f t="shared" si="10"/>
        <v>#N/A</v>
      </c>
      <c r="X8" s="15" t="e">
        <f t="shared" si="10"/>
        <v>#N/A</v>
      </c>
      <c r="Y8" s="15" t="e">
        <f t="shared" si="10"/>
        <v>#N/A</v>
      </c>
      <c r="Z8" s="15" t="e">
        <f t="shared" si="10"/>
        <v>#N/A</v>
      </c>
      <c r="AA8" s="15" t="e">
        <f t="shared" si="10"/>
        <v>#N/A</v>
      </c>
      <c r="AB8" s="15" t="e">
        <f t="shared" si="10"/>
        <v>#N/A</v>
      </c>
      <c r="AC8" s="15" t="e">
        <f t="shared" si="10"/>
        <v>#N/A</v>
      </c>
      <c r="AF8" s="1" t="s">
        <v>170</v>
      </c>
      <c r="AG8" s="37" t="e">
        <f t="shared" ref="AG8:AH10" si="11">+J8*AG$2</f>
        <v>#N/A</v>
      </c>
      <c r="AH8" s="37" t="e">
        <f t="shared" si="11"/>
        <v>#N/A</v>
      </c>
      <c r="AI8" s="37" t="e">
        <f t="shared" si="5"/>
        <v>#N/A</v>
      </c>
      <c r="AJ8" s="37" t="e">
        <f t="shared" si="5"/>
        <v>#N/A</v>
      </c>
      <c r="AK8" s="37" t="e">
        <f t="shared" si="5"/>
        <v>#N/A</v>
      </c>
      <c r="AL8" s="37" t="e">
        <f t="shared" si="5"/>
        <v>#N/A</v>
      </c>
      <c r="AM8" s="37" t="e">
        <f t="shared" si="5"/>
        <v>#N/A</v>
      </c>
      <c r="AN8" s="37" t="e">
        <f t="shared" si="5"/>
        <v>#N/A</v>
      </c>
      <c r="AO8" s="37" t="e">
        <f t="shared" si="5"/>
        <v>#N/A</v>
      </c>
      <c r="AP8" s="37" t="e">
        <f t="shared" si="5"/>
        <v>#N/A</v>
      </c>
      <c r="AQ8" s="37" t="e">
        <f t="shared" si="5"/>
        <v>#N/A</v>
      </c>
      <c r="AR8" s="37" t="e">
        <f t="shared" si="5"/>
        <v>#N/A</v>
      </c>
      <c r="AS8" s="37" t="e">
        <f t="shared" si="5"/>
        <v>#N/A</v>
      </c>
      <c r="AT8" s="37" t="e">
        <f t="shared" si="5"/>
        <v>#N/A</v>
      </c>
      <c r="AU8" s="37" t="e">
        <f t="shared" si="5"/>
        <v>#N/A</v>
      </c>
      <c r="AV8" s="37" t="e">
        <f t="shared" si="5"/>
        <v>#N/A</v>
      </c>
      <c r="AW8" s="37" t="e">
        <f t="shared" si="5"/>
        <v>#N/A</v>
      </c>
      <c r="AX8" s="37" t="e">
        <f t="shared" si="5"/>
        <v>#N/A</v>
      </c>
      <c r="AY8" s="37" t="e">
        <f t="shared" si="6"/>
        <v>#N/A</v>
      </c>
      <c r="AZ8" s="37" t="e">
        <f t="shared" si="6"/>
        <v>#N/A</v>
      </c>
    </row>
    <row r="9" spans="2:52" x14ac:dyDescent="0.25">
      <c r="C9" s="1" t="s">
        <v>59</v>
      </c>
      <c r="D9" s="14" t="e">
        <f t="array" ref="D9">INDEX(Data_FP!$B$2:$H$184,MATCH(FCondom!D$6&amp;FCondom!$B$6&amp;FCondom!$C9&amp;$B$2,Data_FP!$B$2:$B$184&amp;Data_FP!$C$2:$C$184&amp;Data_FP!$D$2:$D$184&amp;Data_FP!$E$2:$E$184,0),MATCH(FCondom!$B$5,Data_FP!$B$2:$H$2,0))</f>
        <v>#N/A</v>
      </c>
      <c r="E9" s="14" t="e">
        <f t="array" ref="E9">INDEX(Data_FP!$B$2:$H$184,MATCH(FCondom!E$6&amp;FCondom!$B$6&amp;FCondom!$C9&amp;$B$2,Data_FP!$B$2:$B$184&amp;Data_FP!$C$2:$C$184&amp;Data_FP!$D$2:$D$184&amp;Data_FP!$E$2:$E$184,0),MATCH(FCondom!$B$5,Data_FP!$B$2:$H$2,0))</f>
        <v>#N/A</v>
      </c>
      <c r="F9" s="14" t="e">
        <f>IF(E9+H9*(Yr_Start-Yr_DHS2)&lt;0,0,E9+H9*(Yr_Start-Yr_DHS2))</f>
        <v>#N/A</v>
      </c>
      <c r="G9" s="14" t="e">
        <f>E11-SUM(G10,G8,G7)</f>
        <v>#N/A</v>
      </c>
      <c r="H9" s="14" t="e">
        <f t="shared" si="7"/>
        <v>#N/A</v>
      </c>
      <c r="I9" s="14" t="e">
        <f t="shared" si="8"/>
        <v>#N/A</v>
      </c>
      <c r="J9" s="15" t="e">
        <f t="shared" si="9"/>
        <v>#N/A</v>
      </c>
      <c r="K9" s="15" t="e">
        <f t="shared" ref="K9:AC9" si="12">IF(IF(K$6&lt;=Yr_Start,J9+$H9,J9+$I9)&lt;0,0,IF(K$6&lt;=Yr_Start,J9+$H9,J9+$I9))</f>
        <v>#N/A</v>
      </c>
      <c r="L9" s="15" t="e">
        <f t="shared" si="12"/>
        <v>#N/A</v>
      </c>
      <c r="M9" s="15" t="e">
        <f t="shared" si="12"/>
        <v>#N/A</v>
      </c>
      <c r="N9" s="15" t="e">
        <f t="shared" si="12"/>
        <v>#N/A</v>
      </c>
      <c r="O9" s="15" t="e">
        <f t="shared" si="12"/>
        <v>#N/A</v>
      </c>
      <c r="P9" s="15" t="e">
        <f t="shared" si="12"/>
        <v>#N/A</v>
      </c>
      <c r="Q9" s="15" t="e">
        <f t="shared" si="12"/>
        <v>#N/A</v>
      </c>
      <c r="R9" s="15" t="e">
        <f t="shared" si="12"/>
        <v>#N/A</v>
      </c>
      <c r="S9" s="15" t="e">
        <f t="shared" si="12"/>
        <v>#N/A</v>
      </c>
      <c r="T9" s="15" t="e">
        <f t="shared" si="12"/>
        <v>#N/A</v>
      </c>
      <c r="U9" s="15" t="e">
        <f t="shared" si="12"/>
        <v>#N/A</v>
      </c>
      <c r="V9" s="15" t="e">
        <f t="shared" si="12"/>
        <v>#N/A</v>
      </c>
      <c r="W9" s="15" t="e">
        <f t="shared" si="12"/>
        <v>#N/A</v>
      </c>
      <c r="X9" s="15" t="e">
        <f t="shared" si="12"/>
        <v>#N/A</v>
      </c>
      <c r="Y9" s="15" t="e">
        <f t="shared" si="12"/>
        <v>#N/A</v>
      </c>
      <c r="Z9" s="15" t="e">
        <f t="shared" si="12"/>
        <v>#N/A</v>
      </c>
      <c r="AA9" s="15" t="e">
        <f t="shared" si="12"/>
        <v>#N/A</v>
      </c>
      <c r="AB9" s="15" t="e">
        <f t="shared" si="12"/>
        <v>#N/A</v>
      </c>
      <c r="AC9" s="15" t="e">
        <f t="shared" si="12"/>
        <v>#N/A</v>
      </c>
      <c r="AF9" s="1" t="s">
        <v>59</v>
      </c>
      <c r="AG9" s="37" t="e">
        <f t="shared" si="11"/>
        <v>#N/A</v>
      </c>
      <c r="AH9" s="37" t="e">
        <f t="shared" si="11"/>
        <v>#N/A</v>
      </c>
      <c r="AI9" s="37" t="e">
        <f t="shared" si="5"/>
        <v>#N/A</v>
      </c>
      <c r="AJ9" s="37" t="e">
        <f t="shared" si="5"/>
        <v>#N/A</v>
      </c>
      <c r="AK9" s="37" t="e">
        <f t="shared" si="5"/>
        <v>#N/A</v>
      </c>
      <c r="AL9" s="37" t="e">
        <f t="shared" si="5"/>
        <v>#N/A</v>
      </c>
      <c r="AM9" s="37" t="e">
        <f t="shared" si="5"/>
        <v>#N/A</v>
      </c>
      <c r="AN9" s="37" t="e">
        <f t="shared" si="5"/>
        <v>#N/A</v>
      </c>
      <c r="AO9" s="37" t="e">
        <f t="shared" si="5"/>
        <v>#N/A</v>
      </c>
      <c r="AP9" s="37" t="e">
        <f t="shared" si="5"/>
        <v>#N/A</v>
      </c>
      <c r="AQ9" s="37" t="e">
        <f t="shared" si="5"/>
        <v>#N/A</v>
      </c>
      <c r="AR9" s="37" t="e">
        <f t="shared" si="5"/>
        <v>#N/A</v>
      </c>
      <c r="AS9" s="37" t="e">
        <f t="shared" si="5"/>
        <v>#N/A</v>
      </c>
      <c r="AT9" s="37" t="e">
        <f t="shared" si="5"/>
        <v>#N/A</v>
      </c>
      <c r="AU9" s="37" t="e">
        <f t="shared" si="5"/>
        <v>#N/A</v>
      </c>
      <c r="AV9" s="37" t="e">
        <f t="shared" si="5"/>
        <v>#N/A</v>
      </c>
      <c r="AW9" s="37" t="e">
        <f t="shared" si="5"/>
        <v>#N/A</v>
      </c>
      <c r="AX9" s="37" t="e">
        <f t="shared" si="5"/>
        <v>#N/A</v>
      </c>
      <c r="AY9" s="37" t="e">
        <f t="shared" si="6"/>
        <v>#N/A</v>
      </c>
      <c r="AZ9" s="37" t="e">
        <f t="shared" si="6"/>
        <v>#N/A</v>
      </c>
    </row>
    <row r="10" spans="2:52" x14ac:dyDescent="0.25">
      <c r="C10" s="1" t="s">
        <v>116</v>
      </c>
      <c r="D10" s="14" t="e">
        <f t="array" ref="D10">INDEX(Data_FP!$B$2:$H$184,MATCH(FCondom!D$6&amp;FCondom!$B$6&amp;FCondom!$C10&amp;$B$2,Data_FP!$B$2:$B$184&amp;Data_FP!$C$2:$C$184&amp;Data_FP!$D$2:$D$184&amp;Data_FP!$E$2:$E$184,0),MATCH(FCondom!$B$5,Data_FP!$B$2:$H$2,0))</f>
        <v>#N/A</v>
      </c>
      <c r="E10" s="14" t="e">
        <f t="array" ref="E10">INDEX(Data_FP!$B$2:$H$184,MATCH(FCondom!E$6&amp;FCondom!$B$6&amp;FCondom!$C10&amp;$B$2,Data_FP!$B$2:$B$184&amp;Data_FP!$C$2:$C$184&amp;Data_FP!$D$2:$D$184&amp;Data_FP!$E$2:$E$184,0),MATCH(FCondom!$B$5,Data_FP!$B$2:$H$2,0))</f>
        <v>#N/A</v>
      </c>
      <c r="F10" s="14" t="e">
        <f>IF(E10+H10*(Yr_Start-Yr_DHS2)&lt;0,0,E10+H10*(Yr_Start-Yr_DHS2))</f>
        <v>#N/A</v>
      </c>
      <c r="G10" s="27" t="e">
        <f>E10*(1-Shift_UrbQ1)</f>
        <v>#N/A</v>
      </c>
      <c r="H10" s="27" t="e">
        <f t="shared" si="7"/>
        <v>#N/A</v>
      </c>
      <c r="I10" s="14" t="e">
        <f t="shared" si="8"/>
        <v>#N/A</v>
      </c>
      <c r="J10" s="15" t="e">
        <f t="shared" si="9"/>
        <v>#N/A</v>
      </c>
      <c r="K10" s="15" t="e">
        <f t="shared" ref="K10:AC10" si="13">IF(IF(K$6&lt;=Yr_Start,J10+$H10,J10+$I10)&lt;0,0,IF(K$6&lt;=Yr_Start,J10+$H10,J10+$I10))</f>
        <v>#N/A</v>
      </c>
      <c r="L10" s="15" t="e">
        <f t="shared" si="13"/>
        <v>#N/A</v>
      </c>
      <c r="M10" s="15" t="e">
        <f t="shared" si="13"/>
        <v>#N/A</v>
      </c>
      <c r="N10" s="15" t="e">
        <f t="shared" si="13"/>
        <v>#N/A</v>
      </c>
      <c r="O10" s="15" t="e">
        <f t="shared" si="13"/>
        <v>#N/A</v>
      </c>
      <c r="P10" s="15" t="e">
        <f t="shared" si="13"/>
        <v>#N/A</v>
      </c>
      <c r="Q10" s="15" t="e">
        <f t="shared" si="13"/>
        <v>#N/A</v>
      </c>
      <c r="R10" s="15" t="e">
        <f t="shared" si="13"/>
        <v>#N/A</v>
      </c>
      <c r="S10" s="15" t="e">
        <f t="shared" si="13"/>
        <v>#N/A</v>
      </c>
      <c r="T10" s="15" t="e">
        <f t="shared" si="13"/>
        <v>#N/A</v>
      </c>
      <c r="U10" s="15" t="e">
        <f t="shared" si="13"/>
        <v>#N/A</v>
      </c>
      <c r="V10" s="15" t="e">
        <f t="shared" si="13"/>
        <v>#N/A</v>
      </c>
      <c r="W10" s="15" t="e">
        <f t="shared" si="13"/>
        <v>#N/A</v>
      </c>
      <c r="X10" s="15" t="e">
        <f t="shared" si="13"/>
        <v>#N/A</v>
      </c>
      <c r="Y10" s="15" t="e">
        <f t="shared" si="13"/>
        <v>#N/A</v>
      </c>
      <c r="Z10" s="15" t="e">
        <f t="shared" si="13"/>
        <v>#N/A</v>
      </c>
      <c r="AA10" s="15" t="e">
        <f t="shared" si="13"/>
        <v>#N/A</v>
      </c>
      <c r="AB10" s="15" t="e">
        <f t="shared" si="13"/>
        <v>#N/A</v>
      </c>
      <c r="AC10" s="15" t="e">
        <f t="shared" si="13"/>
        <v>#N/A</v>
      </c>
      <c r="AF10" s="1" t="s">
        <v>116</v>
      </c>
      <c r="AG10" s="37" t="e">
        <f t="shared" si="11"/>
        <v>#N/A</v>
      </c>
      <c r="AH10" s="37" t="e">
        <f t="shared" si="11"/>
        <v>#N/A</v>
      </c>
      <c r="AI10" s="37" t="e">
        <f t="shared" si="5"/>
        <v>#N/A</v>
      </c>
      <c r="AJ10" s="37" t="e">
        <f t="shared" si="5"/>
        <v>#N/A</v>
      </c>
      <c r="AK10" s="37" t="e">
        <f t="shared" si="5"/>
        <v>#N/A</v>
      </c>
      <c r="AL10" s="37" t="e">
        <f t="shared" si="5"/>
        <v>#N/A</v>
      </c>
      <c r="AM10" s="37" t="e">
        <f t="shared" si="5"/>
        <v>#N/A</v>
      </c>
      <c r="AN10" s="37" t="e">
        <f t="shared" si="5"/>
        <v>#N/A</v>
      </c>
      <c r="AO10" s="37" t="e">
        <f t="shared" si="5"/>
        <v>#N/A</v>
      </c>
      <c r="AP10" s="37" t="e">
        <f t="shared" si="5"/>
        <v>#N/A</v>
      </c>
      <c r="AQ10" s="37" t="e">
        <f t="shared" si="5"/>
        <v>#N/A</v>
      </c>
      <c r="AR10" s="37" t="e">
        <f t="shared" si="5"/>
        <v>#N/A</v>
      </c>
      <c r="AS10" s="37" t="e">
        <f t="shared" si="5"/>
        <v>#N/A</v>
      </c>
      <c r="AT10" s="37" t="e">
        <f t="shared" si="5"/>
        <v>#N/A</v>
      </c>
      <c r="AU10" s="37" t="e">
        <f t="shared" si="5"/>
        <v>#N/A</v>
      </c>
      <c r="AV10" s="37" t="e">
        <f t="shared" si="5"/>
        <v>#N/A</v>
      </c>
      <c r="AW10" s="37" t="e">
        <f t="shared" si="5"/>
        <v>#N/A</v>
      </c>
      <c r="AX10" s="37" t="e">
        <f t="shared" si="5"/>
        <v>#N/A</v>
      </c>
      <c r="AY10" s="37" t="e">
        <f t="shared" si="6"/>
        <v>#N/A</v>
      </c>
      <c r="AZ10" s="37" t="e">
        <f t="shared" si="6"/>
        <v>#N/A</v>
      </c>
    </row>
    <row r="11" spans="2:52" x14ac:dyDescent="0.25">
      <c r="E11" s="5" t="e">
        <f>SUM(E7:E10)</f>
        <v>#N/A</v>
      </c>
      <c r="F11" s="5"/>
      <c r="AF11" s="1" t="s">
        <v>60</v>
      </c>
      <c r="AG11" s="37" t="e">
        <f>+SUM(AG7:AG10)</f>
        <v>#N/A</v>
      </c>
      <c r="AH11" s="37" t="e">
        <f t="shared" ref="AH11:AZ11" si="14">+SUM(AH7:AH10)</f>
        <v>#N/A</v>
      </c>
      <c r="AI11" s="37" t="e">
        <f t="shared" si="14"/>
        <v>#N/A</v>
      </c>
      <c r="AJ11" s="37" t="e">
        <f t="shared" si="14"/>
        <v>#N/A</v>
      </c>
      <c r="AK11" s="37" t="e">
        <f t="shared" si="14"/>
        <v>#N/A</v>
      </c>
      <c r="AL11" s="37" t="e">
        <f t="shared" si="14"/>
        <v>#N/A</v>
      </c>
      <c r="AM11" s="37" t="e">
        <f t="shared" si="14"/>
        <v>#N/A</v>
      </c>
      <c r="AN11" s="37" t="e">
        <f t="shared" si="14"/>
        <v>#N/A</v>
      </c>
      <c r="AO11" s="37" t="e">
        <f t="shared" si="14"/>
        <v>#N/A</v>
      </c>
      <c r="AP11" s="37" t="e">
        <f t="shared" si="14"/>
        <v>#N/A</v>
      </c>
      <c r="AQ11" s="37" t="e">
        <f t="shared" si="14"/>
        <v>#N/A</v>
      </c>
      <c r="AR11" s="37" t="e">
        <f t="shared" si="14"/>
        <v>#N/A</v>
      </c>
      <c r="AS11" s="37" t="e">
        <f t="shared" si="14"/>
        <v>#N/A</v>
      </c>
      <c r="AT11" s="37" t="e">
        <f t="shared" si="14"/>
        <v>#N/A</v>
      </c>
      <c r="AU11" s="37" t="e">
        <f t="shared" si="14"/>
        <v>#N/A</v>
      </c>
      <c r="AV11" s="37" t="e">
        <f t="shared" si="14"/>
        <v>#N/A</v>
      </c>
      <c r="AW11" s="37" t="e">
        <f t="shared" si="14"/>
        <v>#N/A</v>
      </c>
      <c r="AX11" s="37" t="e">
        <f t="shared" si="14"/>
        <v>#N/A</v>
      </c>
      <c r="AY11" s="37" t="e">
        <f t="shared" si="14"/>
        <v>#N/A</v>
      </c>
      <c r="AZ11" s="37" t="e">
        <f t="shared" si="14"/>
        <v>#N/A</v>
      </c>
    </row>
    <row r="12" spans="2:52" x14ac:dyDescent="0.25">
      <c r="E12" s="5"/>
      <c r="F12" s="5"/>
      <c r="AG12" s="7"/>
      <c r="AH12" s="7"/>
      <c r="AI12" s="7"/>
      <c r="AJ12" s="7"/>
      <c r="AK12" s="7"/>
      <c r="AL12" s="7"/>
      <c r="AM12" s="7"/>
      <c r="AN12" s="7"/>
      <c r="AO12" s="7"/>
      <c r="AP12" s="7"/>
      <c r="AQ12" s="7"/>
      <c r="AR12" s="7"/>
    </row>
    <row r="13" spans="2:52" x14ac:dyDescent="0.25">
      <c r="B13" s="6" t="s">
        <v>162</v>
      </c>
      <c r="D13" s="4" t="s">
        <v>163</v>
      </c>
      <c r="E13" s="4" t="s">
        <v>164</v>
      </c>
      <c r="F13" s="4" t="s">
        <v>165</v>
      </c>
      <c r="G13" s="4" t="s">
        <v>186</v>
      </c>
      <c r="J13" s="35" t="str">
        <f t="shared" ref="J13:AC13" si="15">IF(J14=Yr_DHS2,"Most Recent DHS",IF(J14=Yr_Start,"Start Year",IF(J14=Yr_End,"End Year","")))</f>
        <v>Most Recent DHS</v>
      </c>
      <c r="K13" s="35" t="str">
        <f t="shared" si="15"/>
        <v/>
      </c>
      <c r="L13" s="35" t="str">
        <f t="shared" si="15"/>
        <v/>
      </c>
      <c r="M13" s="35" t="str">
        <f t="shared" si="15"/>
        <v>Start Year</v>
      </c>
      <c r="N13" s="35" t="str">
        <f t="shared" si="15"/>
        <v/>
      </c>
      <c r="O13" s="35" t="str">
        <f t="shared" si="15"/>
        <v/>
      </c>
      <c r="P13" s="35" t="str">
        <f t="shared" si="15"/>
        <v>End Year</v>
      </c>
      <c r="Q13" s="35" t="str">
        <f t="shared" si="15"/>
        <v/>
      </c>
      <c r="R13" s="35" t="str">
        <f t="shared" si="15"/>
        <v/>
      </c>
      <c r="S13" s="35" t="str">
        <f t="shared" si="15"/>
        <v/>
      </c>
      <c r="T13" s="35" t="str">
        <f t="shared" si="15"/>
        <v/>
      </c>
      <c r="U13" s="35" t="str">
        <f t="shared" si="15"/>
        <v/>
      </c>
      <c r="V13" s="35" t="str">
        <f t="shared" si="15"/>
        <v/>
      </c>
      <c r="W13" s="35" t="str">
        <f t="shared" si="15"/>
        <v/>
      </c>
      <c r="X13" s="35" t="str">
        <f t="shared" si="15"/>
        <v/>
      </c>
      <c r="Y13" s="35" t="str">
        <f t="shared" si="15"/>
        <v/>
      </c>
      <c r="Z13" s="35" t="str">
        <f t="shared" si="15"/>
        <v/>
      </c>
      <c r="AA13" s="35" t="str">
        <f t="shared" si="15"/>
        <v/>
      </c>
      <c r="AB13" s="35" t="str">
        <f t="shared" si="15"/>
        <v/>
      </c>
      <c r="AC13" s="35" t="str">
        <f t="shared" si="15"/>
        <v/>
      </c>
      <c r="AE13" s="6" t="s">
        <v>162</v>
      </c>
      <c r="AG13" s="35" t="str">
        <f t="shared" ref="AG13:AZ13" si="16">IF(AG14=Yr_DHS2,"Most Recent DHS",IF(AG14=Yr_Start,"Start Year",IF(AG14=Yr_End,"End Year","")))</f>
        <v>Most Recent DHS</v>
      </c>
      <c r="AH13" s="35" t="str">
        <f t="shared" si="16"/>
        <v/>
      </c>
      <c r="AI13" s="35" t="str">
        <f t="shared" si="16"/>
        <v/>
      </c>
      <c r="AJ13" s="35" t="str">
        <f t="shared" si="16"/>
        <v>Start Year</v>
      </c>
      <c r="AK13" s="35" t="str">
        <f t="shared" si="16"/>
        <v/>
      </c>
      <c r="AL13" s="35" t="str">
        <f t="shared" si="16"/>
        <v/>
      </c>
      <c r="AM13" s="35" t="str">
        <f t="shared" si="16"/>
        <v>End Year</v>
      </c>
      <c r="AN13" s="35" t="str">
        <f t="shared" si="16"/>
        <v/>
      </c>
      <c r="AO13" s="35" t="str">
        <f t="shared" si="16"/>
        <v/>
      </c>
      <c r="AP13" s="35" t="str">
        <f t="shared" si="16"/>
        <v/>
      </c>
      <c r="AQ13" s="35" t="str">
        <f t="shared" si="16"/>
        <v/>
      </c>
      <c r="AR13" s="35" t="str">
        <f t="shared" si="16"/>
        <v/>
      </c>
      <c r="AS13" s="35" t="str">
        <f t="shared" si="16"/>
        <v/>
      </c>
      <c r="AT13" s="35" t="str">
        <f t="shared" si="16"/>
        <v/>
      </c>
      <c r="AU13" s="35" t="str">
        <f t="shared" si="16"/>
        <v/>
      </c>
      <c r="AV13" s="35" t="str">
        <f t="shared" si="16"/>
        <v/>
      </c>
      <c r="AW13" s="35" t="str">
        <f t="shared" si="16"/>
        <v/>
      </c>
      <c r="AX13" s="35" t="str">
        <f t="shared" si="16"/>
        <v/>
      </c>
      <c r="AY13" s="35" t="str">
        <f t="shared" si="16"/>
        <v/>
      </c>
      <c r="AZ13" s="35" t="str">
        <f t="shared" si="16"/>
        <v/>
      </c>
    </row>
    <row r="14" spans="2:52" x14ac:dyDescent="0.25">
      <c r="B14" s="6" t="s">
        <v>21</v>
      </c>
      <c r="C14" s="36"/>
      <c r="D14" s="36">
        <f>Yr_DHS1</f>
        <v>2011</v>
      </c>
      <c r="E14" s="36">
        <f>Yr_DHS2</f>
        <v>2016</v>
      </c>
      <c r="F14" s="36">
        <f>Yr_Start</f>
        <v>2019</v>
      </c>
      <c r="G14" s="36">
        <f>Yr_End</f>
        <v>2022</v>
      </c>
      <c r="H14" s="36" t="s">
        <v>168</v>
      </c>
      <c r="I14" s="36" t="s">
        <v>187</v>
      </c>
      <c r="J14" s="36">
        <f>Yr_DHS2</f>
        <v>2016</v>
      </c>
      <c r="K14" s="36">
        <f>J14+1</f>
        <v>2017</v>
      </c>
      <c r="L14" s="36">
        <f t="shared" ref="L14:AC14" si="17">K14+1</f>
        <v>2018</v>
      </c>
      <c r="M14" s="36">
        <f t="shared" si="17"/>
        <v>2019</v>
      </c>
      <c r="N14" s="36">
        <f t="shared" si="17"/>
        <v>2020</v>
      </c>
      <c r="O14" s="36">
        <f t="shared" si="17"/>
        <v>2021</v>
      </c>
      <c r="P14" s="36">
        <f t="shared" si="17"/>
        <v>2022</v>
      </c>
      <c r="Q14" s="36">
        <f t="shared" si="17"/>
        <v>2023</v>
      </c>
      <c r="R14" s="36">
        <f t="shared" si="17"/>
        <v>2024</v>
      </c>
      <c r="S14" s="36">
        <f t="shared" si="17"/>
        <v>2025</v>
      </c>
      <c r="T14" s="36">
        <f t="shared" si="17"/>
        <v>2026</v>
      </c>
      <c r="U14" s="36">
        <f t="shared" si="17"/>
        <v>2027</v>
      </c>
      <c r="V14" s="36">
        <f t="shared" si="17"/>
        <v>2028</v>
      </c>
      <c r="W14" s="36">
        <f t="shared" si="17"/>
        <v>2029</v>
      </c>
      <c r="X14" s="36">
        <f t="shared" si="17"/>
        <v>2030</v>
      </c>
      <c r="Y14" s="36">
        <f t="shared" si="17"/>
        <v>2031</v>
      </c>
      <c r="Z14" s="36">
        <f t="shared" si="17"/>
        <v>2032</v>
      </c>
      <c r="AA14" s="36">
        <f t="shared" si="17"/>
        <v>2033</v>
      </c>
      <c r="AB14" s="36">
        <f t="shared" si="17"/>
        <v>2034</v>
      </c>
      <c r="AC14" s="36">
        <f t="shared" si="17"/>
        <v>2035</v>
      </c>
      <c r="AE14" s="6" t="s">
        <v>21</v>
      </c>
      <c r="AF14" s="38"/>
      <c r="AG14" s="36">
        <f>Yr_DHS2</f>
        <v>2016</v>
      </c>
      <c r="AH14" s="36">
        <f>AG14+1</f>
        <v>2017</v>
      </c>
      <c r="AI14" s="36">
        <f t="shared" ref="AI14:AZ14" si="18">AH14+1</f>
        <v>2018</v>
      </c>
      <c r="AJ14" s="36">
        <f t="shared" si="18"/>
        <v>2019</v>
      </c>
      <c r="AK14" s="36">
        <f t="shared" si="18"/>
        <v>2020</v>
      </c>
      <c r="AL14" s="36">
        <f t="shared" si="18"/>
        <v>2021</v>
      </c>
      <c r="AM14" s="36">
        <f t="shared" si="18"/>
        <v>2022</v>
      </c>
      <c r="AN14" s="36">
        <f t="shared" si="18"/>
        <v>2023</v>
      </c>
      <c r="AO14" s="36">
        <f t="shared" si="18"/>
        <v>2024</v>
      </c>
      <c r="AP14" s="36">
        <f t="shared" si="18"/>
        <v>2025</v>
      </c>
      <c r="AQ14" s="36">
        <f t="shared" si="18"/>
        <v>2026</v>
      </c>
      <c r="AR14" s="36">
        <f t="shared" si="18"/>
        <v>2027</v>
      </c>
      <c r="AS14" s="36">
        <f t="shared" si="18"/>
        <v>2028</v>
      </c>
      <c r="AT14" s="36">
        <f t="shared" si="18"/>
        <v>2029</v>
      </c>
      <c r="AU14" s="36">
        <f t="shared" si="18"/>
        <v>2030</v>
      </c>
      <c r="AV14" s="36">
        <f t="shared" si="18"/>
        <v>2031</v>
      </c>
      <c r="AW14" s="36">
        <f t="shared" si="18"/>
        <v>2032</v>
      </c>
      <c r="AX14" s="36">
        <f t="shared" si="18"/>
        <v>2033</v>
      </c>
      <c r="AY14" s="36">
        <f t="shared" si="18"/>
        <v>2034</v>
      </c>
      <c r="AZ14" s="36">
        <f t="shared" si="18"/>
        <v>2035</v>
      </c>
    </row>
    <row r="15" spans="2:52" x14ac:dyDescent="0.25">
      <c r="C15" s="1" t="s">
        <v>188</v>
      </c>
      <c r="D15" s="14" t="e">
        <f t="array" ref="D15">INDEX(Data_FP!$B$2:$H$184,MATCH(FCondom!D$6&amp;FCondom!$B$14&amp;FCondom!$C15&amp;$B$2,Data_FP!$B$2:$B$184&amp;Data_FP!$C$2:$C$184&amp;Data_FP!$D$2:$D$184&amp;Data_FP!$E$2:$E$184,0),MATCH(FCondom!$B$13,Data_FP!$B$2:$H$2,0))</f>
        <v>#N/A</v>
      </c>
      <c r="E15" s="14" t="e">
        <f t="array" ref="E15">INDEX(Data_FP!$B$2:$H$184,MATCH(FCondom!E$6&amp;FCondom!$B$14&amp;FCondom!$C15&amp;$B$2,Data_FP!$B$2:$B$184&amp;Data_FP!$C$2:$C$184&amp;Data_FP!$D$2:$D$184&amp;Data_FP!$E$2:$E$184,0),MATCH(FCondom!$B$13,Data_FP!$B$2:$H$2,0))</f>
        <v>#N/A</v>
      </c>
      <c r="F15" s="14" t="e">
        <f>IF(E15+H15*(Yr_Start-Yr_DHS2)&lt;0,0,E15+H15*(Yr_Start-Yr_DHS2))</f>
        <v>#N/A</v>
      </c>
      <c r="G15" s="14" t="e">
        <f>E15*(1-Shift_RurQ1)</f>
        <v>#N/A</v>
      </c>
      <c r="H15" s="14" t="e">
        <f>+($E15-$D15)/($E$6-$D$6)</f>
        <v>#N/A</v>
      </c>
      <c r="I15" s="14" t="e">
        <f>+($G15-$F15)/($G$6-$F$6)</f>
        <v>#N/A</v>
      </c>
      <c r="J15" s="15" t="e">
        <f>E15</f>
        <v>#N/A</v>
      </c>
      <c r="K15" s="15" t="e">
        <f t="shared" ref="K15:AC15" si="19">IF(IF(K$6&lt;=Yr_Start,J15+$H15,J15+$I15)&lt;0,0,IF(K$6&lt;=Yr_Start,J15+$H15,J15+$I15))</f>
        <v>#N/A</v>
      </c>
      <c r="L15" s="15" t="e">
        <f t="shared" si="19"/>
        <v>#N/A</v>
      </c>
      <c r="M15" s="15" t="e">
        <f t="shared" si="19"/>
        <v>#N/A</v>
      </c>
      <c r="N15" s="15" t="e">
        <f t="shared" si="19"/>
        <v>#N/A</v>
      </c>
      <c r="O15" s="15" t="e">
        <f t="shared" si="19"/>
        <v>#N/A</v>
      </c>
      <c r="P15" s="15" t="e">
        <f t="shared" si="19"/>
        <v>#N/A</v>
      </c>
      <c r="Q15" s="15" t="e">
        <f t="shared" si="19"/>
        <v>#N/A</v>
      </c>
      <c r="R15" s="15" t="e">
        <f t="shared" si="19"/>
        <v>#N/A</v>
      </c>
      <c r="S15" s="15" t="e">
        <f t="shared" si="19"/>
        <v>#N/A</v>
      </c>
      <c r="T15" s="15" t="e">
        <f t="shared" si="19"/>
        <v>#N/A</v>
      </c>
      <c r="U15" s="15" t="e">
        <f t="shared" si="19"/>
        <v>#N/A</v>
      </c>
      <c r="V15" s="15" t="e">
        <f t="shared" si="19"/>
        <v>#N/A</v>
      </c>
      <c r="W15" s="15" t="e">
        <f t="shared" si="19"/>
        <v>#N/A</v>
      </c>
      <c r="X15" s="15" t="e">
        <f t="shared" si="19"/>
        <v>#N/A</v>
      </c>
      <c r="Y15" s="15" t="e">
        <f t="shared" si="19"/>
        <v>#N/A</v>
      </c>
      <c r="Z15" s="15" t="e">
        <f t="shared" si="19"/>
        <v>#N/A</v>
      </c>
      <c r="AA15" s="15" t="e">
        <f t="shared" si="19"/>
        <v>#N/A</v>
      </c>
      <c r="AB15" s="15" t="e">
        <f t="shared" si="19"/>
        <v>#N/A</v>
      </c>
      <c r="AC15" s="15" t="e">
        <f t="shared" si="19"/>
        <v>#N/A</v>
      </c>
      <c r="AF15" s="1" t="s">
        <v>188</v>
      </c>
      <c r="AG15" s="37" t="e">
        <f>+J15*AG$3</f>
        <v>#N/A</v>
      </c>
      <c r="AH15" s="37" t="e">
        <f t="shared" ref="AH15:AW18" si="20">+K15*AH$3</f>
        <v>#N/A</v>
      </c>
      <c r="AI15" s="37" t="e">
        <f t="shared" si="20"/>
        <v>#N/A</v>
      </c>
      <c r="AJ15" s="37" t="e">
        <f t="shared" si="20"/>
        <v>#N/A</v>
      </c>
      <c r="AK15" s="37" t="e">
        <f t="shared" si="20"/>
        <v>#N/A</v>
      </c>
      <c r="AL15" s="37" t="e">
        <f t="shared" si="20"/>
        <v>#N/A</v>
      </c>
      <c r="AM15" s="37" t="e">
        <f t="shared" si="20"/>
        <v>#N/A</v>
      </c>
      <c r="AN15" s="37" t="e">
        <f t="shared" si="20"/>
        <v>#N/A</v>
      </c>
      <c r="AO15" s="37" t="e">
        <f t="shared" si="20"/>
        <v>#N/A</v>
      </c>
      <c r="AP15" s="37" t="e">
        <f t="shared" si="20"/>
        <v>#N/A</v>
      </c>
      <c r="AQ15" s="37" t="e">
        <f t="shared" si="20"/>
        <v>#N/A</v>
      </c>
      <c r="AR15" s="37" t="e">
        <f t="shared" si="20"/>
        <v>#N/A</v>
      </c>
      <c r="AS15" s="37" t="e">
        <f t="shared" si="20"/>
        <v>#N/A</v>
      </c>
      <c r="AT15" s="37" t="e">
        <f t="shared" si="20"/>
        <v>#N/A</v>
      </c>
      <c r="AU15" s="37" t="e">
        <f t="shared" si="20"/>
        <v>#N/A</v>
      </c>
      <c r="AV15" s="37" t="e">
        <f t="shared" si="20"/>
        <v>#N/A</v>
      </c>
      <c r="AW15" s="37" t="e">
        <f t="shared" si="20"/>
        <v>#N/A</v>
      </c>
      <c r="AX15" s="37" t="e">
        <f t="shared" ref="AX15:AZ18" si="21">+AA15*AX$3</f>
        <v>#N/A</v>
      </c>
      <c r="AY15" s="37" t="e">
        <f t="shared" si="21"/>
        <v>#N/A</v>
      </c>
      <c r="AZ15" s="37" t="e">
        <f t="shared" si="21"/>
        <v>#N/A</v>
      </c>
    </row>
    <row r="16" spans="2:52" x14ac:dyDescent="0.25">
      <c r="C16" s="1" t="s">
        <v>170</v>
      </c>
      <c r="D16" s="14" t="e">
        <f t="array" ref="D16">INDEX(Data_FP!$B$2:$H$184,MATCH(FCondom!D$6&amp;FCondom!$B$14&amp;FCondom!$C16&amp;$B$2,Data_FP!$B$2:$B$184&amp;Data_FP!$C$2:$C$184&amp;Data_FP!$D$2:$D$184&amp;Data_FP!$E$2:$E$184,0),MATCH(FCondom!$B$13,Data_FP!$B$2:$H$2,0))</f>
        <v>#N/A</v>
      </c>
      <c r="E16" s="14" t="e">
        <f t="array" ref="E16">INDEX(Data_FP!$B$2:$H$184,MATCH(FCondom!E$6&amp;FCondom!$B$14&amp;FCondom!$C16&amp;$B$2,Data_FP!$B$2:$B$184&amp;Data_FP!$C$2:$C$184&amp;Data_FP!$D$2:$D$184&amp;Data_FP!$E$2:$E$184,0),MATCH(FCondom!$B$13,Data_FP!$B$2:$H$2,0))</f>
        <v>#N/A</v>
      </c>
      <c r="F16" s="14" t="e">
        <f>IF(E16+H16*(Yr_Start-Yr_DHS2)&lt;0,0,E16+H16*(Yr_Start-Yr_DHS2))</f>
        <v>#N/A</v>
      </c>
      <c r="G16" s="14" t="e">
        <f>E16*(1-Shift_RurQ1)</f>
        <v>#N/A</v>
      </c>
      <c r="H16" s="14" t="e">
        <f t="shared" ref="H16:H18" si="22">+($E16-$D16)/($E$6-$D$6)</f>
        <v>#N/A</v>
      </c>
      <c r="I16" s="14" t="e">
        <f t="shared" ref="I16:I18" si="23">+($G16-$F16)/($G$6-$F$6)</f>
        <v>#N/A</v>
      </c>
      <c r="J16" s="15" t="e">
        <f t="shared" ref="J16:J18" si="24">E16</f>
        <v>#N/A</v>
      </c>
      <c r="K16" s="15" t="e">
        <f t="shared" ref="K16:AC16" si="25">IF(IF(K$6&lt;=Yr_Start,J16+$H16,J16+$I16)&lt;0,0,IF(K$6&lt;=Yr_Start,J16+$H16,J16+$I16))</f>
        <v>#N/A</v>
      </c>
      <c r="L16" s="15" t="e">
        <f t="shared" si="25"/>
        <v>#N/A</v>
      </c>
      <c r="M16" s="15" t="e">
        <f t="shared" si="25"/>
        <v>#N/A</v>
      </c>
      <c r="N16" s="15" t="e">
        <f t="shared" si="25"/>
        <v>#N/A</v>
      </c>
      <c r="O16" s="15" t="e">
        <f t="shared" si="25"/>
        <v>#N/A</v>
      </c>
      <c r="P16" s="15" t="e">
        <f t="shared" si="25"/>
        <v>#N/A</v>
      </c>
      <c r="Q16" s="15" t="e">
        <f t="shared" si="25"/>
        <v>#N/A</v>
      </c>
      <c r="R16" s="15" t="e">
        <f t="shared" si="25"/>
        <v>#N/A</v>
      </c>
      <c r="S16" s="15" t="e">
        <f t="shared" si="25"/>
        <v>#N/A</v>
      </c>
      <c r="T16" s="15" t="e">
        <f t="shared" si="25"/>
        <v>#N/A</v>
      </c>
      <c r="U16" s="15" t="e">
        <f t="shared" si="25"/>
        <v>#N/A</v>
      </c>
      <c r="V16" s="15" t="e">
        <f t="shared" si="25"/>
        <v>#N/A</v>
      </c>
      <c r="W16" s="15" t="e">
        <f t="shared" si="25"/>
        <v>#N/A</v>
      </c>
      <c r="X16" s="15" t="e">
        <f t="shared" si="25"/>
        <v>#N/A</v>
      </c>
      <c r="Y16" s="15" t="e">
        <f t="shared" si="25"/>
        <v>#N/A</v>
      </c>
      <c r="Z16" s="15" t="e">
        <f t="shared" si="25"/>
        <v>#N/A</v>
      </c>
      <c r="AA16" s="15" t="e">
        <f t="shared" si="25"/>
        <v>#N/A</v>
      </c>
      <c r="AB16" s="15" t="e">
        <f t="shared" si="25"/>
        <v>#N/A</v>
      </c>
      <c r="AC16" s="15" t="e">
        <f t="shared" si="25"/>
        <v>#N/A</v>
      </c>
      <c r="AF16" s="1" t="s">
        <v>170</v>
      </c>
      <c r="AG16" s="37" t="e">
        <f t="shared" ref="AG16:AG18" si="26">+J16*AG$3</f>
        <v>#N/A</v>
      </c>
      <c r="AH16" s="37" t="e">
        <f t="shared" si="20"/>
        <v>#N/A</v>
      </c>
      <c r="AI16" s="37" t="e">
        <f t="shared" si="20"/>
        <v>#N/A</v>
      </c>
      <c r="AJ16" s="37" t="e">
        <f t="shared" si="20"/>
        <v>#N/A</v>
      </c>
      <c r="AK16" s="37" t="e">
        <f t="shared" si="20"/>
        <v>#N/A</v>
      </c>
      <c r="AL16" s="37" t="e">
        <f t="shared" si="20"/>
        <v>#N/A</v>
      </c>
      <c r="AM16" s="37" t="e">
        <f t="shared" si="20"/>
        <v>#N/A</v>
      </c>
      <c r="AN16" s="37" t="e">
        <f t="shared" si="20"/>
        <v>#N/A</v>
      </c>
      <c r="AO16" s="37" t="e">
        <f t="shared" si="20"/>
        <v>#N/A</v>
      </c>
      <c r="AP16" s="37" t="e">
        <f t="shared" si="20"/>
        <v>#N/A</v>
      </c>
      <c r="AQ16" s="37" t="e">
        <f t="shared" si="20"/>
        <v>#N/A</v>
      </c>
      <c r="AR16" s="37" t="e">
        <f t="shared" si="20"/>
        <v>#N/A</v>
      </c>
      <c r="AS16" s="37" t="e">
        <f t="shared" si="20"/>
        <v>#N/A</v>
      </c>
      <c r="AT16" s="37" t="e">
        <f t="shared" si="20"/>
        <v>#N/A</v>
      </c>
      <c r="AU16" s="37" t="e">
        <f t="shared" si="20"/>
        <v>#N/A</v>
      </c>
      <c r="AV16" s="37" t="e">
        <f t="shared" si="20"/>
        <v>#N/A</v>
      </c>
      <c r="AW16" s="37" t="e">
        <f t="shared" si="20"/>
        <v>#N/A</v>
      </c>
      <c r="AX16" s="37" t="e">
        <f t="shared" si="21"/>
        <v>#N/A</v>
      </c>
      <c r="AY16" s="37" t="e">
        <f t="shared" si="21"/>
        <v>#N/A</v>
      </c>
      <c r="AZ16" s="37" t="e">
        <f t="shared" si="21"/>
        <v>#N/A</v>
      </c>
    </row>
    <row r="17" spans="2:52" x14ac:dyDescent="0.25">
      <c r="C17" s="1" t="s">
        <v>59</v>
      </c>
      <c r="D17" s="14" t="e">
        <f t="array" ref="D17">INDEX(Data_FP!$B$2:$H$184,MATCH(FCondom!D$6&amp;FCondom!$B$14&amp;FCondom!$C17&amp;$B$2,Data_FP!$B$2:$B$184&amp;Data_FP!$C$2:$C$184&amp;Data_FP!$D$2:$D$184&amp;Data_FP!$E$2:$E$184,0),MATCH(FCondom!$B$13,Data_FP!$B$2:$H$2,0))</f>
        <v>#N/A</v>
      </c>
      <c r="E17" s="14" t="e">
        <f t="array" ref="E17">INDEX(Data_FP!$B$2:$H$184,MATCH(FCondom!E$6&amp;FCondom!$B$14&amp;FCondom!$C17&amp;$B$2,Data_FP!$B$2:$B$184&amp;Data_FP!$C$2:$C$184&amp;Data_FP!$D$2:$D$184&amp;Data_FP!$E$2:$E$184,0),MATCH(FCondom!$B$13,Data_FP!$B$2:$H$2,0))</f>
        <v>#N/A</v>
      </c>
      <c r="F17" s="14" t="e">
        <f>IF(E17+H17*(Yr_Start-Yr_DHS2)&lt;0,0,E17+H17*(Yr_Start-Yr_DHS2))</f>
        <v>#N/A</v>
      </c>
      <c r="G17" s="14" t="e">
        <f>E19-SUM(G18,G16,G15)</f>
        <v>#N/A</v>
      </c>
      <c r="H17" s="14" t="e">
        <f t="shared" si="22"/>
        <v>#N/A</v>
      </c>
      <c r="I17" s="14" t="e">
        <f t="shared" si="23"/>
        <v>#N/A</v>
      </c>
      <c r="J17" s="15" t="e">
        <f t="shared" si="24"/>
        <v>#N/A</v>
      </c>
      <c r="K17" s="15" t="e">
        <f t="shared" ref="K17:AC17" si="27">IF(IF(K$6&lt;=Yr_Start,J17+$H17,J17+$I17)&lt;0,0,IF(K$6&lt;=Yr_Start,J17+$H17,J17+$I17))</f>
        <v>#N/A</v>
      </c>
      <c r="L17" s="15" t="e">
        <f t="shared" si="27"/>
        <v>#N/A</v>
      </c>
      <c r="M17" s="15" t="e">
        <f t="shared" si="27"/>
        <v>#N/A</v>
      </c>
      <c r="N17" s="15" t="e">
        <f t="shared" si="27"/>
        <v>#N/A</v>
      </c>
      <c r="O17" s="15" t="e">
        <f t="shared" si="27"/>
        <v>#N/A</v>
      </c>
      <c r="P17" s="15" t="e">
        <f t="shared" si="27"/>
        <v>#N/A</v>
      </c>
      <c r="Q17" s="15" t="e">
        <f t="shared" si="27"/>
        <v>#N/A</v>
      </c>
      <c r="R17" s="15" t="e">
        <f t="shared" si="27"/>
        <v>#N/A</v>
      </c>
      <c r="S17" s="15" t="e">
        <f t="shared" si="27"/>
        <v>#N/A</v>
      </c>
      <c r="T17" s="15" t="e">
        <f t="shared" si="27"/>
        <v>#N/A</v>
      </c>
      <c r="U17" s="15" t="e">
        <f t="shared" si="27"/>
        <v>#N/A</v>
      </c>
      <c r="V17" s="15" t="e">
        <f t="shared" si="27"/>
        <v>#N/A</v>
      </c>
      <c r="W17" s="15" t="e">
        <f t="shared" si="27"/>
        <v>#N/A</v>
      </c>
      <c r="X17" s="15" t="e">
        <f t="shared" si="27"/>
        <v>#N/A</v>
      </c>
      <c r="Y17" s="15" t="e">
        <f t="shared" si="27"/>
        <v>#N/A</v>
      </c>
      <c r="Z17" s="15" t="e">
        <f t="shared" si="27"/>
        <v>#N/A</v>
      </c>
      <c r="AA17" s="15" t="e">
        <f t="shared" si="27"/>
        <v>#N/A</v>
      </c>
      <c r="AB17" s="15" t="e">
        <f t="shared" si="27"/>
        <v>#N/A</v>
      </c>
      <c r="AC17" s="15" t="e">
        <f t="shared" si="27"/>
        <v>#N/A</v>
      </c>
      <c r="AF17" s="1" t="s">
        <v>59</v>
      </c>
      <c r="AG17" s="37" t="e">
        <f t="shared" si="26"/>
        <v>#N/A</v>
      </c>
      <c r="AH17" s="37" t="e">
        <f t="shared" si="20"/>
        <v>#N/A</v>
      </c>
      <c r="AI17" s="37" t="e">
        <f t="shared" si="20"/>
        <v>#N/A</v>
      </c>
      <c r="AJ17" s="37" t="e">
        <f t="shared" si="20"/>
        <v>#N/A</v>
      </c>
      <c r="AK17" s="37" t="e">
        <f t="shared" si="20"/>
        <v>#N/A</v>
      </c>
      <c r="AL17" s="37" t="e">
        <f t="shared" si="20"/>
        <v>#N/A</v>
      </c>
      <c r="AM17" s="37" t="e">
        <f t="shared" si="20"/>
        <v>#N/A</v>
      </c>
      <c r="AN17" s="37" t="e">
        <f t="shared" si="20"/>
        <v>#N/A</v>
      </c>
      <c r="AO17" s="37" t="e">
        <f t="shared" si="20"/>
        <v>#N/A</v>
      </c>
      <c r="AP17" s="37" t="e">
        <f t="shared" si="20"/>
        <v>#N/A</v>
      </c>
      <c r="AQ17" s="37" t="e">
        <f t="shared" si="20"/>
        <v>#N/A</v>
      </c>
      <c r="AR17" s="37" t="e">
        <f t="shared" si="20"/>
        <v>#N/A</v>
      </c>
      <c r="AS17" s="37" t="e">
        <f t="shared" si="20"/>
        <v>#N/A</v>
      </c>
      <c r="AT17" s="37" t="e">
        <f t="shared" si="20"/>
        <v>#N/A</v>
      </c>
      <c r="AU17" s="37" t="e">
        <f t="shared" si="20"/>
        <v>#N/A</v>
      </c>
      <c r="AV17" s="37" t="e">
        <f t="shared" si="20"/>
        <v>#N/A</v>
      </c>
      <c r="AW17" s="37" t="e">
        <f t="shared" si="20"/>
        <v>#N/A</v>
      </c>
      <c r="AX17" s="37" t="e">
        <f t="shared" si="21"/>
        <v>#N/A</v>
      </c>
      <c r="AY17" s="37" t="e">
        <f t="shared" si="21"/>
        <v>#N/A</v>
      </c>
      <c r="AZ17" s="37" t="e">
        <f t="shared" si="21"/>
        <v>#N/A</v>
      </c>
    </row>
    <row r="18" spans="2:52" x14ac:dyDescent="0.25">
      <c r="C18" s="1" t="s">
        <v>116</v>
      </c>
      <c r="D18" s="14" t="e">
        <f t="array" ref="D18">INDEX(Data_FP!$B$2:$H$184,MATCH(FCondom!D$6&amp;FCondom!$B$14&amp;FCondom!$C18&amp;$B$2,Data_FP!$B$2:$B$184&amp;Data_FP!$C$2:$C$184&amp;Data_FP!$D$2:$D$184&amp;Data_FP!$E$2:$E$184,0),MATCH(FCondom!$B$13,Data_FP!$B$2:$H$2,0))</f>
        <v>#N/A</v>
      </c>
      <c r="E18" s="14" t="e">
        <f t="array" ref="E18">INDEX(Data_FP!$B$2:$H$184,MATCH(FCondom!E$6&amp;FCondom!$B$14&amp;FCondom!$C18&amp;$B$2,Data_FP!$B$2:$B$184&amp;Data_FP!$C$2:$C$184&amp;Data_FP!$D$2:$D$184&amp;Data_FP!$E$2:$E$184,0),MATCH(FCondom!$B$13,Data_FP!$B$2:$H$2,0))</f>
        <v>#N/A</v>
      </c>
      <c r="F18" s="14" t="e">
        <f>IF(E18+H18*(Yr_Start-Yr_DHS2)&lt;0,0,E18+H18*(Yr_Start-Yr_DHS2))</f>
        <v>#N/A</v>
      </c>
      <c r="G18" s="14" t="e">
        <f>E18*(1-Shift_RurQ1)</f>
        <v>#N/A</v>
      </c>
      <c r="H18" s="27" t="e">
        <f t="shared" si="22"/>
        <v>#N/A</v>
      </c>
      <c r="I18" s="14" t="e">
        <f t="shared" si="23"/>
        <v>#N/A</v>
      </c>
      <c r="J18" s="15" t="e">
        <f t="shared" si="24"/>
        <v>#N/A</v>
      </c>
      <c r="K18" s="15" t="e">
        <f t="shared" ref="K18:AC18" si="28">IF(IF(K$6&lt;=Yr_Start,J18+$H18,J18+$I18)&lt;0,0,IF(K$6&lt;=Yr_Start,J18+$H18,J18+$I18))</f>
        <v>#N/A</v>
      </c>
      <c r="L18" s="15" t="e">
        <f t="shared" si="28"/>
        <v>#N/A</v>
      </c>
      <c r="M18" s="15" t="e">
        <f t="shared" si="28"/>
        <v>#N/A</v>
      </c>
      <c r="N18" s="15" t="e">
        <f t="shared" si="28"/>
        <v>#N/A</v>
      </c>
      <c r="O18" s="15" t="e">
        <f t="shared" si="28"/>
        <v>#N/A</v>
      </c>
      <c r="P18" s="15" t="e">
        <f t="shared" si="28"/>
        <v>#N/A</v>
      </c>
      <c r="Q18" s="15" t="e">
        <f t="shared" si="28"/>
        <v>#N/A</v>
      </c>
      <c r="R18" s="15" t="e">
        <f t="shared" si="28"/>
        <v>#N/A</v>
      </c>
      <c r="S18" s="15" t="e">
        <f t="shared" si="28"/>
        <v>#N/A</v>
      </c>
      <c r="T18" s="15" t="e">
        <f t="shared" si="28"/>
        <v>#N/A</v>
      </c>
      <c r="U18" s="15" t="e">
        <f t="shared" si="28"/>
        <v>#N/A</v>
      </c>
      <c r="V18" s="15" t="e">
        <f t="shared" si="28"/>
        <v>#N/A</v>
      </c>
      <c r="W18" s="15" t="e">
        <f t="shared" si="28"/>
        <v>#N/A</v>
      </c>
      <c r="X18" s="15" t="e">
        <f t="shared" si="28"/>
        <v>#N/A</v>
      </c>
      <c r="Y18" s="15" t="e">
        <f t="shared" si="28"/>
        <v>#N/A</v>
      </c>
      <c r="Z18" s="15" t="e">
        <f t="shared" si="28"/>
        <v>#N/A</v>
      </c>
      <c r="AA18" s="15" t="e">
        <f t="shared" si="28"/>
        <v>#N/A</v>
      </c>
      <c r="AB18" s="15" t="e">
        <f t="shared" si="28"/>
        <v>#N/A</v>
      </c>
      <c r="AC18" s="15" t="e">
        <f t="shared" si="28"/>
        <v>#N/A</v>
      </c>
      <c r="AF18" s="1" t="s">
        <v>116</v>
      </c>
      <c r="AG18" s="37" t="e">
        <f t="shared" si="26"/>
        <v>#N/A</v>
      </c>
      <c r="AH18" s="37" t="e">
        <f t="shared" si="20"/>
        <v>#N/A</v>
      </c>
      <c r="AI18" s="37" t="e">
        <f t="shared" si="20"/>
        <v>#N/A</v>
      </c>
      <c r="AJ18" s="37" t="e">
        <f t="shared" si="20"/>
        <v>#N/A</v>
      </c>
      <c r="AK18" s="37" t="e">
        <f t="shared" si="20"/>
        <v>#N/A</v>
      </c>
      <c r="AL18" s="37" t="e">
        <f t="shared" si="20"/>
        <v>#N/A</v>
      </c>
      <c r="AM18" s="37" t="e">
        <f t="shared" si="20"/>
        <v>#N/A</v>
      </c>
      <c r="AN18" s="37" t="e">
        <f t="shared" si="20"/>
        <v>#N/A</v>
      </c>
      <c r="AO18" s="37" t="e">
        <f t="shared" si="20"/>
        <v>#N/A</v>
      </c>
      <c r="AP18" s="37" t="e">
        <f t="shared" si="20"/>
        <v>#N/A</v>
      </c>
      <c r="AQ18" s="37" t="e">
        <f t="shared" si="20"/>
        <v>#N/A</v>
      </c>
      <c r="AR18" s="37" t="e">
        <f t="shared" si="20"/>
        <v>#N/A</v>
      </c>
      <c r="AS18" s="37" t="e">
        <f t="shared" si="20"/>
        <v>#N/A</v>
      </c>
      <c r="AT18" s="37" t="e">
        <f t="shared" si="20"/>
        <v>#N/A</v>
      </c>
      <c r="AU18" s="37" t="e">
        <f t="shared" si="20"/>
        <v>#N/A</v>
      </c>
      <c r="AV18" s="37" t="e">
        <f t="shared" si="20"/>
        <v>#N/A</v>
      </c>
      <c r="AW18" s="37" t="e">
        <f t="shared" si="20"/>
        <v>#N/A</v>
      </c>
      <c r="AX18" s="37" t="e">
        <f t="shared" si="21"/>
        <v>#N/A</v>
      </c>
      <c r="AY18" s="37" t="e">
        <f t="shared" si="21"/>
        <v>#N/A</v>
      </c>
      <c r="AZ18" s="37" t="e">
        <f t="shared" si="21"/>
        <v>#N/A</v>
      </c>
    </row>
    <row r="19" spans="2:52" x14ac:dyDescent="0.25">
      <c r="E19" s="5" t="e">
        <f>SUM(E15:E18)</f>
        <v>#N/A</v>
      </c>
      <c r="F19" s="5"/>
      <c r="AF19" s="1" t="s">
        <v>60</v>
      </c>
      <c r="AG19" s="37" t="e">
        <f>+SUM(AG15:AG18)</f>
        <v>#N/A</v>
      </c>
      <c r="AH19" s="37" t="e">
        <f t="shared" ref="AH19:AZ19" si="29">+SUM(AH15:AH18)</f>
        <v>#N/A</v>
      </c>
      <c r="AI19" s="37" t="e">
        <f t="shared" si="29"/>
        <v>#N/A</v>
      </c>
      <c r="AJ19" s="37" t="e">
        <f t="shared" si="29"/>
        <v>#N/A</v>
      </c>
      <c r="AK19" s="37" t="e">
        <f t="shared" si="29"/>
        <v>#N/A</v>
      </c>
      <c r="AL19" s="37" t="e">
        <f t="shared" si="29"/>
        <v>#N/A</v>
      </c>
      <c r="AM19" s="37" t="e">
        <f t="shared" si="29"/>
        <v>#N/A</v>
      </c>
      <c r="AN19" s="37" t="e">
        <f t="shared" si="29"/>
        <v>#N/A</v>
      </c>
      <c r="AO19" s="37" t="e">
        <f t="shared" si="29"/>
        <v>#N/A</v>
      </c>
      <c r="AP19" s="37" t="e">
        <f t="shared" si="29"/>
        <v>#N/A</v>
      </c>
      <c r="AQ19" s="37" t="e">
        <f t="shared" si="29"/>
        <v>#N/A</v>
      </c>
      <c r="AR19" s="37" t="e">
        <f t="shared" si="29"/>
        <v>#N/A</v>
      </c>
      <c r="AS19" s="37" t="e">
        <f t="shared" si="29"/>
        <v>#N/A</v>
      </c>
      <c r="AT19" s="37" t="e">
        <f t="shared" si="29"/>
        <v>#N/A</v>
      </c>
      <c r="AU19" s="37" t="e">
        <f t="shared" si="29"/>
        <v>#N/A</v>
      </c>
      <c r="AV19" s="37" t="e">
        <f t="shared" si="29"/>
        <v>#N/A</v>
      </c>
      <c r="AW19" s="37" t="e">
        <f t="shared" si="29"/>
        <v>#N/A</v>
      </c>
      <c r="AX19" s="37" t="e">
        <f t="shared" si="29"/>
        <v>#N/A</v>
      </c>
      <c r="AY19" s="37" t="e">
        <f t="shared" si="29"/>
        <v>#N/A</v>
      </c>
      <c r="AZ19" s="37" t="e">
        <f t="shared" si="29"/>
        <v>#N/A</v>
      </c>
    </row>
    <row r="20" spans="2:52" x14ac:dyDescent="0.25">
      <c r="E20" s="5"/>
      <c r="F20" s="5"/>
      <c r="AG20" s="7"/>
      <c r="AH20" s="7"/>
      <c r="AI20" s="7"/>
      <c r="AJ20" s="7"/>
      <c r="AK20" s="7"/>
      <c r="AL20" s="7"/>
      <c r="AM20" s="7"/>
      <c r="AN20" s="7"/>
      <c r="AO20" s="7"/>
      <c r="AP20" s="7"/>
      <c r="AQ20" s="7"/>
      <c r="AR20" s="7"/>
    </row>
    <row r="21" spans="2:52" x14ac:dyDescent="0.25">
      <c r="B21" s="6" t="s">
        <v>173</v>
      </c>
      <c r="D21" s="4" t="s">
        <v>163</v>
      </c>
      <c r="E21" s="4" t="s">
        <v>164</v>
      </c>
      <c r="F21" s="4" t="s">
        <v>165</v>
      </c>
      <c r="G21" s="4" t="s">
        <v>186</v>
      </c>
      <c r="J21" s="35" t="str">
        <f t="shared" ref="J21:AC21" si="30">IF(J22=Yr_DHS2,"Most Recent DHS",IF(J22=Yr_Start,"Start Year",IF(J22=Yr_End,"End Year","")))</f>
        <v>Most Recent DHS</v>
      </c>
      <c r="K21" s="35" t="str">
        <f t="shared" si="30"/>
        <v/>
      </c>
      <c r="L21" s="35" t="str">
        <f t="shared" si="30"/>
        <v/>
      </c>
      <c r="M21" s="35" t="str">
        <f t="shared" si="30"/>
        <v>Start Year</v>
      </c>
      <c r="N21" s="35" t="str">
        <f t="shared" si="30"/>
        <v/>
      </c>
      <c r="O21" s="35" t="str">
        <f t="shared" si="30"/>
        <v/>
      </c>
      <c r="P21" s="35" t="str">
        <f t="shared" si="30"/>
        <v>End Year</v>
      </c>
      <c r="Q21" s="35" t="str">
        <f t="shared" si="30"/>
        <v/>
      </c>
      <c r="R21" s="35" t="str">
        <f t="shared" si="30"/>
        <v/>
      </c>
      <c r="S21" s="35" t="str">
        <f t="shared" si="30"/>
        <v/>
      </c>
      <c r="T21" s="35" t="str">
        <f t="shared" si="30"/>
        <v/>
      </c>
      <c r="U21" s="35" t="str">
        <f t="shared" si="30"/>
        <v/>
      </c>
      <c r="V21" s="35" t="str">
        <f t="shared" si="30"/>
        <v/>
      </c>
      <c r="W21" s="35" t="str">
        <f t="shared" si="30"/>
        <v/>
      </c>
      <c r="X21" s="35" t="str">
        <f t="shared" si="30"/>
        <v/>
      </c>
      <c r="Y21" s="35" t="str">
        <f t="shared" si="30"/>
        <v/>
      </c>
      <c r="Z21" s="35" t="str">
        <f t="shared" si="30"/>
        <v/>
      </c>
      <c r="AA21" s="35" t="str">
        <f t="shared" si="30"/>
        <v/>
      </c>
      <c r="AB21" s="35" t="str">
        <f t="shared" si="30"/>
        <v/>
      </c>
      <c r="AC21" s="35" t="str">
        <f t="shared" si="30"/>
        <v/>
      </c>
      <c r="AE21" s="6" t="s">
        <v>173</v>
      </c>
      <c r="AG21" s="35" t="str">
        <f t="shared" ref="AG21:AZ21" si="31">IF(AG22=Yr_DHS2,"Most Recent DHS",IF(AG22=Yr_Start,"Start Year",IF(AG22=Yr_End,"End Year","")))</f>
        <v>Most Recent DHS</v>
      </c>
      <c r="AH21" s="35" t="str">
        <f t="shared" si="31"/>
        <v/>
      </c>
      <c r="AI21" s="35" t="str">
        <f t="shared" si="31"/>
        <v/>
      </c>
      <c r="AJ21" s="35" t="str">
        <f t="shared" si="31"/>
        <v>Start Year</v>
      </c>
      <c r="AK21" s="35" t="str">
        <f t="shared" si="31"/>
        <v/>
      </c>
      <c r="AL21" s="35" t="str">
        <f t="shared" si="31"/>
        <v/>
      </c>
      <c r="AM21" s="35" t="str">
        <f t="shared" si="31"/>
        <v>End Year</v>
      </c>
      <c r="AN21" s="35" t="str">
        <f t="shared" si="31"/>
        <v/>
      </c>
      <c r="AO21" s="35" t="str">
        <f t="shared" si="31"/>
        <v/>
      </c>
      <c r="AP21" s="35" t="str">
        <f t="shared" si="31"/>
        <v/>
      </c>
      <c r="AQ21" s="35" t="str">
        <f t="shared" si="31"/>
        <v/>
      </c>
      <c r="AR21" s="35" t="str">
        <f t="shared" si="31"/>
        <v/>
      </c>
      <c r="AS21" s="35" t="str">
        <f t="shared" si="31"/>
        <v/>
      </c>
      <c r="AT21" s="35" t="str">
        <f t="shared" si="31"/>
        <v/>
      </c>
      <c r="AU21" s="35" t="str">
        <f t="shared" si="31"/>
        <v/>
      </c>
      <c r="AV21" s="35" t="str">
        <f t="shared" si="31"/>
        <v/>
      </c>
      <c r="AW21" s="35" t="str">
        <f t="shared" si="31"/>
        <v/>
      </c>
      <c r="AX21" s="35" t="str">
        <f t="shared" si="31"/>
        <v/>
      </c>
      <c r="AY21" s="35" t="str">
        <f t="shared" si="31"/>
        <v/>
      </c>
      <c r="AZ21" s="35" t="str">
        <f t="shared" si="31"/>
        <v/>
      </c>
    </row>
    <row r="22" spans="2:52" x14ac:dyDescent="0.25">
      <c r="B22" s="6" t="s">
        <v>20</v>
      </c>
      <c r="C22" s="36"/>
      <c r="D22" s="36">
        <f>Yr_DHS1</f>
        <v>2011</v>
      </c>
      <c r="E22" s="36">
        <f>Yr_DHS2</f>
        <v>2016</v>
      </c>
      <c r="F22" s="36">
        <f>Yr_Start</f>
        <v>2019</v>
      </c>
      <c r="G22" s="36">
        <f>Yr_End</f>
        <v>2022</v>
      </c>
      <c r="H22" s="36" t="s">
        <v>168</v>
      </c>
      <c r="I22" s="36" t="s">
        <v>187</v>
      </c>
      <c r="J22" s="36">
        <f>Yr_DHS2</f>
        <v>2016</v>
      </c>
      <c r="K22" s="36">
        <f>J22+1</f>
        <v>2017</v>
      </c>
      <c r="L22" s="36">
        <f t="shared" ref="L22:AC22" si="32">K22+1</f>
        <v>2018</v>
      </c>
      <c r="M22" s="36">
        <f t="shared" si="32"/>
        <v>2019</v>
      </c>
      <c r="N22" s="36">
        <f t="shared" si="32"/>
        <v>2020</v>
      </c>
      <c r="O22" s="36">
        <f t="shared" si="32"/>
        <v>2021</v>
      </c>
      <c r="P22" s="36">
        <f t="shared" si="32"/>
        <v>2022</v>
      </c>
      <c r="Q22" s="36">
        <f t="shared" si="32"/>
        <v>2023</v>
      </c>
      <c r="R22" s="36">
        <f t="shared" si="32"/>
        <v>2024</v>
      </c>
      <c r="S22" s="36">
        <f t="shared" si="32"/>
        <v>2025</v>
      </c>
      <c r="T22" s="36">
        <f t="shared" si="32"/>
        <v>2026</v>
      </c>
      <c r="U22" s="36">
        <f t="shared" si="32"/>
        <v>2027</v>
      </c>
      <c r="V22" s="36">
        <f t="shared" si="32"/>
        <v>2028</v>
      </c>
      <c r="W22" s="36">
        <f t="shared" si="32"/>
        <v>2029</v>
      </c>
      <c r="X22" s="36">
        <f t="shared" si="32"/>
        <v>2030</v>
      </c>
      <c r="Y22" s="36">
        <f t="shared" si="32"/>
        <v>2031</v>
      </c>
      <c r="Z22" s="36">
        <f t="shared" si="32"/>
        <v>2032</v>
      </c>
      <c r="AA22" s="36">
        <f t="shared" si="32"/>
        <v>2033</v>
      </c>
      <c r="AB22" s="36">
        <f t="shared" si="32"/>
        <v>2034</v>
      </c>
      <c r="AC22" s="36">
        <f t="shared" si="32"/>
        <v>2035</v>
      </c>
      <c r="AE22" s="6" t="s">
        <v>20</v>
      </c>
      <c r="AF22" s="38"/>
      <c r="AG22" s="36">
        <f>Yr_DHS2</f>
        <v>2016</v>
      </c>
      <c r="AH22" s="36">
        <f>AG22+1</f>
        <v>2017</v>
      </c>
      <c r="AI22" s="36">
        <f t="shared" ref="AI22:AZ22" si="33">AH22+1</f>
        <v>2018</v>
      </c>
      <c r="AJ22" s="36">
        <f t="shared" si="33"/>
        <v>2019</v>
      </c>
      <c r="AK22" s="36">
        <f t="shared" si="33"/>
        <v>2020</v>
      </c>
      <c r="AL22" s="36">
        <f t="shared" si="33"/>
        <v>2021</v>
      </c>
      <c r="AM22" s="36">
        <f t="shared" si="33"/>
        <v>2022</v>
      </c>
      <c r="AN22" s="36">
        <f t="shared" si="33"/>
        <v>2023</v>
      </c>
      <c r="AO22" s="36">
        <f t="shared" si="33"/>
        <v>2024</v>
      </c>
      <c r="AP22" s="36">
        <f t="shared" si="33"/>
        <v>2025</v>
      </c>
      <c r="AQ22" s="36">
        <f t="shared" si="33"/>
        <v>2026</v>
      </c>
      <c r="AR22" s="36">
        <f t="shared" si="33"/>
        <v>2027</v>
      </c>
      <c r="AS22" s="36">
        <f t="shared" si="33"/>
        <v>2028</v>
      </c>
      <c r="AT22" s="36">
        <f t="shared" si="33"/>
        <v>2029</v>
      </c>
      <c r="AU22" s="36">
        <f t="shared" si="33"/>
        <v>2030</v>
      </c>
      <c r="AV22" s="36">
        <f t="shared" si="33"/>
        <v>2031</v>
      </c>
      <c r="AW22" s="36">
        <f t="shared" si="33"/>
        <v>2032</v>
      </c>
      <c r="AX22" s="36">
        <f t="shared" si="33"/>
        <v>2033</v>
      </c>
      <c r="AY22" s="36">
        <f t="shared" si="33"/>
        <v>2034</v>
      </c>
      <c r="AZ22" s="36">
        <f t="shared" si="33"/>
        <v>2035</v>
      </c>
    </row>
    <row r="23" spans="2:52" x14ac:dyDescent="0.25">
      <c r="C23" s="1" t="s">
        <v>188</v>
      </c>
      <c r="D23" s="14" t="e">
        <f t="array" ref="D23">INDEX(Data_FP!$B$2:$H$184,MATCH(FCondom!D$6&amp;FCondom!$B$22&amp;FCondom!$C23&amp;$B$2,Data_FP!$B$2:$B$184&amp;Data_FP!$C$2:$C$184&amp;Data_FP!$D$2:$D$184&amp;Data_FP!$E$2:$E$184,0),MATCH(FCondom!$B$21,Data_FP!$B$2:$H$2,0))</f>
        <v>#N/A</v>
      </c>
      <c r="E23" s="14" t="e">
        <f t="array" ref="E23">INDEX(Data_FP!$B$2:$H$184,MATCH(FCondom!E$6&amp;FCondom!$B$22&amp;FCondom!$C23&amp;$B$2,Data_FP!$B$2:$B$184&amp;Data_FP!$C$2:$C$184&amp;Data_FP!$D$2:$D$184&amp;Data_FP!$E$2:$E$184,0),MATCH(FCondom!$B$21,Data_FP!$B$2:$H$2,0))</f>
        <v>#N/A</v>
      </c>
      <c r="F23" s="14" t="e">
        <f>IF(E23+H23*(Yr_Start-Yr_DHS2)&lt;0,0,E23+H23*(Yr_Start-Yr_DHS2))</f>
        <v>#N/A</v>
      </c>
      <c r="G23" s="14" t="e">
        <f>E23*(1-Shift_UrbQ2)</f>
        <v>#N/A</v>
      </c>
      <c r="H23" s="14" t="e">
        <f>+($E23-$D23)/($E$6-$D$6)</f>
        <v>#N/A</v>
      </c>
      <c r="I23" s="14" t="e">
        <f>+($G23-$F23)/($G$6-$F$6)</f>
        <v>#N/A</v>
      </c>
      <c r="J23" s="15" t="e">
        <f>E23</f>
        <v>#N/A</v>
      </c>
      <c r="K23" s="15" t="e">
        <f t="shared" ref="K23:AC23" si="34">IF(IF(K$6&lt;=Yr_Start,J23+$H23,J23+$I23)&lt;0,0,IF(K$6&lt;=Yr_Start,J23+$H23,J23+$I23))</f>
        <v>#N/A</v>
      </c>
      <c r="L23" s="15" t="e">
        <f t="shared" si="34"/>
        <v>#N/A</v>
      </c>
      <c r="M23" s="15" t="e">
        <f t="shared" si="34"/>
        <v>#N/A</v>
      </c>
      <c r="N23" s="15" t="e">
        <f t="shared" si="34"/>
        <v>#N/A</v>
      </c>
      <c r="O23" s="15" t="e">
        <f t="shared" si="34"/>
        <v>#N/A</v>
      </c>
      <c r="P23" s="15" t="e">
        <f t="shared" si="34"/>
        <v>#N/A</v>
      </c>
      <c r="Q23" s="15" t="e">
        <f t="shared" si="34"/>
        <v>#N/A</v>
      </c>
      <c r="R23" s="15" t="e">
        <f t="shared" si="34"/>
        <v>#N/A</v>
      </c>
      <c r="S23" s="15" t="e">
        <f t="shared" si="34"/>
        <v>#N/A</v>
      </c>
      <c r="T23" s="15" t="e">
        <f t="shared" si="34"/>
        <v>#N/A</v>
      </c>
      <c r="U23" s="15" t="e">
        <f t="shared" si="34"/>
        <v>#N/A</v>
      </c>
      <c r="V23" s="15" t="e">
        <f t="shared" si="34"/>
        <v>#N/A</v>
      </c>
      <c r="W23" s="15" t="e">
        <f t="shared" si="34"/>
        <v>#N/A</v>
      </c>
      <c r="X23" s="15" t="e">
        <f t="shared" si="34"/>
        <v>#N/A</v>
      </c>
      <c r="Y23" s="15" t="e">
        <f t="shared" si="34"/>
        <v>#N/A</v>
      </c>
      <c r="Z23" s="15" t="e">
        <f t="shared" si="34"/>
        <v>#N/A</v>
      </c>
      <c r="AA23" s="15" t="e">
        <f t="shared" si="34"/>
        <v>#N/A</v>
      </c>
      <c r="AB23" s="15" t="e">
        <f t="shared" si="34"/>
        <v>#N/A</v>
      </c>
      <c r="AC23" s="15" t="e">
        <f t="shared" si="34"/>
        <v>#N/A</v>
      </c>
      <c r="AF23" s="1" t="s">
        <v>188</v>
      </c>
      <c r="AG23" s="39" t="e">
        <f>+J23*AG$2</f>
        <v>#N/A</v>
      </c>
      <c r="AH23" s="37" t="e">
        <f>+K23*AH$2</f>
        <v>#N/A</v>
      </c>
      <c r="AI23" s="37" t="e">
        <f t="shared" ref="AI23:AX26" si="35">+L23*AI$2</f>
        <v>#N/A</v>
      </c>
      <c r="AJ23" s="37" t="e">
        <f t="shared" si="35"/>
        <v>#N/A</v>
      </c>
      <c r="AK23" s="37" t="e">
        <f t="shared" si="35"/>
        <v>#N/A</v>
      </c>
      <c r="AL23" s="37" t="e">
        <f t="shared" si="35"/>
        <v>#N/A</v>
      </c>
      <c r="AM23" s="37" t="e">
        <f t="shared" si="35"/>
        <v>#N/A</v>
      </c>
      <c r="AN23" s="37" t="e">
        <f t="shared" si="35"/>
        <v>#N/A</v>
      </c>
      <c r="AO23" s="37" t="e">
        <f t="shared" si="35"/>
        <v>#N/A</v>
      </c>
      <c r="AP23" s="37" t="e">
        <f t="shared" si="35"/>
        <v>#N/A</v>
      </c>
      <c r="AQ23" s="37" t="e">
        <f t="shared" si="35"/>
        <v>#N/A</v>
      </c>
      <c r="AR23" s="37" t="e">
        <f t="shared" si="35"/>
        <v>#N/A</v>
      </c>
      <c r="AS23" s="37" t="e">
        <f t="shared" si="35"/>
        <v>#N/A</v>
      </c>
      <c r="AT23" s="37" t="e">
        <f t="shared" si="35"/>
        <v>#N/A</v>
      </c>
      <c r="AU23" s="37" t="e">
        <f t="shared" si="35"/>
        <v>#N/A</v>
      </c>
      <c r="AV23" s="37" t="e">
        <f t="shared" si="35"/>
        <v>#N/A</v>
      </c>
      <c r="AW23" s="37" t="e">
        <f t="shared" si="35"/>
        <v>#N/A</v>
      </c>
      <c r="AX23" s="37" t="e">
        <f t="shared" si="35"/>
        <v>#N/A</v>
      </c>
      <c r="AY23" s="37" t="e">
        <f t="shared" ref="AY23:AZ26" si="36">+AB23*AY$2</f>
        <v>#N/A</v>
      </c>
      <c r="AZ23" s="37" t="e">
        <f t="shared" si="36"/>
        <v>#N/A</v>
      </c>
    </row>
    <row r="24" spans="2:52" x14ac:dyDescent="0.25">
      <c r="C24" s="1" t="s">
        <v>170</v>
      </c>
      <c r="D24" s="14" t="e">
        <f t="array" ref="D24">INDEX(Data_FP!$B$2:$H$184,MATCH(FCondom!D$6&amp;FCondom!$B$22&amp;FCondom!$C24&amp;$B$2,Data_FP!$B$2:$B$184&amp;Data_FP!$C$2:$C$184&amp;Data_FP!$D$2:$D$184&amp;Data_FP!$E$2:$E$184,0),MATCH(FCondom!$B$21,Data_FP!$B$2:$H$2,0))</f>
        <v>#N/A</v>
      </c>
      <c r="E24" s="14" t="e">
        <f t="array" ref="E24">INDEX(Data_FP!$B$2:$H$184,MATCH(FCondom!E$6&amp;FCondom!$B$22&amp;FCondom!$C24&amp;$B$2,Data_FP!$B$2:$B$184&amp;Data_FP!$C$2:$C$184&amp;Data_FP!$D$2:$D$184&amp;Data_FP!$E$2:$E$184,0),MATCH(FCondom!$B$21,Data_FP!$B$2:$H$2,0))</f>
        <v>#N/A</v>
      </c>
      <c r="F24" s="14" t="e">
        <f>IF(E24+H24*(Yr_Start-Yr_DHS2)&lt;0,0,E24+H24*(Yr_Start-Yr_DHS2))</f>
        <v>#N/A</v>
      </c>
      <c r="G24" s="14" t="e">
        <f>E24*(1-Shift_UrbQ2)</f>
        <v>#N/A</v>
      </c>
      <c r="H24" s="14" t="e">
        <f t="shared" ref="H24:H26" si="37">+($E24-$D24)/($E$6-$D$6)</f>
        <v>#N/A</v>
      </c>
      <c r="I24" s="14" t="e">
        <f t="shared" ref="I24:I26" si="38">+($G24-$F24)/($G$6-$F$6)</f>
        <v>#N/A</v>
      </c>
      <c r="J24" s="15" t="e">
        <f t="shared" ref="J24:J26" si="39">E24</f>
        <v>#N/A</v>
      </c>
      <c r="K24" s="15" t="e">
        <f t="shared" ref="K24:AC24" si="40">IF(IF(K$6&lt;=Yr_Start,J24+$H24,J24+$I24)&lt;0,0,IF(K$6&lt;=Yr_Start,J24+$H24,J24+$I24))</f>
        <v>#N/A</v>
      </c>
      <c r="L24" s="15" t="e">
        <f t="shared" si="40"/>
        <v>#N/A</v>
      </c>
      <c r="M24" s="15" t="e">
        <f t="shared" si="40"/>
        <v>#N/A</v>
      </c>
      <c r="N24" s="15" t="e">
        <f t="shared" si="40"/>
        <v>#N/A</v>
      </c>
      <c r="O24" s="15" t="e">
        <f t="shared" si="40"/>
        <v>#N/A</v>
      </c>
      <c r="P24" s="15" t="e">
        <f t="shared" si="40"/>
        <v>#N/A</v>
      </c>
      <c r="Q24" s="15" t="e">
        <f t="shared" si="40"/>
        <v>#N/A</v>
      </c>
      <c r="R24" s="15" t="e">
        <f t="shared" si="40"/>
        <v>#N/A</v>
      </c>
      <c r="S24" s="15" t="e">
        <f t="shared" si="40"/>
        <v>#N/A</v>
      </c>
      <c r="T24" s="15" t="e">
        <f t="shared" si="40"/>
        <v>#N/A</v>
      </c>
      <c r="U24" s="15" t="e">
        <f t="shared" si="40"/>
        <v>#N/A</v>
      </c>
      <c r="V24" s="15" t="e">
        <f t="shared" si="40"/>
        <v>#N/A</v>
      </c>
      <c r="W24" s="15" t="e">
        <f t="shared" si="40"/>
        <v>#N/A</v>
      </c>
      <c r="X24" s="15" t="e">
        <f t="shared" si="40"/>
        <v>#N/A</v>
      </c>
      <c r="Y24" s="15" t="e">
        <f t="shared" si="40"/>
        <v>#N/A</v>
      </c>
      <c r="Z24" s="15" t="e">
        <f t="shared" si="40"/>
        <v>#N/A</v>
      </c>
      <c r="AA24" s="15" t="e">
        <f t="shared" si="40"/>
        <v>#N/A</v>
      </c>
      <c r="AB24" s="15" t="e">
        <f t="shared" si="40"/>
        <v>#N/A</v>
      </c>
      <c r="AC24" s="15" t="e">
        <f t="shared" si="40"/>
        <v>#N/A</v>
      </c>
      <c r="AF24" s="1" t="s">
        <v>170</v>
      </c>
      <c r="AG24" s="37" t="e">
        <f t="shared" ref="AG24:AH26" si="41">+J24*AG$2</f>
        <v>#N/A</v>
      </c>
      <c r="AH24" s="37" t="e">
        <f t="shared" si="41"/>
        <v>#N/A</v>
      </c>
      <c r="AI24" s="37" t="e">
        <f t="shared" si="35"/>
        <v>#N/A</v>
      </c>
      <c r="AJ24" s="37" t="e">
        <f t="shared" si="35"/>
        <v>#N/A</v>
      </c>
      <c r="AK24" s="37" t="e">
        <f t="shared" si="35"/>
        <v>#N/A</v>
      </c>
      <c r="AL24" s="37" t="e">
        <f t="shared" si="35"/>
        <v>#N/A</v>
      </c>
      <c r="AM24" s="37" t="e">
        <f t="shared" si="35"/>
        <v>#N/A</v>
      </c>
      <c r="AN24" s="37" t="e">
        <f t="shared" si="35"/>
        <v>#N/A</v>
      </c>
      <c r="AO24" s="37" t="e">
        <f t="shared" si="35"/>
        <v>#N/A</v>
      </c>
      <c r="AP24" s="37" t="e">
        <f t="shared" si="35"/>
        <v>#N/A</v>
      </c>
      <c r="AQ24" s="37" t="e">
        <f t="shared" si="35"/>
        <v>#N/A</v>
      </c>
      <c r="AR24" s="37" t="e">
        <f t="shared" si="35"/>
        <v>#N/A</v>
      </c>
      <c r="AS24" s="37" t="e">
        <f t="shared" si="35"/>
        <v>#N/A</v>
      </c>
      <c r="AT24" s="37" t="e">
        <f t="shared" si="35"/>
        <v>#N/A</v>
      </c>
      <c r="AU24" s="37" t="e">
        <f t="shared" si="35"/>
        <v>#N/A</v>
      </c>
      <c r="AV24" s="37" t="e">
        <f t="shared" si="35"/>
        <v>#N/A</v>
      </c>
      <c r="AW24" s="37" t="e">
        <f t="shared" si="35"/>
        <v>#N/A</v>
      </c>
      <c r="AX24" s="37" t="e">
        <f t="shared" si="35"/>
        <v>#N/A</v>
      </c>
      <c r="AY24" s="37" t="e">
        <f t="shared" si="36"/>
        <v>#N/A</v>
      </c>
      <c r="AZ24" s="37" t="e">
        <f t="shared" si="36"/>
        <v>#N/A</v>
      </c>
    </row>
    <row r="25" spans="2:52" x14ac:dyDescent="0.25">
      <c r="C25" s="1" t="s">
        <v>59</v>
      </c>
      <c r="D25" s="14" t="e">
        <f t="array" ref="D25">INDEX(Data_FP!$B$2:$H$184,MATCH(FCondom!D$6&amp;FCondom!$B$22&amp;FCondom!$C25&amp;$B$2,Data_FP!$B$2:$B$184&amp;Data_FP!$C$2:$C$184&amp;Data_FP!$D$2:$D$184&amp;Data_FP!$E$2:$E$184,0),MATCH(FCondom!$B$21,Data_FP!$B$2:$H$2,0))</f>
        <v>#N/A</v>
      </c>
      <c r="E25" s="14" t="e">
        <f t="array" ref="E25">INDEX(Data_FP!$B$2:$H$184,MATCH(FCondom!E$6&amp;FCondom!$B$22&amp;FCondom!$C25&amp;$B$2,Data_FP!$B$2:$B$184&amp;Data_FP!$C$2:$C$184&amp;Data_FP!$D$2:$D$184&amp;Data_FP!$E$2:$E$184,0),MATCH(FCondom!$B$21,Data_FP!$B$2:$H$2,0))</f>
        <v>#N/A</v>
      </c>
      <c r="F25" s="14" t="e">
        <f>IF(E25+H25*(Yr_Start-Yr_DHS2)&lt;0,0,E25+H25*(Yr_Start-Yr_DHS2))</f>
        <v>#N/A</v>
      </c>
      <c r="G25" s="14" t="e">
        <f>E27-SUM(G26,G24,G23)</f>
        <v>#N/A</v>
      </c>
      <c r="H25" s="14" t="e">
        <f t="shared" si="37"/>
        <v>#N/A</v>
      </c>
      <c r="I25" s="14" t="e">
        <f t="shared" si="38"/>
        <v>#N/A</v>
      </c>
      <c r="J25" s="15" t="e">
        <f t="shared" si="39"/>
        <v>#N/A</v>
      </c>
      <c r="K25" s="15" t="e">
        <f t="shared" ref="K25:AC25" si="42">IF(IF(K$6&lt;=Yr_Start,J25+$H25,J25+$I25)&lt;0,0,IF(K$6&lt;=Yr_Start,J25+$H25,J25+$I25))</f>
        <v>#N/A</v>
      </c>
      <c r="L25" s="15" t="e">
        <f t="shared" si="42"/>
        <v>#N/A</v>
      </c>
      <c r="M25" s="15" t="e">
        <f t="shared" si="42"/>
        <v>#N/A</v>
      </c>
      <c r="N25" s="15" t="e">
        <f t="shared" si="42"/>
        <v>#N/A</v>
      </c>
      <c r="O25" s="15" t="e">
        <f t="shared" si="42"/>
        <v>#N/A</v>
      </c>
      <c r="P25" s="15" t="e">
        <f t="shared" si="42"/>
        <v>#N/A</v>
      </c>
      <c r="Q25" s="15" t="e">
        <f t="shared" si="42"/>
        <v>#N/A</v>
      </c>
      <c r="R25" s="15" t="e">
        <f t="shared" si="42"/>
        <v>#N/A</v>
      </c>
      <c r="S25" s="15" t="e">
        <f t="shared" si="42"/>
        <v>#N/A</v>
      </c>
      <c r="T25" s="15" t="e">
        <f t="shared" si="42"/>
        <v>#N/A</v>
      </c>
      <c r="U25" s="15" t="e">
        <f t="shared" si="42"/>
        <v>#N/A</v>
      </c>
      <c r="V25" s="15" t="e">
        <f t="shared" si="42"/>
        <v>#N/A</v>
      </c>
      <c r="W25" s="15" t="e">
        <f t="shared" si="42"/>
        <v>#N/A</v>
      </c>
      <c r="X25" s="15" t="e">
        <f t="shared" si="42"/>
        <v>#N/A</v>
      </c>
      <c r="Y25" s="15" t="e">
        <f t="shared" si="42"/>
        <v>#N/A</v>
      </c>
      <c r="Z25" s="15" t="e">
        <f t="shared" si="42"/>
        <v>#N/A</v>
      </c>
      <c r="AA25" s="15" t="e">
        <f t="shared" si="42"/>
        <v>#N/A</v>
      </c>
      <c r="AB25" s="15" t="e">
        <f t="shared" si="42"/>
        <v>#N/A</v>
      </c>
      <c r="AC25" s="15" t="e">
        <f t="shared" si="42"/>
        <v>#N/A</v>
      </c>
      <c r="AF25" s="1" t="s">
        <v>59</v>
      </c>
      <c r="AG25" s="37" t="e">
        <f t="shared" si="41"/>
        <v>#N/A</v>
      </c>
      <c r="AH25" s="37" t="e">
        <f t="shared" si="41"/>
        <v>#N/A</v>
      </c>
      <c r="AI25" s="37" t="e">
        <f t="shared" si="35"/>
        <v>#N/A</v>
      </c>
      <c r="AJ25" s="37" t="e">
        <f t="shared" si="35"/>
        <v>#N/A</v>
      </c>
      <c r="AK25" s="37" t="e">
        <f t="shared" si="35"/>
        <v>#N/A</v>
      </c>
      <c r="AL25" s="37" t="e">
        <f t="shared" si="35"/>
        <v>#N/A</v>
      </c>
      <c r="AM25" s="37" t="e">
        <f t="shared" si="35"/>
        <v>#N/A</v>
      </c>
      <c r="AN25" s="37" t="e">
        <f t="shared" si="35"/>
        <v>#N/A</v>
      </c>
      <c r="AO25" s="37" t="e">
        <f t="shared" si="35"/>
        <v>#N/A</v>
      </c>
      <c r="AP25" s="37" t="e">
        <f t="shared" si="35"/>
        <v>#N/A</v>
      </c>
      <c r="AQ25" s="37" t="e">
        <f t="shared" si="35"/>
        <v>#N/A</v>
      </c>
      <c r="AR25" s="37" t="e">
        <f t="shared" si="35"/>
        <v>#N/A</v>
      </c>
      <c r="AS25" s="37" t="e">
        <f t="shared" si="35"/>
        <v>#N/A</v>
      </c>
      <c r="AT25" s="37" t="e">
        <f t="shared" si="35"/>
        <v>#N/A</v>
      </c>
      <c r="AU25" s="37" t="e">
        <f t="shared" si="35"/>
        <v>#N/A</v>
      </c>
      <c r="AV25" s="37" t="e">
        <f t="shared" si="35"/>
        <v>#N/A</v>
      </c>
      <c r="AW25" s="37" t="e">
        <f t="shared" si="35"/>
        <v>#N/A</v>
      </c>
      <c r="AX25" s="37" t="e">
        <f t="shared" si="35"/>
        <v>#N/A</v>
      </c>
      <c r="AY25" s="37" t="e">
        <f t="shared" si="36"/>
        <v>#N/A</v>
      </c>
      <c r="AZ25" s="37" t="e">
        <f t="shared" si="36"/>
        <v>#N/A</v>
      </c>
    </row>
    <row r="26" spans="2:52" x14ac:dyDescent="0.25">
      <c r="C26" s="1" t="s">
        <v>116</v>
      </c>
      <c r="D26" s="14" t="e">
        <f t="array" ref="D26">INDEX(Data_FP!$B$2:$H$184,MATCH(FCondom!D$6&amp;FCondom!$B$22&amp;FCondom!$C26&amp;$B$2,Data_FP!$B$2:$B$184&amp;Data_FP!$C$2:$C$184&amp;Data_FP!$D$2:$D$184&amp;Data_FP!$E$2:$E$184,0),MATCH(FCondom!$B$21,Data_FP!$B$2:$H$2,0))</f>
        <v>#N/A</v>
      </c>
      <c r="E26" s="14" t="e">
        <f t="array" ref="E26">INDEX(Data_FP!$B$2:$H$184,MATCH(FCondom!E$6&amp;FCondom!$B$22&amp;FCondom!$C26&amp;$B$2,Data_FP!$B$2:$B$184&amp;Data_FP!$C$2:$C$184&amp;Data_FP!$D$2:$D$184&amp;Data_FP!$E$2:$E$184,0),MATCH(FCondom!$B$21,Data_FP!$B$2:$H$2,0))</f>
        <v>#N/A</v>
      </c>
      <c r="F26" s="14" t="e">
        <f>IF(E26+H26*(Yr_Start-Yr_DHS2)&lt;0,0,E26+H26*(Yr_Start-Yr_DHS2))</f>
        <v>#N/A</v>
      </c>
      <c r="G26" s="14" t="e">
        <f>E26*(1-Shift_UrbQ2)</f>
        <v>#N/A</v>
      </c>
      <c r="H26" s="27" t="e">
        <f t="shared" si="37"/>
        <v>#N/A</v>
      </c>
      <c r="I26" s="14" t="e">
        <f t="shared" si="38"/>
        <v>#N/A</v>
      </c>
      <c r="J26" s="15" t="e">
        <f t="shared" si="39"/>
        <v>#N/A</v>
      </c>
      <c r="K26" s="15" t="e">
        <f t="shared" ref="K26:AC26" si="43">IF(IF(K$6&lt;=Yr_Start,J26+$H26,J26+$I26)&lt;0,0,IF(K$6&lt;=Yr_Start,J26+$H26,J26+$I26))</f>
        <v>#N/A</v>
      </c>
      <c r="L26" s="15" t="e">
        <f t="shared" si="43"/>
        <v>#N/A</v>
      </c>
      <c r="M26" s="15" t="e">
        <f t="shared" si="43"/>
        <v>#N/A</v>
      </c>
      <c r="N26" s="15" t="e">
        <f t="shared" si="43"/>
        <v>#N/A</v>
      </c>
      <c r="O26" s="15" t="e">
        <f t="shared" si="43"/>
        <v>#N/A</v>
      </c>
      <c r="P26" s="15" t="e">
        <f t="shared" si="43"/>
        <v>#N/A</v>
      </c>
      <c r="Q26" s="15" t="e">
        <f t="shared" si="43"/>
        <v>#N/A</v>
      </c>
      <c r="R26" s="15" t="e">
        <f t="shared" si="43"/>
        <v>#N/A</v>
      </c>
      <c r="S26" s="15" t="e">
        <f t="shared" si="43"/>
        <v>#N/A</v>
      </c>
      <c r="T26" s="15" t="e">
        <f t="shared" si="43"/>
        <v>#N/A</v>
      </c>
      <c r="U26" s="15" t="e">
        <f t="shared" si="43"/>
        <v>#N/A</v>
      </c>
      <c r="V26" s="15" t="e">
        <f t="shared" si="43"/>
        <v>#N/A</v>
      </c>
      <c r="W26" s="15" t="e">
        <f t="shared" si="43"/>
        <v>#N/A</v>
      </c>
      <c r="X26" s="15" t="e">
        <f t="shared" si="43"/>
        <v>#N/A</v>
      </c>
      <c r="Y26" s="15" t="e">
        <f t="shared" si="43"/>
        <v>#N/A</v>
      </c>
      <c r="Z26" s="15" t="e">
        <f t="shared" si="43"/>
        <v>#N/A</v>
      </c>
      <c r="AA26" s="15" t="e">
        <f t="shared" si="43"/>
        <v>#N/A</v>
      </c>
      <c r="AB26" s="15" t="e">
        <f t="shared" si="43"/>
        <v>#N/A</v>
      </c>
      <c r="AC26" s="15" t="e">
        <f t="shared" si="43"/>
        <v>#N/A</v>
      </c>
      <c r="AF26" s="1" t="s">
        <v>116</v>
      </c>
      <c r="AG26" s="37" t="e">
        <f t="shared" si="41"/>
        <v>#N/A</v>
      </c>
      <c r="AH26" s="37" t="e">
        <f t="shared" si="41"/>
        <v>#N/A</v>
      </c>
      <c r="AI26" s="37" t="e">
        <f t="shared" si="35"/>
        <v>#N/A</v>
      </c>
      <c r="AJ26" s="37" t="e">
        <f t="shared" si="35"/>
        <v>#N/A</v>
      </c>
      <c r="AK26" s="37" t="e">
        <f t="shared" si="35"/>
        <v>#N/A</v>
      </c>
      <c r="AL26" s="37" t="e">
        <f t="shared" si="35"/>
        <v>#N/A</v>
      </c>
      <c r="AM26" s="37" t="e">
        <f t="shared" si="35"/>
        <v>#N/A</v>
      </c>
      <c r="AN26" s="37" t="e">
        <f t="shared" si="35"/>
        <v>#N/A</v>
      </c>
      <c r="AO26" s="37" t="e">
        <f t="shared" si="35"/>
        <v>#N/A</v>
      </c>
      <c r="AP26" s="37" t="e">
        <f t="shared" si="35"/>
        <v>#N/A</v>
      </c>
      <c r="AQ26" s="37" t="e">
        <f t="shared" si="35"/>
        <v>#N/A</v>
      </c>
      <c r="AR26" s="37" t="e">
        <f t="shared" si="35"/>
        <v>#N/A</v>
      </c>
      <c r="AS26" s="37" t="e">
        <f t="shared" si="35"/>
        <v>#N/A</v>
      </c>
      <c r="AT26" s="37" t="e">
        <f t="shared" si="35"/>
        <v>#N/A</v>
      </c>
      <c r="AU26" s="37" t="e">
        <f t="shared" si="35"/>
        <v>#N/A</v>
      </c>
      <c r="AV26" s="37" t="e">
        <f t="shared" si="35"/>
        <v>#N/A</v>
      </c>
      <c r="AW26" s="37" t="e">
        <f t="shared" si="35"/>
        <v>#N/A</v>
      </c>
      <c r="AX26" s="37" t="e">
        <f t="shared" si="35"/>
        <v>#N/A</v>
      </c>
      <c r="AY26" s="37" t="e">
        <f t="shared" si="36"/>
        <v>#N/A</v>
      </c>
      <c r="AZ26" s="37" t="e">
        <f t="shared" si="36"/>
        <v>#N/A</v>
      </c>
    </row>
    <row r="27" spans="2:52" x14ac:dyDescent="0.25">
      <c r="E27" s="5" t="e">
        <f>SUM(E23:E26)</f>
        <v>#N/A</v>
      </c>
      <c r="F27" s="5"/>
      <c r="AF27" s="1" t="s">
        <v>60</v>
      </c>
      <c r="AG27" s="37" t="e">
        <f>+SUM(AG23:AG26)</f>
        <v>#N/A</v>
      </c>
      <c r="AH27" s="37" t="e">
        <f t="shared" ref="AH27:AZ27" si="44">+SUM(AH23:AH26)</f>
        <v>#N/A</v>
      </c>
      <c r="AI27" s="37" t="e">
        <f t="shared" si="44"/>
        <v>#N/A</v>
      </c>
      <c r="AJ27" s="37" t="e">
        <f t="shared" si="44"/>
        <v>#N/A</v>
      </c>
      <c r="AK27" s="37" t="e">
        <f t="shared" si="44"/>
        <v>#N/A</v>
      </c>
      <c r="AL27" s="37" t="e">
        <f t="shared" si="44"/>
        <v>#N/A</v>
      </c>
      <c r="AM27" s="37" t="e">
        <f t="shared" si="44"/>
        <v>#N/A</v>
      </c>
      <c r="AN27" s="37" t="e">
        <f t="shared" si="44"/>
        <v>#N/A</v>
      </c>
      <c r="AO27" s="37" t="e">
        <f t="shared" si="44"/>
        <v>#N/A</v>
      </c>
      <c r="AP27" s="37" t="e">
        <f t="shared" si="44"/>
        <v>#N/A</v>
      </c>
      <c r="AQ27" s="37" t="e">
        <f t="shared" si="44"/>
        <v>#N/A</v>
      </c>
      <c r="AR27" s="37" t="e">
        <f t="shared" si="44"/>
        <v>#N/A</v>
      </c>
      <c r="AS27" s="37" t="e">
        <f t="shared" si="44"/>
        <v>#N/A</v>
      </c>
      <c r="AT27" s="37" t="e">
        <f t="shared" si="44"/>
        <v>#N/A</v>
      </c>
      <c r="AU27" s="37" t="e">
        <f t="shared" si="44"/>
        <v>#N/A</v>
      </c>
      <c r="AV27" s="37" t="e">
        <f t="shared" si="44"/>
        <v>#N/A</v>
      </c>
      <c r="AW27" s="37" t="e">
        <f t="shared" si="44"/>
        <v>#N/A</v>
      </c>
      <c r="AX27" s="37" t="e">
        <f t="shared" si="44"/>
        <v>#N/A</v>
      </c>
      <c r="AY27" s="37" t="e">
        <f t="shared" si="44"/>
        <v>#N/A</v>
      </c>
      <c r="AZ27" s="37" t="e">
        <f t="shared" si="44"/>
        <v>#N/A</v>
      </c>
    </row>
    <row r="28" spans="2:52" x14ac:dyDescent="0.25">
      <c r="E28" s="5"/>
      <c r="F28" s="5"/>
      <c r="AG28" s="7"/>
      <c r="AH28" s="7"/>
      <c r="AI28" s="7"/>
      <c r="AJ28" s="7"/>
      <c r="AK28" s="7"/>
      <c r="AL28" s="7"/>
      <c r="AM28" s="7"/>
      <c r="AN28" s="7"/>
      <c r="AO28" s="7"/>
      <c r="AP28" s="7"/>
      <c r="AQ28" s="7"/>
      <c r="AR28" s="7"/>
    </row>
    <row r="29" spans="2:52" x14ac:dyDescent="0.25">
      <c r="B29" s="6" t="s">
        <v>173</v>
      </c>
      <c r="D29" s="4" t="s">
        <v>163</v>
      </c>
      <c r="E29" s="4" t="s">
        <v>164</v>
      </c>
      <c r="F29" s="4" t="s">
        <v>165</v>
      </c>
      <c r="G29" s="4" t="s">
        <v>186</v>
      </c>
      <c r="J29" s="35" t="str">
        <f t="shared" ref="J29:AC29" si="45">IF(J30=Yr_DHS2,"Most Recent DHS",IF(J30=Yr_Start,"Start Year",IF(J30=Yr_End,"End Year","")))</f>
        <v>Most Recent DHS</v>
      </c>
      <c r="K29" s="35" t="str">
        <f t="shared" si="45"/>
        <v/>
      </c>
      <c r="L29" s="35" t="str">
        <f t="shared" si="45"/>
        <v/>
      </c>
      <c r="M29" s="35" t="str">
        <f t="shared" si="45"/>
        <v>Start Year</v>
      </c>
      <c r="N29" s="35" t="str">
        <f t="shared" si="45"/>
        <v/>
      </c>
      <c r="O29" s="35" t="str">
        <f t="shared" si="45"/>
        <v/>
      </c>
      <c r="P29" s="35" t="str">
        <f t="shared" si="45"/>
        <v>End Year</v>
      </c>
      <c r="Q29" s="35" t="str">
        <f t="shared" si="45"/>
        <v/>
      </c>
      <c r="R29" s="35" t="str">
        <f t="shared" si="45"/>
        <v/>
      </c>
      <c r="S29" s="35" t="str">
        <f t="shared" si="45"/>
        <v/>
      </c>
      <c r="T29" s="35" t="str">
        <f t="shared" si="45"/>
        <v/>
      </c>
      <c r="U29" s="35" t="str">
        <f t="shared" si="45"/>
        <v/>
      </c>
      <c r="V29" s="35" t="str">
        <f t="shared" si="45"/>
        <v/>
      </c>
      <c r="W29" s="35" t="str">
        <f t="shared" si="45"/>
        <v/>
      </c>
      <c r="X29" s="35" t="str">
        <f t="shared" si="45"/>
        <v/>
      </c>
      <c r="Y29" s="35" t="str">
        <f t="shared" si="45"/>
        <v/>
      </c>
      <c r="Z29" s="35" t="str">
        <f t="shared" si="45"/>
        <v/>
      </c>
      <c r="AA29" s="35" t="str">
        <f t="shared" si="45"/>
        <v/>
      </c>
      <c r="AB29" s="35" t="str">
        <f t="shared" si="45"/>
        <v/>
      </c>
      <c r="AC29" s="35" t="str">
        <f t="shared" si="45"/>
        <v/>
      </c>
      <c r="AE29" s="6" t="s">
        <v>173</v>
      </c>
      <c r="AG29" s="35" t="str">
        <f t="shared" ref="AG29:AZ29" si="46">IF(AG30=Yr_DHS2,"Most Recent DHS",IF(AG30=Yr_Start,"Start Year",IF(AG30=Yr_End,"End Year","")))</f>
        <v>Most Recent DHS</v>
      </c>
      <c r="AH29" s="35" t="str">
        <f t="shared" si="46"/>
        <v/>
      </c>
      <c r="AI29" s="35" t="str">
        <f t="shared" si="46"/>
        <v/>
      </c>
      <c r="AJ29" s="35" t="str">
        <f t="shared" si="46"/>
        <v>Start Year</v>
      </c>
      <c r="AK29" s="35" t="str">
        <f t="shared" si="46"/>
        <v/>
      </c>
      <c r="AL29" s="35" t="str">
        <f t="shared" si="46"/>
        <v/>
      </c>
      <c r="AM29" s="35" t="str">
        <f t="shared" si="46"/>
        <v>End Year</v>
      </c>
      <c r="AN29" s="35" t="str">
        <f t="shared" si="46"/>
        <v/>
      </c>
      <c r="AO29" s="35" t="str">
        <f t="shared" si="46"/>
        <v/>
      </c>
      <c r="AP29" s="35" t="str">
        <f t="shared" si="46"/>
        <v/>
      </c>
      <c r="AQ29" s="35" t="str">
        <f t="shared" si="46"/>
        <v/>
      </c>
      <c r="AR29" s="35" t="str">
        <f t="shared" si="46"/>
        <v/>
      </c>
      <c r="AS29" s="35" t="str">
        <f t="shared" si="46"/>
        <v/>
      </c>
      <c r="AT29" s="35" t="str">
        <f t="shared" si="46"/>
        <v/>
      </c>
      <c r="AU29" s="35" t="str">
        <f t="shared" si="46"/>
        <v/>
      </c>
      <c r="AV29" s="35" t="str">
        <f t="shared" si="46"/>
        <v/>
      </c>
      <c r="AW29" s="35" t="str">
        <f t="shared" si="46"/>
        <v/>
      </c>
      <c r="AX29" s="35" t="str">
        <f t="shared" si="46"/>
        <v/>
      </c>
      <c r="AY29" s="35" t="str">
        <f t="shared" si="46"/>
        <v/>
      </c>
      <c r="AZ29" s="35" t="str">
        <f t="shared" si="46"/>
        <v/>
      </c>
    </row>
    <row r="30" spans="2:52" x14ac:dyDescent="0.25">
      <c r="B30" s="6" t="s">
        <v>21</v>
      </c>
      <c r="C30" s="36"/>
      <c r="D30" s="36">
        <f>Yr_DHS1</f>
        <v>2011</v>
      </c>
      <c r="E30" s="36">
        <f>Yr_DHS2</f>
        <v>2016</v>
      </c>
      <c r="F30" s="36">
        <f>Yr_Start</f>
        <v>2019</v>
      </c>
      <c r="G30" s="36">
        <f>Yr_End</f>
        <v>2022</v>
      </c>
      <c r="H30" s="36" t="s">
        <v>168</v>
      </c>
      <c r="I30" s="36" t="s">
        <v>187</v>
      </c>
      <c r="J30" s="36">
        <f>Yr_DHS2</f>
        <v>2016</v>
      </c>
      <c r="K30" s="36">
        <f>J30+1</f>
        <v>2017</v>
      </c>
      <c r="L30" s="36">
        <f t="shared" ref="L30:AC30" si="47">K30+1</f>
        <v>2018</v>
      </c>
      <c r="M30" s="36">
        <f t="shared" si="47"/>
        <v>2019</v>
      </c>
      <c r="N30" s="36">
        <f t="shared" si="47"/>
        <v>2020</v>
      </c>
      <c r="O30" s="36">
        <f t="shared" si="47"/>
        <v>2021</v>
      </c>
      <c r="P30" s="36">
        <f t="shared" si="47"/>
        <v>2022</v>
      </c>
      <c r="Q30" s="36">
        <f t="shared" si="47"/>
        <v>2023</v>
      </c>
      <c r="R30" s="36">
        <f t="shared" si="47"/>
        <v>2024</v>
      </c>
      <c r="S30" s="36">
        <f t="shared" si="47"/>
        <v>2025</v>
      </c>
      <c r="T30" s="36">
        <f t="shared" si="47"/>
        <v>2026</v>
      </c>
      <c r="U30" s="36">
        <f t="shared" si="47"/>
        <v>2027</v>
      </c>
      <c r="V30" s="36">
        <f t="shared" si="47"/>
        <v>2028</v>
      </c>
      <c r="W30" s="36">
        <f t="shared" si="47"/>
        <v>2029</v>
      </c>
      <c r="X30" s="36">
        <f t="shared" si="47"/>
        <v>2030</v>
      </c>
      <c r="Y30" s="36">
        <f t="shared" si="47"/>
        <v>2031</v>
      </c>
      <c r="Z30" s="36">
        <f t="shared" si="47"/>
        <v>2032</v>
      </c>
      <c r="AA30" s="36">
        <f t="shared" si="47"/>
        <v>2033</v>
      </c>
      <c r="AB30" s="36">
        <f t="shared" si="47"/>
        <v>2034</v>
      </c>
      <c r="AC30" s="36">
        <f t="shared" si="47"/>
        <v>2035</v>
      </c>
      <c r="AE30" s="6" t="s">
        <v>21</v>
      </c>
      <c r="AF30" s="38"/>
      <c r="AG30" s="36">
        <f>Yr_DHS2</f>
        <v>2016</v>
      </c>
      <c r="AH30" s="36">
        <f>AG30+1</f>
        <v>2017</v>
      </c>
      <c r="AI30" s="36">
        <f t="shared" ref="AI30:AZ30" si="48">AH30+1</f>
        <v>2018</v>
      </c>
      <c r="AJ30" s="36">
        <f t="shared" si="48"/>
        <v>2019</v>
      </c>
      <c r="AK30" s="36">
        <f t="shared" si="48"/>
        <v>2020</v>
      </c>
      <c r="AL30" s="36">
        <f t="shared" si="48"/>
        <v>2021</v>
      </c>
      <c r="AM30" s="36">
        <f t="shared" si="48"/>
        <v>2022</v>
      </c>
      <c r="AN30" s="36">
        <f t="shared" si="48"/>
        <v>2023</v>
      </c>
      <c r="AO30" s="36">
        <f t="shared" si="48"/>
        <v>2024</v>
      </c>
      <c r="AP30" s="36">
        <f t="shared" si="48"/>
        <v>2025</v>
      </c>
      <c r="AQ30" s="36">
        <f t="shared" si="48"/>
        <v>2026</v>
      </c>
      <c r="AR30" s="36">
        <f t="shared" si="48"/>
        <v>2027</v>
      </c>
      <c r="AS30" s="36">
        <f t="shared" si="48"/>
        <v>2028</v>
      </c>
      <c r="AT30" s="36">
        <f t="shared" si="48"/>
        <v>2029</v>
      </c>
      <c r="AU30" s="36">
        <f t="shared" si="48"/>
        <v>2030</v>
      </c>
      <c r="AV30" s="36">
        <f t="shared" si="48"/>
        <v>2031</v>
      </c>
      <c r="AW30" s="36">
        <f t="shared" si="48"/>
        <v>2032</v>
      </c>
      <c r="AX30" s="36">
        <f t="shared" si="48"/>
        <v>2033</v>
      </c>
      <c r="AY30" s="36">
        <f t="shared" si="48"/>
        <v>2034</v>
      </c>
      <c r="AZ30" s="36">
        <f t="shared" si="48"/>
        <v>2035</v>
      </c>
    </row>
    <row r="31" spans="2:52" x14ac:dyDescent="0.25">
      <c r="C31" s="1" t="s">
        <v>188</v>
      </c>
      <c r="D31" s="14" t="e">
        <f t="array" ref="D31">INDEX(Data_FP!$B$2:$H$184,MATCH(FCondom!D$6&amp;FCondom!$B$30&amp;FCondom!$C31&amp;$B$2,Data_FP!$B$2:$B$184&amp;Data_FP!$C$2:$C$184&amp;Data_FP!$D$2:$D$184&amp;Data_FP!$E$2:$E$184,0),MATCH(FCondom!$B$29,Data_FP!$B$2:$H$2,0))</f>
        <v>#N/A</v>
      </c>
      <c r="E31" s="14" t="e">
        <f t="array" ref="E31">INDEX(Data_FP!$B$2:$H$184,MATCH(FCondom!E$6&amp;FCondom!$B$30&amp;FCondom!$C31&amp;$B$2,Data_FP!$B$2:$B$184&amp;Data_FP!$C$2:$C$184&amp;Data_FP!$D$2:$D$184&amp;Data_FP!$E$2:$E$184,0),MATCH(FCondom!$B$29,Data_FP!$B$2:$H$2,0))</f>
        <v>#N/A</v>
      </c>
      <c r="F31" s="14" t="e">
        <f>IF(E31+H31*(Yr_Start-Yr_DHS2)&lt;0,0,E31+H31*(Yr_Start-Yr_DHS2))</f>
        <v>#N/A</v>
      </c>
      <c r="G31" s="14" t="e">
        <f>E31*(1-Shift_RurQ2)</f>
        <v>#N/A</v>
      </c>
      <c r="H31" s="14" t="e">
        <f>+($E31-$D31)/($E$6-$D$6)</f>
        <v>#N/A</v>
      </c>
      <c r="I31" s="14" t="e">
        <f>+($G31-$F31)/($G$6-$F$6)</f>
        <v>#N/A</v>
      </c>
      <c r="J31" s="15" t="e">
        <f>E31</f>
        <v>#N/A</v>
      </c>
      <c r="K31" s="15" t="e">
        <f t="shared" ref="K31:AC31" si="49">IF(IF(K$6&lt;=Yr_Start,J31+$H31,J31+$I31)&lt;0,0,IF(K$6&lt;=Yr_Start,J31+$H31,J31+$I31))</f>
        <v>#N/A</v>
      </c>
      <c r="L31" s="15" t="e">
        <f t="shared" si="49"/>
        <v>#N/A</v>
      </c>
      <c r="M31" s="15" t="e">
        <f t="shared" si="49"/>
        <v>#N/A</v>
      </c>
      <c r="N31" s="15" t="e">
        <f t="shared" si="49"/>
        <v>#N/A</v>
      </c>
      <c r="O31" s="15" t="e">
        <f t="shared" si="49"/>
        <v>#N/A</v>
      </c>
      <c r="P31" s="15" t="e">
        <f t="shared" si="49"/>
        <v>#N/A</v>
      </c>
      <c r="Q31" s="15" t="e">
        <f t="shared" si="49"/>
        <v>#N/A</v>
      </c>
      <c r="R31" s="15" t="e">
        <f t="shared" si="49"/>
        <v>#N/A</v>
      </c>
      <c r="S31" s="15" t="e">
        <f t="shared" si="49"/>
        <v>#N/A</v>
      </c>
      <c r="T31" s="15" t="e">
        <f t="shared" si="49"/>
        <v>#N/A</v>
      </c>
      <c r="U31" s="15" t="e">
        <f t="shared" si="49"/>
        <v>#N/A</v>
      </c>
      <c r="V31" s="15" t="e">
        <f t="shared" si="49"/>
        <v>#N/A</v>
      </c>
      <c r="W31" s="15" t="e">
        <f t="shared" si="49"/>
        <v>#N/A</v>
      </c>
      <c r="X31" s="15" t="e">
        <f t="shared" si="49"/>
        <v>#N/A</v>
      </c>
      <c r="Y31" s="15" t="e">
        <f t="shared" si="49"/>
        <v>#N/A</v>
      </c>
      <c r="Z31" s="15" t="e">
        <f t="shared" si="49"/>
        <v>#N/A</v>
      </c>
      <c r="AA31" s="15" t="e">
        <f t="shared" si="49"/>
        <v>#N/A</v>
      </c>
      <c r="AB31" s="15" t="e">
        <f t="shared" si="49"/>
        <v>#N/A</v>
      </c>
      <c r="AC31" s="15" t="e">
        <f t="shared" si="49"/>
        <v>#N/A</v>
      </c>
      <c r="AF31" s="1" t="s">
        <v>188</v>
      </c>
      <c r="AG31" s="37" t="e">
        <f>+J31*AG$3</f>
        <v>#N/A</v>
      </c>
      <c r="AH31" s="37" t="e">
        <f t="shared" ref="AH31:AW34" si="50">+K31*AH$3</f>
        <v>#N/A</v>
      </c>
      <c r="AI31" s="37" t="e">
        <f t="shared" si="50"/>
        <v>#N/A</v>
      </c>
      <c r="AJ31" s="37" t="e">
        <f t="shared" si="50"/>
        <v>#N/A</v>
      </c>
      <c r="AK31" s="37" t="e">
        <f t="shared" si="50"/>
        <v>#N/A</v>
      </c>
      <c r="AL31" s="37" t="e">
        <f t="shared" si="50"/>
        <v>#N/A</v>
      </c>
      <c r="AM31" s="37" t="e">
        <f t="shared" si="50"/>
        <v>#N/A</v>
      </c>
      <c r="AN31" s="37" t="e">
        <f t="shared" si="50"/>
        <v>#N/A</v>
      </c>
      <c r="AO31" s="37" t="e">
        <f t="shared" si="50"/>
        <v>#N/A</v>
      </c>
      <c r="AP31" s="37" t="e">
        <f t="shared" si="50"/>
        <v>#N/A</v>
      </c>
      <c r="AQ31" s="37" t="e">
        <f t="shared" si="50"/>
        <v>#N/A</v>
      </c>
      <c r="AR31" s="37" t="e">
        <f t="shared" si="50"/>
        <v>#N/A</v>
      </c>
      <c r="AS31" s="37" t="e">
        <f t="shared" si="50"/>
        <v>#N/A</v>
      </c>
      <c r="AT31" s="37" t="e">
        <f t="shared" si="50"/>
        <v>#N/A</v>
      </c>
      <c r="AU31" s="37" t="e">
        <f t="shared" si="50"/>
        <v>#N/A</v>
      </c>
      <c r="AV31" s="37" t="e">
        <f t="shared" si="50"/>
        <v>#N/A</v>
      </c>
      <c r="AW31" s="37" t="e">
        <f t="shared" si="50"/>
        <v>#N/A</v>
      </c>
      <c r="AX31" s="37" t="e">
        <f t="shared" ref="AX31:AZ34" si="51">+AA31*AX$3</f>
        <v>#N/A</v>
      </c>
      <c r="AY31" s="37" t="e">
        <f t="shared" si="51"/>
        <v>#N/A</v>
      </c>
      <c r="AZ31" s="37" t="e">
        <f t="shared" si="51"/>
        <v>#N/A</v>
      </c>
    </row>
    <row r="32" spans="2:52" x14ac:dyDescent="0.25">
      <c r="C32" s="1" t="s">
        <v>170</v>
      </c>
      <c r="D32" s="14" t="e">
        <f t="array" ref="D32">INDEX(Data_FP!$B$2:$H$184,MATCH(FCondom!D$6&amp;FCondom!$B$30&amp;FCondom!$C32&amp;$B$2,Data_FP!$B$2:$B$184&amp;Data_FP!$C$2:$C$184&amp;Data_FP!$D$2:$D$184&amp;Data_FP!$E$2:$E$184,0),MATCH(FCondom!$B$29,Data_FP!$B$2:$H$2,0))</f>
        <v>#N/A</v>
      </c>
      <c r="E32" s="14" t="e">
        <f t="array" ref="E32">INDEX(Data_FP!$B$2:$H$184,MATCH(FCondom!E$6&amp;FCondom!$B$30&amp;FCondom!$C32&amp;$B$2,Data_FP!$B$2:$B$184&amp;Data_FP!$C$2:$C$184&amp;Data_FP!$D$2:$D$184&amp;Data_FP!$E$2:$E$184,0),MATCH(FCondom!$B$29,Data_FP!$B$2:$H$2,0))</f>
        <v>#N/A</v>
      </c>
      <c r="F32" s="14" t="e">
        <f>IF(E32+H32*(Yr_Start-Yr_DHS2)&lt;0,0,E32+H32*(Yr_Start-Yr_DHS2))</f>
        <v>#N/A</v>
      </c>
      <c r="G32" s="14" t="e">
        <f>E32*(1-Shift_RurQ2)</f>
        <v>#N/A</v>
      </c>
      <c r="H32" s="14" t="e">
        <f t="shared" ref="H32:H34" si="52">+($E32-$D32)/($E$6-$D$6)</f>
        <v>#N/A</v>
      </c>
      <c r="I32" s="14" t="e">
        <f t="shared" ref="I32:I34" si="53">+($G32-$F32)/($G$6-$F$6)</f>
        <v>#N/A</v>
      </c>
      <c r="J32" s="15" t="e">
        <f t="shared" ref="J32:J34" si="54">E32</f>
        <v>#N/A</v>
      </c>
      <c r="K32" s="15" t="e">
        <f t="shared" ref="K32:AC32" si="55">IF(IF(K$6&lt;=Yr_Start,J32+$H32,J32+$I32)&lt;0,0,IF(K$6&lt;=Yr_Start,J32+$H32,J32+$I32))</f>
        <v>#N/A</v>
      </c>
      <c r="L32" s="15" t="e">
        <f t="shared" si="55"/>
        <v>#N/A</v>
      </c>
      <c r="M32" s="15" t="e">
        <f t="shared" si="55"/>
        <v>#N/A</v>
      </c>
      <c r="N32" s="15" t="e">
        <f t="shared" si="55"/>
        <v>#N/A</v>
      </c>
      <c r="O32" s="15" t="e">
        <f t="shared" si="55"/>
        <v>#N/A</v>
      </c>
      <c r="P32" s="15" t="e">
        <f t="shared" si="55"/>
        <v>#N/A</v>
      </c>
      <c r="Q32" s="15" t="e">
        <f t="shared" si="55"/>
        <v>#N/A</v>
      </c>
      <c r="R32" s="15" t="e">
        <f t="shared" si="55"/>
        <v>#N/A</v>
      </c>
      <c r="S32" s="15" t="e">
        <f t="shared" si="55"/>
        <v>#N/A</v>
      </c>
      <c r="T32" s="15" t="e">
        <f t="shared" si="55"/>
        <v>#N/A</v>
      </c>
      <c r="U32" s="15" t="e">
        <f t="shared" si="55"/>
        <v>#N/A</v>
      </c>
      <c r="V32" s="15" t="e">
        <f t="shared" si="55"/>
        <v>#N/A</v>
      </c>
      <c r="W32" s="15" t="e">
        <f t="shared" si="55"/>
        <v>#N/A</v>
      </c>
      <c r="X32" s="15" t="e">
        <f t="shared" si="55"/>
        <v>#N/A</v>
      </c>
      <c r="Y32" s="15" t="e">
        <f t="shared" si="55"/>
        <v>#N/A</v>
      </c>
      <c r="Z32" s="15" t="e">
        <f t="shared" si="55"/>
        <v>#N/A</v>
      </c>
      <c r="AA32" s="15" t="e">
        <f t="shared" si="55"/>
        <v>#N/A</v>
      </c>
      <c r="AB32" s="15" t="e">
        <f t="shared" si="55"/>
        <v>#N/A</v>
      </c>
      <c r="AC32" s="15" t="e">
        <f t="shared" si="55"/>
        <v>#N/A</v>
      </c>
      <c r="AF32" s="1" t="s">
        <v>170</v>
      </c>
      <c r="AG32" s="37" t="e">
        <f t="shared" ref="AG32:AG34" si="56">+J32*AG$3</f>
        <v>#N/A</v>
      </c>
      <c r="AH32" s="37" t="e">
        <f t="shared" si="50"/>
        <v>#N/A</v>
      </c>
      <c r="AI32" s="37" t="e">
        <f t="shared" si="50"/>
        <v>#N/A</v>
      </c>
      <c r="AJ32" s="37" t="e">
        <f t="shared" si="50"/>
        <v>#N/A</v>
      </c>
      <c r="AK32" s="37" t="e">
        <f t="shared" si="50"/>
        <v>#N/A</v>
      </c>
      <c r="AL32" s="37" t="e">
        <f t="shared" si="50"/>
        <v>#N/A</v>
      </c>
      <c r="AM32" s="37" t="e">
        <f t="shared" si="50"/>
        <v>#N/A</v>
      </c>
      <c r="AN32" s="37" t="e">
        <f t="shared" si="50"/>
        <v>#N/A</v>
      </c>
      <c r="AO32" s="37" t="e">
        <f t="shared" si="50"/>
        <v>#N/A</v>
      </c>
      <c r="AP32" s="37" t="e">
        <f t="shared" si="50"/>
        <v>#N/A</v>
      </c>
      <c r="AQ32" s="37" t="e">
        <f t="shared" si="50"/>
        <v>#N/A</v>
      </c>
      <c r="AR32" s="37" t="e">
        <f t="shared" si="50"/>
        <v>#N/A</v>
      </c>
      <c r="AS32" s="37" t="e">
        <f t="shared" si="50"/>
        <v>#N/A</v>
      </c>
      <c r="AT32" s="37" t="e">
        <f t="shared" si="50"/>
        <v>#N/A</v>
      </c>
      <c r="AU32" s="37" t="e">
        <f t="shared" si="50"/>
        <v>#N/A</v>
      </c>
      <c r="AV32" s="37" t="e">
        <f t="shared" si="50"/>
        <v>#N/A</v>
      </c>
      <c r="AW32" s="37" t="e">
        <f t="shared" si="50"/>
        <v>#N/A</v>
      </c>
      <c r="AX32" s="37" t="e">
        <f t="shared" si="51"/>
        <v>#N/A</v>
      </c>
      <c r="AY32" s="37" t="e">
        <f t="shared" si="51"/>
        <v>#N/A</v>
      </c>
      <c r="AZ32" s="37" t="e">
        <f t="shared" si="51"/>
        <v>#N/A</v>
      </c>
    </row>
    <row r="33" spans="2:52" x14ac:dyDescent="0.25">
      <c r="C33" s="1" t="s">
        <v>59</v>
      </c>
      <c r="D33" s="14" t="e">
        <f t="array" ref="D33">INDEX(Data_FP!$B$2:$H$184,MATCH(FCondom!D$6&amp;FCondom!$B$30&amp;FCondom!$C33&amp;$B$2,Data_FP!$B$2:$B$184&amp;Data_FP!$C$2:$C$184&amp;Data_FP!$D$2:$D$184&amp;Data_FP!$E$2:$E$184,0),MATCH(FCondom!$B$29,Data_FP!$B$2:$H$2,0))</f>
        <v>#N/A</v>
      </c>
      <c r="E33" s="14" t="e">
        <f t="array" ref="E33">INDEX(Data_FP!$B$2:$H$184,MATCH(FCondom!E$6&amp;FCondom!$B$30&amp;FCondom!$C33&amp;$B$2,Data_FP!$B$2:$B$184&amp;Data_FP!$C$2:$C$184&amp;Data_FP!$D$2:$D$184&amp;Data_FP!$E$2:$E$184,0),MATCH(FCondom!$B$29,Data_FP!$B$2:$H$2,0))</f>
        <v>#N/A</v>
      </c>
      <c r="F33" s="14" t="e">
        <f>IF(E33+H33*(Yr_Start-Yr_DHS2)&lt;0,0,E33+H33*(Yr_Start-Yr_DHS2))</f>
        <v>#N/A</v>
      </c>
      <c r="G33" s="14" t="e">
        <f>E35-SUM(G34,G32,G31)</f>
        <v>#N/A</v>
      </c>
      <c r="H33" s="14" t="e">
        <f t="shared" si="52"/>
        <v>#N/A</v>
      </c>
      <c r="I33" s="14" t="e">
        <f t="shared" si="53"/>
        <v>#N/A</v>
      </c>
      <c r="J33" s="15" t="e">
        <f t="shared" si="54"/>
        <v>#N/A</v>
      </c>
      <c r="K33" s="15" t="e">
        <f t="shared" ref="K33:AC33" si="57">IF(IF(K$6&lt;=Yr_Start,J33+$H33,J33+$I33)&lt;0,0,IF(K$6&lt;=Yr_Start,J33+$H33,J33+$I33))</f>
        <v>#N/A</v>
      </c>
      <c r="L33" s="15" t="e">
        <f t="shared" si="57"/>
        <v>#N/A</v>
      </c>
      <c r="M33" s="15" t="e">
        <f t="shared" si="57"/>
        <v>#N/A</v>
      </c>
      <c r="N33" s="15" t="e">
        <f t="shared" si="57"/>
        <v>#N/A</v>
      </c>
      <c r="O33" s="15" t="e">
        <f t="shared" si="57"/>
        <v>#N/A</v>
      </c>
      <c r="P33" s="15" t="e">
        <f t="shared" si="57"/>
        <v>#N/A</v>
      </c>
      <c r="Q33" s="15" t="e">
        <f t="shared" si="57"/>
        <v>#N/A</v>
      </c>
      <c r="R33" s="15" t="e">
        <f t="shared" si="57"/>
        <v>#N/A</v>
      </c>
      <c r="S33" s="15" t="e">
        <f t="shared" si="57"/>
        <v>#N/A</v>
      </c>
      <c r="T33" s="15" t="e">
        <f t="shared" si="57"/>
        <v>#N/A</v>
      </c>
      <c r="U33" s="15" t="e">
        <f t="shared" si="57"/>
        <v>#N/A</v>
      </c>
      <c r="V33" s="15" t="e">
        <f t="shared" si="57"/>
        <v>#N/A</v>
      </c>
      <c r="W33" s="15" t="e">
        <f t="shared" si="57"/>
        <v>#N/A</v>
      </c>
      <c r="X33" s="15" t="e">
        <f t="shared" si="57"/>
        <v>#N/A</v>
      </c>
      <c r="Y33" s="15" t="e">
        <f t="shared" si="57"/>
        <v>#N/A</v>
      </c>
      <c r="Z33" s="15" t="e">
        <f t="shared" si="57"/>
        <v>#N/A</v>
      </c>
      <c r="AA33" s="15" t="e">
        <f t="shared" si="57"/>
        <v>#N/A</v>
      </c>
      <c r="AB33" s="15" t="e">
        <f t="shared" si="57"/>
        <v>#N/A</v>
      </c>
      <c r="AC33" s="15" t="e">
        <f t="shared" si="57"/>
        <v>#N/A</v>
      </c>
      <c r="AF33" s="1" t="s">
        <v>59</v>
      </c>
      <c r="AG33" s="37" t="e">
        <f t="shared" si="56"/>
        <v>#N/A</v>
      </c>
      <c r="AH33" s="37" t="e">
        <f t="shared" si="50"/>
        <v>#N/A</v>
      </c>
      <c r="AI33" s="37" t="e">
        <f t="shared" si="50"/>
        <v>#N/A</v>
      </c>
      <c r="AJ33" s="37" t="e">
        <f t="shared" si="50"/>
        <v>#N/A</v>
      </c>
      <c r="AK33" s="37" t="e">
        <f t="shared" si="50"/>
        <v>#N/A</v>
      </c>
      <c r="AL33" s="37" t="e">
        <f t="shared" si="50"/>
        <v>#N/A</v>
      </c>
      <c r="AM33" s="37" t="e">
        <f t="shared" si="50"/>
        <v>#N/A</v>
      </c>
      <c r="AN33" s="37" t="e">
        <f t="shared" si="50"/>
        <v>#N/A</v>
      </c>
      <c r="AO33" s="37" t="e">
        <f t="shared" si="50"/>
        <v>#N/A</v>
      </c>
      <c r="AP33" s="37" t="e">
        <f t="shared" si="50"/>
        <v>#N/A</v>
      </c>
      <c r="AQ33" s="37" t="e">
        <f t="shared" si="50"/>
        <v>#N/A</v>
      </c>
      <c r="AR33" s="37" t="e">
        <f t="shared" si="50"/>
        <v>#N/A</v>
      </c>
      <c r="AS33" s="37" t="e">
        <f t="shared" si="50"/>
        <v>#N/A</v>
      </c>
      <c r="AT33" s="37" t="e">
        <f t="shared" si="50"/>
        <v>#N/A</v>
      </c>
      <c r="AU33" s="37" t="e">
        <f t="shared" si="50"/>
        <v>#N/A</v>
      </c>
      <c r="AV33" s="37" t="e">
        <f t="shared" si="50"/>
        <v>#N/A</v>
      </c>
      <c r="AW33" s="37" t="e">
        <f t="shared" si="50"/>
        <v>#N/A</v>
      </c>
      <c r="AX33" s="37" t="e">
        <f t="shared" si="51"/>
        <v>#N/A</v>
      </c>
      <c r="AY33" s="37" t="e">
        <f t="shared" si="51"/>
        <v>#N/A</v>
      </c>
      <c r="AZ33" s="37" t="e">
        <f t="shared" si="51"/>
        <v>#N/A</v>
      </c>
    </row>
    <row r="34" spans="2:52" x14ac:dyDescent="0.25">
      <c r="C34" s="1" t="s">
        <v>116</v>
      </c>
      <c r="D34" s="14" t="e">
        <f t="array" ref="D34">INDEX(Data_FP!$B$2:$H$184,MATCH(FCondom!D$6&amp;FCondom!$B$30&amp;FCondom!$C34&amp;$B$2,Data_FP!$B$2:$B$184&amp;Data_FP!$C$2:$C$184&amp;Data_FP!$D$2:$D$184&amp;Data_FP!$E$2:$E$184,0),MATCH(FCondom!$B$29,Data_FP!$B$2:$H$2,0))</f>
        <v>#N/A</v>
      </c>
      <c r="E34" s="14" t="e">
        <f t="array" ref="E34">INDEX(Data_FP!$B$2:$H$184,MATCH(FCondom!E$6&amp;FCondom!$B$30&amp;FCondom!$C34&amp;$B$2,Data_FP!$B$2:$B$184&amp;Data_FP!$C$2:$C$184&amp;Data_FP!$D$2:$D$184&amp;Data_FP!$E$2:$E$184,0),MATCH(FCondom!$B$29,Data_FP!$B$2:$H$2,0))</f>
        <v>#N/A</v>
      </c>
      <c r="F34" s="14" t="e">
        <f>IF(E34+H34*(Yr_Start-Yr_DHS2)&lt;0,0,E34+H34*(Yr_Start-Yr_DHS2))</f>
        <v>#N/A</v>
      </c>
      <c r="G34" s="14" t="e">
        <f>E34*(1-Shift_RurQ2)</f>
        <v>#N/A</v>
      </c>
      <c r="H34" s="27" t="e">
        <f t="shared" si="52"/>
        <v>#N/A</v>
      </c>
      <c r="I34" s="14" t="e">
        <f t="shared" si="53"/>
        <v>#N/A</v>
      </c>
      <c r="J34" s="15" t="e">
        <f t="shared" si="54"/>
        <v>#N/A</v>
      </c>
      <c r="K34" s="15" t="e">
        <f t="shared" ref="K34:AC34" si="58">IF(IF(K$6&lt;=Yr_Start,J34+$H34,J34+$I34)&lt;0,0,IF(K$6&lt;=Yr_Start,J34+$H34,J34+$I34))</f>
        <v>#N/A</v>
      </c>
      <c r="L34" s="15" t="e">
        <f t="shared" si="58"/>
        <v>#N/A</v>
      </c>
      <c r="M34" s="15" t="e">
        <f t="shared" si="58"/>
        <v>#N/A</v>
      </c>
      <c r="N34" s="15" t="e">
        <f t="shared" si="58"/>
        <v>#N/A</v>
      </c>
      <c r="O34" s="15" t="e">
        <f t="shared" si="58"/>
        <v>#N/A</v>
      </c>
      <c r="P34" s="15" t="e">
        <f t="shared" si="58"/>
        <v>#N/A</v>
      </c>
      <c r="Q34" s="15" t="e">
        <f t="shared" si="58"/>
        <v>#N/A</v>
      </c>
      <c r="R34" s="15" t="e">
        <f t="shared" si="58"/>
        <v>#N/A</v>
      </c>
      <c r="S34" s="15" t="e">
        <f t="shared" si="58"/>
        <v>#N/A</v>
      </c>
      <c r="T34" s="15" t="e">
        <f t="shared" si="58"/>
        <v>#N/A</v>
      </c>
      <c r="U34" s="15" t="e">
        <f t="shared" si="58"/>
        <v>#N/A</v>
      </c>
      <c r="V34" s="15" t="e">
        <f t="shared" si="58"/>
        <v>#N/A</v>
      </c>
      <c r="W34" s="15" t="e">
        <f t="shared" si="58"/>
        <v>#N/A</v>
      </c>
      <c r="X34" s="15" t="e">
        <f t="shared" si="58"/>
        <v>#N/A</v>
      </c>
      <c r="Y34" s="15" t="e">
        <f t="shared" si="58"/>
        <v>#N/A</v>
      </c>
      <c r="Z34" s="15" t="e">
        <f t="shared" si="58"/>
        <v>#N/A</v>
      </c>
      <c r="AA34" s="15" t="e">
        <f t="shared" si="58"/>
        <v>#N/A</v>
      </c>
      <c r="AB34" s="15" t="e">
        <f t="shared" si="58"/>
        <v>#N/A</v>
      </c>
      <c r="AC34" s="15" t="e">
        <f t="shared" si="58"/>
        <v>#N/A</v>
      </c>
      <c r="AF34" s="1" t="s">
        <v>116</v>
      </c>
      <c r="AG34" s="37" t="e">
        <f t="shared" si="56"/>
        <v>#N/A</v>
      </c>
      <c r="AH34" s="37" t="e">
        <f t="shared" si="50"/>
        <v>#N/A</v>
      </c>
      <c r="AI34" s="37" t="e">
        <f t="shared" si="50"/>
        <v>#N/A</v>
      </c>
      <c r="AJ34" s="37" t="e">
        <f t="shared" si="50"/>
        <v>#N/A</v>
      </c>
      <c r="AK34" s="37" t="e">
        <f t="shared" si="50"/>
        <v>#N/A</v>
      </c>
      <c r="AL34" s="37" t="e">
        <f t="shared" si="50"/>
        <v>#N/A</v>
      </c>
      <c r="AM34" s="37" t="e">
        <f t="shared" si="50"/>
        <v>#N/A</v>
      </c>
      <c r="AN34" s="37" t="e">
        <f t="shared" si="50"/>
        <v>#N/A</v>
      </c>
      <c r="AO34" s="37" t="e">
        <f t="shared" si="50"/>
        <v>#N/A</v>
      </c>
      <c r="AP34" s="37" t="e">
        <f t="shared" si="50"/>
        <v>#N/A</v>
      </c>
      <c r="AQ34" s="37" t="e">
        <f t="shared" si="50"/>
        <v>#N/A</v>
      </c>
      <c r="AR34" s="37" t="e">
        <f t="shared" si="50"/>
        <v>#N/A</v>
      </c>
      <c r="AS34" s="37" t="e">
        <f t="shared" si="50"/>
        <v>#N/A</v>
      </c>
      <c r="AT34" s="37" t="e">
        <f t="shared" si="50"/>
        <v>#N/A</v>
      </c>
      <c r="AU34" s="37" t="e">
        <f t="shared" si="50"/>
        <v>#N/A</v>
      </c>
      <c r="AV34" s="37" t="e">
        <f t="shared" si="50"/>
        <v>#N/A</v>
      </c>
      <c r="AW34" s="37" t="e">
        <f t="shared" si="50"/>
        <v>#N/A</v>
      </c>
      <c r="AX34" s="37" t="e">
        <f t="shared" si="51"/>
        <v>#N/A</v>
      </c>
      <c r="AY34" s="37" t="e">
        <f t="shared" si="51"/>
        <v>#N/A</v>
      </c>
      <c r="AZ34" s="37" t="e">
        <f t="shared" si="51"/>
        <v>#N/A</v>
      </c>
    </row>
    <row r="35" spans="2:52" x14ac:dyDescent="0.25">
      <c r="E35" s="5" t="e">
        <f>SUM(E31:E34)</f>
        <v>#N/A</v>
      </c>
      <c r="F35" s="5"/>
      <c r="AF35" s="1" t="s">
        <v>60</v>
      </c>
      <c r="AG35" s="37" t="e">
        <f>+SUM(AG31:AG34)</f>
        <v>#N/A</v>
      </c>
      <c r="AH35" s="37" t="e">
        <f t="shared" ref="AH35:AZ35" si="59">+SUM(AH31:AH34)</f>
        <v>#N/A</v>
      </c>
      <c r="AI35" s="37" t="e">
        <f t="shared" si="59"/>
        <v>#N/A</v>
      </c>
      <c r="AJ35" s="37" t="e">
        <f t="shared" si="59"/>
        <v>#N/A</v>
      </c>
      <c r="AK35" s="37" t="e">
        <f t="shared" si="59"/>
        <v>#N/A</v>
      </c>
      <c r="AL35" s="37" t="e">
        <f t="shared" si="59"/>
        <v>#N/A</v>
      </c>
      <c r="AM35" s="37" t="e">
        <f t="shared" si="59"/>
        <v>#N/A</v>
      </c>
      <c r="AN35" s="37" t="e">
        <f t="shared" si="59"/>
        <v>#N/A</v>
      </c>
      <c r="AO35" s="37" t="e">
        <f t="shared" si="59"/>
        <v>#N/A</v>
      </c>
      <c r="AP35" s="37" t="e">
        <f t="shared" si="59"/>
        <v>#N/A</v>
      </c>
      <c r="AQ35" s="37" t="e">
        <f t="shared" si="59"/>
        <v>#N/A</v>
      </c>
      <c r="AR35" s="37" t="e">
        <f t="shared" si="59"/>
        <v>#N/A</v>
      </c>
      <c r="AS35" s="37" t="e">
        <f t="shared" si="59"/>
        <v>#N/A</v>
      </c>
      <c r="AT35" s="37" t="e">
        <f t="shared" si="59"/>
        <v>#N/A</v>
      </c>
      <c r="AU35" s="37" t="e">
        <f t="shared" si="59"/>
        <v>#N/A</v>
      </c>
      <c r="AV35" s="37" t="e">
        <f t="shared" si="59"/>
        <v>#N/A</v>
      </c>
      <c r="AW35" s="37" t="e">
        <f t="shared" si="59"/>
        <v>#N/A</v>
      </c>
      <c r="AX35" s="37" t="e">
        <f t="shared" si="59"/>
        <v>#N/A</v>
      </c>
      <c r="AY35" s="37" t="e">
        <f t="shared" si="59"/>
        <v>#N/A</v>
      </c>
      <c r="AZ35" s="37" t="e">
        <f t="shared" si="59"/>
        <v>#N/A</v>
      </c>
    </row>
    <row r="36" spans="2:52" x14ac:dyDescent="0.25">
      <c r="AG36" s="40"/>
      <c r="AH36" s="40"/>
      <c r="AI36" s="40"/>
      <c r="AJ36" s="40"/>
      <c r="AK36" s="40"/>
      <c r="AL36" s="40"/>
      <c r="AM36" s="40"/>
      <c r="AN36" s="40"/>
      <c r="AO36" s="40"/>
      <c r="AP36" s="40"/>
      <c r="AQ36" s="40"/>
      <c r="AR36" s="40"/>
      <c r="AS36" s="40"/>
      <c r="AT36" s="40"/>
      <c r="AU36" s="40"/>
      <c r="AV36" s="40"/>
      <c r="AW36" s="40"/>
      <c r="AX36" s="40"/>
      <c r="AY36" s="40"/>
      <c r="AZ36" s="40"/>
    </row>
    <row r="37" spans="2:52" s="11" customFormat="1" ht="5.25" customHeight="1" x14ac:dyDescent="0.25">
      <c r="B37" s="43"/>
      <c r="AE37" s="43"/>
      <c r="AG37" s="44"/>
      <c r="AH37" s="44"/>
      <c r="AI37" s="44"/>
      <c r="AJ37" s="44"/>
      <c r="AK37" s="44"/>
      <c r="AL37" s="44"/>
      <c r="AM37" s="44"/>
      <c r="AN37" s="44"/>
      <c r="AO37" s="44"/>
      <c r="AP37" s="44"/>
      <c r="AQ37" s="44"/>
      <c r="AR37" s="44"/>
      <c r="AS37" s="44"/>
      <c r="AT37" s="44"/>
      <c r="AU37" s="44"/>
      <c r="AV37" s="44"/>
      <c r="AW37" s="44"/>
      <c r="AX37" s="44"/>
      <c r="AY37" s="44"/>
      <c r="AZ37" s="44"/>
    </row>
    <row r="38" spans="2:52" x14ac:dyDescent="0.25">
      <c r="B38" t="s">
        <v>174</v>
      </c>
      <c r="AE38" t="s">
        <v>174</v>
      </c>
      <c r="AG38" s="40"/>
      <c r="AH38" s="40"/>
      <c r="AI38" s="40"/>
      <c r="AJ38" s="40"/>
      <c r="AK38" s="40"/>
      <c r="AL38" s="40"/>
      <c r="AM38" s="40"/>
      <c r="AN38" s="40"/>
      <c r="AO38" s="40"/>
      <c r="AP38" s="40"/>
      <c r="AQ38" s="40"/>
      <c r="AR38" s="40"/>
      <c r="AS38" s="40"/>
      <c r="AT38" s="40"/>
      <c r="AU38" s="40"/>
      <c r="AV38" s="40"/>
      <c r="AW38" s="40"/>
      <c r="AX38" s="40"/>
      <c r="AY38" s="40"/>
      <c r="AZ38" s="40"/>
    </row>
    <row r="39" spans="2:52" x14ac:dyDescent="0.25">
      <c r="AE39" s="6" t="s">
        <v>162</v>
      </c>
      <c r="AG39" s="35"/>
      <c r="AH39" s="35"/>
      <c r="AI39" s="35"/>
      <c r="AJ39" s="35"/>
      <c r="AK39" s="35"/>
      <c r="AL39" s="35"/>
      <c r="AM39" s="35"/>
      <c r="AN39" s="35"/>
      <c r="AO39" s="35"/>
      <c r="AP39" s="35"/>
      <c r="AQ39" s="35"/>
      <c r="AR39" s="35"/>
      <c r="AS39" s="35"/>
      <c r="AT39" s="35"/>
      <c r="AU39" s="35"/>
      <c r="AV39" s="35"/>
      <c r="AW39" s="35"/>
      <c r="AX39" s="35"/>
      <c r="AY39" s="35"/>
      <c r="AZ39" s="35"/>
    </row>
    <row r="40" spans="2:52" x14ac:dyDescent="0.25">
      <c r="AE40" s="6" t="s">
        <v>178</v>
      </c>
      <c r="AF40" s="38"/>
      <c r="AG40" s="36">
        <f>Yr_DHS2</f>
        <v>2016</v>
      </c>
      <c r="AH40" s="36">
        <f>AG40+1</f>
        <v>2017</v>
      </c>
      <c r="AI40" s="36">
        <f t="shared" ref="AI40:AZ40" si="60">AH40+1</f>
        <v>2018</v>
      </c>
      <c r="AJ40" s="36">
        <f t="shared" si="60"/>
        <v>2019</v>
      </c>
      <c r="AK40" s="36">
        <f t="shared" si="60"/>
        <v>2020</v>
      </c>
      <c r="AL40" s="36">
        <f t="shared" si="60"/>
        <v>2021</v>
      </c>
      <c r="AM40" s="36">
        <f t="shared" si="60"/>
        <v>2022</v>
      </c>
      <c r="AN40" s="36">
        <f t="shared" si="60"/>
        <v>2023</v>
      </c>
      <c r="AO40" s="36">
        <f t="shared" si="60"/>
        <v>2024</v>
      </c>
      <c r="AP40" s="36">
        <f t="shared" si="60"/>
        <v>2025</v>
      </c>
      <c r="AQ40" s="36">
        <f t="shared" si="60"/>
        <v>2026</v>
      </c>
      <c r="AR40" s="36">
        <f t="shared" si="60"/>
        <v>2027</v>
      </c>
      <c r="AS40" s="36">
        <f t="shared" si="60"/>
        <v>2028</v>
      </c>
      <c r="AT40" s="36">
        <f t="shared" si="60"/>
        <v>2029</v>
      </c>
      <c r="AU40" s="36">
        <f t="shared" si="60"/>
        <v>2030</v>
      </c>
      <c r="AV40" s="36">
        <f t="shared" si="60"/>
        <v>2031</v>
      </c>
      <c r="AW40" s="36">
        <f t="shared" si="60"/>
        <v>2032</v>
      </c>
      <c r="AX40" s="36">
        <f t="shared" si="60"/>
        <v>2033</v>
      </c>
      <c r="AY40" s="36">
        <f t="shared" si="60"/>
        <v>2034</v>
      </c>
      <c r="AZ40" s="36">
        <f t="shared" si="60"/>
        <v>2035</v>
      </c>
    </row>
    <row r="41" spans="2:52" x14ac:dyDescent="0.25">
      <c r="AF41" s="1" t="s">
        <v>188</v>
      </c>
      <c r="AG41" s="37" t="e">
        <f>+SUM(AG7,AG15)</f>
        <v>#N/A</v>
      </c>
      <c r="AH41" s="37" t="e">
        <f t="shared" ref="AH41:AZ41" si="61">+SUM(AH7,AH15)</f>
        <v>#N/A</v>
      </c>
      <c r="AI41" s="37" t="e">
        <f t="shared" si="61"/>
        <v>#N/A</v>
      </c>
      <c r="AJ41" s="37" t="e">
        <f t="shared" si="61"/>
        <v>#N/A</v>
      </c>
      <c r="AK41" s="37" t="e">
        <f t="shared" si="61"/>
        <v>#N/A</v>
      </c>
      <c r="AL41" s="37" t="e">
        <f t="shared" si="61"/>
        <v>#N/A</v>
      </c>
      <c r="AM41" s="37" t="e">
        <f t="shared" si="61"/>
        <v>#N/A</v>
      </c>
      <c r="AN41" s="37" t="e">
        <f t="shared" si="61"/>
        <v>#N/A</v>
      </c>
      <c r="AO41" s="37" t="e">
        <f t="shared" si="61"/>
        <v>#N/A</v>
      </c>
      <c r="AP41" s="37" t="e">
        <f t="shared" si="61"/>
        <v>#N/A</v>
      </c>
      <c r="AQ41" s="37" t="e">
        <f t="shared" si="61"/>
        <v>#N/A</v>
      </c>
      <c r="AR41" s="37" t="e">
        <f t="shared" si="61"/>
        <v>#N/A</v>
      </c>
      <c r="AS41" s="37" t="e">
        <f t="shared" si="61"/>
        <v>#N/A</v>
      </c>
      <c r="AT41" s="37" t="e">
        <f t="shared" si="61"/>
        <v>#N/A</v>
      </c>
      <c r="AU41" s="37" t="e">
        <f t="shared" si="61"/>
        <v>#N/A</v>
      </c>
      <c r="AV41" s="37" t="e">
        <f t="shared" si="61"/>
        <v>#N/A</v>
      </c>
      <c r="AW41" s="37" t="e">
        <f t="shared" si="61"/>
        <v>#N/A</v>
      </c>
      <c r="AX41" s="37" t="e">
        <f t="shared" si="61"/>
        <v>#N/A</v>
      </c>
      <c r="AY41" s="37" t="e">
        <f t="shared" si="61"/>
        <v>#N/A</v>
      </c>
      <c r="AZ41" s="37" t="e">
        <f t="shared" si="61"/>
        <v>#N/A</v>
      </c>
    </row>
    <row r="42" spans="2:52" x14ac:dyDescent="0.25">
      <c r="AF42" s="1" t="s">
        <v>170</v>
      </c>
      <c r="AG42" s="37" t="e">
        <f>+SUM(AG8,AG16)</f>
        <v>#N/A</v>
      </c>
      <c r="AH42" s="37" t="e">
        <f t="shared" ref="AH42:AZ42" si="62">+SUM(AH8,AH16)</f>
        <v>#N/A</v>
      </c>
      <c r="AI42" s="37" t="e">
        <f t="shared" si="62"/>
        <v>#N/A</v>
      </c>
      <c r="AJ42" s="37" t="e">
        <f t="shared" si="62"/>
        <v>#N/A</v>
      </c>
      <c r="AK42" s="37" t="e">
        <f t="shared" si="62"/>
        <v>#N/A</v>
      </c>
      <c r="AL42" s="37" t="e">
        <f t="shared" si="62"/>
        <v>#N/A</v>
      </c>
      <c r="AM42" s="37" t="e">
        <f t="shared" si="62"/>
        <v>#N/A</v>
      </c>
      <c r="AN42" s="37" t="e">
        <f t="shared" si="62"/>
        <v>#N/A</v>
      </c>
      <c r="AO42" s="37" t="e">
        <f t="shared" si="62"/>
        <v>#N/A</v>
      </c>
      <c r="AP42" s="37" t="e">
        <f t="shared" si="62"/>
        <v>#N/A</v>
      </c>
      <c r="AQ42" s="37" t="e">
        <f t="shared" si="62"/>
        <v>#N/A</v>
      </c>
      <c r="AR42" s="37" t="e">
        <f t="shared" si="62"/>
        <v>#N/A</v>
      </c>
      <c r="AS42" s="37" t="e">
        <f t="shared" si="62"/>
        <v>#N/A</v>
      </c>
      <c r="AT42" s="37" t="e">
        <f t="shared" si="62"/>
        <v>#N/A</v>
      </c>
      <c r="AU42" s="37" t="e">
        <f t="shared" si="62"/>
        <v>#N/A</v>
      </c>
      <c r="AV42" s="37" t="e">
        <f t="shared" si="62"/>
        <v>#N/A</v>
      </c>
      <c r="AW42" s="37" t="e">
        <f t="shared" si="62"/>
        <v>#N/A</v>
      </c>
      <c r="AX42" s="37" t="e">
        <f t="shared" si="62"/>
        <v>#N/A</v>
      </c>
      <c r="AY42" s="37" t="e">
        <f t="shared" si="62"/>
        <v>#N/A</v>
      </c>
      <c r="AZ42" s="37" t="e">
        <f t="shared" si="62"/>
        <v>#N/A</v>
      </c>
    </row>
    <row r="43" spans="2:52" x14ac:dyDescent="0.25">
      <c r="AF43" s="1" t="s">
        <v>59</v>
      </c>
      <c r="AG43" s="37" t="e">
        <f>+SUM(AG9,AG17)</f>
        <v>#N/A</v>
      </c>
      <c r="AH43" s="37" t="e">
        <f t="shared" ref="AH43:AZ43" si="63">+SUM(AH9,AH17)</f>
        <v>#N/A</v>
      </c>
      <c r="AI43" s="37" t="e">
        <f t="shared" si="63"/>
        <v>#N/A</v>
      </c>
      <c r="AJ43" s="37" t="e">
        <f t="shared" si="63"/>
        <v>#N/A</v>
      </c>
      <c r="AK43" s="37" t="e">
        <f t="shared" si="63"/>
        <v>#N/A</v>
      </c>
      <c r="AL43" s="37" t="e">
        <f t="shared" si="63"/>
        <v>#N/A</v>
      </c>
      <c r="AM43" s="37" t="e">
        <f t="shared" si="63"/>
        <v>#N/A</v>
      </c>
      <c r="AN43" s="37" t="e">
        <f t="shared" si="63"/>
        <v>#N/A</v>
      </c>
      <c r="AO43" s="37" t="e">
        <f t="shared" si="63"/>
        <v>#N/A</v>
      </c>
      <c r="AP43" s="37" t="e">
        <f t="shared" si="63"/>
        <v>#N/A</v>
      </c>
      <c r="AQ43" s="37" t="e">
        <f t="shared" si="63"/>
        <v>#N/A</v>
      </c>
      <c r="AR43" s="37" t="e">
        <f t="shared" si="63"/>
        <v>#N/A</v>
      </c>
      <c r="AS43" s="37" t="e">
        <f t="shared" si="63"/>
        <v>#N/A</v>
      </c>
      <c r="AT43" s="37" t="e">
        <f t="shared" si="63"/>
        <v>#N/A</v>
      </c>
      <c r="AU43" s="37" t="e">
        <f t="shared" si="63"/>
        <v>#N/A</v>
      </c>
      <c r="AV43" s="37" t="e">
        <f t="shared" si="63"/>
        <v>#N/A</v>
      </c>
      <c r="AW43" s="37" t="e">
        <f t="shared" si="63"/>
        <v>#N/A</v>
      </c>
      <c r="AX43" s="37" t="e">
        <f t="shared" si="63"/>
        <v>#N/A</v>
      </c>
      <c r="AY43" s="37" t="e">
        <f t="shared" si="63"/>
        <v>#N/A</v>
      </c>
      <c r="AZ43" s="37" t="e">
        <f t="shared" si="63"/>
        <v>#N/A</v>
      </c>
    </row>
    <row r="44" spans="2:52" x14ac:dyDescent="0.25">
      <c r="AF44" s="1" t="s">
        <v>116</v>
      </c>
      <c r="AG44" s="37" t="e">
        <f>+SUM(AG10,AG18)</f>
        <v>#N/A</v>
      </c>
      <c r="AH44" s="37" t="e">
        <f t="shared" ref="AH44:AZ44" si="64">+SUM(AH10,AH18)</f>
        <v>#N/A</v>
      </c>
      <c r="AI44" s="37" t="e">
        <f t="shared" si="64"/>
        <v>#N/A</v>
      </c>
      <c r="AJ44" s="37" t="e">
        <f t="shared" si="64"/>
        <v>#N/A</v>
      </c>
      <c r="AK44" s="37" t="e">
        <f t="shared" si="64"/>
        <v>#N/A</v>
      </c>
      <c r="AL44" s="37" t="e">
        <f t="shared" si="64"/>
        <v>#N/A</v>
      </c>
      <c r="AM44" s="37" t="e">
        <f t="shared" si="64"/>
        <v>#N/A</v>
      </c>
      <c r="AN44" s="37" t="e">
        <f t="shared" si="64"/>
        <v>#N/A</v>
      </c>
      <c r="AO44" s="37" t="e">
        <f t="shared" si="64"/>
        <v>#N/A</v>
      </c>
      <c r="AP44" s="37" t="e">
        <f t="shared" si="64"/>
        <v>#N/A</v>
      </c>
      <c r="AQ44" s="37" t="e">
        <f t="shared" si="64"/>
        <v>#N/A</v>
      </c>
      <c r="AR44" s="37" t="e">
        <f t="shared" si="64"/>
        <v>#N/A</v>
      </c>
      <c r="AS44" s="37" t="e">
        <f t="shared" si="64"/>
        <v>#N/A</v>
      </c>
      <c r="AT44" s="37" t="e">
        <f t="shared" si="64"/>
        <v>#N/A</v>
      </c>
      <c r="AU44" s="37" t="e">
        <f t="shared" si="64"/>
        <v>#N/A</v>
      </c>
      <c r="AV44" s="37" t="e">
        <f t="shared" si="64"/>
        <v>#N/A</v>
      </c>
      <c r="AW44" s="37" t="e">
        <f t="shared" si="64"/>
        <v>#N/A</v>
      </c>
      <c r="AX44" s="37" t="e">
        <f t="shared" si="64"/>
        <v>#N/A</v>
      </c>
      <c r="AY44" s="37" t="e">
        <f t="shared" si="64"/>
        <v>#N/A</v>
      </c>
      <c r="AZ44" s="37" t="e">
        <f t="shared" si="64"/>
        <v>#N/A</v>
      </c>
    </row>
    <row r="45" spans="2:52" x14ac:dyDescent="0.25">
      <c r="AF45" s="1" t="s">
        <v>60</v>
      </c>
      <c r="AG45" s="37" t="e">
        <f>+SUM(AG11,AG19)</f>
        <v>#N/A</v>
      </c>
      <c r="AH45" s="37" t="e">
        <f t="shared" ref="AH45:AZ45" si="65">+SUM(AH11,AH19)</f>
        <v>#N/A</v>
      </c>
      <c r="AI45" s="41" t="e">
        <f t="shared" si="65"/>
        <v>#N/A</v>
      </c>
      <c r="AJ45" s="41" t="e">
        <f t="shared" si="65"/>
        <v>#N/A</v>
      </c>
      <c r="AK45" s="41" t="e">
        <f t="shared" si="65"/>
        <v>#N/A</v>
      </c>
      <c r="AL45" s="41" t="e">
        <f t="shared" si="65"/>
        <v>#N/A</v>
      </c>
      <c r="AM45" s="41" t="e">
        <f t="shared" si="65"/>
        <v>#N/A</v>
      </c>
      <c r="AN45" s="41" t="e">
        <f t="shared" si="65"/>
        <v>#N/A</v>
      </c>
      <c r="AO45" s="41" t="e">
        <f t="shared" si="65"/>
        <v>#N/A</v>
      </c>
      <c r="AP45" s="41" t="e">
        <f t="shared" si="65"/>
        <v>#N/A</v>
      </c>
      <c r="AQ45" s="41" t="e">
        <f t="shared" si="65"/>
        <v>#N/A</v>
      </c>
      <c r="AR45" s="41" t="e">
        <f t="shared" si="65"/>
        <v>#N/A</v>
      </c>
      <c r="AS45" s="41" t="e">
        <f t="shared" si="65"/>
        <v>#N/A</v>
      </c>
      <c r="AT45" s="41" t="e">
        <f t="shared" si="65"/>
        <v>#N/A</v>
      </c>
      <c r="AU45" s="41" t="e">
        <f t="shared" si="65"/>
        <v>#N/A</v>
      </c>
      <c r="AV45" s="41" t="e">
        <f t="shared" si="65"/>
        <v>#N/A</v>
      </c>
      <c r="AW45" s="41" t="e">
        <f t="shared" si="65"/>
        <v>#N/A</v>
      </c>
      <c r="AX45" s="41" t="e">
        <f t="shared" si="65"/>
        <v>#N/A</v>
      </c>
      <c r="AY45" s="41" t="e">
        <f t="shared" si="65"/>
        <v>#N/A</v>
      </c>
      <c r="AZ45" s="41" t="e">
        <f t="shared" si="65"/>
        <v>#N/A</v>
      </c>
    </row>
    <row r="46" spans="2:52" x14ac:dyDescent="0.25">
      <c r="AI46" s="42" t="e">
        <f>IF(SUM(AI41:AI44)=AI45,"Okay","Check")</f>
        <v>#N/A</v>
      </c>
      <c r="AJ46" s="42" t="e">
        <f t="shared" ref="AJ46:AZ46" si="66">IF(SUM(AJ41:AJ44)=AJ45,"Okay","Check")</f>
        <v>#N/A</v>
      </c>
      <c r="AK46" s="42" t="e">
        <f t="shared" si="66"/>
        <v>#N/A</v>
      </c>
      <c r="AL46" s="42" t="e">
        <f t="shared" si="66"/>
        <v>#N/A</v>
      </c>
      <c r="AM46" s="42" t="e">
        <f t="shared" si="66"/>
        <v>#N/A</v>
      </c>
      <c r="AN46" s="42" t="e">
        <f t="shared" si="66"/>
        <v>#N/A</v>
      </c>
      <c r="AO46" s="42" t="e">
        <f t="shared" si="66"/>
        <v>#N/A</v>
      </c>
      <c r="AP46" s="42" t="e">
        <f t="shared" si="66"/>
        <v>#N/A</v>
      </c>
      <c r="AQ46" s="42" t="e">
        <f t="shared" si="66"/>
        <v>#N/A</v>
      </c>
      <c r="AR46" s="42" t="e">
        <f t="shared" si="66"/>
        <v>#N/A</v>
      </c>
      <c r="AS46" s="42" t="e">
        <f t="shared" si="66"/>
        <v>#N/A</v>
      </c>
      <c r="AT46" s="42" t="e">
        <f t="shared" si="66"/>
        <v>#N/A</v>
      </c>
      <c r="AU46" s="42" t="e">
        <f t="shared" si="66"/>
        <v>#N/A</v>
      </c>
      <c r="AV46" s="42" t="e">
        <f t="shared" si="66"/>
        <v>#N/A</v>
      </c>
      <c r="AW46" s="42" t="e">
        <f t="shared" si="66"/>
        <v>#N/A</v>
      </c>
      <c r="AX46" s="42" t="e">
        <f t="shared" si="66"/>
        <v>#N/A</v>
      </c>
      <c r="AY46" s="42" t="e">
        <f t="shared" si="66"/>
        <v>#N/A</v>
      </c>
      <c r="AZ46" s="42" t="e">
        <f t="shared" si="66"/>
        <v>#N/A</v>
      </c>
    </row>
    <row r="47" spans="2:52" x14ac:dyDescent="0.25">
      <c r="AE47" s="6" t="s">
        <v>173</v>
      </c>
    </row>
    <row r="48" spans="2:52" x14ac:dyDescent="0.25">
      <c r="AE48" s="6" t="s">
        <v>178</v>
      </c>
      <c r="AF48" s="38"/>
      <c r="AG48" s="36">
        <f>Yr_DHS2</f>
        <v>2016</v>
      </c>
      <c r="AH48" s="36">
        <f>AG48+1</f>
        <v>2017</v>
      </c>
      <c r="AI48" s="36">
        <f t="shared" ref="AI48:AZ48" si="67">AH48+1</f>
        <v>2018</v>
      </c>
      <c r="AJ48" s="36">
        <f t="shared" si="67"/>
        <v>2019</v>
      </c>
      <c r="AK48" s="36">
        <f t="shared" si="67"/>
        <v>2020</v>
      </c>
      <c r="AL48" s="36">
        <f t="shared" si="67"/>
        <v>2021</v>
      </c>
      <c r="AM48" s="36">
        <f t="shared" si="67"/>
        <v>2022</v>
      </c>
      <c r="AN48" s="36">
        <f t="shared" si="67"/>
        <v>2023</v>
      </c>
      <c r="AO48" s="36">
        <f t="shared" si="67"/>
        <v>2024</v>
      </c>
      <c r="AP48" s="36">
        <f t="shared" si="67"/>
        <v>2025</v>
      </c>
      <c r="AQ48" s="36">
        <f t="shared" si="67"/>
        <v>2026</v>
      </c>
      <c r="AR48" s="36">
        <f t="shared" si="67"/>
        <v>2027</v>
      </c>
      <c r="AS48" s="36">
        <f t="shared" si="67"/>
        <v>2028</v>
      </c>
      <c r="AT48" s="36">
        <f t="shared" si="67"/>
        <v>2029</v>
      </c>
      <c r="AU48" s="36">
        <f t="shared" si="67"/>
        <v>2030</v>
      </c>
      <c r="AV48" s="36">
        <f t="shared" si="67"/>
        <v>2031</v>
      </c>
      <c r="AW48" s="36">
        <f t="shared" si="67"/>
        <v>2032</v>
      </c>
      <c r="AX48" s="36">
        <f t="shared" si="67"/>
        <v>2033</v>
      </c>
      <c r="AY48" s="36">
        <f t="shared" si="67"/>
        <v>2034</v>
      </c>
      <c r="AZ48" s="36">
        <f t="shared" si="67"/>
        <v>2035</v>
      </c>
    </row>
    <row r="49" spans="32:52" x14ac:dyDescent="0.25">
      <c r="AF49" s="1" t="s">
        <v>188</v>
      </c>
      <c r="AG49" s="37" t="e">
        <f>+SUM(AG31,AG23)</f>
        <v>#N/A</v>
      </c>
      <c r="AH49" s="37" t="e">
        <f t="shared" ref="AH49:AZ49" si="68">+SUM(AH31,AH23)</f>
        <v>#N/A</v>
      </c>
      <c r="AI49" s="37" t="e">
        <f t="shared" si="68"/>
        <v>#N/A</v>
      </c>
      <c r="AJ49" s="37" t="e">
        <f t="shared" si="68"/>
        <v>#N/A</v>
      </c>
      <c r="AK49" s="37" t="e">
        <f t="shared" si="68"/>
        <v>#N/A</v>
      </c>
      <c r="AL49" s="37" t="e">
        <f t="shared" si="68"/>
        <v>#N/A</v>
      </c>
      <c r="AM49" s="37" t="e">
        <f t="shared" si="68"/>
        <v>#N/A</v>
      </c>
      <c r="AN49" s="37" t="e">
        <f t="shared" si="68"/>
        <v>#N/A</v>
      </c>
      <c r="AO49" s="37" t="e">
        <f t="shared" si="68"/>
        <v>#N/A</v>
      </c>
      <c r="AP49" s="37" t="e">
        <f t="shared" si="68"/>
        <v>#N/A</v>
      </c>
      <c r="AQ49" s="37" t="e">
        <f t="shared" si="68"/>
        <v>#N/A</v>
      </c>
      <c r="AR49" s="37" t="e">
        <f t="shared" si="68"/>
        <v>#N/A</v>
      </c>
      <c r="AS49" s="37" t="e">
        <f t="shared" si="68"/>
        <v>#N/A</v>
      </c>
      <c r="AT49" s="37" t="e">
        <f t="shared" si="68"/>
        <v>#N/A</v>
      </c>
      <c r="AU49" s="37" t="e">
        <f t="shared" si="68"/>
        <v>#N/A</v>
      </c>
      <c r="AV49" s="37" t="e">
        <f t="shared" si="68"/>
        <v>#N/A</v>
      </c>
      <c r="AW49" s="37" t="e">
        <f t="shared" si="68"/>
        <v>#N/A</v>
      </c>
      <c r="AX49" s="37" t="e">
        <f t="shared" si="68"/>
        <v>#N/A</v>
      </c>
      <c r="AY49" s="37" t="e">
        <f t="shared" si="68"/>
        <v>#N/A</v>
      </c>
      <c r="AZ49" s="37" t="e">
        <f t="shared" si="68"/>
        <v>#N/A</v>
      </c>
    </row>
    <row r="50" spans="32:52" x14ac:dyDescent="0.25">
      <c r="AF50" s="1" t="s">
        <v>170</v>
      </c>
      <c r="AG50" s="37" t="e">
        <f>+SUM(AG32,AG24)</f>
        <v>#N/A</v>
      </c>
      <c r="AH50" s="37" t="e">
        <f t="shared" ref="AH50:AZ50" si="69">+SUM(AH32,AH24)</f>
        <v>#N/A</v>
      </c>
      <c r="AI50" s="37" t="e">
        <f t="shared" si="69"/>
        <v>#N/A</v>
      </c>
      <c r="AJ50" s="37" t="e">
        <f t="shared" si="69"/>
        <v>#N/A</v>
      </c>
      <c r="AK50" s="37" t="e">
        <f t="shared" si="69"/>
        <v>#N/A</v>
      </c>
      <c r="AL50" s="37" t="e">
        <f t="shared" si="69"/>
        <v>#N/A</v>
      </c>
      <c r="AM50" s="37" t="e">
        <f t="shared" si="69"/>
        <v>#N/A</v>
      </c>
      <c r="AN50" s="37" t="e">
        <f t="shared" si="69"/>
        <v>#N/A</v>
      </c>
      <c r="AO50" s="37" t="e">
        <f t="shared" si="69"/>
        <v>#N/A</v>
      </c>
      <c r="AP50" s="37" t="e">
        <f t="shared" si="69"/>
        <v>#N/A</v>
      </c>
      <c r="AQ50" s="37" t="e">
        <f t="shared" si="69"/>
        <v>#N/A</v>
      </c>
      <c r="AR50" s="37" t="e">
        <f t="shared" si="69"/>
        <v>#N/A</v>
      </c>
      <c r="AS50" s="37" t="e">
        <f t="shared" si="69"/>
        <v>#N/A</v>
      </c>
      <c r="AT50" s="37" t="e">
        <f t="shared" si="69"/>
        <v>#N/A</v>
      </c>
      <c r="AU50" s="37" t="e">
        <f t="shared" si="69"/>
        <v>#N/A</v>
      </c>
      <c r="AV50" s="37" t="e">
        <f t="shared" si="69"/>
        <v>#N/A</v>
      </c>
      <c r="AW50" s="37" t="e">
        <f t="shared" si="69"/>
        <v>#N/A</v>
      </c>
      <c r="AX50" s="37" t="e">
        <f t="shared" si="69"/>
        <v>#N/A</v>
      </c>
      <c r="AY50" s="37" t="e">
        <f t="shared" si="69"/>
        <v>#N/A</v>
      </c>
      <c r="AZ50" s="37" t="e">
        <f t="shared" si="69"/>
        <v>#N/A</v>
      </c>
    </row>
    <row r="51" spans="32:52" x14ac:dyDescent="0.25">
      <c r="AF51" s="1" t="s">
        <v>59</v>
      </c>
      <c r="AG51" s="37" t="e">
        <f>+SUM(AG33,AG25)</f>
        <v>#N/A</v>
      </c>
      <c r="AH51" s="37" t="e">
        <f t="shared" ref="AH51:AZ51" si="70">+SUM(AH33,AH25)</f>
        <v>#N/A</v>
      </c>
      <c r="AI51" s="37" t="e">
        <f t="shared" si="70"/>
        <v>#N/A</v>
      </c>
      <c r="AJ51" s="37" t="e">
        <f t="shared" si="70"/>
        <v>#N/A</v>
      </c>
      <c r="AK51" s="37" t="e">
        <f t="shared" si="70"/>
        <v>#N/A</v>
      </c>
      <c r="AL51" s="37" t="e">
        <f t="shared" si="70"/>
        <v>#N/A</v>
      </c>
      <c r="AM51" s="37" t="e">
        <f t="shared" si="70"/>
        <v>#N/A</v>
      </c>
      <c r="AN51" s="37" t="e">
        <f t="shared" si="70"/>
        <v>#N/A</v>
      </c>
      <c r="AO51" s="37" t="e">
        <f t="shared" si="70"/>
        <v>#N/A</v>
      </c>
      <c r="AP51" s="37" t="e">
        <f t="shared" si="70"/>
        <v>#N/A</v>
      </c>
      <c r="AQ51" s="37" t="e">
        <f t="shared" si="70"/>
        <v>#N/A</v>
      </c>
      <c r="AR51" s="37" t="e">
        <f t="shared" si="70"/>
        <v>#N/A</v>
      </c>
      <c r="AS51" s="37" t="e">
        <f t="shared" si="70"/>
        <v>#N/A</v>
      </c>
      <c r="AT51" s="37" t="e">
        <f t="shared" si="70"/>
        <v>#N/A</v>
      </c>
      <c r="AU51" s="37" t="e">
        <f t="shared" si="70"/>
        <v>#N/A</v>
      </c>
      <c r="AV51" s="37" t="e">
        <f t="shared" si="70"/>
        <v>#N/A</v>
      </c>
      <c r="AW51" s="37" t="e">
        <f t="shared" si="70"/>
        <v>#N/A</v>
      </c>
      <c r="AX51" s="37" t="e">
        <f t="shared" si="70"/>
        <v>#N/A</v>
      </c>
      <c r="AY51" s="37" t="e">
        <f t="shared" si="70"/>
        <v>#N/A</v>
      </c>
      <c r="AZ51" s="37" t="e">
        <f t="shared" si="70"/>
        <v>#N/A</v>
      </c>
    </row>
    <row r="52" spans="32:52" x14ac:dyDescent="0.25">
      <c r="AF52" s="1" t="s">
        <v>116</v>
      </c>
      <c r="AG52" s="37" t="e">
        <f>+SUM(AG34,AG26)</f>
        <v>#N/A</v>
      </c>
      <c r="AH52" s="37" t="e">
        <f t="shared" ref="AH52:AZ52" si="71">+SUM(AH34,AH26)</f>
        <v>#N/A</v>
      </c>
      <c r="AI52" s="37" t="e">
        <f t="shared" si="71"/>
        <v>#N/A</v>
      </c>
      <c r="AJ52" s="37" t="e">
        <f t="shared" si="71"/>
        <v>#N/A</v>
      </c>
      <c r="AK52" s="37" t="e">
        <f t="shared" si="71"/>
        <v>#N/A</v>
      </c>
      <c r="AL52" s="37" t="e">
        <f t="shared" si="71"/>
        <v>#N/A</v>
      </c>
      <c r="AM52" s="37" t="e">
        <f t="shared" si="71"/>
        <v>#N/A</v>
      </c>
      <c r="AN52" s="37" t="e">
        <f t="shared" si="71"/>
        <v>#N/A</v>
      </c>
      <c r="AO52" s="37" t="e">
        <f t="shared" si="71"/>
        <v>#N/A</v>
      </c>
      <c r="AP52" s="37" t="e">
        <f t="shared" si="71"/>
        <v>#N/A</v>
      </c>
      <c r="AQ52" s="37" t="e">
        <f t="shared" si="71"/>
        <v>#N/A</v>
      </c>
      <c r="AR52" s="37" t="e">
        <f t="shared" si="71"/>
        <v>#N/A</v>
      </c>
      <c r="AS52" s="37" t="e">
        <f t="shared" si="71"/>
        <v>#N/A</v>
      </c>
      <c r="AT52" s="37" t="e">
        <f t="shared" si="71"/>
        <v>#N/A</v>
      </c>
      <c r="AU52" s="37" t="e">
        <f t="shared" si="71"/>
        <v>#N/A</v>
      </c>
      <c r="AV52" s="37" t="e">
        <f t="shared" si="71"/>
        <v>#N/A</v>
      </c>
      <c r="AW52" s="37" t="e">
        <f t="shared" si="71"/>
        <v>#N/A</v>
      </c>
      <c r="AX52" s="37" t="e">
        <f t="shared" si="71"/>
        <v>#N/A</v>
      </c>
      <c r="AY52" s="37" t="e">
        <f t="shared" si="71"/>
        <v>#N/A</v>
      </c>
      <c r="AZ52" s="37" t="e">
        <f t="shared" si="71"/>
        <v>#N/A</v>
      </c>
    </row>
    <row r="53" spans="32:52" x14ac:dyDescent="0.25">
      <c r="AF53" s="1" t="s">
        <v>60</v>
      </c>
      <c r="AG53" s="37" t="e">
        <f t="shared" ref="AG53:AR53" si="72">+SUM(AG35,AG27)</f>
        <v>#N/A</v>
      </c>
      <c r="AH53" s="37" t="e">
        <f t="shared" si="72"/>
        <v>#N/A</v>
      </c>
      <c r="AI53" s="37" t="e">
        <f t="shared" si="72"/>
        <v>#N/A</v>
      </c>
      <c r="AJ53" s="37" t="e">
        <f t="shared" si="72"/>
        <v>#N/A</v>
      </c>
      <c r="AK53" s="37" t="e">
        <f t="shared" si="72"/>
        <v>#N/A</v>
      </c>
      <c r="AL53" s="37" t="e">
        <f t="shared" si="72"/>
        <v>#N/A</v>
      </c>
      <c r="AM53" s="37" t="e">
        <f t="shared" si="72"/>
        <v>#N/A</v>
      </c>
      <c r="AN53" s="37" t="e">
        <f t="shared" si="72"/>
        <v>#N/A</v>
      </c>
      <c r="AO53" s="37" t="e">
        <f t="shared" si="72"/>
        <v>#N/A</v>
      </c>
      <c r="AP53" s="37" t="e">
        <f t="shared" si="72"/>
        <v>#N/A</v>
      </c>
      <c r="AQ53" s="37" t="e">
        <f t="shared" si="72"/>
        <v>#N/A</v>
      </c>
      <c r="AR53" s="37" t="e">
        <f t="shared" si="72"/>
        <v>#N/A</v>
      </c>
      <c r="AS53" s="37" t="e">
        <f t="shared" ref="AS53:AZ53" si="73">+SUM(AS35,AS27)</f>
        <v>#N/A</v>
      </c>
      <c r="AT53" s="37" t="e">
        <f t="shared" si="73"/>
        <v>#N/A</v>
      </c>
      <c r="AU53" s="37" t="e">
        <f t="shared" si="73"/>
        <v>#N/A</v>
      </c>
      <c r="AV53" s="37" t="e">
        <f t="shared" si="73"/>
        <v>#N/A</v>
      </c>
      <c r="AW53" s="37" t="e">
        <f t="shared" si="73"/>
        <v>#N/A</v>
      </c>
      <c r="AX53" s="37" t="e">
        <f t="shared" si="73"/>
        <v>#N/A</v>
      </c>
      <c r="AY53" s="37" t="e">
        <f t="shared" si="73"/>
        <v>#N/A</v>
      </c>
      <c r="AZ53" s="37" t="e">
        <f t="shared" si="73"/>
        <v>#N/A</v>
      </c>
    </row>
    <row r="54" spans="32:52" x14ac:dyDescent="0.25">
      <c r="AI54" s="42" t="e">
        <f>IF(SUM(AI49:AI52)=AI53,"Okay","Check")</f>
        <v>#N/A</v>
      </c>
      <c r="AJ54" s="42" t="e">
        <f t="shared" ref="AJ54:AQ54" si="74">IF(SUM(AJ49:AJ52)=AJ53,"Okay","Check")</f>
        <v>#N/A</v>
      </c>
      <c r="AK54" s="42" t="e">
        <f t="shared" si="74"/>
        <v>#N/A</v>
      </c>
      <c r="AL54" s="42" t="e">
        <f t="shared" si="74"/>
        <v>#N/A</v>
      </c>
      <c r="AM54" s="42" t="e">
        <f t="shared" si="74"/>
        <v>#N/A</v>
      </c>
      <c r="AN54" s="42" t="e">
        <f t="shared" si="74"/>
        <v>#N/A</v>
      </c>
      <c r="AO54" s="42" t="e">
        <f t="shared" si="74"/>
        <v>#N/A</v>
      </c>
      <c r="AP54" s="42" t="e">
        <f t="shared" si="74"/>
        <v>#N/A</v>
      </c>
      <c r="AQ54" s="42" t="e">
        <f t="shared" si="74"/>
        <v>#N/A</v>
      </c>
      <c r="AR54" s="42" t="e">
        <f>IF(SUM(AR49:AR52)=AR53,"Okay","Check")</f>
        <v>#N/A</v>
      </c>
      <c r="AS54" s="42" t="e">
        <f t="shared" ref="AS54:AZ54" si="75">IF(SUM(AS49:AS52)=AS53,"Okay","Check")</f>
        <v>#N/A</v>
      </c>
      <c r="AT54" s="42" t="e">
        <f t="shared" si="75"/>
        <v>#N/A</v>
      </c>
      <c r="AU54" s="42" t="e">
        <f t="shared" si="75"/>
        <v>#N/A</v>
      </c>
      <c r="AV54" s="42" t="e">
        <f t="shared" si="75"/>
        <v>#N/A</v>
      </c>
      <c r="AW54" s="42" t="e">
        <f t="shared" si="75"/>
        <v>#N/A</v>
      </c>
      <c r="AX54" s="42" t="e">
        <f t="shared" si="75"/>
        <v>#N/A</v>
      </c>
      <c r="AY54" s="42" t="e">
        <f t="shared" si="75"/>
        <v>#N/A</v>
      </c>
      <c r="AZ54" s="42" t="e">
        <f t="shared" si="75"/>
        <v>#N/A</v>
      </c>
    </row>
  </sheetData>
  <conditionalFormatting sqref="AI46:AZ46">
    <cfRule type="cellIs" dxfId="2" priority="2" operator="equal">
      <formula>"Check"</formula>
    </cfRule>
  </conditionalFormatting>
  <conditionalFormatting sqref="AI54:AZ54">
    <cfRule type="cellIs" dxfId="1" priority="1" operator="equal">
      <formula>"Check"</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K82"/>
  <sheetViews>
    <sheetView tabSelected="1" zoomScale="85" zoomScaleNormal="85" workbookViewId="0"/>
  </sheetViews>
  <sheetFormatPr defaultRowHeight="15" x14ac:dyDescent="0.25"/>
  <cols>
    <col min="1" max="1" width="3.42578125" customWidth="1"/>
    <col min="2" max="2" width="3.28515625" style="174" customWidth="1"/>
    <col min="3" max="3" width="27.7109375" customWidth="1"/>
    <col min="4" max="4" width="18.5703125" customWidth="1"/>
    <col min="5" max="5" width="3.28515625" customWidth="1"/>
    <col min="6" max="6" width="17.7109375" customWidth="1"/>
    <col min="7" max="7" width="3.28515625" customWidth="1"/>
    <col min="8" max="8" width="17.7109375" customWidth="1"/>
    <col min="9" max="9" width="19.140625" customWidth="1"/>
    <col min="10" max="10" width="3.28515625" customWidth="1"/>
    <col min="11" max="11" width="18.140625" customWidth="1"/>
    <col min="12" max="12" width="3.28515625" customWidth="1"/>
    <col min="13" max="13" width="23.85546875" customWidth="1"/>
    <col min="14" max="17" width="13.140625" customWidth="1"/>
    <col min="18" max="18" width="3.28515625" customWidth="1"/>
    <col min="19" max="19" width="18.140625" customWidth="1"/>
    <col min="20" max="20" width="3.28515625" customWidth="1"/>
    <col min="21" max="21" width="17.28515625" customWidth="1"/>
    <col min="22" max="23" width="18.7109375" customWidth="1"/>
    <col min="24" max="24" width="3.28515625" customWidth="1"/>
    <col min="25" max="25" width="14.5703125" customWidth="1"/>
    <col min="26" max="27" width="19.140625" customWidth="1"/>
    <col min="28" max="28" width="2.7109375" customWidth="1"/>
  </cols>
  <sheetData>
    <row r="1" spans="1:37" s="427" customFormat="1" ht="30" customHeight="1" thickBot="1" x14ac:dyDescent="0.3">
      <c r="A1" s="428" t="s">
        <v>296</v>
      </c>
      <c r="B1" s="425" t="s">
        <v>1</v>
      </c>
      <c r="C1" s="426"/>
      <c r="D1" s="426"/>
      <c r="E1" s="426"/>
      <c r="F1" s="426"/>
      <c r="G1" s="426"/>
      <c r="H1" s="426"/>
      <c r="I1" s="426"/>
      <c r="J1" s="426"/>
      <c r="K1" s="426"/>
      <c r="L1" s="426"/>
      <c r="M1" s="426"/>
      <c r="N1" s="426"/>
      <c r="O1" s="426"/>
      <c r="P1" s="426"/>
      <c r="Q1" s="426"/>
      <c r="R1" s="426"/>
      <c r="S1" s="426"/>
      <c r="T1" s="426"/>
      <c r="U1" s="426"/>
      <c r="V1" s="426"/>
      <c r="W1" s="426"/>
      <c r="X1" s="426"/>
    </row>
    <row r="2" spans="1:37" s="78" customFormat="1" ht="18" customHeight="1" x14ac:dyDescent="0.3">
      <c r="A2" s="405"/>
      <c r="B2" s="422"/>
      <c r="C2" s="292" t="s">
        <v>2</v>
      </c>
      <c r="D2" s="293"/>
      <c r="E2" s="294"/>
      <c r="F2" s="290"/>
      <c r="G2" s="421"/>
      <c r="H2" s="292" t="str">
        <f>"mCPR in "&amp;Yr_End</f>
        <v>mCPR in 2022</v>
      </c>
      <c r="I2" s="293"/>
      <c r="J2" s="294"/>
      <c r="K2" s="290"/>
      <c r="L2" s="291"/>
      <c r="M2" s="292" t="s">
        <v>3</v>
      </c>
      <c r="N2" s="292"/>
      <c r="O2" s="293"/>
      <c r="P2" s="293"/>
      <c r="Q2" s="293"/>
      <c r="R2" s="294"/>
      <c r="S2" s="295"/>
      <c r="T2" s="420"/>
      <c r="U2" s="292" t="s">
        <v>4</v>
      </c>
      <c r="V2" s="292"/>
      <c r="W2" s="293"/>
      <c r="X2" s="294"/>
      <c r="AC2" s="94"/>
      <c r="AJ2" s="119"/>
      <c r="AK2" s="122"/>
    </row>
    <row r="3" spans="1:37" s="78" customFormat="1" ht="120" customHeight="1" thickBot="1" x14ac:dyDescent="0.35">
      <c r="A3" s="290"/>
      <c r="B3" s="296"/>
      <c r="C3" s="460" t="s">
        <v>289</v>
      </c>
      <c r="D3" s="460"/>
      <c r="E3" s="297"/>
      <c r="F3" s="298"/>
      <c r="G3" s="299"/>
      <c r="H3" s="459" t="str">
        <f>"First, decide whether to use the method mix in "&amp;Yr_End&amp;" as projected from past DHS surveys. If you choose to adjust the method mix in "&amp;Yr_End&amp;", select whether to adjust by inputting a new total mCPR or a new method mix. Finally, enter your adjustment in the space provided below."</f>
        <v>First, decide whether to use the method mix in 2022 as projected from past DHS surveys. If you choose to adjust the method mix in 2022, select whether to adjust by inputting a new total mCPR or a new method mix. Finally, enter your adjustment in the space provided below.</v>
      </c>
      <c r="I3" s="459"/>
      <c r="J3" s="300"/>
      <c r="K3" s="290"/>
      <c r="L3" s="301"/>
      <c r="M3" s="459" t="s">
        <v>280</v>
      </c>
      <c r="N3" s="459"/>
      <c r="O3" s="459"/>
      <c r="P3" s="459"/>
      <c r="Q3" s="459"/>
      <c r="R3" s="300"/>
      <c r="S3" s="295"/>
      <c r="T3" s="301"/>
      <c r="U3" s="459" t="s">
        <v>281</v>
      </c>
      <c r="V3" s="459"/>
      <c r="W3" s="459"/>
      <c r="X3" s="300"/>
      <c r="AD3" s="106"/>
      <c r="AE3" s="106"/>
      <c r="AF3" s="106"/>
      <c r="AG3" s="106"/>
    </row>
    <row r="4" spans="1:37" s="78" customFormat="1" ht="63.75" thickBot="1" x14ac:dyDescent="0.35">
      <c r="A4" s="290"/>
      <c r="B4" s="296"/>
      <c r="C4" s="302" t="s">
        <v>5</v>
      </c>
      <c r="D4" s="303" t="s">
        <v>154</v>
      </c>
      <c r="E4" s="304"/>
      <c r="F4" s="290"/>
      <c r="G4" s="296"/>
      <c r="H4" s="305" t="str">
        <f>"Adjust Method Mix in "&amp;Yr_End&amp;"?"</f>
        <v>Adjust Method Mix in 2022?</v>
      </c>
      <c r="I4" s="306" t="s">
        <v>7</v>
      </c>
      <c r="J4" s="300"/>
      <c r="K4" s="290"/>
      <c r="L4" s="296"/>
      <c r="M4" s="307" t="s">
        <v>8</v>
      </c>
      <c r="N4" s="308" t="s">
        <v>9</v>
      </c>
      <c r="O4" s="309"/>
      <c r="P4" s="310" t="s">
        <v>10</v>
      </c>
      <c r="Q4" s="303" t="s">
        <v>11</v>
      </c>
      <c r="R4" s="300"/>
      <c r="S4" s="290"/>
      <c r="T4" s="296"/>
      <c r="U4" s="423"/>
      <c r="V4" s="311">
        <f>Yr_Start</f>
        <v>2019</v>
      </c>
      <c r="W4" s="312">
        <f>Yr_End</f>
        <v>2022</v>
      </c>
      <c r="X4" s="300"/>
      <c r="Y4" s="192"/>
      <c r="Z4" s="106"/>
      <c r="AD4" s="106"/>
      <c r="AE4" s="106"/>
      <c r="AF4" s="106"/>
      <c r="AG4" s="106"/>
    </row>
    <row r="5" spans="1:37" s="78" customFormat="1" ht="16.5" thickBot="1" x14ac:dyDescent="0.35">
      <c r="A5" s="290"/>
      <c r="B5" s="296"/>
      <c r="C5" s="405"/>
      <c r="D5" s="405"/>
      <c r="E5" s="313"/>
      <c r="F5" s="290"/>
      <c r="G5" s="296"/>
      <c r="H5" s="290"/>
      <c r="I5" s="290"/>
      <c r="J5" s="300"/>
      <c r="K5" s="290"/>
      <c r="L5" s="314"/>
      <c r="M5" s="315" t="str">
        <f>IF(D4="Philippines","* Poverty headcounts for the Philippines are not available from the World Bank.","")</f>
        <v/>
      </c>
      <c r="N5" s="290"/>
      <c r="O5" s="316"/>
      <c r="P5" s="316"/>
      <c r="Q5" s="316"/>
      <c r="R5" s="317"/>
      <c r="S5" s="290"/>
      <c r="T5" s="296"/>
      <c r="U5" s="318" t="s">
        <v>12</v>
      </c>
      <c r="V5" s="319">
        <v>0.2</v>
      </c>
      <c r="W5" s="320">
        <v>0.5</v>
      </c>
      <c r="X5" s="300"/>
      <c r="Y5" s="192"/>
      <c r="Z5" s="106"/>
      <c r="AD5" s="106"/>
      <c r="AE5" s="106"/>
      <c r="AF5" s="106"/>
      <c r="AG5" s="106"/>
    </row>
    <row r="6" spans="1:37" s="78" customFormat="1" ht="16.5" thickBot="1" x14ac:dyDescent="0.35">
      <c r="A6" s="290"/>
      <c r="B6" s="296"/>
      <c r="C6" s="321" t="s">
        <v>13</v>
      </c>
      <c r="D6" s="322">
        <v>2019</v>
      </c>
      <c r="E6" s="300"/>
      <c r="F6" s="290"/>
      <c r="G6" s="323"/>
      <c r="H6" s="292" t="s">
        <v>14</v>
      </c>
      <c r="I6" s="293"/>
      <c r="J6" s="294"/>
      <c r="K6" s="290"/>
      <c r="L6" s="323"/>
      <c r="M6" s="292" t="s">
        <v>15</v>
      </c>
      <c r="N6" s="293"/>
      <c r="O6" s="293"/>
      <c r="P6" s="293"/>
      <c r="Q6" s="293"/>
      <c r="R6" s="294"/>
      <c r="S6" s="290"/>
      <c r="T6" s="296"/>
      <c r="U6" s="324" t="s">
        <v>16</v>
      </c>
      <c r="V6" s="325">
        <v>0</v>
      </c>
      <c r="W6" s="326">
        <v>9.9999999999999978E-2</v>
      </c>
      <c r="X6" s="300"/>
      <c r="Y6" s="192"/>
      <c r="Z6" s="106"/>
      <c r="AD6" s="106"/>
      <c r="AE6" s="106"/>
      <c r="AF6" s="106"/>
      <c r="AG6" s="106"/>
    </row>
    <row r="7" spans="1:37" s="78" customFormat="1" ht="16.5" thickBot="1" x14ac:dyDescent="0.35">
      <c r="A7" s="290"/>
      <c r="B7" s="296"/>
      <c r="C7" s="327" t="s">
        <v>17</v>
      </c>
      <c r="D7" s="328">
        <v>2022</v>
      </c>
      <c r="E7" s="300"/>
      <c r="F7" s="329"/>
      <c r="G7" s="296"/>
      <c r="H7" s="305" t="s">
        <v>18</v>
      </c>
      <c r="I7" s="330" t="s">
        <v>139</v>
      </c>
      <c r="J7" s="300"/>
      <c r="K7" s="290"/>
      <c r="L7" s="296"/>
      <c r="M7" s="331"/>
      <c r="N7" s="311" t="s">
        <v>20</v>
      </c>
      <c r="O7" s="312" t="s">
        <v>21</v>
      </c>
      <c r="P7" s="290"/>
      <c r="Q7" s="290"/>
      <c r="R7" s="300"/>
      <c r="S7" s="290"/>
      <c r="T7" s="296"/>
      <c r="U7" s="324" t="s">
        <v>22</v>
      </c>
      <c r="V7" s="325">
        <v>0</v>
      </c>
      <c r="W7" s="326">
        <v>9.9999999999999978E-2</v>
      </c>
      <c r="X7" s="300"/>
      <c r="Y7" s="192"/>
      <c r="Z7" s="106"/>
      <c r="AD7" s="106"/>
      <c r="AE7" s="106"/>
      <c r="AF7" s="106"/>
      <c r="AG7" s="106"/>
    </row>
    <row r="8" spans="1:37" s="78" customFormat="1" ht="15" customHeight="1" thickBot="1" x14ac:dyDescent="0.35">
      <c r="A8" s="290"/>
      <c r="B8" s="314"/>
      <c r="C8" s="316"/>
      <c r="D8" s="316"/>
      <c r="E8" s="317"/>
      <c r="F8" s="332"/>
      <c r="G8" s="314"/>
      <c r="H8" s="316"/>
      <c r="I8" s="316"/>
      <c r="J8" s="317"/>
      <c r="K8" s="290"/>
      <c r="L8" s="296"/>
      <c r="M8" s="333" t="str">
        <f>IF($N$4="Wealth Quintiles","Wealthiest (Q1)","Above $5.50 per day")</f>
        <v>Wealthiest (Q1)</v>
      </c>
      <c r="N8" s="319">
        <v>0.5</v>
      </c>
      <c r="O8" s="334">
        <v>0.2</v>
      </c>
      <c r="P8" s="290"/>
      <c r="Q8" s="290"/>
      <c r="R8" s="300"/>
      <c r="S8" s="290"/>
      <c r="T8" s="296"/>
      <c r="U8" s="324" t="s">
        <v>23</v>
      </c>
      <c r="V8" s="325">
        <v>0.95</v>
      </c>
      <c r="W8" s="326">
        <v>0.95</v>
      </c>
      <c r="X8" s="300"/>
      <c r="Y8" s="192"/>
      <c r="Z8" s="106"/>
      <c r="AD8" s="106"/>
      <c r="AE8" s="106"/>
      <c r="AF8" s="106"/>
      <c r="AG8" s="106"/>
    </row>
    <row r="9" spans="1:37" s="78" customFormat="1" ht="17.25" customHeight="1" thickBot="1" x14ac:dyDescent="0.35">
      <c r="A9" s="290"/>
      <c r="B9" s="405"/>
      <c r="C9" s="405"/>
      <c r="D9" s="405"/>
      <c r="E9" s="405"/>
      <c r="F9" s="290"/>
      <c r="G9" s="323"/>
      <c r="H9" s="292" t="s">
        <v>24</v>
      </c>
      <c r="I9" s="293"/>
      <c r="J9" s="294"/>
      <c r="K9" s="290"/>
      <c r="L9" s="296"/>
      <c r="M9" s="443" t="str">
        <f>IF($N$4="Wealth Quintiles","Wealthier (Q2)","$3.20 - $5.50 per day")</f>
        <v>Wealthier (Q2)</v>
      </c>
      <c r="N9" s="335">
        <v>0.25</v>
      </c>
      <c r="O9" s="336">
        <v>0.1</v>
      </c>
      <c r="P9" s="290"/>
      <c r="Q9" s="290"/>
      <c r="R9" s="300"/>
      <c r="S9" s="290"/>
      <c r="T9" s="296"/>
      <c r="U9" s="337" t="s">
        <v>25</v>
      </c>
      <c r="V9" s="338">
        <v>9.9999999999999978E-2</v>
      </c>
      <c r="W9" s="339">
        <v>0.4</v>
      </c>
      <c r="X9" s="300"/>
      <c r="Y9" s="192"/>
      <c r="Z9" s="106"/>
      <c r="AD9" s="106"/>
      <c r="AE9" s="106"/>
      <c r="AF9" s="106"/>
      <c r="AG9" s="106"/>
    </row>
    <row r="10" spans="1:37" s="78" customFormat="1" ht="32.25" thickBot="1" x14ac:dyDescent="0.35">
      <c r="A10" s="290"/>
      <c r="B10" s="405"/>
      <c r="C10" s="340"/>
      <c r="D10" s="341"/>
      <c r="E10" s="424"/>
      <c r="F10" s="290"/>
      <c r="G10" s="296"/>
      <c r="H10" s="305" t="str">
        <f>"Total mCPR in "&amp;Yr_End</f>
        <v>Total mCPR in 2022</v>
      </c>
      <c r="I10" s="342">
        <v>0.5</v>
      </c>
      <c r="J10" s="300"/>
      <c r="K10" s="290"/>
      <c r="L10" s="296"/>
      <c r="M10" s="290"/>
      <c r="N10" s="290"/>
      <c r="O10" s="290"/>
      <c r="P10" s="290"/>
      <c r="Q10" s="290"/>
      <c r="R10" s="300"/>
      <c r="S10" s="290"/>
      <c r="T10" s="314"/>
      <c r="U10" s="316"/>
      <c r="V10" s="316"/>
      <c r="W10" s="316"/>
      <c r="X10" s="317"/>
      <c r="Y10" s="192"/>
      <c r="Z10" s="106"/>
      <c r="AD10" s="106"/>
      <c r="AE10" s="106"/>
      <c r="AF10" s="106"/>
      <c r="AG10" s="106"/>
    </row>
    <row r="11" spans="1:37" s="78" customFormat="1" ht="16.5" customHeight="1" thickBot="1" x14ac:dyDescent="0.35">
      <c r="A11" s="290"/>
      <c r="B11" s="405"/>
      <c r="C11" s="458"/>
      <c r="D11" s="458"/>
      <c r="E11" s="424"/>
      <c r="F11" s="290"/>
      <c r="G11" s="296"/>
      <c r="H11" s="290"/>
      <c r="I11" s="290"/>
      <c r="J11" s="300"/>
      <c r="K11" s="290"/>
      <c r="L11" s="296"/>
      <c r="M11" s="343" t="s">
        <v>14</v>
      </c>
      <c r="N11" s="290"/>
      <c r="O11" s="290"/>
      <c r="P11" s="290"/>
      <c r="Q11" s="290"/>
      <c r="R11" s="300"/>
      <c r="S11" s="290"/>
      <c r="T11" s="290"/>
      <c r="U11" s="290"/>
      <c r="V11" s="290"/>
      <c r="W11" s="290"/>
      <c r="X11" s="290"/>
      <c r="Y11" s="192"/>
      <c r="Z11" s="106"/>
      <c r="AD11" s="106"/>
      <c r="AE11" s="106"/>
      <c r="AF11" s="106"/>
      <c r="AG11" s="106"/>
    </row>
    <row r="12" spans="1:37" s="78" customFormat="1" ht="17.25" customHeight="1" thickBot="1" x14ac:dyDescent="0.35">
      <c r="A12" s="290"/>
      <c r="B12" s="405"/>
      <c r="C12" s="457"/>
      <c r="D12" s="457"/>
      <c r="E12" s="405"/>
      <c r="F12" s="290"/>
      <c r="G12" s="296"/>
      <c r="H12" s="343" t="s">
        <v>26</v>
      </c>
      <c r="I12" s="290"/>
      <c r="J12" s="300"/>
      <c r="K12" s="290"/>
      <c r="L12" s="296"/>
      <c r="M12" s="331"/>
      <c r="N12" s="344" t="str">
        <f>IF($N$4="Wealth Quintiles","Wealthiest (Q1)","Above $5.50 per day")</f>
        <v>Wealthiest (Q1)</v>
      </c>
      <c r="O12" s="345"/>
      <c r="P12" s="344" t="str">
        <f>IF($N$4="Wealth Quintiles","Wealthier (Q2)","$3.21 - $5.50 per day")</f>
        <v>Wealthier (Q2)</v>
      </c>
      <c r="Q12" s="346"/>
      <c r="R12" s="300"/>
      <c r="S12" s="290"/>
      <c r="T12" s="290"/>
      <c r="U12" s="290"/>
      <c r="V12" s="290"/>
      <c r="W12" s="290"/>
      <c r="X12" s="290"/>
      <c r="Y12" s="192"/>
      <c r="Z12" s="106"/>
      <c r="AD12" s="106"/>
      <c r="AE12" s="106"/>
      <c r="AF12" s="106"/>
      <c r="AG12" s="106"/>
    </row>
    <row r="13" spans="1:37" s="78" customFormat="1" ht="17.25" customHeight="1" thickBot="1" x14ac:dyDescent="0.35">
      <c r="A13" s="290"/>
      <c r="B13" s="405"/>
      <c r="C13" s="405"/>
      <c r="D13" s="405"/>
      <c r="E13" s="405"/>
      <c r="F13" s="290"/>
      <c r="G13" s="296"/>
      <c r="H13" s="347" t="s">
        <v>12</v>
      </c>
      <c r="I13" s="348">
        <v>0.08</v>
      </c>
      <c r="J13" s="300"/>
      <c r="K13" s="290"/>
      <c r="L13" s="296"/>
      <c r="M13" s="349"/>
      <c r="N13" s="350" t="s">
        <v>20</v>
      </c>
      <c r="O13" s="350" t="s">
        <v>21</v>
      </c>
      <c r="P13" s="350" t="s">
        <v>20</v>
      </c>
      <c r="Q13" s="351" t="s">
        <v>21</v>
      </c>
      <c r="R13" s="300"/>
      <c r="S13" s="290"/>
      <c r="T13" s="290"/>
      <c r="U13" s="290"/>
      <c r="V13" s="290"/>
      <c r="W13" s="290"/>
      <c r="X13" s="290"/>
      <c r="Y13" s="192"/>
      <c r="Z13" s="106"/>
      <c r="AD13" s="106"/>
      <c r="AE13" s="106"/>
      <c r="AF13" s="106"/>
      <c r="AG13" s="106"/>
    </row>
    <row r="14" spans="1:37" s="78" customFormat="1" ht="17.25" customHeight="1" x14ac:dyDescent="0.3">
      <c r="A14" s="290"/>
      <c r="B14" s="290"/>
      <c r="C14" s="290"/>
      <c r="D14" s="290"/>
      <c r="E14" s="290"/>
      <c r="F14" s="290"/>
      <c r="G14" s="296"/>
      <c r="H14" s="324" t="s">
        <v>16</v>
      </c>
      <c r="I14" s="352">
        <v>0.04</v>
      </c>
      <c r="J14" s="300"/>
      <c r="K14" s="290"/>
      <c r="L14" s="296"/>
      <c r="M14" s="324" t="s">
        <v>12</v>
      </c>
      <c r="N14" s="319">
        <v>0.5</v>
      </c>
      <c r="O14" s="353">
        <v>0.2</v>
      </c>
      <c r="P14" s="353">
        <v>0.25</v>
      </c>
      <c r="Q14" s="334">
        <v>0.1</v>
      </c>
      <c r="R14" s="300"/>
      <c r="S14" s="290"/>
      <c r="T14" s="290"/>
      <c r="U14" s="290"/>
      <c r="V14" s="290"/>
      <c r="W14" s="290"/>
      <c r="X14" s="290"/>
      <c r="Y14" s="192"/>
      <c r="Z14" s="106"/>
      <c r="AD14" s="106"/>
      <c r="AE14" s="106"/>
      <c r="AF14" s="106"/>
      <c r="AG14" s="106"/>
    </row>
    <row r="15" spans="1:37" s="78" customFormat="1" ht="17.25" customHeight="1" x14ac:dyDescent="0.3">
      <c r="A15" s="290"/>
      <c r="B15" s="290"/>
      <c r="C15" s="290"/>
      <c r="D15" s="290"/>
      <c r="E15" s="290"/>
      <c r="F15" s="290"/>
      <c r="G15" s="296"/>
      <c r="H15" s="324" t="s">
        <v>22</v>
      </c>
      <c r="I15" s="352">
        <v>0.1</v>
      </c>
      <c r="J15" s="300"/>
      <c r="K15" s="290"/>
      <c r="L15" s="296"/>
      <c r="M15" s="324" t="s">
        <v>16</v>
      </c>
      <c r="N15" s="354">
        <v>0.5</v>
      </c>
      <c r="O15" s="355">
        <v>0.2</v>
      </c>
      <c r="P15" s="355">
        <v>0.25</v>
      </c>
      <c r="Q15" s="356">
        <v>0.1</v>
      </c>
      <c r="R15" s="300"/>
      <c r="S15" s="290"/>
      <c r="T15" s="290"/>
      <c r="U15" s="290"/>
      <c r="V15" s="290"/>
      <c r="W15" s="357"/>
      <c r="X15" s="358"/>
      <c r="Y15" s="192"/>
      <c r="Z15" s="106"/>
      <c r="AD15" s="106"/>
      <c r="AE15" s="106"/>
      <c r="AF15" s="106"/>
      <c r="AG15" s="106"/>
    </row>
    <row r="16" spans="1:37" s="78" customFormat="1" ht="17.25" customHeight="1" x14ac:dyDescent="0.3">
      <c r="A16" s="290"/>
      <c r="B16" s="290"/>
      <c r="C16" s="290"/>
      <c r="D16" s="290"/>
      <c r="E16" s="290"/>
      <c r="F16" s="290"/>
      <c r="G16" s="296"/>
      <c r="H16" s="324" t="s">
        <v>23</v>
      </c>
      <c r="I16" s="352">
        <v>0.08</v>
      </c>
      <c r="J16" s="300"/>
      <c r="K16" s="290"/>
      <c r="L16" s="296"/>
      <c r="M16" s="324" t="s">
        <v>22</v>
      </c>
      <c r="N16" s="354">
        <v>0.5</v>
      </c>
      <c r="O16" s="355">
        <v>0.2</v>
      </c>
      <c r="P16" s="355">
        <v>0.25</v>
      </c>
      <c r="Q16" s="356">
        <v>0.1</v>
      </c>
      <c r="R16" s="300"/>
      <c r="S16" s="290"/>
      <c r="T16" s="290"/>
      <c r="U16" s="290"/>
      <c r="V16" s="290"/>
      <c r="W16" s="290"/>
      <c r="X16" s="290"/>
      <c r="Y16" s="192"/>
      <c r="Z16" s="106"/>
      <c r="AD16" s="106"/>
      <c r="AE16" s="106"/>
      <c r="AF16" s="106"/>
      <c r="AG16" s="106"/>
    </row>
    <row r="17" spans="1:33" s="78" customFormat="1" ht="17.25" customHeight="1" thickBot="1" x14ac:dyDescent="0.35">
      <c r="A17" s="290"/>
      <c r="B17" s="290"/>
      <c r="C17" s="290"/>
      <c r="D17" s="290"/>
      <c r="E17" s="290"/>
      <c r="F17" s="290"/>
      <c r="G17" s="296"/>
      <c r="H17" s="337" t="s">
        <v>25</v>
      </c>
      <c r="I17" s="359">
        <v>0.02</v>
      </c>
      <c r="J17" s="300"/>
      <c r="K17" s="290"/>
      <c r="L17" s="296"/>
      <c r="M17" s="324" t="s">
        <v>23</v>
      </c>
      <c r="N17" s="354">
        <v>0</v>
      </c>
      <c r="O17" s="355">
        <v>0</v>
      </c>
      <c r="P17" s="355">
        <v>0</v>
      </c>
      <c r="Q17" s="356">
        <v>0</v>
      </c>
      <c r="R17" s="300"/>
      <c r="S17" s="290"/>
      <c r="T17" s="290"/>
      <c r="U17" s="290"/>
      <c r="V17" s="290"/>
      <c r="W17" s="343"/>
      <c r="X17" s="290"/>
      <c r="Y17" s="192"/>
      <c r="Z17" s="106"/>
      <c r="AD17" s="106"/>
      <c r="AE17" s="106"/>
      <c r="AF17" s="106"/>
      <c r="AG17" s="106"/>
    </row>
    <row r="18" spans="1:33" s="78" customFormat="1" ht="17.25" customHeight="1" thickBot="1" x14ac:dyDescent="0.35">
      <c r="A18" s="290"/>
      <c r="B18" s="290"/>
      <c r="C18" s="290"/>
      <c r="D18" s="290"/>
      <c r="E18" s="290"/>
      <c r="F18" s="290"/>
      <c r="G18" s="314"/>
      <c r="H18" s="360"/>
      <c r="I18" s="361"/>
      <c r="J18" s="317"/>
      <c r="K18" s="290"/>
      <c r="L18" s="296"/>
      <c r="M18" s="337" t="s">
        <v>25</v>
      </c>
      <c r="N18" s="335">
        <v>0.5</v>
      </c>
      <c r="O18" s="362">
        <v>0.2</v>
      </c>
      <c r="P18" s="362">
        <v>0.25</v>
      </c>
      <c r="Q18" s="336">
        <v>0.1</v>
      </c>
      <c r="R18" s="300"/>
      <c r="S18" s="290"/>
      <c r="T18" s="290"/>
      <c r="U18" s="290"/>
      <c r="V18" s="290"/>
      <c r="W18" s="343"/>
      <c r="X18" s="357"/>
      <c r="Y18" s="192"/>
      <c r="Z18" s="106"/>
      <c r="AD18" s="106"/>
      <c r="AE18" s="106"/>
      <c r="AF18" s="106"/>
      <c r="AG18" s="106"/>
    </row>
    <row r="19" spans="1:33" s="78" customFormat="1" ht="17.25" customHeight="1" thickBot="1" x14ac:dyDescent="0.35">
      <c r="A19" s="290"/>
      <c r="B19" s="290"/>
      <c r="C19" s="290"/>
      <c r="D19" s="290"/>
      <c r="E19" s="290"/>
      <c r="F19" s="290"/>
      <c r="G19" s="290"/>
      <c r="H19" s="290"/>
      <c r="I19" s="290"/>
      <c r="J19" s="290"/>
      <c r="K19" s="290"/>
      <c r="L19" s="314"/>
      <c r="M19" s="363"/>
      <c r="N19" s="364"/>
      <c r="O19" s="316"/>
      <c r="P19" s="316"/>
      <c r="Q19" s="316"/>
      <c r="R19" s="317"/>
      <c r="S19" s="290"/>
      <c r="T19" s="290"/>
      <c r="U19" s="290"/>
      <c r="V19" s="290"/>
      <c r="W19" s="343"/>
      <c r="X19" s="365"/>
      <c r="Y19" s="192"/>
      <c r="Z19" s="106"/>
      <c r="AD19" s="106"/>
      <c r="AE19" s="106"/>
      <c r="AF19" s="106"/>
      <c r="AG19" s="106"/>
    </row>
    <row r="20" spans="1:33" s="78" customFormat="1" ht="17.25" customHeight="1" x14ac:dyDescent="0.3">
      <c r="A20" s="290"/>
      <c r="B20" s="290"/>
      <c r="C20" s="290"/>
      <c r="D20" s="290"/>
      <c r="E20" s="290"/>
      <c r="F20" s="290"/>
      <c r="G20" s="290"/>
      <c r="H20" s="290"/>
      <c r="I20" s="290"/>
      <c r="J20" s="290"/>
      <c r="K20" s="290"/>
      <c r="L20" s="290"/>
      <c r="M20" s="290"/>
      <c r="N20" s="290"/>
      <c r="O20" s="290"/>
      <c r="P20" s="290"/>
      <c r="Q20" s="290"/>
      <c r="R20" s="290"/>
      <c r="S20" s="290"/>
      <c r="T20" s="290"/>
      <c r="U20" s="290"/>
      <c r="V20" s="290"/>
      <c r="W20" s="366"/>
      <c r="X20" s="358"/>
      <c r="Y20" s="192"/>
      <c r="Z20" s="106"/>
      <c r="AD20" s="106"/>
      <c r="AE20" s="106"/>
      <c r="AF20" s="106"/>
      <c r="AG20" s="106"/>
    </row>
    <row r="21" spans="1:33" s="79" customFormat="1" ht="8.25" customHeight="1" x14ac:dyDescent="0.25">
      <c r="B21" s="172"/>
    </row>
    <row r="22" spans="1:33" s="86" customFormat="1" ht="15.75" x14ac:dyDescent="0.3">
      <c r="A22" s="248"/>
      <c r="B22" s="247" t="s">
        <v>27</v>
      </c>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row>
    <row r="23" spans="1:33" s="86" customFormat="1" ht="15.75" x14ac:dyDescent="0.3">
      <c r="A23" s="248"/>
      <c r="B23" s="247"/>
      <c r="C23" s="248"/>
      <c r="D23" s="248"/>
      <c r="E23" s="248"/>
      <c r="F23" s="248"/>
      <c r="G23" s="248"/>
      <c r="H23" s="248"/>
      <c r="I23" s="248"/>
      <c r="J23" s="248"/>
      <c r="K23" s="248"/>
      <c r="L23" s="248"/>
      <c r="M23" s="248"/>
      <c r="N23" s="248"/>
      <c r="O23" s="248"/>
      <c r="P23" s="248"/>
      <c r="Q23" s="248"/>
      <c r="R23" s="248"/>
      <c r="S23" s="248"/>
      <c r="T23" s="248"/>
      <c r="U23" s="248"/>
      <c r="V23" s="248"/>
      <c r="W23" s="248"/>
      <c r="X23" s="248"/>
      <c r="Y23" s="248"/>
      <c r="Z23" s="248"/>
    </row>
    <row r="24" spans="1:33" s="86" customFormat="1" ht="16.5" thickBot="1" x14ac:dyDescent="0.35">
      <c r="A24" s="248"/>
      <c r="B24" s="247"/>
      <c r="C24" s="249" t="s">
        <v>28</v>
      </c>
      <c r="D24" s="248"/>
      <c r="E24" s="248"/>
      <c r="F24" s="248"/>
      <c r="G24" s="248"/>
      <c r="H24" s="248"/>
      <c r="I24" s="248"/>
      <c r="J24" s="249" t="s">
        <v>29</v>
      </c>
      <c r="K24" s="249"/>
      <c r="L24" s="248"/>
      <c r="M24" s="248"/>
      <c r="N24" s="248"/>
      <c r="O24" s="248"/>
      <c r="P24" s="248"/>
      <c r="Q24" s="248"/>
      <c r="R24" s="248"/>
      <c r="S24" s="248"/>
      <c r="T24" s="248"/>
      <c r="U24" s="248"/>
      <c r="V24" s="248"/>
      <c r="W24" s="248"/>
      <c r="X24" s="248"/>
      <c r="Y24" s="248"/>
      <c r="Z24" s="248"/>
    </row>
    <row r="25" spans="1:33" ht="15.75" x14ac:dyDescent="0.3">
      <c r="A25" s="248"/>
      <c r="B25" s="247"/>
      <c r="C25" s="276">
        <f>Yr_Start</f>
        <v>2019</v>
      </c>
      <c r="D25" s="277">
        <f ca="1">Results!L9+Results!L24</f>
        <v>2968059.5134363361</v>
      </c>
      <c r="E25" s="282"/>
      <c r="F25" s="446" t="str">
        <f>"mCPR "&amp;Yr_Start</f>
        <v>mCPR 2019</v>
      </c>
      <c r="G25" s="448"/>
      <c r="H25" s="444">
        <f ca="1">D25/INDEX(Data_WRA!$A$4:$B$26,MATCH(Yr_Start,Data_WRA!$A$6:$A$26,0),2)</f>
        <v>0.30376745076633588</v>
      </c>
      <c r="I25" s="248"/>
      <c r="J25" s="248" t="s">
        <v>283</v>
      </c>
      <c r="K25" s="248"/>
      <c r="L25" s="248"/>
      <c r="M25" s="248"/>
      <c r="N25" s="248"/>
      <c r="O25" s="248"/>
      <c r="P25" s="248"/>
      <c r="Q25" s="248"/>
      <c r="R25" s="248"/>
      <c r="S25" s="248" t="s">
        <v>282</v>
      </c>
      <c r="T25" s="248"/>
      <c r="U25" s="248"/>
      <c r="V25" s="248"/>
      <c r="W25" s="248"/>
      <c r="X25" s="248"/>
      <c r="Y25" s="248"/>
      <c r="Z25" s="248"/>
      <c r="AA25" s="86"/>
      <c r="AB25" s="86"/>
      <c r="AC25" s="86"/>
      <c r="AD25" s="86"/>
    </row>
    <row r="26" spans="1:33" ht="16.5" thickBot="1" x14ac:dyDescent="0.35">
      <c r="A26" s="248"/>
      <c r="B26" s="247"/>
      <c r="C26" s="278">
        <f>Yr_End</f>
        <v>2022</v>
      </c>
      <c r="D26" s="279">
        <f ca="1">Results!L15+Results!L30</f>
        <v>3824967.4653113559</v>
      </c>
      <c r="E26" s="282"/>
      <c r="F26" s="447" t="str">
        <f>"mCPR "&amp;Yr_End</f>
        <v>mCPR 2022</v>
      </c>
      <c r="G26" s="449"/>
      <c r="H26" s="275">
        <f ca="1">D26/INDEX(Data_WRA!$A$4:$B$26,MATCH(Yr_End,Data_WRA!$A$6:$A$26,0),2)</f>
        <v>0.34960394474614431</v>
      </c>
      <c r="I26" s="248"/>
      <c r="J26" s="248"/>
      <c r="K26" s="248"/>
      <c r="L26" s="248"/>
      <c r="M26" s="248"/>
      <c r="N26" s="248"/>
      <c r="O26" s="248"/>
      <c r="P26" s="248"/>
      <c r="Q26" s="248"/>
      <c r="R26" s="248"/>
      <c r="S26" s="248"/>
      <c r="T26" s="248"/>
      <c r="U26" s="248"/>
      <c r="V26" s="248"/>
      <c r="W26" s="248"/>
      <c r="X26" s="248"/>
      <c r="Y26" s="248"/>
      <c r="Z26" s="248"/>
      <c r="AA26" s="86"/>
      <c r="AB26" s="86"/>
      <c r="AC26" s="86"/>
      <c r="AD26" s="86"/>
    </row>
    <row r="27" spans="1:33" ht="15.75" x14ac:dyDescent="0.3">
      <c r="A27" s="248"/>
      <c r="B27" s="247"/>
      <c r="C27" s="278" t="s">
        <v>32</v>
      </c>
      <c r="D27" s="279">
        <f ca="1">D26-D25</f>
        <v>856907.95187501982</v>
      </c>
      <c r="E27" s="282"/>
      <c r="F27" s="248"/>
      <c r="G27" s="248"/>
      <c r="H27" s="248"/>
      <c r="I27" s="248"/>
      <c r="J27" s="248"/>
      <c r="K27" s="248"/>
      <c r="L27" s="248"/>
      <c r="M27" s="248"/>
      <c r="N27" s="248"/>
      <c r="O27" s="248"/>
      <c r="P27" s="248"/>
      <c r="Q27" s="248"/>
      <c r="R27" s="248"/>
      <c r="S27" s="248"/>
      <c r="T27" s="248"/>
      <c r="U27" s="248"/>
      <c r="V27" s="248"/>
      <c r="W27" s="248"/>
      <c r="X27" s="248"/>
      <c r="Y27" s="248"/>
      <c r="Z27" s="248"/>
      <c r="AA27" s="86"/>
      <c r="AB27" s="86"/>
      <c r="AC27" s="86"/>
      <c r="AD27" s="86"/>
    </row>
    <row r="28" spans="1:33" ht="32.25" thickBot="1" x14ac:dyDescent="0.35">
      <c r="A28" s="248"/>
      <c r="B28" s="247"/>
      <c r="C28" s="442" t="s">
        <v>291</v>
      </c>
      <c r="D28" s="281">
        <f ca="1">D27/(Yr_End-Yr_Start)</f>
        <v>285635.98395833996</v>
      </c>
      <c r="E28" s="282"/>
      <c r="F28" s="248"/>
      <c r="G28" s="248"/>
      <c r="H28" s="248"/>
      <c r="I28" s="248"/>
      <c r="J28" s="248"/>
      <c r="K28" s="248"/>
      <c r="L28" s="248"/>
      <c r="M28" s="248"/>
      <c r="N28" s="248"/>
      <c r="O28" s="248"/>
      <c r="P28" s="248"/>
      <c r="Q28" s="248"/>
      <c r="R28" s="248"/>
      <c r="S28" s="248"/>
      <c r="T28" s="248"/>
      <c r="U28" s="248"/>
      <c r="V28" s="248"/>
      <c r="W28" s="248"/>
      <c r="X28" s="248"/>
      <c r="Y28" s="248"/>
      <c r="Z28" s="248"/>
      <c r="AA28" s="86"/>
      <c r="AB28" s="86"/>
      <c r="AC28" s="86"/>
      <c r="AD28" s="86"/>
    </row>
    <row r="29" spans="1:33" ht="15.75" x14ac:dyDescent="0.3">
      <c r="A29" s="248"/>
      <c r="B29" s="247"/>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86"/>
      <c r="AB29" s="86"/>
      <c r="AC29" s="86"/>
      <c r="AD29" s="86"/>
    </row>
    <row r="30" spans="1:33" ht="16.5" thickBot="1" x14ac:dyDescent="0.35">
      <c r="A30" s="248"/>
      <c r="B30" s="247"/>
      <c r="C30" s="249" t="s">
        <v>33</v>
      </c>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86"/>
      <c r="AB30" s="86"/>
      <c r="AC30" s="86"/>
      <c r="AD30" s="86"/>
    </row>
    <row r="31" spans="1:33" ht="16.5" thickBot="1" x14ac:dyDescent="0.35">
      <c r="A31" s="248"/>
      <c r="B31" s="247"/>
      <c r="C31" s="250"/>
      <c r="D31" s="251">
        <f>Yr_Start</f>
        <v>2019</v>
      </c>
      <c r="E31" s="251"/>
      <c r="F31" s="251" t="s">
        <v>34</v>
      </c>
      <c r="G31" s="252"/>
      <c r="H31" s="253" t="s">
        <v>35</v>
      </c>
      <c r="I31" s="248"/>
      <c r="J31" s="248"/>
      <c r="K31" s="248"/>
      <c r="L31" s="248"/>
      <c r="M31" s="248"/>
      <c r="N31" s="248"/>
      <c r="O31" s="248"/>
      <c r="P31" s="248"/>
      <c r="Q31" s="248"/>
      <c r="R31" s="248"/>
      <c r="S31" s="248"/>
      <c r="T31" s="248"/>
      <c r="U31" s="248"/>
      <c r="V31" s="248"/>
      <c r="W31" s="248"/>
      <c r="X31" s="248"/>
      <c r="Y31" s="248"/>
      <c r="Z31" s="248"/>
      <c r="AA31" s="86"/>
      <c r="AB31" s="86"/>
      <c r="AC31" s="86"/>
      <c r="AD31" s="86"/>
    </row>
    <row r="32" spans="1:33" ht="31.5" x14ac:dyDescent="0.3">
      <c r="A32" s="248"/>
      <c r="B32" s="247"/>
      <c r="C32" s="254" t="s">
        <v>36</v>
      </c>
      <c r="D32" s="255">
        <f ca="1">Results!AE74</f>
        <v>140003.32638940171</v>
      </c>
      <c r="E32" s="256"/>
      <c r="F32" s="257">
        <f ca="1">Results!AF74</f>
        <v>189678.06359607261</v>
      </c>
      <c r="G32" s="258"/>
      <c r="H32" s="259">
        <f ca="1">Results!AG74</f>
        <v>429505.87586879893</v>
      </c>
      <c r="I32" s="248"/>
      <c r="J32" s="248"/>
      <c r="K32" s="248"/>
      <c r="L32" s="248"/>
      <c r="M32" s="248"/>
      <c r="N32" s="248"/>
      <c r="O32" s="248"/>
      <c r="P32" s="248"/>
      <c r="Q32" s="248"/>
      <c r="R32" s="248"/>
      <c r="S32" s="248"/>
      <c r="T32" s="248"/>
      <c r="U32" s="248"/>
      <c r="V32" s="248"/>
      <c r="W32" s="248"/>
      <c r="X32" s="248"/>
      <c r="Y32" s="248"/>
      <c r="Z32" s="248"/>
      <c r="AA32" s="86"/>
      <c r="AB32" s="86"/>
      <c r="AC32" s="86"/>
      <c r="AD32" s="86"/>
    </row>
    <row r="33" spans="1:30" ht="31.5" x14ac:dyDescent="0.3">
      <c r="A33" s="248"/>
      <c r="B33" s="247"/>
      <c r="C33" s="254" t="s">
        <v>37</v>
      </c>
      <c r="D33" s="260">
        <f ca="1">Results!AL74</f>
        <v>4.7169986233635115E-2</v>
      </c>
      <c r="E33" s="261"/>
      <c r="F33" s="262">
        <f ca="1">Results!AM74</f>
        <v>4.9589458032326734E-2</v>
      </c>
      <c r="G33" s="263"/>
      <c r="H33" s="264">
        <f ca="1">Results!AN74</f>
        <v>0.11229007299120565</v>
      </c>
      <c r="I33" s="248"/>
      <c r="J33" s="248"/>
      <c r="K33" s="248"/>
      <c r="L33" s="248"/>
      <c r="M33" s="248"/>
      <c r="N33" s="248"/>
      <c r="O33" s="248"/>
      <c r="P33" s="248"/>
      <c r="Q33" s="248"/>
      <c r="R33" s="248"/>
      <c r="S33" s="248"/>
      <c r="T33" s="248"/>
      <c r="U33" s="248"/>
      <c r="V33" s="248"/>
      <c r="W33" s="248"/>
      <c r="X33" s="248"/>
      <c r="Y33" s="248"/>
      <c r="Z33" s="248"/>
      <c r="AA33" s="86"/>
      <c r="AB33" s="86"/>
      <c r="AC33" s="86"/>
      <c r="AD33" s="86"/>
    </row>
    <row r="34" spans="1:30" ht="31.5" x14ac:dyDescent="0.3">
      <c r="A34" s="248"/>
      <c r="B34" s="247"/>
      <c r="C34" s="254" t="s">
        <v>38</v>
      </c>
      <c r="D34" s="265">
        <f ca="1">Results!BE74</f>
        <v>1729788.5731559228</v>
      </c>
      <c r="E34" s="266"/>
      <c r="F34" s="267">
        <f ca="1">Results!BF74</f>
        <v>2072532.4760733303</v>
      </c>
      <c r="G34" s="268"/>
      <c r="H34" s="269">
        <f ca="1">Results!BG74</f>
        <v>8967458.7349269092</v>
      </c>
      <c r="I34" s="248"/>
      <c r="J34" s="248"/>
      <c r="K34" s="248"/>
      <c r="L34" s="248"/>
      <c r="M34" s="248"/>
      <c r="N34" s="248"/>
      <c r="O34" s="248"/>
      <c r="P34" s="248"/>
      <c r="Q34" s="248"/>
      <c r="R34" s="248"/>
      <c r="S34" s="248"/>
      <c r="T34" s="248"/>
      <c r="U34" s="248"/>
      <c r="V34" s="248"/>
      <c r="W34" s="248"/>
      <c r="X34" s="248"/>
      <c r="Y34" s="248"/>
      <c r="Z34" s="248"/>
      <c r="AA34" s="86"/>
      <c r="AB34" s="86"/>
      <c r="AC34" s="86"/>
      <c r="AD34" s="86"/>
    </row>
    <row r="35" spans="1:30" ht="32.25" thickBot="1" x14ac:dyDescent="0.35">
      <c r="A35" s="248"/>
      <c r="B35" s="247"/>
      <c r="C35" s="270" t="s">
        <v>39</v>
      </c>
      <c r="D35" s="271">
        <f ca="1">Results!BJ74</f>
        <v>4.1210862283073885E-2</v>
      </c>
      <c r="E35" s="272"/>
      <c r="F35" s="273">
        <f ca="1">Results!BK74</f>
        <v>3.988515321535438E-2</v>
      </c>
      <c r="G35" s="274"/>
      <c r="H35" s="275">
        <f ca="1">Results!BL74</f>
        <v>0.17257556623314052</v>
      </c>
      <c r="I35" s="248"/>
      <c r="J35" s="248"/>
      <c r="K35" s="248"/>
      <c r="L35" s="248"/>
      <c r="M35" s="248"/>
      <c r="N35" s="248"/>
      <c r="O35" s="248"/>
      <c r="P35" s="248"/>
      <c r="Q35" s="248"/>
      <c r="R35" s="248"/>
      <c r="S35" s="248"/>
      <c r="T35" s="248"/>
      <c r="U35" s="248"/>
      <c r="V35" s="248"/>
      <c r="W35" s="248"/>
      <c r="X35" s="248"/>
      <c r="Y35" s="248"/>
      <c r="Z35" s="248"/>
      <c r="AA35" s="86"/>
      <c r="AB35" s="86"/>
      <c r="AC35" s="86"/>
      <c r="AD35" s="86"/>
    </row>
    <row r="36" spans="1:30" ht="15.75" x14ac:dyDescent="0.3">
      <c r="A36" s="248"/>
      <c r="B36" s="247"/>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86"/>
      <c r="AB36" s="86"/>
      <c r="AC36" s="86"/>
      <c r="AD36" s="86"/>
    </row>
    <row r="37" spans="1:30" ht="16.5" thickBot="1" x14ac:dyDescent="0.35">
      <c r="A37" s="248"/>
      <c r="B37" s="247"/>
      <c r="C37" s="249" t="s">
        <v>293</v>
      </c>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86"/>
      <c r="AB37" s="86"/>
      <c r="AC37" s="86"/>
      <c r="AD37" s="86"/>
    </row>
    <row r="38" spans="1:30" ht="16.5" thickBot="1" x14ac:dyDescent="0.35">
      <c r="A38" s="248"/>
      <c r="B38" s="247"/>
      <c r="C38" s="250"/>
      <c r="D38" s="251" t="s">
        <v>63</v>
      </c>
      <c r="E38" s="252"/>
      <c r="F38" s="253" t="s">
        <v>285</v>
      </c>
      <c r="G38" s="248"/>
      <c r="H38" s="248"/>
      <c r="I38" s="248"/>
      <c r="J38" s="248"/>
      <c r="K38" s="248"/>
      <c r="L38" s="248"/>
      <c r="M38" s="248"/>
      <c r="N38" s="248"/>
      <c r="O38" s="248"/>
      <c r="P38" s="248"/>
      <c r="Q38" s="248"/>
      <c r="R38" s="248"/>
      <c r="S38" s="248"/>
      <c r="T38" s="248"/>
      <c r="U38" s="248"/>
      <c r="V38" s="248"/>
      <c r="W38" s="248"/>
      <c r="X38" s="248"/>
      <c r="Y38" s="248"/>
      <c r="Z38" s="248"/>
      <c r="AA38" s="86"/>
      <c r="AB38" s="86"/>
      <c r="AC38" s="86"/>
      <c r="AD38" s="86"/>
    </row>
    <row r="39" spans="1:30" ht="32.25" thickBot="1" x14ac:dyDescent="0.35">
      <c r="A39" s="248"/>
      <c r="B39" s="247"/>
      <c r="C39" s="442" t="s">
        <v>294</v>
      </c>
      <c r="D39" s="284">
        <f ca="1">Results!$X$67</f>
        <v>38940719989.751694</v>
      </c>
      <c r="E39" s="285"/>
      <c r="F39" s="286">
        <f ca="1">Results!$X$70</f>
        <v>10816866.663819917</v>
      </c>
      <c r="G39" s="248"/>
      <c r="H39" s="248"/>
      <c r="I39" s="248"/>
      <c r="J39" s="248"/>
      <c r="K39" s="248"/>
      <c r="L39" s="248"/>
      <c r="M39" s="248"/>
      <c r="N39" s="248"/>
      <c r="O39" s="248"/>
      <c r="P39" s="248"/>
      <c r="Q39" s="248"/>
      <c r="R39" s="248"/>
      <c r="S39" s="248"/>
      <c r="T39" s="248"/>
      <c r="U39" s="248"/>
      <c r="V39" s="248"/>
      <c r="W39" s="248"/>
      <c r="X39" s="248"/>
      <c r="Y39" s="248"/>
      <c r="Z39" s="248"/>
      <c r="AA39" s="86"/>
      <c r="AB39" s="86"/>
      <c r="AC39" s="86"/>
      <c r="AD39" s="86"/>
    </row>
    <row r="40" spans="1:30" ht="15.75" x14ac:dyDescent="0.3">
      <c r="A40" s="248"/>
      <c r="B40" s="247"/>
      <c r="C40" s="430"/>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86"/>
      <c r="AB40" s="86"/>
      <c r="AC40" s="86"/>
      <c r="AD40" s="86"/>
    </row>
    <row r="41" spans="1:30" ht="16.5" thickBot="1" x14ac:dyDescent="0.35">
      <c r="A41" s="248"/>
      <c r="B41" s="247"/>
      <c r="C41" s="430" t="s">
        <v>295</v>
      </c>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86"/>
      <c r="AB41" s="86"/>
      <c r="AC41" s="86"/>
      <c r="AD41" s="86"/>
    </row>
    <row r="42" spans="1:30" ht="16.5" thickBot="1" x14ac:dyDescent="0.35">
      <c r="A42" s="248"/>
      <c r="B42" s="247"/>
      <c r="C42" s="250"/>
      <c r="D42" s="251" t="str">
        <f>VLOOKUP($D$4,'User Settings'!$A$15:$K$24,11,FALSE)</f>
        <v>UGX</v>
      </c>
      <c r="E42" s="252"/>
      <c r="F42" s="253" t="s">
        <v>285</v>
      </c>
      <c r="G42" s="283"/>
      <c r="H42" s="248"/>
      <c r="I42" s="248"/>
      <c r="J42" s="248"/>
      <c r="K42" s="248"/>
      <c r="L42" s="248"/>
      <c r="M42" s="248"/>
      <c r="N42" s="248"/>
      <c r="O42" s="248"/>
      <c r="P42" s="248"/>
      <c r="Q42" s="248"/>
      <c r="R42" s="248"/>
      <c r="S42" s="248"/>
      <c r="T42" s="248"/>
      <c r="U42" s="248"/>
      <c r="V42" s="248"/>
      <c r="W42" s="248"/>
      <c r="X42" s="248"/>
      <c r="Y42" s="248"/>
      <c r="Z42" s="248"/>
      <c r="AA42" s="86"/>
      <c r="AB42" s="86"/>
      <c r="AC42" s="86"/>
      <c r="AD42" s="86"/>
    </row>
    <row r="43" spans="1:30" ht="16.5" thickBot="1" x14ac:dyDescent="0.35">
      <c r="A43" s="248"/>
      <c r="B43" s="247"/>
      <c r="C43" s="280" t="s">
        <v>41</v>
      </c>
      <c r="D43" s="284">
        <f ca="1">Results!X57</f>
        <v>9114342411.2927608</v>
      </c>
      <c r="E43" s="285"/>
      <c r="F43" s="286">
        <f ca="1">Results!X63</f>
        <v>2531761.7809146522</v>
      </c>
      <c r="G43" s="282"/>
      <c r="H43" s="248"/>
      <c r="I43" s="248"/>
      <c r="J43" s="248"/>
      <c r="K43" s="248"/>
      <c r="L43" s="248"/>
      <c r="M43" s="248"/>
      <c r="N43" s="248"/>
      <c r="O43" s="248"/>
      <c r="P43" s="248"/>
      <c r="Q43" s="248"/>
      <c r="R43" s="248"/>
      <c r="S43" s="248"/>
      <c r="T43" s="248"/>
      <c r="U43" s="248"/>
      <c r="V43" s="248"/>
      <c r="W43" s="248"/>
      <c r="X43" s="248"/>
      <c r="Y43" s="248"/>
      <c r="Z43" s="248"/>
      <c r="AA43" s="86"/>
      <c r="AB43" s="86"/>
      <c r="AC43" s="86"/>
      <c r="AD43" s="86"/>
    </row>
    <row r="44" spans="1:30" ht="15.75" x14ac:dyDescent="0.3">
      <c r="A44" s="248"/>
      <c r="B44" s="247"/>
      <c r="C44" s="287"/>
      <c r="D44" s="288"/>
      <c r="E44" s="288"/>
      <c r="F44" s="288"/>
      <c r="G44" s="288"/>
      <c r="H44" s="288"/>
      <c r="I44" s="288"/>
      <c r="J44" s="248"/>
      <c r="K44" s="248"/>
      <c r="L44" s="248"/>
      <c r="M44" s="248"/>
      <c r="N44" s="248"/>
      <c r="O44" s="248"/>
      <c r="P44" s="248"/>
      <c r="Q44" s="248"/>
      <c r="R44" s="248"/>
      <c r="S44" s="248"/>
      <c r="T44" s="248"/>
      <c r="U44" s="248"/>
      <c r="V44" s="248"/>
      <c r="W44" s="248"/>
      <c r="X44" s="248"/>
      <c r="Y44" s="248"/>
      <c r="Z44" s="248"/>
      <c r="AA44" s="86"/>
      <c r="AB44" s="86"/>
      <c r="AC44" s="86"/>
      <c r="AD44" s="86"/>
    </row>
    <row r="45" spans="1:30" ht="16.5" thickBot="1" x14ac:dyDescent="0.35">
      <c r="A45" s="248"/>
      <c r="B45" s="247"/>
      <c r="C45" s="430" t="s">
        <v>286</v>
      </c>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86"/>
      <c r="AB45" s="86"/>
      <c r="AC45" s="86"/>
      <c r="AD45" s="86"/>
    </row>
    <row r="46" spans="1:30" ht="63.75" thickBot="1" x14ac:dyDescent="0.35">
      <c r="A46" s="248"/>
      <c r="B46" s="247"/>
      <c r="C46" s="451" t="s">
        <v>287</v>
      </c>
      <c r="D46" s="455">
        <f ca="1">Results!AG75</f>
        <v>80238.385602467461</v>
      </c>
      <c r="E46" s="248"/>
      <c r="F46" s="248"/>
      <c r="G46" s="248"/>
      <c r="H46" s="248"/>
      <c r="I46" s="248"/>
      <c r="J46" s="456" t="s">
        <v>42</v>
      </c>
      <c r="K46" s="248"/>
      <c r="L46" s="248"/>
      <c r="M46" s="248"/>
      <c r="N46" s="248"/>
      <c r="O46" s="248"/>
      <c r="P46" s="248"/>
      <c r="Q46" s="248"/>
      <c r="R46" s="248"/>
      <c r="S46" s="456" t="s">
        <v>284</v>
      </c>
      <c r="T46" s="248"/>
      <c r="U46" s="248"/>
      <c r="V46" s="248"/>
      <c r="W46" s="248"/>
      <c r="X46" s="248"/>
      <c r="Y46" s="248"/>
      <c r="Z46" s="248"/>
      <c r="AA46" s="86"/>
      <c r="AB46" s="86"/>
      <c r="AC46" s="86"/>
      <c r="AD46" s="86"/>
    </row>
    <row r="47" spans="1:30" ht="15.75" x14ac:dyDescent="0.3">
      <c r="A47" s="248"/>
      <c r="B47" s="247"/>
      <c r="C47" s="86"/>
      <c r="D47" s="86"/>
      <c r="E47" s="372"/>
      <c r="F47" s="453"/>
      <c r="G47" s="372"/>
      <c r="H47" s="454"/>
      <c r="I47" s="248"/>
      <c r="J47" s="445"/>
      <c r="K47" s="248"/>
      <c r="L47" s="248"/>
      <c r="M47" s="248"/>
      <c r="N47" s="248"/>
      <c r="O47" s="248"/>
      <c r="P47" s="248"/>
      <c r="Q47" s="248"/>
      <c r="R47" s="248"/>
      <c r="S47" s="445"/>
      <c r="T47" s="248"/>
      <c r="U47" s="248"/>
      <c r="V47" s="248"/>
      <c r="W47" s="248"/>
      <c r="X47" s="248"/>
      <c r="Y47" s="248"/>
      <c r="Z47" s="248"/>
      <c r="AA47" s="86"/>
      <c r="AB47" s="86"/>
      <c r="AC47" s="86"/>
      <c r="AD47" s="86"/>
    </row>
    <row r="48" spans="1:30" ht="15.75" x14ac:dyDescent="0.3">
      <c r="A48" s="248"/>
      <c r="B48" s="247"/>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86"/>
      <c r="AB48" s="86"/>
      <c r="AC48" s="86"/>
      <c r="AD48" s="86"/>
    </row>
    <row r="49" spans="1:30" ht="15.75" x14ac:dyDescent="0.3">
      <c r="A49" s="248"/>
      <c r="B49" s="247"/>
      <c r="C49" s="248"/>
      <c r="D49" s="248"/>
      <c r="E49" s="248"/>
      <c r="F49" s="248"/>
      <c r="G49" s="248"/>
      <c r="H49" s="248"/>
      <c r="I49" s="248"/>
      <c r="J49" s="86"/>
      <c r="K49" s="86"/>
      <c r="L49" s="86"/>
      <c r="M49" s="86"/>
      <c r="N49" s="86"/>
      <c r="O49" s="86"/>
      <c r="P49" s="86"/>
      <c r="Q49" s="86"/>
      <c r="R49" s="86"/>
      <c r="S49" s="86"/>
      <c r="T49" s="248"/>
      <c r="U49" s="248"/>
      <c r="V49" s="248"/>
      <c r="W49" s="248"/>
      <c r="X49" s="248"/>
      <c r="Y49" s="248"/>
      <c r="Z49" s="248"/>
      <c r="AA49" s="86"/>
      <c r="AB49" s="86"/>
      <c r="AC49" s="86"/>
      <c r="AD49" s="86"/>
    </row>
    <row r="50" spans="1:30" ht="15.75" x14ac:dyDescent="0.3">
      <c r="A50" s="248"/>
      <c r="B50" s="247"/>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86"/>
      <c r="AB50" s="86"/>
      <c r="AC50" s="86"/>
      <c r="AD50" s="86"/>
    </row>
    <row r="51" spans="1:30" ht="15.75" x14ac:dyDescent="0.3">
      <c r="A51" s="248"/>
      <c r="B51" s="247"/>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86"/>
      <c r="AB51" s="86"/>
      <c r="AC51" s="86"/>
      <c r="AD51" s="86"/>
    </row>
    <row r="52" spans="1:30" ht="15.75" x14ac:dyDescent="0.3">
      <c r="A52" s="248"/>
      <c r="B52" s="247"/>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86"/>
      <c r="AB52" s="86"/>
      <c r="AC52" s="86"/>
      <c r="AD52" s="86"/>
    </row>
    <row r="53" spans="1:30" ht="15.75" x14ac:dyDescent="0.3">
      <c r="A53" s="248"/>
      <c r="B53" s="247"/>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86"/>
      <c r="AB53" s="86"/>
      <c r="AC53" s="86"/>
      <c r="AD53" s="86"/>
    </row>
    <row r="54" spans="1:30" ht="15.75" x14ac:dyDescent="0.3">
      <c r="A54" s="248"/>
      <c r="B54" s="247"/>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86"/>
      <c r="AB54" s="86"/>
      <c r="AC54" s="86"/>
      <c r="AD54" s="86"/>
    </row>
    <row r="55" spans="1:30" ht="15.75" x14ac:dyDescent="0.3">
      <c r="A55" s="248"/>
      <c r="B55" s="247"/>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86"/>
      <c r="AB55" s="86"/>
      <c r="AC55" s="86"/>
      <c r="AD55" s="86"/>
    </row>
    <row r="56" spans="1:30" ht="15.75" x14ac:dyDescent="0.3">
      <c r="A56" s="248"/>
      <c r="B56" s="247"/>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86"/>
      <c r="AB56" s="86"/>
      <c r="AC56" s="86"/>
      <c r="AD56" s="86"/>
    </row>
    <row r="57" spans="1:30" ht="15.75" x14ac:dyDescent="0.3">
      <c r="A57" s="248"/>
      <c r="B57" s="247"/>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86"/>
      <c r="AB57" s="86"/>
      <c r="AC57" s="86"/>
      <c r="AD57" s="86"/>
    </row>
    <row r="58" spans="1:30" ht="15.75" x14ac:dyDescent="0.3">
      <c r="A58" s="248"/>
      <c r="B58" s="247"/>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86"/>
      <c r="AB58" s="86"/>
      <c r="AC58" s="86"/>
      <c r="AD58" s="86"/>
    </row>
    <row r="59" spans="1:30" ht="15.75" x14ac:dyDescent="0.3">
      <c r="A59" s="248"/>
      <c r="B59" s="247"/>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86"/>
      <c r="AB59" s="86"/>
      <c r="AC59" s="86"/>
      <c r="AD59" s="86"/>
    </row>
    <row r="60" spans="1:30" ht="15.75" x14ac:dyDescent="0.3">
      <c r="A60" s="248"/>
      <c r="B60" s="247"/>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86"/>
      <c r="AB60" s="86"/>
      <c r="AC60" s="86"/>
      <c r="AD60" s="86"/>
    </row>
    <row r="61" spans="1:30" ht="15.75" x14ac:dyDescent="0.3">
      <c r="A61" s="248"/>
      <c r="B61" s="247"/>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86"/>
      <c r="AB61" s="86"/>
      <c r="AC61" s="86"/>
      <c r="AD61" s="86"/>
    </row>
    <row r="62" spans="1:30" ht="15.75" x14ac:dyDescent="0.3">
      <c r="A62" s="248"/>
      <c r="B62" s="247"/>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86"/>
      <c r="AB62" s="86"/>
      <c r="AC62" s="86"/>
      <c r="AD62" s="86"/>
    </row>
    <row r="63" spans="1:30" ht="15.75" x14ac:dyDescent="0.3">
      <c r="A63" s="248"/>
      <c r="B63" s="247"/>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86"/>
      <c r="AB63" s="86"/>
      <c r="AC63" s="86"/>
      <c r="AD63" s="86"/>
    </row>
    <row r="64" spans="1:30" ht="15.75" x14ac:dyDescent="0.3">
      <c r="A64" s="248"/>
      <c r="B64" s="247"/>
      <c r="C64" s="248"/>
      <c r="D64" s="248"/>
      <c r="E64" s="248"/>
      <c r="F64" s="248"/>
      <c r="G64" s="248"/>
      <c r="H64" s="248"/>
      <c r="I64" s="248"/>
      <c r="J64" s="248"/>
      <c r="K64" s="248"/>
      <c r="L64" s="248"/>
      <c r="M64" s="248"/>
      <c r="N64" s="248"/>
      <c r="O64" s="248"/>
      <c r="P64" s="248"/>
      <c r="Q64" s="248"/>
      <c r="R64" s="248"/>
      <c r="S64" s="248"/>
      <c r="T64" s="248"/>
      <c r="U64" s="248"/>
      <c r="V64" s="248"/>
      <c r="W64" s="248"/>
      <c r="X64" s="248"/>
      <c r="Y64" s="248"/>
      <c r="Z64" s="248"/>
      <c r="AA64" s="86"/>
      <c r="AB64" s="86"/>
      <c r="AC64" s="86"/>
      <c r="AD64" s="86"/>
    </row>
    <row r="65" spans="1:30" ht="15.75" x14ac:dyDescent="0.3">
      <c r="A65" s="248"/>
      <c r="B65" s="247"/>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86"/>
      <c r="AB65" s="86"/>
      <c r="AC65" s="86"/>
      <c r="AD65" s="86"/>
    </row>
    <row r="66" spans="1:30" ht="15.75" x14ac:dyDescent="0.3">
      <c r="A66" s="248"/>
      <c r="B66" s="247"/>
      <c r="C66" s="248"/>
      <c r="D66" s="248"/>
      <c r="E66" s="248"/>
      <c r="F66" s="248"/>
      <c r="G66" s="248"/>
      <c r="H66" s="248"/>
      <c r="I66" s="248"/>
      <c r="J66" s="248"/>
      <c r="K66" s="248"/>
      <c r="L66" s="248"/>
      <c r="M66" s="248"/>
      <c r="N66" s="248"/>
      <c r="O66" s="248"/>
      <c r="P66" s="248"/>
      <c r="Q66" s="248"/>
      <c r="R66" s="248"/>
      <c r="S66" s="248"/>
      <c r="T66" s="248"/>
      <c r="U66" s="248"/>
      <c r="V66" s="248"/>
      <c r="W66" s="248"/>
      <c r="X66" s="248"/>
      <c r="Y66" s="248"/>
      <c r="Z66" s="248"/>
      <c r="AA66" s="86"/>
      <c r="AB66" s="86"/>
      <c r="AC66" s="86"/>
      <c r="AD66" s="86"/>
    </row>
    <row r="67" spans="1:30" ht="15.75" x14ac:dyDescent="0.3">
      <c r="A67" s="248"/>
      <c r="B67" s="247"/>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86"/>
      <c r="AB67" s="86"/>
      <c r="AC67" s="86"/>
      <c r="AD67" s="86"/>
    </row>
    <row r="68" spans="1:30" x14ac:dyDescent="0.25">
      <c r="A68" s="86"/>
      <c r="B68" s="173"/>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row>
    <row r="69" spans="1:30" x14ac:dyDescent="0.25">
      <c r="A69" s="86"/>
      <c r="B69" s="173"/>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row>
    <row r="70" spans="1:30" x14ac:dyDescent="0.25">
      <c r="A70" s="86"/>
      <c r="B70" s="173"/>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row>
    <row r="71" spans="1:30" x14ac:dyDescent="0.25">
      <c r="A71" s="86"/>
      <c r="B71" s="173"/>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row>
    <row r="72" spans="1:30" x14ac:dyDescent="0.25">
      <c r="A72" s="86"/>
      <c r="B72" s="173"/>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row>
    <row r="73" spans="1:30" x14ac:dyDescent="0.25">
      <c r="A73" s="86"/>
      <c r="B73" s="173"/>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row>
    <row r="74" spans="1:30" x14ac:dyDescent="0.25">
      <c r="A74" s="86"/>
      <c r="B74" s="173"/>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row>
    <row r="75" spans="1:30" x14ac:dyDescent="0.25">
      <c r="A75" s="86"/>
      <c r="B75" s="173"/>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row>
    <row r="76" spans="1:30" x14ac:dyDescent="0.25">
      <c r="A76" s="86"/>
      <c r="B76" s="173"/>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row>
    <row r="77" spans="1:30" x14ac:dyDescent="0.25">
      <c r="A77" s="86"/>
      <c r="B77" s="173"/>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row>
    <row r="78" spans="1:30" x14ac:dyDescent="0.25">
      <c r="A78" s="86"/>
      <c r="B78" s="173"/>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row>
    <row r="79" spans="1:30" x14ac:dyDescent="0.25">
      <c r="A79" s="86"/>
      <c r="B79" s="173"/>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row>
    <row r="80" spans="1:30" x14ac:dyDescent="0.25">
      <c r="A80" s="86"/>
      <c r="B80" s="173"/>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row>
    <row r="81" spans="1:30" x14ac:dyDescent="0.25">
      <c r="A81" s="86"/>
      <c r="B81" s="173"/>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row>
    <row r="82" spans="1:30" x14ac:dyDescent="0.25">
      <c r="A82" s="86"/>
      <c r="B82" s="173"/>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row>
  </sheetData>
  <mergeCells count="4">
    <mergeCell ref="H3:I3"/>
    <mergeCell ref="C3:D3"/>
    <mergeCell ref="M3:Q3"/>
    <mergeCell ref="U3:W3"/>
  </mergeCells>
  <conditionalFormatting sqref="I7">
    <cfRule type="expression" dxfId="147" priority="7">
      <formula>$I$4="No - Use Projected"</formula>
    </cfRule>
  </conditionalFormatting>
  <conditionalFormatting sqref="I10">
    <cfRule type="expression" dxfId="146" priority="6">
      <formula>$I$7="Input Method Mix"</formula>
    </cfRule>
  </conditionalFormatting>
  <conditionalFormatting sqref="I13:I17">
    <cfRule type="expression" dxfId="145" priority="5">
      <formula>$I$7="Input Total mCPR"</formula>
    </cfRule>
  </conditionalFormatting>
  <conditionalFormatting sqref="N8:O9">
    <cfRule type="expression" dxfId="144" priority="4">
      <formula>$Q$4="Yes"</formula>
    </cfRule>
  </conditionalFormatting>
  <conditionalFormatting sqref="N14:Q18">
    <cfRule type="expression" dxfId="143" priority="3">
      <formula>$Q$4="No"</formula>
    </cfRule>
  </conditionalFormatting>
  <conditionalFormatting sqref="N4">
    <cfRule type="expression" dxfId="142" priority="1">
      <formula>AND($D$4="Philippines",$N$4="Poverty Lines")</formula>
    </cfRule>
  </conditionalFormatting>
  <dataValidations count="9">
    <dataValidation type="decimal" allowBlank="1" showInputMessage="1" showErrorMessage="1" sqref="X20 V5:W9 I18 X15">
      <formula1>0</formula1>
      <formula2>1</formula2>
    </dataValidation>
    <dataValidation type="decimal" allowBlank="1" showInputMessage="1" showErrorMessage="1" sqref="I10">
      <formula1>IF(I7="Input Total mCPR",0,NA())</formula1>
      <formula2>IF(I7="Input Total mCPR",1,NA())</formula2>
    </dataValidation>
    <dataValidation type="decimal" allowBlank="1" showInputMessage="1" showErrorMessage="1" sqref="I13">
      <formula1>IF(I7="Input Method Mix",0,NA())</formula1>
      <formula2>IF(I7="Input Method Mix",1,NA())</formula2>
    </dataValidation>
    <dataValidation type="decimal" allowBlank="1" showInputMessage="1" showErrorMessage="1" sqref="I14">
      <formula1>IF(I7="Input Method Mix",0,NA())</formula1>
      <formula2>IF(I7="Input Method Mix",1,NA())</formula2>
    </dataValidation>
    <dataValidation type="decimal" allowBlank="1" showInputMessage="1" showErrorMessage="1" sqref="I15">
      <formula1>IF(I7="Input Method Mix",0,NA())</formula1>
      <formula2>IF(I7="Input Method Mix",1,NA())</formula2>
    </dataValidation>
    <dataValidation type="decimal" allowBlank="1" showInputMessage="1" showErrorMessage="1" sqref="I16">
      <formula1>IF(I7="Input Method Mix",0,NA())</formula1>
      <formula2>IF(I7="Input Method Mix",1,NA())</formula2>
    </dataValidation>
    <dataValidation type="decimal" allowBlank="1" showInputMessage="1" showErrorMessage="1" sqref="I17">
      <formula1>IF(I7="Input Method Mix",0,NA())</formula1>
      <formula2>IF(I7="Input Method Mix",1,NA())</formula2>
    </dataValidation>
    <dataValidation type="decimal" allowBlank="1" showInputMessage="1" showErrorMessage="1" sqref="N8:O9">
      <formula1>IF($Q$4="No",0,NA())</formula1>
      <formula2>IF($Q$4="No",1,NA())</formula2>
    </dataValidation>
    <dataValidation type="decimal" allowBlank="1" showInputMessage="1" showErrorMessage="1" sqref="N14:Q18">
      <formula1>IF($Q$4="Yes",0,NA())</formula1>
      <formula2>IF($Q$4="Yes",1,NA())</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'User Settings'!$G$16:$G$17</xm:f>
          </x14:formula1>
          <xm:sqref>Q4</xm:sqref>
        </x14:dataValidation>
        <x14:dataValidation type="list" allowBlank="1" showInputMessage="1" showErrorMessage="1">
          <x14:formula1>
            <xm:f>'User Settings'!$E$16:$E$17</xm:f>
          </x14:formula1>
          <xm:sqref>N4</xm:sqref>
        </x14:dataValidation>
        <x14:dataValidation type="list" allowBlank="1" showInputMessage="1" showErrorMessage="1">
          <x14:formula1>
            <xm:f>'User Settings'!$D$16:$D$17</xm:f>
          </x14:formula1>
          <xm:sqref>I4</xm:sqref>
        </x14:dataValidation>
        <x14:dataValidation type="list" allowBlank="1" showInputMessage="1" showErrorMessage="1">
          <x14:formula1>
            <xm:f>IF($I$4="Yes",'User Settings'!$F$16:$F$17,NA())</xm:f>
          </x14:formula1>
          <xm:sqref>I7</xm:sqref>
        </x14:dataValidation>
        <x14:dataValidation type="list" allowBlank="1" showInputMessage="1" showErrorMessage="1">
          <x14:formula1>
            <xm:f>'User Settings'!$B$34:$B$34</xm:f>
          </x14:formula1>
          <xm:sqref>F10</xm:sqref>
        </x14:dataValidation>
        <x14:dataValidation type="list" allowBlank="1" showInputMessage="1" showErrorMessage="1">
          <x14:formula1>
            <xm:f>'User Settings'!$C$16:$C$34</xm:f>
          </x14:formula1>
          <xm:sqref>F11</xm:sqref>
        </x14:dataValidation>
        <x14:dataValidation type="list" allowBlank="1" showInputMessage="1" showErrorMessage="1">
          <x14:formula1>
            <xm:f>OFFSET('User Settings'!$B$16,0,0,COUNT('User Settings'!$B$16:$B$35),1)</xm:f>
          </x14:formula1>
          <xm:sqref>D6</xm:sqref>
        </x14:dataValidation>
        <x14:dataValidation type="list" allowBlank="1" showInputMessage="1" showErrorMessage="1">
          <x14:formula1>
            <xm:f>'User Settings'!$A$22:$A$22</xm:f>
          </x14:formula1>
          <xm:sqref>F8</xm:sqref>
        </x14:dataValidation>
        <x14:dataValidation type="list" allowBlank="1" showInputMessage="1" showErrorMessage="1">
          <x14:formula1>
            <xm:f>'User Settings'!$A$16:$A$24</xm:f>
          </x14:formula1>
          <xm:sqref>D4</xm:sqref>
        </x14:dataValidation>
        <x14:dataValidation type="list" allowBlank="1" showInputMessage="1" showErrorMessage="1">
          <x14:formula1>
            <xm:f>OFFSET('User Settings'!$C$16,0,0,COUNT('User Settings'!$C$16:$C$35),1)</xm:f>
          </x14:formula1>
          <xm:sqref>D7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F27"/>
  <sheetViews>
    <sheetView workbookViewId="0">
      <selection activeCell="H1" sqref="H1:H1048576"/>
    </sheetView>
  </sheetViews>
  <sheetFormatPr defaultRowHeight="15" outlineLevelCol="1" x14ac:dyDescent="0.25"/>
  <cols>
    <col min="1" max="1" width="13" customWidth="1"/>
    <col min="2" max="2" width="19.140625" hidden="1" customWidth="1" outlineLevel="1"/>
    <col min="3" max="3" width="16.140625" customWidth="1" collapsed="1"/>
    <col min="4" max="4" width="22.5703125" hidden="1" customWidth="1" outlineLevel="1"/>
    <col min="5" max="5" width="19.28515625" customWidth="1" collapsed="1"/>
    <col min="6" max="6" width="15.42578125" customWidth="1"/>
  </cols>
  <sheetData>
    <row r="1" spans="1:6" x14ac:dyDescent="0.25">
      <c r="A1" s="464" t="s">
        <v>189</v>
      </c>
      <c r="B1" s="464"/>
      <c r="C1" s="464"/>
      <c r="D1" s="464"/>
      <c r="E1" s="464"/>
      <c r="F1" s="464"/>
    </row>
    <row r="2" spans="1:6" x14ac:dyDescent="0.25">
      <c r="A2" s="213"/>
      <c r="B2" s="213"/>
      <c r="C2" s="213"/>
      <c r="D2" s="213"/>
      <c r="E2" s="213"/>
      <c r="F2" s="213"/>
    </row>
    <row r="3" spans="1:6" x14ac:dyDescent="0.25">
      <c r="A3" s="214" t="s">
        <v>5</v>
      </c>
      <c r="B3" t="s">
        <v>190</v>
      </c>
      <c r="C3" s="215" t="s">
        <v>127</v>
      </c>
      <c r="D3" t="s">
        <v>191</v>
      </c>
      <c r="E3" s="215" t="s">
        <v>126</v>
      </c>
      <c r="F3" s="215" t="s">
        <v>192</v>
      </c>
    </row>
    <row r="4" spans="1:6" x14ac:dyDescent="0.25">
      <c r="A4" s="216" t="s">
        <v>193</v>
      </c>
      <c r="B4" s="217" t="s">
        <v>194</v>
      </c>
      <c r="C4" s="217" t="str">
        <f>B4</f>
        <v>N/A</v>
      </c>
      <c r="D4" s="218">
        <v>2015</v>
      </c>
      <c r="E4" s="218">
        <f>D4</f>
        <v>2015</v>
      </c>
      <c r="F4" s="218"/>
    </row>
    <row r="5" spans="1:6" x14ac:dyDescent="0.25">
      <c r="A5" s="216" t="s">
        <v>195</v>
      </c>
      <c r="B5" s="218">
        <v>2011</v>
      </c>
      <c r="C5" s="217">
        <f t="shared" ref="C5:C27" si="0">B5</f>
        <v>2011</v>
      </c>
      <c r="D5" s="218">
        <v>2014</v>
      </c>
      <c r="E5" s="218">
        <f t="shared" ref="E5:E26" si="1">D5</f>
        <v>2014</v>
      </c>
      <c r="F5" s="218" t="s">
        <v>196</v>
      </c>
    </row>
    <row r="6" spans="1:6" x14ac:dyDescent="0.25">
      <c r="A6" s="216" t="s">
        <v>197</v>
      </c>
      <c r="B6" s="218">
        <v>2007</v>
      </c>
      <c r="C6" s="217">
        <f t="shared" si="0"/>
        <v>2007</v>
      </c>
      <c r="D6" s="218" t="s">
        <v>198</v>
      </c>
      <c r="E6" s="218">
        <v>2013.5</v>
      </c>
      <c r="F6" s="218"/>
    </row>
    <row r="7" spans="1:6" x14ac:dyDescent="0.25">
      <c r="A7" s="216" t="s">
        <v>6</v>
      </c>
      <c r="B7" s="218">
        <v>2011</v>
      </c>
      <c r="C7" s="217">
        <f t="shared" si="0"/>
        <v>2011</v>
      </c>
      <c r="D7" s="218">
        <v>2016</v>
      </c>
      <c r="E7" s="218">
        <f t="shared" si="1"/>
        <v>2016</v>
      </c>
      <c r="F7" s="218"/>
    </row>
    <row r="8" spans="1:6" x14ac:dyDescent="0.25">
      <c r="A8" s="216" t="s">
        <v>199</v>
      </c>
      <c r="B8" s="218">
        <v>2008</v>
      </c>
      <c r="C8" s="217">
        <f t="shared" si="0"/>
        <v>2008</v>
      </c>
      <c r="D8" s="218">
        <v>2014</v>
      </c>
      <c r="E8" s="218">
        <f t="shared" si="1"/>
        <v>2014</v>
      </c>
      <c r="F8" s="218"/>
    </row>
    <row r="9" spans="1:6" x14ac:dyDescent="0.25">
      <c r="A9" s="216" t="s">
        <v>138</v>
      </c>
      <c r="B9" s="218">
        <v>2012</v>
      </c>
      <c r="C9" s="217">
        <f t="shared" si="0"/>
        <v>2012</v>
      </c>
      <c r="D9" s="218" t="s">
        <v>200</v>
      </c>
      <c r="E9" s="218">
        <v>2016.5</v>
      </c>
      <c r="F9" s="218"/>
    </row>
    <row r="10" spans="1:6" x14ac:dyDescent="0.25">
      <c r="A10" s="216" t="s">
        <v>201</v>
      </c>
      <c r="B10" s="218" t="s">
        <v>202</v>
      </c>
      <c r="C10" s="217">
        <v>2005.5</v>
      </c>
      <c r="D10" s="218" t="s">
        <v>203</v>
      </c>
      <c r="E10" s="218">
        <v>2015.5</v>
      </c>
      <c r="F10" s="218" t="s">
        <v>204</v>
      </c>
    </row>
    <row r="11" spans="1:6" x14ac:dyDescent="0.25">
      <c r="A11" s="216" t="s">
        <v>205</v>
      </c>
      <c r="B11" s="218" t="s">
        <v>206</v>
      </c>
      <c r="C11" s="217">
        <v>2008.5</v>
      </c>
      <c r="D11" s="218">
        <v>2014</v>
      </c>
      <c r="E11" s="218">
        <f t="shared" si="1"/>
        <v>2014</v>
      </c>
      <c r="F11" s="218"/>
    </row>
    <row r="12" spans="1:6" x14ac:dyDescent="0.25">
      <c r="A12" s="216" t="s">
        <v>207</v>
      </c>
      <c r="B12" s="218">
        <v>2007</v>
      </c>
      <c r="C12" s="217">
        <f t="shared" si="0"/>
        <v>2007</v>
      </c>
      <c r="D12" s="218">
        <v>2013</v>
      </c>
      <c r="E12" s="218">
        <f t="shared" si="1"/>
        <v>2013</v>
      </c>
      <c r="F12" s="218"/>
    </row>
    <row r="13" spans="1:6" x14ac:dyDescent="0.25">
      <c r="A13" s="216" t="s">
        <v>208</v>
      </c>
      <c r="B13" s="218" t="s">
        <v>209</v>
      </c>
      <c r="C13" s="217">
        <v>2003.5</v>
      </c>
      <c r="D13" s="218" t="s">
        <v>206</v>
      </c>
      <c r="E13" s="218">
        <v>2008.5</v>
      </c>
      <c r="F13" s="218"/>
    </row>
    <row r="14" spans="1:6" x14ac:dyDescent="0.25">
      <c r="A14" s="216" t="s">
        <v>142</v>
      </c>
      <c r="B14" s="218">
        <v>2010</v>
      </c>
      <c r="C14" s="217">
        <f t="shared" si="0"/>
        <v>2010</v>
      </c>
      <c r="D14" s="218" t="s">
        <v>203</v>
      </c>
      <c r="E14" s="218">
        <v>2015.5</v>
      </c>
      <c r="F14" s="218"/>
    </row>
    <row r="15" spans="1:6" x14ac:dyDescent="0.25">
      <c r="A15" s="216" t="s">
        <v>210</v>
      </c>
      <c r="B15" s="218">
        <v>2006</v>
      </c>
      <c r="C15" s="217">
        <f t="shared" si="0"/>
        <v>2006</v>
      </c>
      <c r="D15" s="218" t="s">
        <v>211</v>
      </c>
      <c r="E15" s="218">
        <v>2012.5</v>
      </c>
      <c r="F15" s="218">
        <v>2018</v>
      </c>
    </row>
    <row r="16" spans="1:6" x14ac:dyDescent="0.25">
      <c r="A16" s="219" t="s">
        <v>212</v>
      </c>
      <c r="B16" s="218">
        <v>2003</v>
      </c>
      <c r="C16" s="217">
        <f t="shared" si="0"/>
        <v>2003</v>
      </c>
      <c r="D16" s="218">
        <v>2011</v>
      </c>
      <c r="E16" s="218">
        <f t="shared" si="1"/>
        <v>2011</v>
      </c>
      <c r="F16" s="218"/>
    </row>
    <row r="17" spans="1:6" x14ac:dyDescent="0.25">
      <c r="A17" s="219" t="s">
        <v>144</v>
      </c>
      <c r="B17" s="218">
        <v>2011</v>
      </c>
      <c r="C17" s="217">
        <f t="shared" si="0"/>
        <v>2011</v>
      </c>
      <c r="D17" s="218">
        <v>2016</v>
      </c>
      <c r="E17" s="218">
        <f t="shared" si="1"/>
        <v>2016</v>
      </c>
      <c r="F17" s="218"/>
    </row>
    <row r="18" spans="1:6" x14ac:dyDescent="0.25">
      <c r="A18" s="219" t="s">
        <v>213</v>
      </c>
      <c r="B18" s="218">
        <v>2008</v>
      </c>
      <c r="C18" s="217">
        <f t="shared" si="0"/>
        <v>2008</v>
      </c>
      <c r="D18" s="218">
        <v>2013</v>
      </c>
      <c r="E18" s="218">
        <f t="shared" si="1"/>
        <v>2013</v>
      </c>
      <c r="F18" s="218">
        <v>2018</v>
      </c>
    </row>
    <row r="19" spans="1:6" x14ac:dyDescent="0.25">
      <c r="A19" s="219" t="s">
        <v>146</v>
      </c>
      <c r="B19" s="218" t="s">
        <v>211</v>
      </c>
      <c r="C19" s="217">
        <v>2012.5</v>
      </c>
      <c r="D19" s="218" t="s">
        <v>196</v>
      </c>
      <c r="E19" s="218">
        <v>2017.5</v>
      </c>
      <c r="F19" s="218"/>
    </row>
    <row r="20" spans="1:6" x14ac:dyDescent="0.25">
      <c r="A20" s="219" t="s">
        <v>148</v>
      </c>
      <c r="B20" s="218">
        <v>2013</v>
      </c>
      <c r="C20" s="217">
        <f t="shared" si="0"/>
        <v>2013</v>
      </c>
      <c r="D20" s="218">
        <v>2017</v>
      </c>
      <c r="E20" s="218">
        <f t="shared" si="1"/>
        <v>2017</v>
      </c>
      <c r="F20" s="218"/>
    </row>
    <row r="21" spans="1:6" x14ac:dyDescent="0.25">
      <c r="A21" s="219" t="s">
        <v>214</v>
      </c>
      <c r="B21" s="218">
        <v>2010</v>
      </c>
      <c r="C21" s="217">
        <f t="shared" si="0"/>
        <v>2010</v>
      </c>
      <c r="D21" s="218" t="s">
        <v>215</v>
      </c>
      <c r="E21" s="218">
        <v>2014.5</v>
      </c>
      <c r="F21" s="218" t="s">
        <v>216</v>
      </c>
    </row>
    <row r="22" spans="1:6" x14ac:dyDescent="0.25">
      <c r="A22" s="219" t="s">
        <v>150</v>
      </c>
      <c r="B22" s="218">
        <v>2016</v>
      </c>
      <c r="C22" s="217">
        <f t="shared" si="0"/>
        <v>2016</v>
      </c>
      <c r="D22" s="218">
        <v>2017</v>
      </c>
      <c r="E22" s="218">
        <f t="shared" si="1"/>
        <v>2017</v>
      </c>
      <c r="F22" s="218"/>
    </row>
    <row r="23" spans="1:6" x14ac:dyDescent="0.25">
      <c r="A23" s="219" t="s">
        <v>217</v>
      </c>
      <c r="B23" s="217" t="s">
        <v>194</v>
      </c>
      <c r="C23" s="217" t="str">
        <f t="shared" si="0"/>
        <v>N/A</v>
      </c>
      <c r="D23" s="217" t="s">
        <v>194</v>
      </c>
      <c r="E23" s="218" t="str">
        <f t="shared" si="1"/>
        <v>N/A</v>
      </c>
      <c r="F23" s="218"/>
    </row>
    <row r="24" spans="1:6" x14ac:dyDescent="0.25">
      <c r="A24" s="219" t="s">
        <v>152</v>
      </c>
      <c r="B24" s="218">
        <v>2010</v>
      </c>
      <c r="C24" s="217">
        <f t="shared" si="0"/>
        <v>2010</v>
      </c>
      <c r="D24" s="218" t="s">
        <v>203</v>
      </c>
      <c r="E24" s="218">
        <v>2015.5</v>
      </c>
      <c r="F24" s="218"/>
    </row>
    <row r="25" spans="1:6" x14ac:dyDescent="0.25">
      <c r="A25" s="219" t="s">
        <v>154</v>
      </c>
      <c r="B25" s="218">
        <v>2011</v>
      </c>
      <c r="C25" s="217">
        <f t="shared" si="0"/>
        <v>2011</v>
      </c>
      <c r="D25" s="218">
        <v>2016</v>
      </c>
      <c r="E25" s="218">
        <f t="shared" si="1"/>
        <v>2016</v>
      </c>
      <c r="F25" s="218"/>
    </row>
    <row r="26" spans="1:6" x14ac:dyDescent="0.25">
      <c r="A26" s="219" t="s">
        <v>218</v>
      </c>
      <c r="B26" s="218">
        <v>1997</v>
      </c>
      <c r="C26" s="217">
        <f t="shared" si="0"/>
        <v>1997</v>
      </c>
      <c r="D26" s="218">
        <v>2013</v>
      </c>
      <c r="E26" s="218">
        <f t="shared" si="1"/>
        <v>2013</v>
      </c>
      <c r="F26" s="218"/>
    </row>
    <row r="27" spans="1:6" x14ac:dyDescent="0.25">
      <c r="A27" s="220" t="s">
        <v>219</v>
      </c>
      <c r="B27" s="221">
        <v>2007</v>
      </c>
      <c r="C27" s="221">
        <f t="shared" si="0"/>
        <v>2007</v>
      </c>
      <c r="D27" s="221" t="s">
        <v>198</v>
      </c>
      <c r="E27" s="221">
        <v>2013.5</v>
      </c>
      <c r="F27" s="221">
        <v>2018</v>
      </c>
    </row>
  </sheetData>
  <mergeCells count="1">
    <mergeCell ref="A1:F1"/>
  </mergeCells>
  <conditionalFormatting sqref="A4:F27">
    <cfRule type="expression" dxfId="0" priority="1">
      <formula>MOD(ROW(),2)=1</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184"/>
  <sheetViews>
    <sheetView zoomScale="85" zoomScaleNormal="85" workbookViewId="0">
      <selection activeCell="F5" sqref="F5"/>
    </sheetView>
  </sheetViews>
  <sheetFormatPr defaultRowHeight="15" outlineLevelRow="1" outlineLevelCol="1" x14ac:dyDescent="0.25"/>
  <cols>
    <col min="1" max="1" width="32.7109375" customWidth="1" outlineLevel="1"/>
    <col min="5" max="5" width="17.140625" bestFit="1" customWidth="1"/>
    <col min="9" max="9" width="17.28515625" customWidth="1"/>
  </cols>
  <sheetData>
    <row r="1" spans="1:8" x14ac:dyDescent="0.25">
      <c r="B1" s="3" t="s">
        <v>220</v>
      </c>
    </row>
    <row r="2" spans="1:8" x14ac:dyDescent="0.25">
      <c r="B2" s="206" t="s">
        <v>70</v>
      </c>
      <c r="C2" s="207" t="s">
        <v>221</v>
      </c>
      <c r="D2" s="207" t="s">
        <v>90</v>
      </c>
      <c r="E2" s="207" t="s">
        <v>222</v>
      </c>
      <c r="F2" s="207" t="s">
        <v>162</v>
      </c>
      <c r="G2" s="207" t="s">
        <v>173</v>
      </c>
      <c r="H2" s="208" t="s">
        <v>116</v>
      </c>
    </row>
    <row r="3" spans="1:8" outlineLevel="1" x14ac:dyDescent="0.25">
      <c r="A3" t="str">
        <f>IF(Dashboard!$N$4="Wealth Quintiles", "fp_wealth_breakdown_raw!","fp_income_breakdown_raw!")</f>
        <v>fp_wealth_breakdown_raw!</v>
      </c>
      <c r="B3" s="157"/>
      <c r="C3" s="155"/>
      <c r="D3" s="155"/>
      <c r="E3" s="155"/>
      <c r="F3" s="155" t="s">
        <v>223</v>
      </c>
      <c r="G3" s="155" t="s">
        <v>224</v>
      </c>
      <c r="H3" s="158" t="s">
        <v>225</v>
      </c>
    </row>
    <row r="4" spans="1:8" x14ac:dyDescent="0.25">
      <c r="B4" s="157"/>
      <c r="C4" s="155"/>
      <c r="D4" s="155"/>
      <c r="E4" s="155"/>
      <c r="F4" s="155"/>
      <c r="G4" s="155"/>
      <c r="H4" s="156"/>
    </row>
    <row r="5" spans="1:8" x14ac:dyDescent="0.25">
      <c r="A5" t="str">
        <f>Data_FP!$B5&amp;Data_FP!$C5&amp;Data_FP!$D5&amp;Data_FP!$E5</f>
        <v>2011NationalPub_MedPill</v>
      </c>
      <c r="B5" s="157">
        <f t="shared" ref="B5:B22" si="0">Yr_DHS1</f>
        <v>2011</v>
      </c>
      <c r="C5" s="155" t="s">
        <v>178</v>
      </c>
      <c r="D5" s="155" t="s">
        <v>52</v>
      </c>
      <c r="E5" s="155" t="s">
        <v>12</v>
      </c>
      <c r="F5" s="160">
        <f ca="1">IFERROR(INDEX(INDIRECT($A$3&amp;"$1:$1048576"),MATCH(Dashboard!$D$4&amp;$A5,INDIRECT($A$3&amp;"$A:$A"),0),MATCH(F$3,INDIRECT($A$3&amp;"$1:$1"),0)),0)</f>
        <v>1.0808699999999999E-2</v>
      </c>
      <c r="G5" s="160">
        <f ca="1">IFERROR(INDEX(INDIRECT($A$3&amp;"$1:$1048576"),MATCH(Dashboard!$D$4&amp;$A5,INDIRECT($A$3&amp;"$A:$A"),0),MATCH(G$3,INDIRECT($A$3&amp;"$1:$1"),0)),0)</f>
        <v>1.30102E-2</v>
      </c>
      <c r="H5" s="160">
        <f ca="1">IFERROR(INDEX(INDIRECT($A$3&amp;"$1:$1048576"),MATCH(Dashboard!$D$4&amp;$A5,INDIRECT($A$3&amp;"$A:$A"),0),MATCH(H$3,INDIRECT($A$3&amp;"$1:$1"),0)),0)</f>
        <v>7.672E-3</v>
      </c>
    </row>
    <row r="6" spans="1:8" x14ac:dyDescent="0.25">
      <c r="A6" t="str">
        <f>Data_FP!$B6&amp;Data_FP!$C6&amp;Data_FP!$D6&amp;Data_FP!$E6</f>
        <v>2011NationalPub_OutreachPill</v>
      </c>
      <c r="B6" s="157">
        <f t="shared" si="0"/>
        <v>2011</v>
      </c>
      <c r="C6" s="155" t="s">
        <v>178</v>
      </c>
      <c r="D6" s="155" t="s">
        <v>54</v>
      </c>
      <c r="E6" s="155" t="s">
        <v>12</v>
      </c>
      <c r="F6" s="160">
        <f ca="1">IFERROR(INDEX(INDIRECT($A$3&amp;"$1:$1048576"),MATCH(Dashboard!$D$4&amp;$A6,INDIRECT($A$3&amp;"$A:$A"),0),MATCH(F$3,INDIRECT($A$3&amp;"$1:$1"),0)),0)</f>
        <v>7.1900000000000002E-4</v>
      </c>
      <c r="G6" s="160">
        <f ca="1">IFERROR(INDEX(INDIRECT($A$3&amp;"$1:$1048576"),MATCH(Dashboard!$D$4&amp;$A6,INDIRECT($A$3&amp;"$A:$A"),0),MATCH(G$3,INDIRECT($A$3&amp;"$1:$1"),0)),0)</f>
        <v>7.6889999999999999E-4</v>
      </c>
      <c r="H6" s="160">
        <f ca="1">IFERROR(INDEX(INDIRECT($A$3&amp;"$1:$1048576"),MATCH(Dashboard!$D$4&amp;$A6,INDIRECT($A$3&amp;"$A:$A"),0),MATCH(H$3,INDIRECT($A$3&amp;"$1:$1"),0)),0)</f>
        <v>0</v>
      </c>
    </row>
    <row r="7" spans="1:8" x14ac:dyDescent="0.25">
      <c r="A7" t="str">
        <f>Data_FP!$B7&amp;Data_FP!$C7&amp;Data_FP!$D7&amp;Data_FP!$E7</f>
        <v>2011NationalNGOPill</v>
      </c>
      <c r="B7" s="157">
        <f t="shared" si="0"/>
        <v>2011</v>
      </c>
      <c r="C7" s="155" t="s">
        <v>178</v>
      </c>
      <c r="D7" s="155" t="s">
        <v>170</v>
      </c>
      <c r="E7" s="155" t="s">
        <v>12</v>
      </c>
      <c r="F7" s="160">
        <f ca="1">IFERROR(INDEX(INDIRECT($A$3&amp;"$1:$1048576"),MATCH(Dashboard!$D$4&amp;$A7,INDIRECT($A$3&amp;"$A:$A"),0),MATCH(F$3,INDIRECT($A$3&amp;"$1:$1"),0)),0)</f>
        <v>0</v>
      </c>
      <c r="G7" s="160">
        <f ca="1">IFERROR(INDEX(INDIRECT($A$3&amp;"$1:$1048576"),MATCH(Dashboard!$D$4&amp;$A7,INDIRECT($A$3&amp;"$A:$A"),0),MATCH(G$3,INDIRECT($A$3&amp;"$1:$1"),0)),0)</f>
        <v>0</v>
      </c>
      <c r="H7" s="160">
        <f ca="1">IFERROR(INDEX(INDIRECT($A$3&amp;"$1:$1048576"),MATCH(Dashboard!$D$4&amp;$A7,INDIRECT($A$3&amp;"$A:$A"),0),MATCH(H$3,INDIRECT($A$3&amp;"$1:$1"),0)),0)</f>
        <v>0</v>
      </c>
    </row>
    <row r="8" spans="1:8" x14ac:dyDescent="0.25">
      <c r="A8" t="str">
        <f>Data_FP!$B8&amp;Data_FP!$C8&amp;Data_FP!$D8&amp;Data_FP!$E8</f>
        <v>2011NationalCommercialPill</v>
      </c>
      <c r="B8" s="157">
        <f t="shared" si="0"/>
        <v>2011</v>
      </c>
      <c r="C8" s="155" t="s">
        <v>178</v>
      </c>
      <c r="D8" s="155" t="s">
        <v>59</v>
      </c>
      <c r="E8" s="155" t="s">
        <v>12</v>
      </c>
      <c r="F8" s="160">
        <f ca="1">IFERROR(INDEX(INDIRECT($A$3&amp;"$1:$1048576"),MATCH(Dashboard!$D$4&amp;$A8,INDIRECT($A$3&amp;"$A:$A"),0),MATCH(F$3,INDIRECT($A$3&amp;"$1:$1"),0)),0)</f>
        <v>1.9178899999999999E-2</v>
      </c>
      <c r="G8" s="160">
        <f ca="1">IFERROR(INDEX(INDIRECT($A$3&amp;"$1:$1048576"),MATCH(Dashboard!$D$4&amp;$A8,INDIRECT($A$3&amp;"$A:$A"),0),MATCH(G$3,INDIRECT($A$3&amp;"$1:$1"),0)),0)</f>
        <v>1.0872700000000001E-2</v>
      </c>
      <c r="H8" s="160">
        <f ca="1">IFERROR(INDEX(INDIRECT($A$3&amp;"$1:$1048576"),MATCH(Dashboard!$D$4&amp;$A8,INDIRECT($A$3&amp;"$A:$A"),0),MATCH(H$3,INDIRECT($A$3&amp;"$1:$1"),0)),0)</f>
        <v>7.9141000000000003E-3</v>
      </c>
    </row>
    <row r="9" spans="1:8" x14ac:dyDescent="0.25">
      <c r="A9" t="str">
        <f>Data_FP!$B9&amp;Data_FP!$C9&amp;Data_FP!$D9&amp;Data_FP!$E9</f>
        <v>2011NationalNonTradPill</v>
      </c>
      <c r="B9" s="157">
        <f t="shared" si="0"/>
        <v>2011</v>
      </c>
      <c r="C9" s="155" t="s">
        <v>178</v>
      </c>
      <c r="D9" s="155" t="s">
        <v>171</v>
      </c>
      <c r="E9" s="155" t="s">
        <v>12</v>
      </c>
      <c r="F9" s="160">
        <f ca="1">IFERROR(INDEX(INDIRECT($A$3&amp;"$1:$1048576"),MATCH(Dashboard!$D$4&amp;$A9,INDIRECT($A$3&amp;"$A:$A"),0),MATCH(F$3,INDIRECT($A$3&amp;"$1:$1"),0)),0)</f>
        <v>3.1090000000000002E-4</v>
      </c>
      <c r="G9" s="160">
        <f ca="1">IFERROR(INDEX(INDIRECT($A$3&amp;"$1:$1048576"),MATCH(Dashboard!$D$4&amp;$A9,INDIRECT($A$3&amp;"$A:$A"),0),MATCH(G$3,INDIRECT($A$3&amp;"$1:$1"),0)),0)</f>
        <v>8.7200000000000005E-4</v>
      </c>
      <c r="H9" s="160">
        <f ca="1">IFERROR(INDEX(INDIRECT($A$3&amp;"$1:$1048576"),MATCH(Dashboard!$D$4&amp;$A9,INDIRECT($A$3&amp;"$A:$A"),0),MATCH(H$3,INDIRECT($A$3&amp;"$1:$1"),0)),0)</f>
        <v>0</v>
      </c>
    </row>
    <row r="10" spans="1:8" x14ac:dyDescent="0.25">
      <c r="A10" t="str">
        <f>Data_FP!$B10&amp;Data_FP!$C10&amp;Data_FP!$D10&amp;Data_FP!$E10</f>
        <v>2011NationalOtherPill</v>
      </c>
      <c r="B10" s="157">
        <f t="shared" si="0"/>
        <v>2011</v>
      </c>
      <c r="C10" s="155" t="s">
        <v>178</v>
      </c>
      <c r="D10" s="155" t="s">
        <v>116</v>
      </c>
      <c r="E10" s="155" t="s">
        <v>12</v>
      </c>
      <c r="F10" s="160">
        <f ca="1">IFERROR(INDEX(INDIRECT($A$3&amp;"$1:$1048576"),MATCH(Dashboard!$D$4&amp;$A10,INDIRECT($A$3&amp;"$A:$A"),0),MATCH(F$3,INDIRECT($A$3&amp;"$1:$1"),0)),0)</f>
        <v>1.4917000000000001E-3</v>
      </c>
      <c r="G10" s="160">
        <f ca="1">IFERROR(INDEX(INDIRECT($A$3&amp;"$1:$1048576"),MATCH(Dashboard!$D$4&amp;$A10,INDIRECT($A$3&amp;"$A:$A"),0),MATCH(G$3,INDIRECT($A$3&amp;"$1:$1"),0)),0)</f>
        <v>0</v>
      </c>
      <c r="H10" s="160">
        <f ca="1">IFERROR(INDEX(INDIRECT($A$3&amp;"$1:$1048576"),MATCH(Dashboard!$D$4&amp;$A10,INDIRECT($A$3&amp;"$A:$A"),0),MATCH(H$3,INDIRECT($A$3&amp;"$1:$1"),0)),0)</f>
        <v>4.4499999999999997E-5</v>
      </c>
    </row>
    <row r="11" spans="1:8" x14ac:dyDescent="0.25">
      <c r="A11" t="str">
        <f>Data_FP!$B11&amp;Data_FP!$C11&amp;Data_FP!$D11&amp;Data_FP!$E11</f>
        <v>2011UrbanPub_MedPill</v>
      </c>
      <c r="B11" s="157">
        <f t="shared" si="0"/>
        <v>2011</v>
      </c>
      <c r="C11" s="155" t="s">
        <v>20</v>
      </c>
      <c r="D11" s="155" t="s">
        <v>52</v>
      </c>
      <c r="E11" s="155" t="s">
        <v>12</v>
      </c>
      <c r="F11" s="160">
        <f ca="1">IFERROR(INDEX(INDIRECT($A$3&amp;"$1:$1048576"),MATCH(Dashboard!$D$4&amp;$A11,INDIRECT($A$3&amp;"$A:$A"),0),MATCH(F$3,INDIRECT($A$3&amp;"$1:$1"),0)),0)</f>
        <v>7.6603000000000001E-3</v>
      </c>
      <c r="G11" s="160">
        <f ca="1">IFERROR(INDEX(INDIRECT($A$3&amp;"$1:$1048576"),MATCH(Dashboard!$D$4&amp;$A11,INDIRECT($A$3&amp;"$A:$A"),0),MATCH(G$3,INDIRECT($A$3&amp;"$1:$1"),0)),0)</f>
        <v>1.5339500000000001E-2</v>
      </c>
      <c r="H11" s="160">
        <f ca="1">IFERROR(INDEX(INDIRECT($A$3&amp;"$1:$1048576"),MATCH(Dashboard!$D$4&amp;$A11,INDIRECT($A$3&amp;"$A:$A"),0),MATCH(H$3,INDIRECT($A$3&amp;"$1:$1"),0)),0)</f>
        <v>1.56975E-2</v>
      </c>
    </row>
    <row r="12" spans="1:8" x14ac:dyDescent="0.25">
      <c r="A12" t="str">
        <f>Data_FP!$B12&amp;Data_FP!$C12&amp;Data_FP!$D12&amp;Data_FP!$E12</f>
        <v>2011UrbanPub_OutreachPill</v>
      </c>
      <c r="B12" s="157">
        <f t="shared" si="0"/>
        <v>2011</v>
      </c>
      <c r="C12" s="155" t="s">
        <v>20</v>
      </c>
      <c r="D12" s="155" t="s">
        <v>54</v>
      </c>
      <c r="E12" s="155" t="s">
        <v>12</v>
      </c>
      <c r="F12" s="160">
        <f ca="1">IFERROR(INDEX(INDIRECT($A$3&amp;"$1:$1048576"),MATCH(Dashboard!$D$4&amp;$A12,INDIRECT($A$3&amp;"$A:$A"),0),MATCH(F$3,INDIRECT($A$3&amp;"$1:$1"),0)),0)</f>
        <v>0</v>
      </c>
      <c r="G12" s="160">
        <f ca="1">IFERROR(INDEX(INDIRECT($A$3&amp;"$1:$1048576"),MATCH(Dashboard!$D$4&amp;$A12,INDIRECT($A$3&amp;"$A:$A"),0),MATCH(G$3,INDIRECT($A$3&amp;"$1:$1"),0)),0)</f>
        <v>0</v>
      </c>
      <c r="H12" s="160">
        <f ca="1">IFERROR(INDEX(INDIRECT($A$3&amp;"$1:$1048576"),MATCH(Dashboard!$D$4&amp;$A12,INDIRECT($A$3&amp;"$A:$A"),0),MATCH(H$3,INDIRECT($A$3&amp;"$1:$1"),0)),0)</f>
        <v>0</v>
      </c>
    </row>
    <row r="13" spans="1:8" x14ac:dyDescent="0.25">
      <c r="A13" t="str">
        <f>Data_FP!$B13&amp;Data_FP!$C13&amp;Data_FP!$D13&amp;Data_FP!$E13</f>
        <v>2011UrbanNGOPill</v>
      </c>
      <c r="B13" s="157">
        <f t="shared" si="0"/>
        <v>2011</v>
      </c>
      <c r="C13" s="155" t="s">
        <v>20</v>
      </c>
      <c r="D13" s="155" t="s">
        <v>170</v>
      </c>
      <c r="E13" s="155" t="s">
        <v>12</v>
      </c>
      <c r="F13" s="160">
        <f ca="1">IFERROR(INDEX(INDIRECT($A$3&amp;"$1:$1048576"),MATCH(Dashboard!$D$4&amp;$A13,INDIRECT($A$3&amp;"$A:$A"),0),MATCH(F$3,INDIRECT($A$3&amp;"$1:$1"),0)),0)</f>
        <v>0</v>
      </c>
      <c r="G13" s="160">
        <f ca="1">IFERROR(INDEX(INDIRECT($A$3&amp;"$1:$1048576"),MATCH(Dashboard!$D$4&amp;$A13,INDIRECT($A$3&amp;"$A:$A"),0),MATCH(G$3,INDIRECT($A$3&amp;"$1:$1"),0)),0)</f>
        <v>0</v>
      </c>
      <c r="H13" s="160">
        <f ca="1">IFERROR(INDEX(INDIRECT($A$3&amp;"$1:$1048576"),MATCH(Dashboard!$D$4&amp;$A13,INDIRECT($A$3&amp;"$A:$A"),0),MATCH(H$3,INDIRECT($A$3&amp;"$1:$1"),0)),0)</f>
        <v>0</v>
      </c>
    </row>
    <row r="14" spans="1:8" x14ac:dyDescent="0.25">
      <c r="A14" t="str">
        <f>Data_FP!$B14&amp;Data_FP!$C14&amp;Data_FP!$D14&amp;Data_FP!$E14</f>
        <v>2011UrbanCommercialPill</v>
      </c>
      <c r="B14" s="157">
        <f t="shared" si="0"/>
        <v>2011</v>
      </c>
      <c r="C14" s="155" t="s">
        <v>20</v>
      </c>
      <c r="D14" s="155" t="s">
        <v>59</v>
      </c>
      <c r="E14" s="155" t="s">
        <v>12</v>
      </c>
      <c r="F14" s="160">
        <f ca="1">IFERROR(INDEX(INDIRECT($A$3&amp;"$1:$1048576"),MATCH(Dashboard!$D$4&amp;$A14,INDIRECT($A$3&amp;"$A:$A"),0),MATCH(F$3,INDIRECT($A$3&amp;"$1:$1"),0)),0)</f>
        <v>4.3547599999999999E-2</v>
      </c>
      <c r="G14" s="160">
        <f ca="1">IFERROR(INDEX(INDIRECT($A$3&amp;"$1:$1048576"),MATCH(Dashboard!$D$4&amp;$A14,INDIRECT($A$3&amp;"$A:$A"),0),MATCH(G$3,INDIRECT($A$3&amp;"$1:$1"),0)),0)</f>
        <v>4.1239199999999997E-2</v>
      </c>
      <c r="H14" s="160">
        <f ca="1">IFERROR(INDEX(INDIRECT($A$3&amp;"$1:$1048576"),MATCH(Dashboard!$D$4&amp;$A14,INDIRECT($A$3&amp;"$A:$A"),0),MATCH(H$3,INDIRECT($A$3&amp;"$1:$1"),0)),0)</f>
        <v>2.4985299999999998E-2</v>
      </c>
    </row>
    <row r="15" spans="1:8" x14ac:dyDescent="0.25">
      <c r="A15" t="str">
        <f>Data_FP!$B15&amp;Data_FP!$C15&amp;Data_FP!$D15&amp;Data_FP!$E15</f>
        <v>2011UrbanNonTradPill</v>
      </c>
      <c r="B15" s="157">
        <f t="shared" si="0"/>
        <v>2011</v>
      </c>
      <c r="C15" s="155" t="s">
        <v>20</v>
      </c>
      <c r="D15" s="155" t="s">
        <v>171</v>
      </c>
      <c r="E15" s="155" t="s">
        <v>12</v>
      </c>
      <c r="F15" s="160">
        <f ca="1">IFERROR(INDEX(INDIRECT($A$3&amp;"$1:$1048576"),MATCH(Dashboard!$D$4&amp;$A15,INDIRECT($A$3&amp;"$A:$A"),0),MATCH(F$3,INDIRECT($A$3&amp;"$1:$1"),0)),0)</f>
        <v>1.5491000000000001E-3</v>
      </c>
      <c r="G15" s="160">
        <f ca="1">IFERROR(INDEX(INDIRECT($A$3&amp;"$1:$1048576"),MATCH(Dashboard!$D$4&amp;$A15,INDIRECT($A$3&amp;"$A:$A"),0),MATCH(G$3,INDIRECT($A$3&amp;"$1:$1"),0)),0)</f>
        <v>4.1330999999999998E-3</v>
      </c>
      <c r="H15" s="160">
        <f ca="1">IFERROR(INDEX(INDIRECT($A$3&amp;"$1:$1048576"),MATCH(Dashboard!$D$4&amp;$A15,INDIRECT($A$3&amp;"$A:$A"),0),MATCH(H$3,INDIRECT($A$3&amp;"$1:$1"),0)),0)</f>
        <v>0</v>
      </c>
    </row>
    <row r="16" spans="1:8" x14ac:dyDescent="0.25">
      <c r="A16" t="str">
        <f>Data_FP!$B16&amp;Data_FP!$C16&amp;Data_FP!$D16&amp;Data_FP!$E16</f>
        <v>2011UrbanOtherPill</v>
      </c>
      <c r="B16" s="157">
        <f t="shared" si="0"/>
        <v>2011</v>
      </c>
      <c r="C16" s="155" t="s">
        <v>20</v>
      </c>
      <c r="D16" s="155" t="s">
        <v>116</v>
      </c>
      <c r="E16" s="155" t="s">
        <v>12</v>
      </c>
      <c r="F16" s="160">
        <f ca="1">IFERROR(INDEX(INDIRECT($A$3&amp;"$1:$1048576"),MATCH(Dashboard!$D$4&amp;$A16,INDIRECT($A$3&amp;"$A:$A"),0),MATCH(F$3,INDIRECT($A$3&amp;"$1:$1"),0)),0)</f>
        <v>6.9340000000000005E-4</v>
      </c>
      <c r="G16" s="160">
        <f ca="1">IFERROR(INDEX(INDIRECT($A$3&amp;"$1:$1048576"),MATCH(Dashboard!$D$4&amp;$A16,INDIRECT($A$3&amp;"$A:$A"),0),MATCH(G$3,INDIRECT($A$3&amp;"$1:$1"),0)),0)</f>
        <v>0</v>
      </c>
      <c r="H16" s="160">
        <f ca="1">IFERROR(INDEX(INDIRECT($A$3&amp;"$1:$1048576"),MATCH(Dashboard!$D$4&amp;$A16,INDIRECT($A$3&amp;"$A:$A"),0),MATCH(H$3,INDIRECT($A$3&amp;"$1:$1"),0)),0)</f>
        <v>2.3169999999999999E-4</v>
      </c>
    </row>
    <row r="17" spans="1:8" x14ac:dyDescent="0.25">
      <c r="A17" t="str">
        <f>Data_FP!$B17&amp;Data_FP!$C17&amp;Data_FP!$D17&amp;Data_FP!$E17</f>
        <v>2011RuralPub_MedPill</v>
      </c>
      <c r="B17" s="157">
        <f t="shared" si="0"/>
        <v>2011</v>
      </c>
      <c r="C17" s="155" t="s">
        <v>21</v>
      </c>
      <c r="D17" s="155" t="s">
        <v>52</v>
      </c>
      <c r="E17" s="155" t="s">
        <v>12</v>
      </c>
      <c r="F17" s="160">
        <f ca="1">IFERROR(INDEX(INDIRECT($A$3&amp;"$1:$1048576"),MATCH(Dashboard!$D$4&amp;$A17,INDIRECT($A$3&amp;"$A:$A"),0),MATCH(F$3,INDIRECT($A$3&amp;"$1:$1"),0)),0)</f>
        <v>1.1599399999999999E-2</v>
      </c>
      <c r="G17" s="160">
        <f ca="1">IFERROR(INDEX(INDIRECT($A$3&amp;"$1:$1048576"),MATCH(Dashboard!$D$4&amp;$A17,INDIRECT($A$3&amp;"$A:$A"),0),MATCH(G$3,INDIRECT($A$3&amp;"$1:$1"),0)),0)</f>
        <v>1.23874E-2</v>
      </c>
      <c r="H17" s="160">
        <f ca="1">IFERROR(INDEX(INDIRECT($A$3&amp;"$1:$1048576"),MATCH(Dashboard!$D$4&amp;$A17,INDIRECT($A$3&amp;"$A:$A"),0),MATCH(H$3,INDIRECT($A$3&amp;"$1:$1"),0)),0)</f>
        <v>5.7631000000000002E-3</v>
      </c>
    </row>
    <row r="18" spans="1:8" x14ac:dyDescent="0.25">
      <c r="A18" t="str">
        <f>Data_FP!$B18&amp;Data_FP!$C18&amp;Data_FP!$D18&amp;Data_FP!$E18</f>
        <v>2011RuralPub_OutreachPill</v>
      </c>
      <c r="B18" s="157">
        <f t="shared" si="0"/>
        <v>2011</v>
      </c>
      <c r="C18" s="155" t="s">
        <v>21</v>
      </c>
      <c r="D18" s="155" t="s">
        <v>54</v>
      </c>
      <c r="E18" s="155" t="s">
        <v>12</v>
      </c>
      <c r="F18" s="160">
        <f ca="1">IFERROR(INDEX(INDIRECT($A$3&amp;"$1:$1048576"),MATCH(Dashboard!$D$4&amp;$A18,INDIRECT($A$3&amp;"$A:$A"),0),MATCH(F$3,INDIRECT($A$3&amp;"$1:$1"),0)),0)</f>
        <v>8.9959999999999997E-4</v>
      </c>
      <c r="G18" s="160">
        <f ca="1">IFERROR(INDEX(INDIRECT($A$3&amp;"$1:$1048576"),MATCH(Dashboard!$D$4&amp;$A18,INDIRECT($A$3&amp;"$A:$A"),0),MATCH(G$3,INDIRECT($A$3&amp;"$1:$1"),0)),0)</f>
        <v>9.745E-4</v>
      </c>
      <c r="H18" s="160">
        <f ca="1">IFERROR(INDEX(INDIRECT($A$3&amp;"$1:$1048576"),MATCH(Dashboard!$D$4&amp;$A18,INDIRECT($A$3&amp;"$A:$A"),0),MATCH(H$3,INDIRECT($A$3&amp;"$1:$1"),0)),0)</f>
        <v>0</v>
      </c>
    </row>
    <row r="19" spans="1:8" x14ac:dyDescent="0.25">
      <c r="A19" t="str">
        <f>Data_FP!$B19&amp;Data_FP!$C19&amp;Data_FP!$D19&amp;Data_FP!$E19</f>
        <v>2011RuralNGOPill</v>
      </c>
      <c r="B19" s="157">
        <f t="shared" si="0"/>
        <v>2011</v>
      </c>
      <c r="C19" s="155" t="s">
        <v>21</v>
      </c>
      <c r="D19" s="155" t="s">
        <v>170</v>
      </c>
      <c r="E19" s="155" t="s">
        <v>12</v>
      </c>
      <c r="F19" s="160">
        <f ca="1">IFERROR(INDEX(INDIRECT($A$3&amp;"$1:$1048576"),MATCH(Dashboard!$D$4&amp;$A19,INDIRECT($A$3&amp;"$A:$A"),0),MATCH(F$3,INDIRECT($A$3&amp;"$1:$1"),0)),0)</f>
        <v>0</v>
      </c>
      <c r="G19" s="160">
        <f ca="1">IFERROR(INDEX(INDIRECT($A$3&amp;"$1:$1048576"),MATCH(Dashboard!$D$4&amp;$A19,INDIRECT($A$3&amp;"$A:$A"),0),MATCH(G$3,INDIRECT($A$3&amp;"$1:$1"),0)),0)</f>
        <v>0</v>
      </c>
      <c r="H19" s="160">
        <f ca="1">IFERROR(INDEX(INDIRECT($A$3&amp;"$1:$1048576"),MATCH(Dashboard!$D$4&amp;$A19,INDIRECT($A$3&amp;"$A:$A"),0),MATCH(H$3,INDIRECT($A$3&amp;"$1:$1"),0)),0)</f>
        <v>0</v>
      </c>
    </row>
    <row r="20" spans="1:8" x14ac:dyDescent="0.25">
      <c r="A20" t="str">
        <f>Data_FP!$B20&amp;Data_FP!$C20&amp;Data_FP!$D20&amp;Data_FP!$E20</f>
        <v>2011RuralCommercialPill</v>
      </c>
      <c r="B20" s="157">
        <f t="shared" si="0"/>
        <v>2011</v>
      </c>
      <c r="C20" s="155" t="s">
        <v>21</v>
      </c>
      <c r="D20" s="155" t="s">
        <v>59</v>
      </c>
      <c r="E20" s="155" t="s">
        <v>12</v>
      </c>
      <c r="F20" s="160">
        <f ca="1">IFERROR(INDEX(INDIRECT($A$3&amp;"$1:$1048576"),MATCH(Dashboard!$D$4&amp;$A20,INDIRECT($A$3&amp;"$A:$A"),0),MATCH(F$3,INDIRECT($A$3&amp;"$1:$1"),0)),0)</f>
        <v>1.3059299999999999E-2</v>
      </c>
      <c r="G20" s="160">
        <f ca="1">IFERROR(INDEX(INDIRECT($A$3&amp;"$1:$1048576"),MATCH(Dashboard!$D$4&amp;$A20,INDIRECT($A$3&amp;"$A:$A"),0),MATCH(G$3,INDIRECT($A$3&amp;"$1:$1"),0)),0)</f>
        <v>2.7531999999999999E-3</v>
      </c>
      <c r="H20" s="160">
        <f ca="1">IFERROR(INDEX(INDIRECT($A$3&amp;"$1:$1048576"),MATCH(Dashboard!$D$4&amp;$A20,INDIRECT($A$3&amp;"$A:$A"),0),MATCH(H$3,INDIRECT($A$3&amp;"$1:$1"),0)),0)</f>
        <v>3.8535000000000002E-3</v>
      </c>
    </row>
    <row r="21" spans="1:8" x14ac:dyDescent="0.25">
      <c r="A21" t="str">
        <f>Data_FP!$B21&amp;Data_FP!$C21&amp;Data_FP!$D21&amp;Data_FP!$E21</f>
        <v>2011RuralNonTradPill</v>
      </c>
      <c r="B21" s="157">
        <f t="shared" si="0"/>
        <v>2011</v>
      </c>
      <c r="C21" s="155" t="s">
        <v>21</v>
      </c>
      <c r="D21" s="155" t="s">
        <v>171</v>
      </c>
      <c r="E21" s="155" t="s">
        <v>12</v>
      </c>
      <c r="F21" s="160">
        <f ca="1">IFERROR(INDEX(INDIRECT($A$3&amp;"$1:$1048576"),MATCH(Dashboard!$D$4&amp;$A21,INDIRECT($A$3&amp;"$A:$A"),0),MATCH(F$3,INDIRECT($A$3&amp;"$1:$1"),0)),0)</f>
        <v>0</v>
      </c>
      <c r="G21" s="160">
        <f ca="1">IFERROR(INDEX(INDIRECT($A$3&amp;"$1:$1048576"),MATCH(Dashboard!$D$4&amp;$A21,INDIRECT($A$3&amp;"$A:$A"),0),MATCH(G$3,INDIRECT($A$3&amp;"$1:$1"),0)),0)</f>
        <v>0</v>
      </c>
      <c r="H21" s="160">
        <f ca="1">IFERROR(INDEX(INDIRECT($A$3&amp;"$1:$1048576"),MATCH(Dashboard!$D$4&amp;$A21,INDIRECT($A$3&amp;"$A:$A"),0),MATCH(H$3,INDIRECT($A$3&amp;"$1:$1"),0)),0)</f>
        <v>0</v>
      </c>
    </row>
    <row r="22" spans="1:8" x14ac:dyDescent="0.25">
      <c r="A22" t="str">
        <f>Data_FP!$B22&amp;Data_FP!$C22&amp;Data_FP!$D22&amp;Data_FP!$E22</f>
        <v>2011RuralOtherPill</v>
      </c>
      <c r="B22" s="157">
        <f t="shared" si="0"/>
        <v>2011</v>
      </c>
      <c r="C22" s="155" t="s">
        <v>21</v>
      </c>
      <c r="D22" s="155" t="s">
        <v>116</v>
      </c>
      <c r="E22" s="155" t="s">
        <v>12</v>
      </c>
      <c r="F22" s="160">
        <f ca="1">IFERROR(INDEX(INDIRECT($A$3&amp;"$1:$1048576"),MATCH(Dashboard!$D$4&amp;$A22,INDIRECT($A$3&amp;"$A:$A"),0),MATCH(F$3,INDIRECT($A$3&amp;"$1:$1"),0)),0)</f>
        <v>1.6922E-3</v>
      </c>
      <c r="G22" s="160">
        <f ca="1">IFERROR(INDEX(INDIRECT($A$3&amp;"$1:$1048576"),MATCH(Dashboard!$D$4&amp;$A22,INDIRECT($A$3&amp;"$A:$A"),0),MATCH(G$3,INDIRECT($A$3&amp;"$1:$1"),0)),0)</f>
        <v>0</v>
      </c>
      <c r="H22" s="160">
        <f ca="1">IFERROR(INDEX(INDIRECT($A$3&amp;"$1:$1048576"),MATCH(Dashboard!$D$4&amp;$A22,INDIRECT($A$3&amp;"$A:$A"),0),MATCH(H$3,INDIRECT($A$3&amp;"$1:$1"),0)),0)</f>
        <v>0</v>
      </c>
    </row>
    <row r="23" spans="1:8" x14ac:dyDescent="0.25">
      <c r="A23" t="str">
        <f>Data_FP!$B23&amp;Data_FP!$C23&amp;Data_FP!$D23&amp;Data_FP!$E23</f>
        <v>2016NationalPub_MedPill</v>
      </c>
      <c r="B23" s="157">
        <f t="shared" ref="B23:B40" si="1">Yr_DHS2</f>
        <v>2016</v>
      </c>
      <c r="C23" s="155" t="s">
        <v>178</v>
      </c>
      <c r="D23" s="155" t="s">
        <v>52</v>
      </c>
      <c r="E23" s="155" t="s">
        <v>12</v>
      </c>
      <c r="F23" s="160">
        <f ca="1">IFERROR(INDEX(INDIRECT($A$3&amp;"$1:$1048576"),MATCH(Dashboard!$D$4&amp;$A23,INDIRECT($A$3&amp;"$A:$A"),0),MATCH(F$3,INDIRECT($A$3&amp;"$1:$1"),0)),0)</f>
        <v>3.6408E-3</v>
      </c>
      <c r="G23" s="160">
        <f ca="1">IFERROR(INDEX(INDIRECT($A$3&amp;"$1:$1048576"),MATCH(Dashboard!$D$4&amp;$A23,INDIRECT($A$3&amp;"$A:$A"),0),MATCH(G$3,INDIRECT($A$3&amp;"$1:$1"),0)),0)</f>
        <v>4.8110000000000002E-3</v>
      </c>
      <c r="H23" s="160">
        <f ca="1">IFERROR(INDEX(INDIRECT($A$3&amp;"$1:$1048576"),MATCH(Dashboard!$D$4&amp;$A23,INDIRECT($A$3&amp;"$A:$A"),0),MATCH(H$3,INDIRECT($A$3&amp;"$1:$1"),0)),0)</f>
        <v>2.8996E-3</v>
      </c>
    </row>
    <row r="24" spans="1:8" x14ac:dyDescent="0.25">
      <c r="A24" t="str">
        <f>Data_FP!$B24&amp;Data_FP!$C24&amp;Data_FP!$D24&amp;Data_FP!$E24</f>
        <v>2016NationalPub_OutreachPill</v>
      </c>
      <c r="B24" s="157">
        <f t="shared" si="1"/>
        <v>2016</v>
      </c>
      <c r="C24" s="155" t="s">
        <v>178</v>
      </c>
      <c r="D24" s="155" t="s">
        <v>54</v>
      </c>
      <c r="E24" s="155" t="s">
        <v>12</v>
      </c>
      <c r="F24" s="160">
        <f ca="1">IFERROR(INDEX(INDIRECT($A$3&amp;"$1:$1048576"),MATCH(Dashboard!$D$4&amp;$A24,INDIRECT($A$3&amp;"$A:$A"),0),MATCH(F$3,INDIRECT($A$3&amp;"$1:$1"),0)),0)</f>
        <v>4.71E-5</v>
      </c>
      <c r="G24" s="160">
        <f ca="1">IFERROR(INDEX(INDIRECT($A$3&amp;"$1:$1048576"),MATCH(Dashboard!$D$4&amp;$A24,INDIRECT($A$3&amp;"$A:$A"),0),MATCH(G$3,INDIRECT($A$3&amp;"$1:$1"),0)),0)</f>
        <v>0</v>
      </c>
      <c r="H24" s="160">
        <f ca="1">IFERROR(INDEX(INDIRECT($A$3&amp;"$1:$1048576"),MATCH(Dashboard!$D$4&amp;$A24,INDIRECT($A$3&amp;"$A:$A"),0),MATCH(H$3,INDIRECT($A$3&amp;"$1:$1"),0)),0)</f>
        <v>2.2690000000000001E-4</v>
      </c>
    </row>
    <row r="25" spans="1:8" x14ac:dyDescent="0.25">
      <c r="A25" t="str">
        <f>Data_FP!$B25&amp;Data_FP!$C25&amp;Data_FP!$D25&amp;Data_FP!$E25</f>
        <v>2016NationalNGOPill</v>
      </c>
      <c r="B25" s="157">
        <f t="shared" si="1"/>
        <v>2016</v>
      </c>
      <c r="C25" s="155" t="s">
        <v>178</v>
      </c>
      <c r="D25" s="155" t="s">
        <v>170</v>
      </c>
      <c r="E25" s="155" t="s">
        <v>12</v>
      </c>
      <c r="F25" s="160">
        <f ca="1">IFERROR(INDEX(INDIRECT($A$3&amp;"$1:$1048576"),MATCH(Dashboard!$D$4&amp;$A25,INDIRECT($A$3&amp;"$A:$A"),0),MATCH(F$3,INDIRECT($A$3&amp;"$1:$1"),0)),0)</f>
        <v>0</v>
      </c>
      <c r="G25" s="160">
        <f ca="1">IFERROR(INDEX(INDIRECT($A$3&amp;"$1:$1048576"),MATCH(Dashboard!$D$4&amp;$A25,INDIRECT($A$3&amp;"$A:$A"),0),MATCH(G$3,INDIRECT($A$3&amp;"$1:$1"),0)),0)</f>
        <v>2.1149999999999999E-4</v>
      </c>
      <c r="H25" s="160">
        <f ca="1">IFERROR(INDEX(INDIRECT($A$3&amp;"$1:$1048576"),MATCH(Dashboard!$D$4&amp;$A25,INDIRECT($A$3&amp;"$A:$A"),0),MATCH(H$3,INDIRECT($A$3&amp;"$1:$1"),0)),0)</f>
        <v>7.5199999999999998E-5</v>
      </c>
    </row>
    <row r="26" spans="1:8" x14ac:dyDescent="0.25">
      <c r="A26" t="str">
        <f>Data_FP!$B26&amp;Data_FP!$C26&amp;Data_FP!$D26&amp;Data_FP!$E26</f>
        <v>2016NationalCommercialPill</v>
      </c>
      <c r="B26" s="157">
        <f t="shared" si="1"/>
        <v>2016</v>
      </c>
      <c r="C26" s="155" t="s">
        <v>178</v>
      </c>
      <c r="D26" s="155" t="s">
        <v>59</v>
      </c>
      <c r="E26" s="155" t="s">
        <v>12</v>
      </c>
      <c r="F26" s="160">
        <f ca="1">IFERROR(INDEX(INDIRECT($A$3&amp;"$1:$1048576"),MATCH(Dashboard!$D$4&amp;$A26,INDIRECT($A$3&amp;"$A:$A"),0),MATCH(F$3,INDIRECT($A$3&amp;"$1:$1"),0)),0)</f>
        <v>1.9012899999999999E-2</v>
      </c>
      <c r="G26" s="160">
        <f ca="1">IFERROR(INDEX(INDIRECT($A$3&amp;"$1:$1048576"),MATCH(Dashboard!$D$4&amp;$A26,INDIRECT($A$3&amp;"$A:$A"),0),MATCH(G$3,INDIRECT($A$3&amp;"$1:$1"),0)),0)</f>
        <v>1.1584000000000001E-2</v>
      </c>
      <c r="H26" s="160">
        <f ca="1">IFERROR(INDEX(INDIRECT($A$3&amp;"$1:$1048576"),MATCH(Dashboard!$D$4&amp;$A26,INDIRECT($A$3&amp;"$A:$A"),0),MATCH(H$3,INDIRECT($A$3&amp;"$1:$1"),0)),0)</f>
        <v>8.4297999999999994E-3</v>
      </c>
    </row>
    <row r="27" spans="1:8" x14ac:dyDescent="0.25">
      <c r="A27" t="str">
        <f>Data_FP!$B27&amp;Data_FP!$C27&amp;Data_FP!$D27&amp;Data_FP!$E27</f>
        <v>2016NationalNonTradPill</v>
      </c>
      <c r="B27" s="157">
        <f t="shared" si="1"/>
        <v>2016</v>
      </c>
      <c r="C27" s="155" t="s">
        <v>178</v>
      </c>
      <c r="D27" s="155" t="s">
        <v>171</v>
      </c>
      <c r="E27" s="155" t="s">
        <v>12</v>
      </c>
      <c r="F27" s="160">
        <f ca="1">IFERROR(INDEX(INDIRECT($A$3&amp;"$1:$1048576"),MATCH(Dashboard!$D$4&amp;$A27,INDIRECT($A$3&amp;"$A:$A"),0),MATCH(F$3,INDIRECT($A$3&amp;"$1:$1"),0)),0)</f>
        <v>0</v>
      </c>
      <c r="G27" s="160">
        <f ca="1">IFERROR(INDEX(INDIRECT($A$3&amp;"$1:$1048576"),MATCH(Dashboard!$D$4&amp;$A27,INDIRECT($A$3&amp;"$A:$A"),0),MATCH(G$3,INDIRECT($A$3&amp;"$1:$1"),0)),0)</f>
        <v>0</v>
      </c>
      <c r="H27" s="160">
        <f ca="1">IFERROR(INDEX(INDIRECT($A$3&amp;"$1:$1048576"),MATCH(Dashboard!$D$4&amp;$A27,INDIRECT($A$3&amp;"$A:$A"),0),MATCH(H$3,INDIRECT($A$3&amp;"$1:$1"),0)),0)</f>
        <v>0</v>
      </c>
    </row>
    <row r="28" spans="1:8" x14ac:dyDescent="0.25">
      <c r="A28" t="str">
        <f>Data_FP!$B28&amp;Data_FP!$C28&amp;Data_FP!$D28&amp;Data_FP!$E28</f>
        <v>2016NationalOtherPill</v>
      </c>
      <c r="B28" s="157">
        <f t="shared" si="1"/>
        <v>2016</v>
      </c>
      <c r="C28" s="155" t="s">
        <v>178</v>
      </c>
      <c r="D28" s="155" t="s">
        <v>116</v>
      </c>
      <c r="E28" s="155" t="s">
        <v>12</v>
      </c>
      <c r="F28" s="160">
        <f ca="1">IFERROR(INDEX(INDIRECT($A$3&amp;"$1:$1048576"),MATCH(Dashboard!$D$4&amp;$A28,INDIRECT($A$3&amp;"$A:$A"),0),MATCH(F$3,INDIRECT($A$3&amp;"$1:$1"),0)),0)</f>
        <v>0</v>
      </c>
      <c r="G28" s="160">
        <f ca="1">IFERROR(INDEX(INDIRECT($A$3&amp;"$1:$1048576"),MATCH(Dashboard!$D$4&amp;$A28,INDIRECT($A$3&amp;"$A:$A"),0),MATCH(G$3,INDIRECT($A$3&amp;"$1:$1"),0)),0)</f>
        <v>0</v>
      </c>
      <c r="H28" s="160">
        <f ca="1">IFERROR(INDEX(INDIRECT($A$3&amp;"$1:$1048576"),MATCH(Dashboard!$D$4&amp;$A28,INDIRECT($A$3&amp;"$A:$A"),0),MATCH(H$3,INDIRECT($A$3&amp;"$1:$1"),0)),0)</f>
        <v>8.03E-5</v>
      </c>
    </row>
    <row r="29" spans="1:8" x14ac:dyDescent="0.25">
      <c r="A29" t="str">
        <f>Data_FP!$B29&amp;Data_FP!$C29&amp;Data_FP!$D29&amp;Data_FP!$E29</f>
        <v>2016UrbanPub_MedPill</v>
      </c>
      <c r="B29" s="157">
        <f t="shared" si="1"/>
        <v>2016</v>
      </c>
      <c r="C29" s="155" t="s">
        <v>20</v>
      </c>
      <c r="D29" s="155" t="s">
        <v>52</v>
      </c>
      <c r="E29" s="155" t="s">
        <v>12</v>
      </c>
      <c r="F29" s="160">
        <f ca="1">IFERROR(INDEX(INDIRECT($A$3&amp;"$1:$1048576"),MATCH(Dashboard!$D$4&amp;$A29,INDIRECT($A$3&amp;"$A:$A"),0),MATCH(F$3,INDIRECT($A$3&amp;"$1:$1"),0)),0)</f>
        <v>4.0756000000000004E-3</v>
      </c>
      <c r="G29" s="160">
        <f ca="1">IFERROR(INDEX(INDIRECT($A$3&amp;"$1:$1048576"),MATCH(Dashboard!$D$4&amp;$A29,INDIRECT($A$3&amp;"$A:$A"),0),MATCH(G$3,INDIRECT($A$3&amp;"$1:$1"),0)),0)</f>
        <v>3.9496000000000002E-3</v>
      </c>
      <c r="H29" s="160">
        <f ca="1">IFERROR(INDEX(INDIRECT($A$3&amp;"$1:$1048576"),MATCH(Dashboard!$D$4&amp;$A29,INDIRECT($A$3&amp;"$A:$A"),0),MATCH(H$3,INDIRECT($A$3&amp;"$1:$1"),0)),0)</f>
        <v>5.5031000000000004E-3</v>
      </c>
    </row>
    <row r="30" spans="1:8" x14ac:dyDescent="0.25">
      <c r="A30" t="str">
        <f>Data_FP!$B30&amp;Data_FP!$C30&amp;Data_FP!$D30&amp;Data_FP!$E30</f>
        <v>2016UrbanPub_OutreachPill</v>
      </c>
      <c r="B30" s="157">
        <f t="shared" si="1"/>
        <v>2016</v>
      </c>
      <c r="C30" s="155" t="s">
        <v>20</v>
      </c>
      <c r="D30" s="155" t="s">
        <v>54</v>
      </c>
      <c r="E30" s="155" t="s">
        <v>12</v>
      </c>
      <c r="F30" s="160">
        <f ca="1">IFERROR(INDEX(INDIRECT($A$3&amp;"$1:$1048576"),MATCH(Dashboard!$D$4&amp;$A30,INDIRECT($A$3&amp;"$A:$A"),0),MATCH(F$3,INDIRECT($A$3&amp;"$1:$1"),0)),0)</f>
        <v>0</v>
      </c>
      <c r="G30" s="160">
        <f ca="1">IFERROR(INDEX(INDIRECT($A$3&amp;"$1:$1048576"),MATCH(Dashboard!$D$4&amp;$A30,INDIRECT($A$3&amp;"$A:$A"),0),MATCH(G$3,INDIRECT($A$3&amp;"$1:$1"),0)),0)</f>
        <v>0</v>
      </c>
      <c r="H30" s="160">
        <f ca="1">IFERROR(INDEX(INDIRECT($A$3&amp;"$1:$1048576"),MATCH(Dashboard!$D$4&amp;$A30,INDIRECT($A$3&amp;"$A:$A"),0),MATCH(H$3,INDIRECT($A$3&amp;"$1:$1"),0)),0)</f>
        <v>8.8520000000000005E-4</v>
      </c>
    </row>
    <row r="31" spans="1:8" x14ac:dyDescent="0.25">
      <c r="A31" t="str">
        <f>Data_FP!$B31&amp;Data_FP!$C31&amp;Data_FP!$D31&amp;Data_FP!$E31</f>
        <v>2016UrbanNGOPill</v>
      </c>
      <c r="B31" s="157">
        <f t="shared" si="1"/>
        <v>2016</v>
      </c>
      <c r="C31" s="155" t="s">
        <v>20</v>
      </c>
      <c r="D31" s="155" t="s">
        <v>170</v>
      </c>
      <c r="E31" s="155" t="s">
        <v>12</v>
      </c>
      <c r="F31" s="160">
        <f ca="1">IFERROR(INDEX(INDIRECT($A$3&amp;"$1:$1048576"),MATCH(Dashboard!$D$4&amp;$A31,INDIRECT($A$3&amp;"$A:$A"),0),MATCH(F$3,INDIRECT($A$3&amp;"$1:$1"),0)),0)</f>
        <v>0</v>
      </c>
      <c r="G31" s="160">
        <f ca="1">IFERROR(INDEX(INDIRECT($A$3&amp;"$1:$1048576"),MATCH(Dashboard!$D$4&amp;$A31,INDIRECT($A$3&amp;"$A:$A"),0),MATCH(G$3,INDIRECT($A$3&amp;"$1:$1"),0)),0)</f>
        <v>7.4739999999999995E-4</v>
      </c>
      <c r="H31" s="160">
        <f ca="1">IFERROR(INDEX(INDIRECT($A$3&amp;"$1:$1048576"),MATCH(Dashboard!$D$4&amp;$A31,INDIRECT($A$3&amp;"$A:$A"),0),MATCH(H$3,INDIRECT($A$3&amp;"$1:$1"),0)),0)</f>
        <v>2.9329999999999997E-4</v>
      </c>
    </row>
    <row r="32" spans="1:8" x14ac:dyDescent="0.25">
      <c r="A32" t="str">
        <f>Data_FP!$B32&amp;Data_FP!$C32&amp;Data_FP!$D32&amp;Data_FP!$E32</f>
        <v>2016UrbanCommercialPill</v>
      </c>
      <c r="B32" s="157">
        <f t="shared" si="1"/>
        <v>2016</v>
      </c>
      <c r="C32" s="155" t="s">
        <v>20</v>
      </c>
      <c r="D32" s="155" t="s">
        <v>59</v>
      </c>
      <c r="E32" s="155" t="s">
        <v>12</v>
      </c>
      <c r="F32" s="160">
        <f ca="1">IFERROR(INDEX(INDIRECT($A$3&amp;"$1:$1048576"),MATCH(Dashboard!$D$4&amp;$A32,INDIRECT($A$3&amp;"$A:$A"),0),MATCH(F$3,INDIRECT($A$3&amp;"$1:$1"),0)),0)</f>
        <v>3.2390599999999999E-2</v>
      </c>
      <c r="G32" s="160">
        <f ca="1">IFERROR(INDEX(INDIRECT($A$3&amp;"$1:$1048576"),MATCH(Dashboard!$D$4&amp;$A32,INDIRECT($A$3&amp;"$A:$A"),0),MATCH(G$3,INDIRECT($A$3&amp;"$1:$1"),0)),0)</f>
        <v>1.9822099999999999E-2</v>
      </c>
      <c r="H32" s="160">
        <f ca="1">IFERROR(INDEX(INDIRECT($A$3&amp;"$1:$1048576"),MATCH(Dashboard!$D$4&amp;$A32,INDIRECT($A$3&amp;"$A:$A"),0),MATCH(H$3,INDIRECT($A$3&amp;"$1:$1"),0)),0)</f>
        <v>2.0250500000000001E-2</v>
      </c>
    </row>
    <row r="33" spans="1:8" x14ac:dyDescent="0.25">
      <c r="A33" t="str">
        <f>Data_FP!$B33&amp;Data_FP!$C33&amp;Data_FP!$D33&amp;Data_FP!$E33</f>
        <v>2016UrbanNonTradPill</v>
      </c>
      <c r="B33" s="157">
        <f t="shared" si="1"/>
        <v>2016</v>
      </c>
      <c r="C33" s="155" t="s">
        <v>20</v>
      </c>
      <c r="D33" s="155" t="s">
        <v>171</v>
      </c>
      <c r="E33" s="155" t="s">
        <v>12</v>
      </c>
      <c r="F33" s="160">
        <f ca="1">IFERROR(INDEX(INDIRECT($A$3&amp;"$1:$1048576"),MATCH(Dashboard!$D$4&amp;$A33,INDIRECT($A$3&amp;"$A:$A"),0),MATCH(F$3,INDIRECT($A$3&amp;"$1:$1"),0)),0)</f>
        <v>0</v>
      </c>
      <c r="G33" s="160">
        <f ca="1">IFERROR(INDEX(INDIRECT($A$3&amp;"$1:$1048576"),MATCH(Dashboard!$D$4&amp;$A33,INDIRECT($A$3&amp;"$A:$A"),0),MATCH(G$3,INDIRECT($A$3&amp;"$1:$1"),0)),0)</f>
        <v>0</v>
      </c>
      <c r="H33" s="160">
        <f ca="1">IFERROR(INDEX(INDIRECT($A$3&amp;"$1:$1048576"),MATCH(Dashboard!$D$4&amp;$A33,INDIRECT($A$3&amp;"$A:$A"),0),MATCH(H$3,INDIRECT($A$3&amp;"$1:$1"),0)),0)</f>
        <v>0</v>
      </c>
    </row>
    <row r="34" spans="1:8" x14ac:dyDescent="0.25">
      <c r="A34" t="str">
        <f>Data_FP!$B34&amp;Data_FP!$C34&amp;Data_FP!$D34&amp;Data_FP!$E34</f>
        <v>2016UrbanOtherPill</v>
      </c>
      <c r="B34" s="157">
        <f t="shared" si="1"/>
        <v>2016</v>
      </c>
      <c r="C34" s="155" t="s">
        <v>20</v>
      </c>
      <c r="D34" s="155" t="s">
        <v>116</v>
      </c>
      <c r="E34" s="155" t="s">
        <v>12</v>
      </c>
      <c r="F34" s="160">
        <f ca="1">IFERROR(INDEX(INDIRECT($A$3&amp;"$1:$1048576"),MATCH(Dashboard!$D$4&amp;$A34,INDIRECT($A$3&amp;"$A:$A"),0),MATCH(F$3,INDIRECT($A$3&amp;"$1:$1"),0)),0)</f>
        <v>0</v>
      </c>
      <c r="G34" s="160">
        <f ca="1">IFERROR(INDEX(INDIRECT($A$3&amp;"$1:$1048576"),MATCH(Dashboard!$D$4&amp;$A34,INDIRECT($A$3&amp;"$A:$A"),0),MATCH(G$3,INDIRECT($A$3&amp;"$1:$1"),0)),0)</f>
        <v>0</v>
      </c>
      <c r="H34" s="160">
        <f ca="1">IFERROR(INDEX(INDIRECT($A$3&amp;"$1:$1048576"),MATCH(Dashboard!$D$4&amp;$A34,INDIRECT($A$3&amp;"$A:$A"),0),MATCH(H$3,INDIRECT($A$3&amp;"$1:$1"),0)),0)</f>
        <v>0</v>
      </c>
    </row>
    <row r="35" spans="1:8" x14ac:dyDescent="0.25">
      <c r="A35" t="str">
        <f>Data_FP!$B35&amp;Data_FP!$C35&amp;Data_FP!$D35&amp;Data_FP!$E35</f>
        <v>2016RuralPub_MedPill</v>
      </c>
      <c r="B35" s="157">
        <f t="shared" si="1"/>
        <v>2016</v>
      </c>
      <c r="C35" s="155" t="s">
        <v>21</v>
      </c>
      <c r="D35" s="155" t="s">
        <v>52</v>
      </c>
      <c r="E35" s="155" t="s">
        <v>12</v>
      </c>
      <c r="F35" s="160">
        <f ca="1">IFERROR(INDEX(INDIRECT($A$3&amp;"$1:$1048576"),MATCH(Dashboard!$D$4&amp;$A35,INDIRECT($A$3&amp;"$A:$A"),0),MATCH(F$3,INDIRECT($A$3&amp;"$1:$1"),0)),0)</f>
        <v>3.4723000000000002E-3</v>
      </c>
      <c r="G35" s="160">
        <f ca="1">IFERROR(INDEX(INDIRECT($A$3&amp;"$1:$1048576"),MATCH(Dashboard!$D$4&amp;$A35,INDIRECT($A$3&amp;"$A:$A"),0),MATCH(G$3,INDIRECT($A$3&amp;"$1:$1"),0)),0)</f>
        <v>5.1510000000000002E-3</v>
      </c>
      <c r="H35" s="160">
        <f ca="1">IFERROR(INDEX(INDIRECT($A$3&amp;"$1:$1048576"),MATCH(Dashboard!$D$4&amp;$A35,INDIRECT($A$3&amp;"$A:$A"),0),MATCH(H$3,INDIRECT($A$3&amp;"$1:$1"),0)),0)</f>
        <v>2.0022E-3</v>
      </c>
    </row>
    <row r="36" spans="1:8" x14ac:dyDescent="0.25">
      <c r="A36" t="str">
        <f>Data_FP!$B36&amp;Data_FP!$C36&amp;Data_FP!$D36&amp;Data_FP!$E36</f>
        <v>2016RuralPub_OutreachPill</v>
      </c>
      <c r="B36" s="157">
        <f t="shared" si="1"/>
        <v>2016</v>
      </c>
      <c r="C36" s="155" t="s">
        <v>21</v>
      </c>
      <c r="D36" s="155" t="s">
        <v>54</v>
      </c>
      <c r="E36" s="155" t="s">
        <v>12</v>
      </c>
      <c r="F36" s="160">
        <f ca="1">IFERROR(INDEX(INDIRECT($A$3&amp;"$1:$1048576"),MATCH(Dashboard!$D$4&amp;$A36,INDIRECT($A$3&amp;"$A:$A"),0),MATCH(F$3,INDIRECT($A$3&amp;"$1:$1"),0)),0)</f>
        <v>6.5400000000000004E-5</v>
      </c>
      <c r="G36" s="160">
        <f ca="1">IFERROR(INDEX(INDIRECT($A$3&amp;"$1:$1048576"),MATCH(Dashboard!$D$4&amp;$A36,INDIRECT($A$3&amp;"$A:$A"),0),MATCH(G$3,INDIRECT($A$3&amp;"$1:$1"),0)),0)</f>
        <v>0</v>
      </c>
      <c r="H36" s="160">
        <f ca="1">IFERROR(INDEX(INDIRECT($A$3&amp;"$1:$1048576"),MATCH(Dashboard!$D$4&amp;$A36,INDIRECT($A$3&amp;"$A:$A"),0),MATCH(H$3,INDIRECT($A$3&amp;"$1:$1"),0)),0)</f>
        <v>0</v>
      </c>
    </row>
    <row r="37" spans="1:8" x14ac:dyDescent="0.25">
      <c r="A37" t="str">
        <f>Data_FP!$B37&amp;Data_FP!$C37&amp;Data_FP!$D37&amp;Data_FP!$E37</f>
        <v>2016RuralNGOPill</v>
      </c>
      <c r="B37" s="157">
        <f t="shared" si="1"/>
        <v>2016</v>
      </c>
      <c r="C37" s="155" t="s">
        <v>21</v>
      </c>
      <c r="D37" s="155" t="s">
        <v>170</v>
      </c>
      <c r="E37" s="155" t="s">
        <v>12</v>
      </c>
      <c r="F37" s="160">
        <f ca="1">IFERROR(INDEX(INDIRECT($A$3&amp;"$1:$1048576"),MATCH(Dashboard!$D$4&amp;$A37,INDIRECT($A$3&amp;"$A:$A"),0),MATCH(F$3,INDIRECT($A$3&amp;"$1:$1"),0)),0)</f>
        <v>0</v>
      </c>
      <c r="G37" s="160">
        <f ca="1">IFERROR(INDEX(INDIRECT($A$3&amp;"$1:$1048576"),MATCH(Dashboard!$D$4&amp;$A37,INDIRECT($A$3&amp;"$A:$A"),0),MATCH(G$3,INDIRECT($A$3&amp;"$1:$1"),0)),0)</f>
        <v>0</v>
      </c>
      <c r="H37" s="160">
        <f ca="1">IFERROR(INDEX(INDIRECT($A$3&amp;"$1:$1048576"),MATCH(Dashboard!$D$4&amp;$A37,INDIRECT($A$3&amp;"$A:$A"),0),MATCH(H$3,INDIRECT($A$3&amp;"$1:$1"),0)),0)</f>
        <v>0</v>
      </c>
    </row>
    <row r="38" spans="1:8" x14ac:dyDescent="0.25">
      <c r="A38" t="str">
        <f>Data_FP!$B38&amp;Data_FP!$C38&amp;Data_FP!$D38&amp;Data_FP!$E38</f>
        <v>2016RuralCommercialPill</v>
      </c>
      <c r="B38" s="157">
        <f t="shared" si="1"/>
        <v>2016</v>
      </c>
      <c r="C38" s="155" t="s">
        <v>21</v>
      </c>
      <c r="D38" s="155" t="s">
        <v>59</v>
      </c>
      <c r="E38" s="155" t="s">
        <v>12</v>
      </c>
      <c r="F38" s="160">
        <f ca="1">IFERROR(INDEX(INDIRECT($A$3&amp;"$1:$1048576"),MATCH(Dashboard!$D$4&amp;$A38,INDIRECT($A$3&amp;"$A:$A"),0),MATCH(F$3,INDIRECT($A$3&amp;"$1:$1"),0)),0)</f>
        <v>1.383E-2</v>
      </c>
      <c r="G38" s="160">
        <f ca="1">IFERROR(INDEX(INDIRECT($A$3&amp;"$1:$1048576"),MATCH(Dashboard!$D$4&amp;$A38,INDIRECT($A$3&amp;"$A:$A"),0),MATCH(G$3,INDIRECT($A$3&amp;"$1:$1"),0)),0)</f>
        <v>8.3330000000000001E-3</v>
      </c>
      <c r="H38" s="160">
        <f ca="1">IFERROR(INDEX(INDIRECT($A$3&amp;"$1:$1048576"),MATCH(Dashboard!$D$4&amp;$A38,INDIRECT($A$3&amp;"$A:$A"),0),MATCH(H$3,INDIRECT($A$3&amp;"$1:$1"),0)),0)</f>
        <v>4.3550999999999998E-3</v>
      </c>
    </row>
    <row r="39" spans="1:8" x14ac:dyDescent="0.25">
      <c r="A39" t="str">
        <f>Data_FP!$B39&amp;Data_FP!$C39&amp;Data_FP!$D39&amp;Data_FP!$E39</f>
        <v>2016RuralNonTradPill</v>
      </c>
      <c r="B39" s="157">
        <f t="shared" si="1"/>
        <v>2016</v>
      </c>
      <c r="C39" s="155" t="s">
        <v>21</v>
      </c>
      <c r="D39" s="155" t="s">
        <v>171</v>
      </c>
      <c r="E39" s="155" t="s">
        <v>12</v>
      </c>
      <c r="F39" s="160">
        <f ca="1">IFERROR(INDEX(INDIRECT($A$3&amp;"$1:$1048576"),MATCH(Dashboard!$D$4&amp;$A39,INDIRECT($A$3&amp;"$A:$A"),0),MATCH(F$3,INDIRECT($A$3&amp;"$1:$1"),0)),0)</f>
        <v>0</v>
      </c>
      <c r="G39" s="160">
        <f ca="1">IFERROR(INDEX(INDIRECT($A$3&amp;"$1:$1048576"),MATCH(Dashboard!$D$4&amp;$A39,INDIRECT($A$3&amp;"$A:$A"),0),MATCH(G$3,INDIRECT($A$3&amp;"$1:$1"),0)),0)</f>
        <v>0</v>
      </c>
      <c r="H39" s="160">
        <f ca="1">IFERROR(INDEX(INDIRECT($A$3&amp;"$1:$1048576"),MATCH(Dashboard!$D$4&amp;$A39,INDIRECT($A$3&amp;"$A:$A"),0),MATCH(H$3,INDIRECT($A$3&amp;"$1:$1"),0)),0)</f>
        <v>0</v>
      </c>
    </row>
    <row r="40" spans="1:8" x14ac:dyDescent="0.25">
      <c r="A40" t="str">
        <f>Data_FP!$B40&amp;Data_FP!$C40&amp;Data_FP!$D40&amp;Data_FP!$E40</f>
        <v>2016RuralOtherPill</v>
      </c>
      <c r="B40" s="157">
        <f t="shared" si="1"/>
        <v>2016</v>
      </c>
      <c r="C40" s="155" t="s">
        <v>21</v>
      </c>
      <c r="D40" s="155" t="s">
        <v>116</v>
      </c>
      <c r="E40" s="155" t="s">
        <v>12</v>
      </c>
      <c r="F40" s="160">
        <f ca="1">IFERROR(INDEX(INDIRECT($A$3&amp;"$1:$1048576"),MATCH(Dashboard!$D$4&amp;$A40,INDIRECT($A$3&amp;"$A:$A"),0),MATCH(F$3,INDIRECT($A$3&amp;"$1:$1"),0)),0)</f>
        <v>0</v>
      </c>
      <c r="G40" s="160">
        <f ca="1">IFERROR(INDEX(INDIRECT($A$3&amp;"$1:$1048576"),MATCH(Dashboard!$D$4&amp;$A40,INDIRECT($A$3&amp;"$A:$A"),0),MATCH(G$3,INDIRECT($A$3&amp;"$1:$1"),0)),0)</f>
        <v>0</v>
      </c>
      <c r="H40" s="160">
        <f ca="1">IFERROR(INDEX(INDIRECT($A$3&amp;"$1:$1048576"),MATCH(Dashboard!$D$4&amp;$A40,INDIRECT($A$3&amp;"$A:$A"),0),MATCH(H$3,INDIRECT($A$3&amp;"$1:$1"),0)),0)</f>
        <v>1.08E-4</v>
      </c>
    </row>
    <row r="41" spans="1:8" x14ac:dyDescent="0.25">
      <c r="A41" t="str">
        <f>Data_FP!$B41&amp;Data_FP!$C41&amp;Data_FP!$D41&amp;Data_FP!$E41</f>
        <v>2011NationalPub_MedIUD</v>
      </c>
      <c r="B41" s="157">
        <f t="shared" ref="B41:B58" si="2">Yr_DHS1</f>
        <v>2011</v>
      </c>
      <c r="C41" s="155" t="s">
        <v>178</v>
      </c>
      <c r="D41" s="155" t="s">
        <v>52</v>
      </c>
      <c r="E41" s="155" t="s">
        <v>16</v>
      </c>
      <c r="F41" s="160">
        <f ca="1">IFERROR(INDEX(INDIRECT($A$3&amp;"$1:$1048576"),MATCH(Dashboard!$D$4&amp;$A41,INDIRECT($A$3&amp;"$A:$A"),0),MATCH(F$3,INDIRECT($A$3&amp;"$1:$1"),0)),0)</f>
        <v>1.4607999999999999E-3</v>
      </c>
      <c r="G41" s="160">
        <f ca="1">IFERROR(INDEX(INDIRECT($A$3&amp;"$1:$1048576"),MATCH(Dashboard!$D$4&amp;$A41,INDIRECT($A$3&amp;"$A:$A"),0),MATCH(G$3,INDIRECT($A$3&amp;"$1:$1"),0)),0)</f>
        <v>1.5095E-3</v>
      </c>
      <c r="H41" s="160">
        <f ca="1">IFERROR(INDEX(INDIRECT($A$3&amp;"$1:$1048576"),MATCH(Dashboard!$D$4&amp;$A41,INDIRECT($A$3&amp;"$A:$A"),0),MATCH(H$3,INDIRECT($A$3&amp;"$1:$1"),0)),0)</f>
        <v>1.0154000000000001E-3</v>
      </c>
    </row>
    <row r="42" spans="1:8" x14ac:dyDescent="0.25">
      <c r="A42" t="str">
        <f>Data_FP!$B42&amp;Data_FP!$C42&amp;Data_FP!$D42&amp;Data_FP!$E42</f>
        <v>2011NationalPub_OutreachIUD</v>
      </c>
      <c r="B42" s="157">
        <f t="shared" si="2"/>
        <v>2011</v>
      </c>
      <c r="C42" s="155" t="s">
        <v>178</v>
      </c>
      <c r="D42" s="155" t="s">
        <v>54</v>
      </c>
      <c r="E42" s="155" t="s">
        <v>16</v>
      </c>
      <c r="F42" s="160">
        <f ca="1">IFERROR(INDEX(INDIRECT($A$3&amp;"$1:$1048576"),MATCH(Dashboard!$D$4&amp;$A42,INDIRECT($A$3&amp;"$A:$A"),0),MATCH(F$3,INDIRECT($A$3&amp;"$1:$1"),0)),0)</f>
        <v>0</v>
      </c>
      <c r="G42" s="160">
        <f ca="1">IFERROR(INDEX(INDIRECT($A$3&amp;"$1:$1048576"),MATCH(Dashboard!$D$4&amp;$A42,INDIRECT($A$3&amp;"$A:$A"),0),MATCH(G$3,INDIRECT($A$3&amp;"$1:$1"),0)),0)</f>
        <v>3.3070000000000002E-4</v>
      </c>
      <c r="H42" s="160">
        <f ca="1">IFERROR(INDEX(INDIRECT($A$3&amp;"$1:$1048576"),MATCH(Dashboard!$D$4&amp;$A42,INDIRECT($A$3&amp;"$A:$A"),0),MATCH(H$3,INDIRECT($A$3&amp;"$1:$1"),0)),0)</f>
        <v>1.6890000000000001E-4</v>
      </c>
    </row>
    <row r="43" spans="1:8" x14ac:dyDescent="0.25">
      <c r="A43" t="str">
        <f>Data_FP!$B43&amp;Data_FP!$C43&amp;Data_FP!$D43&amp;Data_FP!$E43</f>
        <v>2011NationalNGOIUD</v>
      </c>
      <c r="B43" s="157">
        <f t="shared" si="2"/>
        <v>2011</v>
      </c>
      <c r="C43" s="155" t="s">
        <v>178</v>
      </c>
      <c r="D43" s="155" t="s">
        <v>170</v>
      </c>
      <c r="E43" s="155" t="s">
        <v>16</v>
      </c>
      <c r="F43" s="160">
        <f ca="1">IFERROR(INDEX(INDIRECT($A$3&amp;"$1:$1048576"),MATCH(Dashboard!$D$4&amp;$A43,INDIRECT($A$3&amp;"$A:$A"),0),MATCH(F$3,INDIRECT($A$3&amp;"$1:$1"),0)),0)</f>
        <v>0</v>
      </c>
      <c r="G43" s="160">
        <f ca="1">IFERROR(INDEX(INDIRECT($A$3&amp;"$1:$1048576"),MATCH(Dashboard!$D$4&amp;$A43,INDIRECT($A$3&amp;"$A:$A"),0),MATCH(G$3,INDIRECT($A$3&amp;"$1:$1"),0)),0)</f>
        <v>7.048E-4</v>
      </c>
      <c r="H43" s="160">
        <f ca="1">IFERROR(INDEX(INDIRECT($A$3&amp;"$1:$1048576"),MATCH(Dashboard!$D$4&amp;$A43,INDIRECT($A$3&amp;"$A:$A"),0),MATCH(H$3,INDIRECT($A$3&amp;"$1:$1"),0)),0)</f>
        <v>0</v>
      </c>
    </row>
    <row r="44" spans="1:8" x14ac:dyDescent="0.25">
      <c r="A44" t="str">
        <f>Data_FP!$B44&amp;Data_FP!$C44&amp;Data_FP!$D44&amp;Data_FP!$E44</f>
        <v>2011NationalCommercialIUD</v>
      </c>
      <c r="B44" s="157">
        <f t="shared" si="2"/>
        <v>2011</v>
      </c>
      <c r="C44" s="155" t="s">
        <v>178</v>
      </c>
      <c r="D44" s="155" t="s">
        <v>59</v>
      </c>
      <c r="E44" s="155" t="s">
        <v>16</v>
      </c>
      <c r="F44" s="160">
        <f ca="1">IFERROR(INDEX(INDIRECT($A$3&amp;"$1:$1048576"),MATCH(Dashboard!$D$4&amp;$A44,INDIRECT($A$3&amp;"$A:$A"),0),MATCH(F$3,INDIRECT($A$3&amp;"$1:$1"),0)),0)</f>
        <v>3.9104999999999999E-3</v>
      </c>
      <c r="G44" s="160">
        <f ca="1">IFERROR(INDEX(INDIRECT($A$3&amp;"$1:$1048576"),MATCH(Dashboard!$D$4&amp;$A44,INDIRECT($A$3&amp;"$A:$A"),0),MATCH(G$3,INDIRECT($A$3&amp;"$1:$1"),0)),0)</f>
        <v>2.5282E-3</v>
      </c>
      <c r="H44" s="160">
        <f ca="1">IFERROR(INDEX(INDIRECT($A$3&amp;"$1:$1048576"),MATCH(Dashboard!$D$4&amp;$A44,INDIRECT($A$3&amp;"$A:$A"),0),MATCH(H$3,INDIRECT($A$3&amp;"$1:$1"),0)),0)</f>
        <v>4.2739999999999998E-4</v>
      </c>
    </row>
    <row r="45" spans="1:8" x14ac:dyDescent="0.25">
      <c r="A45" t="str">
        <f>Data_FP!$B45&amp;Data_FP!$C45&amp;Data_FP!$D45&amp;Data_FP!$E45</f>
        <v>2011NationalNonTradIUD</v>
      </c>
      <c r="B45" s="157">
        <f t="shared" si="2"/>
        <v>2011</v>
      </c>
      <c r="C45" s="155" t="s">
        <v>178</v>
      </c>
      <c r="D45" s="155" t="s">
        <v>171</v>
      </c>
      <c r="E45" s="155" t="s">
        <v>16</v>
      </c>
      <c r="F45" s="160">
        <f ca="1">IFERROR(INDEX(INDIRECT($A$3&amp;"$1:$1048576"),MATCH(Dashboard!$D$4&amp;$A45,INDIRECT($A$3&amp;"$A:$A"),0),MATCH(F$3,INDIRECT($A$3&amp;"$1:$1"),0)),0)</f>
        <v>0</v>
      </c>
      <c r="G45" s="160">
        <f ca="1">IFERROR(INDEX(INDIRECT($A$3&amp;"$1:$1048576"),MATCH(Dashboard!$D$4&amp;$A45,INDIRECT($A$3&amp;"$A:$A"),0),MATCH(G$3,INDIRECT($A$3&amp;"$1:$1"),0)),0)</f>
        <v>0</v>
      </c>
      <c r="H45" s="160">
        <f ca="1">IFERROR(INDEX(INDIRECT($A$3&amp;"$1:$1048576"),MATCH(Dashboard!$D$4&amp;$A45,INDIRECT($A$3&amp;"$A:$A"),0),MATCH(H$3,INDIRECT($A$3&amp;"$1:$1"),0)),0)</f>
        <v>0</v>
      </c>
    </row>
    <row r="46" spans="1:8" x14ac:dyDescent="0.25">
      <c r="A46" t="str">
        <f>Data_FP!$B46&amp;Data_FP!$C46&amp;Data_FP!$D46&amp;Data_FP!$E46</f>
        <v>2011NationalOtherIUD</v>
      </c>
      <c r="B46" s="157">
        <f t="shared" si="2"/>
        <v>2011</v>
      </c>
      <c r="C46" s="155" t="s">
        <v>178</v>
      </c>
      <c r="D46" s="155" t="s">
        <v>116</v>
      </c>
      <c r="E46" s="155" t="s">
        <v>16</v>
      </c>
      <c r="F46" s="160">
        <f ca="1">IFERROR(INDEX(INDIRECT($A$3&amp;"$1:$1048576"),MATCH(Dashboard!$D$4&amp;$A46,INDIRECT($A$3&amp;"$A:$A"),0),MATCH(F$3,INDIRECT($A$3&amp;"$1:$1"),0)),0)</f>
        <v>1.1521000000000001E-3</v>
      </c>
      <c r="G46" s="160">
        <f ca="1">IFERROR(INDEX(INDIRECT($A$3&amp;"$1:$1048576"),MATCH(Dashboard!$D$4&amp;$A46,INDIRECT($A$3&amp;"$A:$A"),0),MATCH(G$3,INDIRECT($A$3&amp;"$1:$1"),0)),0)</f>
        <v>0</v>
      </c>
      <c r="H46" s="160">
        <f ca="1">IFERROR(INDEX(INDIRECT($A$3&amp;"$1:$1048576"),MATCH(Dashboard!$D$4&amp;$A46,INDIRECT($A$3&amp;"$A:$A"),0),MATCH(H$3,INDIRECT($A$3&amp;"$1:$1"),0)),0)</f>
        <v>0</v>
      </c>
    </row>
    <row r="47" spans="1:8" x14ac:dyDescent="0.25">
      <c r="A47" t="str">
        <f>Data_FP!$B47&amp;Data_FP!$C47&amp;Data_FP!$D47&amp;Data_FP!$E47</f>
        <v>2011UrbanPub_MedIUD</v>
      </c>
      <c r="B47" s="157">
        <f t="shared" si="2"/>
        <v>2011</v>
      </c>
      <c r="C47" s="155" t="s">
        <v>20</v>
      </c>
      <c r="D47" s="155" t="s">
        <v>52</v>
      </c>
      <c r="E47" s="155" t="s">
        <v>16</v>
      </c>
      <c r="F47" s="160">
        <f ca="1">IFERROR(INDEX(INDIRECT($A$3&amp;"$1:$1048576"),MATCH(Dashboard!$D$4&amp;$A47,INDIRECT($A$3&amp;"$A:$A"),0),MATCH(F$3,INDIRECT($A$3&amp;"$1:$1"),0)),0)</f>
        <v>3.1392999999999998E-3</v>
      </c>
      <c r="G47" s="160">
        <f ca="1">IFERROR(INDEX(INDIRECT($A$3&amp;"$1:$1048576"),MATCH(Dashboard!$D$4&amp;$A47,INDIRECT($A$3&amp;"$A:$A"),0),MATCH(G$3,INDIRECT($A$3&amp;"$1:$1"),0)),0)</f>
        <v>1.8724E-3</v>
      </c>
      <c r="H47" s="160">
        <f ca="1">IFERROR(INDEX(INDIRECT($A$3&amp;"$1:$1048576"),MATCH(Dashboard!$D$4&amp;$A47,INDIRECT($A$3&amp;"$A:$A"),0),MATCH(H$3,INDIRECT($A$3&amp;"$1:$1"),0)),0)</f>
        <v>1.2463000000000001E-3</v>
      </c>
    </row>
    <row r="48" spans="1:8" x14ac:dyDescent="0.25">
      <c r="A48" t="str">
        <f>Data_FP!$B48&amp;Data_FP!$C48&amp;Data_FP!$D48&amp;Data_FP!$E48</f>
        <v>2011UrbanPub_OutreachIUD</v>
      </c>
      <c r="B48" s="157">
        <f t="shared" si="2"/>
        <v>2011</v>
      </c>
      <c r="C48" s="155" t="s">
        <v>20</v>
      </c>
      <c r="D48" s="155" t="s">
        <v>54</v>
      </c>
      <c r="E48" s="155" t="s">
        <v>16</v>
      </c>
      <c r="F48" s="160">
        <f ca="1">IFERROR(INDEX(INDIRECT($A$3&amp;"$1:$1048576"),MATCH(Dashboard!$D$4&amp;$A48,INDIRECT($A$3&amp;"$A:$A"),0),MATCH(F$3,INDIRECT($A$3&amp;"$1:$1"),0)),0)</f>
        <v>0</v>
      </c>
      <c r="G48" s="160">
        <f ca="1">IFERROR(INDEX(INDIRECT($A$3&amp;"$1:$1048576"),MATCH(Dashboard!$D$4&amp;$A48,INDIRECT($A$3&amp;"$A:$A"),0),MATCH(G$3,INDIRECT($A$3&amp;"$1:$1"),0)),0)</f>
        <v>0</v>
      </c>
      <c r="H48" s="160">
        <f ca="1">IFERROR(INDEX(INDIRECT($A$3&amp;"$1:$1048576"),MATCH(Dashboard!$D$4&amp;$A48,INDIRECT($A$3&amp;"$A:$A"),0),MATCH(H$3,INDIRECT($A$3&amp;"$1:$1"),0)),0)</f>
        <v>0</v>
      </c>
    </row>
    <row r="49" spans="1:8" x14ac:dyDescent="0.25">
      <c r="A49" t="str">
        <f>Data_FP!$B49&amp;Data_FP!$C49&amp;Data_FP!$D49&amp;Data_FP!$E49</f>
        <v>2011UrbanNGOIUD</v>
      </c>
      <c r="B49" s="157">
        <f t="shared" si="2"/>
        <v>2011</v>
      </c>
      <c r="C49" s="155" t="s">
        <v>20</v>
      </c>
      <c r="D49" s="155" t="s">
        <v>170</v>
      </c>
      <c r="E49" s="155" t="s">
        <v>16</v>
      </c>
      <c r="F49" s="160">
        <f ca="1">IFERROR(INDEX(INDIRECT($A$3&amp;"$1:$1048576"),MATCH(Dashboard!$D$4&amp;$A49,INDIRECT($A$3&amp;"$A:$A"),0),MATCH(F$3,INDIRECT($A$3&amp;"$1:$1"),0)),0)</f>
        <v>0</v>
      </c>
      <c r="G49" s="160">
        <f ca="1">IFERROR(INDEX(INDIRECT($A$3&amp;"$1:$1048576"),MATCH(Dashboard!$D$4&amp;$A49,INDIRECT($A$3&amp;"$A:$A"),0),MATCH(G$3,INDIRECT($A$3&amp;"$1:$1"),0)),0)</f>
        <v>0</v>
      </c>
      <c r="H49" s="160">
        <f ca="1">IFERROR(INDEX(INDIRECT($A$3&amp;"$1:$1048576"),MATCH(Dashboard!$D$4&amp;$A49,INDIRECT($A$3&amp;"$A:$A"),0),MATCH(H$3,INDIRECT($A$3&amp;"$1:$1"),0)),0)</f>
        <v>0</v>
      </c>
    </row>
    <row r="50" spans="1:8" x14ac:dyDescent="0.25">
      <c r="A50" t="str">
        <f>Data_FP!$B50&amp;Data_FP!$C50&amp;Data_FP!$D50&amp;Data_FP!$E50</f>
        <v>2011UrbanCommercialIUD</v>
      </c>
      <c r="B50" s="157">
        <f t="shared" si="2"/>
        <v>2011</v>
      </c>
      <c r="C50" s="155" t="s">
        <v>20</v>
      </c>
      <c r="D50" s="155" t="s">
        <v>59</v>
      </c>
      <c r="E50" s="155" t="s">
        <v>16</v>
      </c>
      <c r="F50" s="160">
        <f ca="1">IFERROR(INDEX(INDIRECT($A$3&amp;"$1:$1048576"),MATCH(Dashboard!$D$4&amp;$A50,INDIRECT($A$3&amp;"$A:$A"),0),MATCH(F$3,INDIRECT($A$3&amp;"$1:$1"),0)),0)</f>
        <v>1.48472E-2</v>
      </c>
      <c r="G50" s="160">
        <f ca="1">IFERROR(INDEX(INDIRECT($A$3&amp;"$1:$1048576"),MATCH(Dashboard!$D$4&amp;$A50,INDIRECT($A$3&amp;"$A:$A"),0),MATCH(G$3,INDIRECT($A$3&amp;"$1:$1"),0)),0)</f>
        <v>1.1983600000000001E-2</v>
      </c>
      <c r="H50" s="160">
        <f ca="1">IFERROR(INDEX(INDIRECT($A$3&amp;"$1:$1048576"),MATCH(Dashboard!$D$4&amp;$A50,INDIRECT($A$3&amp;"$A:$A"),0),MATCH(H$3,INDIRECT($A$3&amp;"$1:$1"),0)),0)</f>
        <v>2.2242E-3</v>
      </c>
    </row>
    <row r="51" spans="1:8" x14ac:dyDescent="0.25">
      <c r="A51" t="str">
        <f>Data_FP!$B51&amp;Data_FP!$C51&amp;Data_FP!$D51&amp;Data_FP!$E51</f>
        <v>2011UrbanNonTradIUD</v>
      </c>
      <c r="B51" s="157">
        <f t="shared" si="2"/>
        <v>2011</v>
      </c>
      <c r="C51" s="155" t="s">
        <v>20</v>
      </c>
      <c r="D51" s="155" t="s">
        <v>171</v>
      </c>
      <c r="E51" s="155" t="s">
        <v>16</v>
      </c>
      <c r="F51" s="160">
        <f ca="1">IFERROR(INDEX(INDIRECT($A$3&amp;"$1:$1048576"),MATCH(Dashboard!$D$4&amp;$A51,INDIRECT($A$3&amp;"$A:$A"),0),MATCH(F$3,INDIRECT($A$3&amp;"$1:$1"),0)),0)</f>
        <v>0</v>
      </c>
      <c r="G51" s="160">
        <f ca="1">IFERROR(INDEX(INDIRECT($A$3&amp;"$1:$1048576"),MATCH(Dashboard!$D$4&amp;$A51,INDIRECT($A$3&amp;"$A:$A"),0),MATCH(G$3,INDIRECT($A$3&amp;"$1:$1"),0)),0)</f>
        <v>0</v>
      </c>
      <c r="H51" s="160">
        <f ca="1">IFERROR(INDEX(INDIRECT($A$3&amp;"$1:$1048576"),MATCH(Dashboard!$D$4&amp;$A51,INDIRECT($A$3&amp;"$A:$A"),0),MATCH(H$3,INDIRECT($A$3&amp;"$1:$1"),0)),0)</f>
        <v>0</v>
      </c>
    </row>
    <row r="52" spans="1:8" x14ac:dyDescent="0.25">
      <c r="A52" t="str">
        <f>Data_FP!$B52&amp;Data_FP!$C52&amp;Data_FP!$D52&amp;Data_FP!$E52</f>
        <v>2011UrbanOtherIUD</v>
      </c>
      <c r="B52" s="157">
        <f t="shared" si="2"/>
        <v>2011</v>
      </c>
      <c r="C52" s="155" t="s">
        <v>20</v>
      </c>
      <c r="D52" s="155" t="s">
        <v>116</v>
      </c>
      <c r="E52" s="155" t="s">
        <v>16</v>
      </c>
      <c r="F52" s="160">
        <f ca="1">IFERROR(INDEX(INDIRECT($A$3&amp;"$1:$1048576"),MATCH(Dashboard!$D$4&amp;$A52,INDIRECT($A$3&amp;"$A:$A"),0),MATCH(F$3,INDIRECT($A$3&amp;"$1:$1"),0)),0)</f>
        <v>0</v>
      </c>
      <c r="G52" s="160">
        <f ca="1">IFERROR(INDEX(INDIRECT($A$3&amp;"$1:$1048576"),MATCH(Dashboard!$D$4&amp;$A52,INDIRECT($A$3&amp;"$A:$A"),0),MATCH(G$3,INDIRECT($A$3&amp;"$1:$1"),0)),0)</f>
        <v>0</v>
      </c>
      <c r="H52" s="160">
        <f ca="1">IFERROR(INDEX(INDIRECT($A$3&amp;"$1:$1048576"),MATCH(Dashboard!$D$4&amp;$A52,INDIRECT($A$3&amp;"$A:$A"),0),MATCH(H$3,INDIRECT($A$3&amp;"$1:$1"),0)),0)</f>
        <v>0</v>
      </c>
    </row>
    <row r="53" spans="1:8" x14ac:dyDescent="0.25">
      <c r="A53" t="str">
        <f>Data_FP!$B53&amp;Data_FP!$C53&amp;Data_FP!$D53&amp;Data_FP!$E53</f>
        <v>2011RuralPub_MedIUD</v>
      </c>
      <c r="B53" s="157">
        <f t="shared" si="2"/>
        <v>2011</v>
      </c>
      <c r="C53" s="155" t="s">
        <v>21</v>
      </c>
      <c r="D53" s="155" t="s">
        <v>52</v>
      </c>
      <c r="E53" s="155" t="s">
        <v>16</v>
      </c>
      <c r="F53" s="160">
        <f ca="1">IFERROR(INDEX(INDIRECT($A$3&amp;"$1:$1048576"),MATCH(Dashboard!$D$4&amp;$A53,INDIRECT($A$3&amp;"$A:$A"),0),MATCH(F$3,INDIRECT($A$3&amp;"$1:$1"),0)),0)</f>
        <v>1.0392999999999999E-3</v>
      </c>
      <c r="G53" s="160">
        <f ca="1">IFERROR(INDEX(INDIRECT($A$3&amp;"$1:$1048576"),MATCH(Dashboard!$D$4&amp;$A53,INDIRECT($A$3&amp;"$A:$A"),0),MATCH(G$3,INDIRECT($A$3&amp;"$1:$1"),0)),0)</f>
        <v>1.4124999999999999E-3</v>
      </c>
      <c r="H53" s="160">
        <f ca="1">IFERROR(INDEX(INDIRECT($A$3&amp;"$1:$1048576"),MATCH(Dashboard!$D$4&amp;$A53,INDIRECT($A$3&amp;"$A:$A"),0),MATCH(H$3,INDIRECT($A$3&amp;"$1:$1"),0)),0)</f>
        <v>9.6049999999999998E-4</v>
      </c>
    </row>
    <row r="54" spans="1:8" x14ac:dyDescent="0.25">
      <c r="A54" t="str">
        <f>Data_FP!$B54&amp;Data_FP!$C54&amp;Data_FP!$D54&amp;Data_FP!$E54</f>
        <v>2011RuralPub_OutreachIUD</v>
      </c>
      <c r="B54" s="157">
        <f t="shared" si="2"/>
        <v>2011</v>
      </c>
      <c r="C54" s="155" t="s">
        <v>21</v>
      </c>
      <c r="D54" s="155" t="s">
        <v>54</v>
      </c>
      <c r="E54" s="155" t="s">
        <v>16</v>
      </c>
      <c r="F54" s="160">
        <f ca="1">IFERROR(INDEX(INDIRECT($A$3&amp;"$1:$1048576"),MATCH(Dashboard!$D$4&amp;$A54,INDIRECT($A$3&amp;"$A:$A"),0),MATCH(F$3,INDIRECT($A$3&amp;"$1:$1"),0)),0)</f>
        <v>0</v>
      </c>
      <c r="G54" s="160">
        <f ca="1">IFERROR(INDEX(INDIRECT($A$3&amp;"$1:$1048576"),MATCH(Dashboard!$D$4&amp;$A54,INDIRECT($A$3&amp;"$A:$A"),0),MATCH(G$3,INDIRECT($A$3&amp;"$1:$1"),0)),0)</f>
        <v>4.191E-4</v>
      </c>
      <c r="H54" s="160">
        <f ca="1">IFERROR(INDEX(INDIRECT($A$3&amp;"$1:$1048576"),MATCH(Dashboard!$D$4&amp;$A54,INDIRECT($A$3&amp;"$A:$A"),0),MATCH(H$3,INDIRECT($A$3&amp;"$1:$1"),0)),0)</f>
        <v>2.0900000000000001E-4</v>
      </c>
    </row>
    <row r="55" spans="1:8" x14ac:dyDescent="0.25">
      <c r="A55" t="str">
        <f>Data_FP!$B55&amp;Data_FP!$C55&amp;Data_FP!$D55&amp;Data_FP!$E55</f>
        <v>2011RuralNGOIUD</v>
      </c>
      <c r="B55" s="157">
        <f t="shared" si="2"/>
        <v>2011</v>
      </c>
      <c r="C55" s="155" t="s">
        <v>21</v>
      </c>
      <c r="D55" s="155" t="s">
        <v>170</v>
      </c>
      <c r="E55" s="155" t="s">
        <v>16</v>
      </c>
      <c r="F55" s="160">
        <f ca="1">IFERROR(INDEX(INDIRECT($A$3&amp;"$1:$1048576"),MATCH(Dashboard!$D$4&amp;$A55,INDIRECT($A$3&amp;"$A:$A"),0),MATCH(F$3,INDIRECT($A$3&amp;"$1:$1"),0)),0)</f>
        <v>0</v>
      </c>
      <c r="G55" s="160">
        <f ca="1">IFERROR(INDEX(INDIRECT($A$3&amp;"$1:$1048576"),MATCH(Dashboard!$D$4&amp;$A55,INDIRECT($A$3&amp;"$A:$A"),0),MATCH(G$3,INDIRECT($A$3&amp;"$1:$1"),0)),0)</f>
        <v>8.9329999999999998E-4</v>
      </c>
      <c r="H55" s="160">
        <f ca="1">IFERROR(INDEX(INDIRECT($A$3&amp;"$1:$1048576"),MATCH(Dashboard!$D$4&amp;$A55,INDIRECT($A$3&amp;"$A:$A"),0),MATCH(H$3,INDIRECT($A$3&amp;"$1:$1"),0)),0)</f>
        <v>0</v>
      </c>
    </row>
    <row r="56" spans="1:8" x14ac:dyDescent="0.25">
      <c r="A56" t="str">
        <f>Data_FP!$B56&amp;Data_FP!$C56&amp;Data_FP!$D56&amp;Data_FP!$E56</f>
        <v>2011RuralCommercialIUD</v>
      </c>
      <c r="B56" s="157">
        <f t="shared" si="2"/>
        <v>2011</v>
      </c>
      <c r="C56" s="155" t="s">
        <v>21</v>
      </c>
      <c r="D56" s="155" t="s">
        <v>59</v>
      </c>
      <c r="E56" s="155" t="s">
        <v>16</v>
      </c>
      <c r="F56" s="160">
        <f ca="1">IFERROR(INDEX(INDIRECT($A$3&amp;"$1:$1048576"),MATCH(Dashboard!$D$4&amp;$A56,INDIRECT($A$3&amp;"$A:$A"),0),MATCH(F$3,INDIRECT($A$3&amp;"$1:$1"),0)),0)</f>
        <v>1.1640000000000001E-3</v>
      </c>
      <c r="G56" s="160">
        <f ca="1">IFERROR(INDEX(INDIRECT($A$3&amp;"$1:$1048576"),MATCH(Dashboard!$D$4&amp;$A56,INDIRECT($A$3&amp;"$A:$A"),0),MATCH(G$3,INDIRECT($A$3&amp;"$1:$1"),0)),0)</f>
        <v>0</v>
      </c>
      <c r="H56" s="160">
        <f ca="1">IFERROR(INDEX(INDIRECT($A$3&amp;"$1:$1048576"),MATCH(Dashboard!$D$4&amp;$A56,INDIRECT($A$3&amp;"$A:$A"),0),MATCH(H$3,INDIRECT($A$3&amp;"$1:$1"),0)),0)</f>
        <v>0</v>
      </c>
    </row>
    <row r="57" spans="1:8" x14ac:dyDescent="0.25">
      <c r="A57" t="str">
        <f>Data_FP!$B57&amp;Data_FP!$C57&amp;Data_FP!$D57&amp;Data_FP!$E57</f>
        <v>2011RuralNonTradIUD</v>
      </c>
      <c r="B57" s="157">
        <f t="shared" si="2"/>
        <v>2011</v>
      </c>
      <c r="C57" s="155" t="s">
        <v>21</v>
      </c>
      <c r="D57" s="155" t="s">
        <v>171</v>
      </c>
      <c r="E57" s="155" t="s">
        <v>16</v>
      </c>
      <c r="F57" s="160">
        <f ca="1">IFERROR(INDEX(INDIRECT($A$3&amp;"$1:$1048576"),MATCH(Dashboard!$D$4&amp;$A57,INDIRECT($A$3&amp;"$A:$A"),0),MATCH(F$3,INDIRECT($A$3&amp;"$1:$1"),0)),0)</f>
        <v>0</v>
      </c>
      <c r="G57" s="160">
        <f ca="1">IFERROR(INDEX(INDIRECT($A$3&amp;"$1:$1048576"),MATCH(Dashboard!$D$4&amp;$A57,INDIRECT($A$3&amp;"$A:$A"),0),MATCH(G$3,INDIRECT($A$3&amp;"$1:$1"),0)),0)</f>
        <v>0</v>
      </c>
      <c r="H57" s="160">
        <f ca="1">IFERROR(INDEX(INDIRECT($A$3&amp;"$1:$1048576"),MATCH(Dashboard!$D$4&amp;$A57,INDIRECT($A$3&amp;"$A:$A"),0),MATCH(H$3,INDIRECT($A$3&amp;"$1:$1"),0)),0)</f>
        <v>0</v>
      </c>
    </row>
    <row r="58" spans="1:8" x14ac:dyDescent="0.25">
      <c r="A58" t="str">
        <f>Data_FP!$B58&amp;Data_FP!$C58&amp;Data_FP!$D58&amp;Data_FP!$E58</f>
        <v>2011RuralOtherIUD</v>
      </c>
      <c r="B58" s="157">
        <f t="shared" si="2"/>
        <v>2011</v>
      </c>
      <c r="C58" s="155" t="s">
        <v>21</v>
      </c>
      <c r="D58" s="155" t="s">
        <v>116</v>
      </c>
      <c r="E58" s="155" t="s">
        <v>16</v>
      </c>
      <c r="F58" s="160">
        <f ca="1">IFERROR(INDEX(INDIRECT($A$3&amp;"$1:$1048576"),MATCH(Dashboard!$D$4&amp;$A58,INDIRECT($A$3&amp;"$A:$A"),0),MATCH(F$3,INDIRECT($A$3&amp;"$1:$1"),0)),0)</f>
        <v>1.4414E-3</v>
      </c>
      <c r="G58" s="160">
        <f ca="1">IFERROR(INDEX(INDIRECT($A$3&amp;"$1:$1048576"),MATCH(Dashboard!$D$4&amp;$A58,INDIRECT($A$3&amp;"$A:$A"),0),MATCH(G$3,INDIRECT($A$3&amp;"$1:$1"),0)),0)</f>
        <v>0</v>
      </c>
      <c r="H58" s="160">
        <f ca="1">IFERROR(INDEX(INDIRECT($A$3&amp;"$1:$1048576"),MATCH(Dashboard!$D$4&amp;$A58,INDIRECT($A$3&amp;"$A:$A"),0),MATCH(H$3,INDIRECT($A$3&amp;"$1:$1"),0)),0)</f>
        <v>0</v>
      </c>
    </row>
    <row r="59" spans="1:8" x14ac:dyDescent="0.25">
      <c r="A59" t="str">
        <f>Data_FP!$B59&amp;Data_FP!$C59&amp;Data_FP!$D59&amp;Data_FP!$E59</f>
        <v>2016NationalPub_MedIUD</v>
      </c>
      <c r="B59" s="157">
        <f t="shared" ref="B59:B76" si="3">Yr_DHS2</f>
        <v>2016</v>
      </c>
      <c r="C59" s="155" t="s">
        <v>178</v>
      </c>
      <c r="D59" s="155" t="s">
        <v>52</v>
      </c>
      <c r="E59" s="155" t="s">
        <v>16</v>
      </c>
      <c r="F59" s="160">
        <f ca="1">IFERROR(INDEX(INDIRECT($A$3&amp;"$1:$1048576"),MATCH(Dashboard!$D$4&amp;$A59,INDIRECT($A$3&amp;"$A:$A"),0),MATCH(F$3,INDIRECT($A$3&amp;"$1:$1"),0)),0)</f>
        <v>1.0282700000000001E-2</v>
      </c>
      <c r="G59" s="160">
        <f ca="1">IFERROR(INDEX(INDIRECT($A$3&amp;"$1:$1048576"),MATCH(Dashboard!$D$4&amp;$A59,INDIRECT($A$3&amp;"$A:$A"),0),MATCH(G$3,INDIRECT($A$3&amp;"$1:$1"),0)),0)</f>
        <v>7.5334E-3</v>
      </c>
      <c r="H59" s="160">
        <f ca="1">IFERROR(INDEX(INDIRECT($A$3&amp;"$1:$1048576"),MATCH(Dashboard!$D$4&amp;$A59,INDIRECT($A$3&amp;"$A:$A"),0),MATCH(H$3,INDIRECT($A$3&amp;"$1:$1"),0)),0)</f>
        <v>6.3347999999999998E-3</v>
      </c>
    </row>
    <row r="60" spans="1:8" x14ac:dyDescent="0.25">
      <c r="A60" t="str">
        <f>Data_FP!$B60&amp;Data_FP!$C60&amp;Data_FP!$D60&amp;Data_FP!$E60</f>
        <v>2016NationalPub_OutreachIUD</v>
      </c>
      <c r="B60" s="157">
        <f t="shared" si="3"/>
        <v>2016</v>
      </c>
      <c r="C60" s="155" t="s">
        <v>178</v>
      </c>
      <c r="D60" s="155" t="s">
        <v>54</v>
      </c>
      <c r="E60" s="155" t="s">
        <v>16</v>
      </c>
      <c r="F60" s="160">
        <f ca="1">IFERROR(INDEX(INDIRECT($A$3&amp;"$1:$1048576"),MATCH(Dashboard!$D$4&amp;$A60,INDIRECT($A$3&amp;"$A:$A"),0),MATCH(F$3,INDIRECT($A$3&amp;"$1:$1"),0)),0)</f>
        <v>1.6267E-3</v>
      </c>
      <c r="G60" s="160">
        <f ca="1">IFERROR(INDEX(INDIRECT($A$3&amp;"$1:$1048576"),MATCH(Dashboard!$D$4&amp;$A60,INDIRECT($A$3&amp;"$A:$A"),0),MATCH(G$3,INDIRECT($A$3&amp;"$1:$1"),0)),0)</f>
        <v>0</v>
      </c>
      <c r="H60" s="160">
        <f ca="1">IFERROR(INDEX(INDIRECT($A$3&amp;"$1:$1048576"),MATCH(Dashboard!$D$4&amp;$A60,INDIRECT($A$3&amp;"$A:$A"),0),MATCH(H$3,INDIRECT($A$3&amp;"$1:$1"),0)),0)</f>
        <v>7.7899999999999996E-5</v>
      </c>
    </row>
    <row r="61" spans="1:8" x14ac:dyDescent="0.25">
      <c r="A61" t="str">
        <f>Data_FP!$B61&amp;Data_FP!$C61&amp;Data_FP!$D61&amp;Data_FP!$E61</f>
        <v>2016NationalNGOIUD</v>
      </c>
      <c r="B61" s="157">
        <f t="shared" si="3"/>
        <v>2016</v>
      </c>
      <c r="C61" s="155" t="s">
        <v>178</v>
      </c>
      <c r="D61" s="155" t="s">
        <v>170</v>
      </c>
      <c r="E61" s="155" t="s">
        <v>16</v>
      </c>
      <c r="F61" s="160">
        <f ca="1">IFERROR(INDEX(INDIRECT($A$3&amp;"$1:$1048576"),MATCH(Dashboard!$D$4&amp;$A61,INDIRECT($A$3&amp;"$A:$A"),0),MATCH(F$3,INDIRECT($A$3&amp;"$1:$1"),0)),0)</f>
        <v>1.7819999999999999E-4</v>
      </c>
      <c r="G61" s="160">
        <f ca="1">IFERROR(INDEX(INDIRECT($A$3&amp;"$1:$1048576"),MATCH(Dashboard!$D$4&amp;$A61,INDIRECT($A$3&amp;"$A:$A"),0),MATCH(G$3,INDIRECT($A$3&amp;"$1:$1"),0)),0)</f>
        <v>0</v>
      </c>
      <c r="H61" s="160">
        <f ca="1">IFERROR(INDEX(INDIRECT($A$3&amp;"$1:$1048576"),MATCH(Dashboard!$D$4&amp;$A61,INDIRECT($A$3&amp;"$A:$A"),0),MATCH(H$3,INDIRECT($A$3&amp;"$1:$1"),0)),0)</f>
        <v>1.22E-5</v>
      </c>
    </row>
    <row r="62" spans="1:8" x14ac:dyDescent="0.25">
      <c r="A62" t="str">
        <f>Data_FP!$B62&amp;Data_FP!$C62&amp;Data_FP!$D62&amp;Data_FP!$E62</f>
        <v>2016NationalCommercialIUD</v>
      </c>
      <c r="B62" s="157">
        <f t="shared" si="3"/>
        <v>2016</v>
      </c>
      <c r="C62" s="155" t="s">
        <v>178</v>
      </c>
      <c r="D62" s="155" t="s">
        <v>59</v>
      </c>
      <c r="E62" s="155" t="s">
        <v>16</v>
      </c>
      <c r="F62" s="160">
        <f ca="1">IFERROR(INDEX(INDIRECT($A$3&amp;"$1:$1048576"),MATCH(Dashboard!$D$4&amp;$A62,INDIRECT($A$3&amp;"$A:$A"),0),MATCH(F$3,INDIRECT($A$3&amp;"$1:$1"),0)),0)</f>
        <v>1.0276499999999999E-2</v>
      </c>
      <c r="G62" s="160">
        <f ca="1">IFERROR(INDEX(INDIRECT($A$3&amp;"$1:$1048576"),MATCH(Dashboard!$D$4&amp;$A62,INDIRECT($A$3&amp;"$A:$A"),0),MATCH(G$3,INDIRECT($A$3&amp;"$1:$1"),0)),0)</f>
        <v>1.1845E-3</v>
      </c>
      <c r="H62" s="160">
        <f ca="1">IFERROR(INDEX(INDIRECT($A$3&amp;"$1:$1048576"),MATCH(Dashboard!$D$4&amp;$A62,INDIRECT($A$3&amp;"$A:$A"),0),MATCH(H$3,INDIRECT($A$3&amp;"$1:$1"),0)),0)</f>
        <v>1.2535999999999999E-3</v>
      </c>
    </row>
    <row r="63" spans="1:8" x14ac:dyDescent="0.25">
      <c r="A63" t="str">
        <f>Data_FP!$B63&amp;Data_FP!$C63&amp;Data_FP!$D63&amp;Data_FP!$E63</f>
        <v>2016NationalNonTradIUD</v>
      </c>
      <c r="B63" s="157">
        <f t="shared" si="3"/>
        <v>2016</v>
      </c>
      <c r="C63" s="155" t="s">
        <v>178</v>
      </c>
      <c r="D63" s="155" t="s">
        <v>171</v>
      </c>
      <c r="E63" s="155" t="s">
        <v>16</v>
      </c>
      <c r="F63" s="160">
        <f ca="1">IFERROR(INDEX(INDIRECT($A$3&amp;"$1:$1048576"),MATCH(Dashboard!$D$4&amp;$A63,INDIRECT($A$3&amp;"$A:$A"),0),MATCH(F$3,INDIRECT($A$3&amp;"$1:$1"),0)),0)</f>
        <v>0</v>
      </c>
      <c r="G63" s="160">
        <f ca="1">IFERROR(INDEX(INDIRECT($A$3&amp;"$1:$1048576"),MATCH(Dashboard!$D$4&amp;$A63,INDIRECT($A$3&amp;"$A:$A"),0),MATCH(G$3,INDIRECT($A$3&amp;"$1:$1"),0)),0)</f>
        <v>0</v>
      </c>
      <c r="H63" s="160">
        <f ca="1">IFERROR(INDEX(INDIRECT($A$3&amp;"$1:$1048576"),MATCH(Dashboard!$D$4&amp;$A63,INDIRECT($A$3&amp;"$A:$A"),0),MATCH(H$3,INDIRECT($A$3&amp;"$1:$1"),0)),0)</f>
        <v>0</v>
      </c>
    </row>
    <row r="64" spans="1:8" x14ac:dyDescent="0.25">
      <c r="A64" t="str">
        <f>Data_FP!$B64&amp;Data_FP!$C64&amp;Data_FP!$D64&amp;Data_FP!$E64</f>
        <v>2016NationalOtherIUD</v>
      </c>
      <c r="B64" s="157">
        <f t="shared" si="3"/>
        <v>2016</v>
      </c>
      <c r="C64" s="155" t="s">
        <v>178</v>
      </c>
      <c r="D64" s="155" t="s">
        <v>116</v>
      </c>
      <c r="E64" s="155" t="s">
        <v>16</v>
      </c>
      <c r="F64" s="160">
        <f ca="1">IFERROR(INDEX(INDIRECT($A$3&amp;"$1:$1048576"),MATCH(Dashboard!$D$4&amp;$A64,INDIRECT($A$3&amp;"$A:$A"),0),MATCH(F$3,INDIRECT($A$3&amp;"$1:$1"),0)),0)</f>
        <v>0</v>
      </c>
      <c r="G64" s="160">
        <f ca="1">IFERROR(INDEX(INDIRECT($A$3&amp;"$1:$1048576"),MATCH(Dashboard!$D$4&amp;$A64,INDIRECT($A$3&amp;"$A:$A"),0),MATCH(G$3,INDIRECT($A$3&amp;"$1:$1"),0)),0)</f>
        <v>0</v>
      </c>
      <c r="H64" s="160">
        <f ca="1">IFERROR(INDEX(INDIRECT($A$3&amp;"$1:$1048576"),MATCH(Dashboard!$D$4&amp;$A64,INDIRECT($A$3&amp;"$A:$A"),0),MATCH(H$3,INDIRECT($A$3&amp;"$1:$1"),0)),0)</f>
        <v>0</v>
      </c>
    </row>
    <row r="65" spans="1:8" x14ac:dyDescent="0.25">
      <c r="A65" t="str">
        <f>Data_FP!$B65&amp;Data_FP!$C65&amp;Data_FP!$D65&amp;Data_FP!$E65</f>
        <v>2016UrbanPub_MedIUD</v>
      </c>
      <c r="B65" s="157">
        <f t="shared" si="3"/>
        <v>2016</v>
      </c>
      <c r="C65" s="155" t="s">
        <v>20</v>
      </c>
      <c r="D65" s="155" t="s">
        <v>52</v>
      </c>
      <c r="E65" s="155" t="s">
        <v>16</v>
      </c>
      <c r="F65" s="160">
        <f ca="1">IFERROR(INDEX(INDIRECT($A$3&amp;"$1:$1048576"),MATCH(Dashboard!$D$4&amp;$A65,INDIRECT($A$3&amp;"$A:$A"),0),MATCH(F$3,INDIRECT($A$3&amp;"$1:$1"),0)),0)</f>
        <v>9.8592000000000003E-3</v>
      </c>
      <c r="G65" s="160">
        <f ca="1">IFERROR(INDEX(INDIRECT($A$3&amp;"$1:$1048576"),MATCH(Dashboard!$D$4&amp;$A65,INDIRECT($A$3&amp;"$A:$A"),0),MATCH(G$3,INDIRECT($A$3&amp;"$1:$1"),0)),0)</f>
        <v>5.5352999999999999E-3</v>
      </c>
      <c r="H65" s="160">
        <f ca="1">IFERROR(INDEX(INDIRECT($A$3&amp;"$1:$1048576"),MATCH(Dashboard!$D$4&amp;$A65,INDIRECT($A$3&amp;"$A:$A"),0),MATCH(H$3,INDIRECT($A$3&amp;"$1:$1"),0)),0)</f>
        <v>9.7798E-3</v>
      </c>
    </row>
    <row r="66" spans="1:8" x14ac:dyDescent="0.25">
      <c r="A66" t="str">
        <f>Data_FP!$B66&amp;Data_FP!$C66&amp;Data_FP!$D66&amp;Data_FP!$E66</f>
        <v>2016UrbanPub_OutreachIUD</v>
      </c>
      <c r="B66" s="157">
        <f t="shared" si="3"/>
        <v>2016</v>
      </c>
      <c r="C66" s="155" t="s">
        <v>20</v>
      </c>
      <c r="D66" s="155" t="s">
        <v>54</v>
      </c>
      <c r="E66" s="155" t="s">
        <v>16</v>
      </c>
      <c r="F66" s="160">
        <f ca="1">IFERROR(INDEX(INDIRECT($A$3&amp;"$1:$1048576"),MATCH(Dashboard!$D$4&amp;$A66,INDIRECT($A$3&amp;"$A:$A"),0),MATCH(F$3,INDIRECT($A$3&amp;"$1:$1"),0)),0)</f>
        <v>8.097E-4</v>
      </c>
      <c r="G66" s="160">
        <f ca="1">IFERROR(INDEX(INDIRECT($A$3&amp;"$1:$1048576"),MATCH(Dashboard!$D$4&amp;$A66,INDIRECT($A$3&amp;"$A:$A"),0),MATCH(G$3,INDIRECT($A$3&amp;"$1:$1"),0)),0)</f>
        <v>0</v>
      </c>
      <c r="H66" s="160">
        <f ca="1">IFERROR(INDEX(INDIRECT($A$3&amp;"$1:$1048576"),MATCH(Dashboard!$D$4&amp;$A66,INDIRECT($A$3&amp;"$A:$A"),0),MATCH(H$3,INDIRECT($A$3&amp;"$1:$1"),0)),0)</f>
        <v>0</v>
      </c>
    </row>
    <row r="67" spans="1:8" x14ac:dyDescent="0.25">
      <c r="A67" t="str">
        <f>Data_FP!$B67&amp;Data_FP!$C67&amp;Data_FP!$D67&amp;Data_FP!$E67</f>
        <v>2016UrbanNGOIUD</v>
      </c>
      <c r="B67" s="157">
        <f t="shared" si="3"/>
        <v>2016</v>
      </c>
      <c r="C67" s="155" t="s">
        <v>20</v>
      </c>
      <c r="D67" s="155" t="s">
        <v>170</v>
      </c>
      <c r="E67" s="155" t="s">
        <v>16</v>
      </c>
      <c r="F67" s="160">
        <f ca="1">IFERROR(INDEX(INDIRECT($A$3&amp;"$1:$1048576"),MATCH(Dashboard!$D$4&amp;$A67,INDIRECT($A$3&amp;"$A:$A"),0),MATCH(F$3,INDIRECT($A$3&amp;"$1:$1"),0)),0)</f>
        <v>0</v>
      </c>
      <c r="G67" s="160">
        <f ca="1">IFERROR(INDEX(INDIRECT($A$3&amp;"$1:$1048576"),MATCH(Dashboard!$D$4&amp;$A67,INDIRECT($A$3&amp;"$A:$A"),0),MATCH(G$3,INDIRECT($A$3&amp;"$1:$1"),0)),0)</f>
        <v>0</v>
      </c>
      <c r="H67" s="160">
        <f ca="1">IFERROR(INDEX(INDIRECT($A$3&amp;"$1:$1048576"),MATCH(Dashboard!$D$4&amp;$A67,INDIRECT($A$3&amp;"$A:$A"),0),MATCH(H$3,INDIRECT($A$3&amp;"$1:$1"),0)),0)</f>
        <v>0</v>
      </c>
    </row>
    <row r="68" spans="1:8" x14ac:dyDescent="0.25">
      <c r="A68" t="str">
        <f>Data_FP!$B68&amp;Data_FP!$C68&amp;Data_FP!$D68&amp;Data_FP!$E68</f>
        <v>2016UrbanCommercialIUD</v>
      </c>
      <c r="B68" s="157">
        <f t="shared" si="3"/>
        <v>2016</v>
      </c>
      <c r="C68" s="155" t="s">
        <v>20</v>
      </c>
      <c r="D68" s="155" t="s">
        <v>59</v>
      </c>
      <c r="E68" s="155" t="s">
        <v>16</v>
      </c>
      <c r="F68" s="160">
        <f ca="1">IFERROR(INDEX(INDIRECT($A$3&amp;"$1:$1048576"),MATCH(Dashboard!$D$4&amp;$A68,INDIRECT($A$3&amp;"$A:$A"),0),MATCH(F$3,INDIRECT($A$3&amp;"$1:$1"),0)),0)</f>
        <v>1.9955799999999999E-2</v>
      </c>
      <c r="G68" s="160">
        <f ca="1">IFERROR(INDEX(INDIRECT($A$3&amp;"$1:$1048576"),MATCH(Dashboard!$D$4&amp;$A68,INDIRECT($A$3&amp;"$A:$A"),0),MATCH(G$3,INDIRECT($A$3&amp;"$1:$1"),0)),0)</f>
        <v>4.0061999999999997E-3</v>
      </c>
      <c r="H68" s="160">
        <f ca="1">IFERROR(INDEX(INDIRECT($A$3&amp;"$1:$1048576"),MATCH(Dashboard!$D$4&amp;$A68,INDIRECT($A$3&amp;"$A:$A"),0),MATCH(H$3,INDIRECT($A$3&amp;"$1:$1"),0)),0)</f>
        <v>2.4201000000000001E-3</v>
      </c>
    </row>
    <row r="69" spans="1:8" x14ac:dyDescent="0.25">
      <c r="A69" t="str">
        <f>Data_FP!$B69&amp;Data_FP!$C69&amp;Data_FP!$D69&amp;Data_FP!$E69</f>
        <v>2016UrbanNonTradIUD</v>
      </c>
      <c r="B69" s="157">
        <f t="shared" si="3"/>
        <v>2016</v>
      </c>
      <c r="C69" s="155" t="s">
        <v>20</v>
      </c>
      <c r="D69" s="155" t="s">
        <v>171</v>
      </c>
      <c r="E69" s="155" t="s">
        <v>16</v>
      </c>
      <c r="F69" s="160">
        <f ca="1">IFERROR(INDEX(INDIRECT($A$3&amp;"$1:$1048576"),MATCH(Dashboard!$D$4&amp;$A69,INDIRECT($A$3&amp;"$A:$A"),0),MATCH(F$3,INDIRECT($A$3&amp;"$1:$1"),0)),0)</f>
        <v>0</v>
      </c>
      <c r="G69" s="160">
        <f ca="1">IFERROR(INDEX(INDIRECT($A$3&amp;"$1:$1048576"),MATCH(Dashboard!$D$4&amp;$A69,INDIRECT($A$3&amp;"$A:$A"),0),MATCH(G$3,INDIRECT($A$3&amp;"$1:$1"),0)),0)</f>
        <v>0</v>
      </c>
      <c r="H69" s="160">
        <f ca="1">IFERROR(INDEX(INDIRECT($A$3&amp;"$1:$1048576"),MATCH(Dashboard!$D$4&amp;$A69,INDIRECT($A$3&amp;"$A:$A"),0),MATCH(H$3,INDIRECT($A$3&amp;"$1:$1"),0)),0)</f>
        <v>0</v>
      </c>
    </row>
    <row r="70" spans="1:8" x14ac:dyDescent="0.25">
      <c r="A70" t="str">
        <f>Data_FP!$B70&amp;Data_FP!$C70&amp;Data_FP!$D70&amp;Data_FP!$E70</f>
        <v>2016UrbanOtherIUD</v>
      </c>
      <c r="B70" s="157">
        <f t="shared" si="3"/>
        <v>2016</v>
      </c>
      <c r="C70" s="155" t="s">
        <v>20</v>
      </c>
      <c r="D70" s="155" t="s">
        <v>116</v>
      </c>
      <c r="E70" s="155" t="s">
        <v>16</v>
      </c>
      <c r="F70" s="160">
        <f ca="1">IFERROR(INDEX(INDIRECT($A$3&amp;"$1:$1048576"),MATCH(Dashboard!$D$4&amp;$A70,INDIRECT($A$3&amp;"$A:$A"),0),MATCH(F$3,INDIRECT($A$3&amp;"$1:$1"),0)),0)</f>
        <v>0</v>
      </c>
      <c r="G70" s="160">
        <f ca="1">IFERROR(INDEX(INDIRECT($A$3&amp;"$1:$1048576"),MATCH(Dashboard!$D$4&amp;$A70,INDIRECT($A$3&amp;"$A:$A"),0),MATCH(G$3,INDIRECT($A$3&amp;"$1:$1"),0)),0)</f>
        <v>0</v>
      </c>
      <c r="H70" s="160">
        <f ca="1">IFERROR(INDEX(INDIRECT($A$3&amp;"$1:$1048576"),MATCH(Dashboard!$D$4&amp;$A70,INDIRECT($A$3&amp;"$A:$A"),0),MATCH(H$3,INDIRECT($A$3&amp;"$1:$1"),0)),0)</f>
        <v>0</v>
      </c>
    </row>
    <row r="71" spans="1:8" x14ac:dyDescent="0.25">
      <c r="A71" t="str">
        <f>Data_FP!$B71&amp;Data_FP!$C71&amp;Data_FP!$D71&amp;Data_FP!$E71</f>
        <v>2016RuralPub_MedIUD</v>
      </c>
      <c r="B71" s="157">
        <f t="shared" si="3"/>
        <v>2016</v>
      </c>
      <c r="C71" s="155" t="s">
        <v>21</v>
      </c>
      <c r="D71" s="155" t="s">
        <v>52</v>
      </c>
      <c r="E71" s="155" t="s">
        <v>16</v>
      </c>
      <c r="F71" s="160">
        <f ca="1">IFERROR(INDEX(INDIRECT($A$3&amp;"$1:$1048576"),MATCH(Dashboard!$D$4&amp;$A71,INDIRECT($A$3&amp;"$A:$A"),0),MATCH(F$3,INDIRECT($A$3&amp;"$1:$1"),0)),0)</f>
        <v>1.0446799999999999E-2</v>
      </c>
      <c r="G71" s="160">
        <f ca="1">IFERROR(INDEX(INDIRECT($A$3&amp;"$1:$1048576"),MATCH(Dashboard!$D$4&amp;$A71,INDIRECT($A$3&amp;"$A:$A"),0),MATCH(G$3,INDIRECT($A$3&amp;"$1:$1"),0)),0)</f>
        <v>8.3219999999999995E-3</v>
      </c>
      <c r="H71" s="160">
        <f ca="1">IFERROR(INDEX(INDIRECT($A$3&amp;"$1:$1048576"),MATCH(Dashboard!$D$4&amp;$A71,INDIRECT($A$3&amp;"$A:$A"),0),MATCH(H$3,INDIRECT($A$3&amp;"$1:$1"),0)),0)</f>
        <v>5.1472999999999996E-3</v>
      </c>
    </row>
    <row r="72" spans="1:8" x14ac:dyDescent="0.25">
      <c r="A72" t="str">
        <f>Data_FP!$B72&amp;Data_FP!$C72&amp;Data_FP!$D72&amp;Data_FP!$E72</f>
        <v>2016RuralPub_OutreachIUD</v>
      </c>
      <c r="B72" s="157">
        <f t="shared" si="3"/>
        <v>2016</v>
      </c>
      <c r="C72" s="155" t="s">
        <v>21</v>
      </c>
      <c r="D72" s="155" t="s">
        <v>54</v>
      </c>
      <c r="E72" s="155" t="s">
        <v>16</v>
      </c>
      <c r="F72" s="160">
        <f ca="1">IFERROR(INDEX(INDIRECT($A$3&amp;"$1:$1048576"),MATCH(Dashboard!$D$4&amp;$A72,INDIRECT($A$3&amp;"$A:$A"),0),MATCH(F$3,INDIRECT($A$3&amp;"$1:$1"),0)),0)</f>
        <v>1.9432E-3</v>
      </c>
      <c r="G72" s="160">
        <f ca="1">IFERROR(INDEX(INDIRECT($A$3&amp;"$1:$1048576"),MATCH(Dashboard!$D$4&amp;$A72,INDIRECT($A$3&amp;"$A:$A"),0),MATCH(G$3,INDIRECT($A$3&amp;"$1:$1"),0)),0)</f>
        <v>0</v>
      </c>
      <c r="H72" s="160">
        <f ca="1">IFERROR(INDEX(INDIRECT($A$3&amp;"$1:$1048576"),MATCH(Dashboard!$D$4&amp;$A72,INDIRECT($A$3&amp;"$A:$A"),0),MATCH(H$3,INDIRECT($A$3&amp;"$1:$1"),0)),0)</f>
        <v>1.047E-4</v>
      </c>
    </row>
    <row r="73" spans="1:8" x14ac:dyDescent="0.25">
      <c r="A73" t="str">
        <f>Data_FP!$B73&amp;Data_FP!$C73&amp;Data_FP!$D73&amp;Data_FP!$E73</f>
        <v>2016RuralNGOIUD</v>
      </c>
      <c r="B73" s="157">
        <f t="shared" si="3"/>
        <v>2016</v>
      </c>
      <c r="C73" s="155" t="s">
        <v>21</v>
      </c>
      <c r="D73" s="155" t="s">
        <v>170</v>
      </c>
      <c r="E73" s="155" t="s">
        <v>16</v>
      </c>
      <c r="F73" s="160">
        <f ca="1">IFERROR(INDEX(INDIRECT($A$3&amp;"$1:$1048576"),MATCH(Dashboard!$D$4&amp;$A73,INDIRECT($A$3&amp;"$A:$A"),0),MATCH(F$3,INDIRECT($A$3&amp;"$1:$1"),0)),0)</f>
        <v>2.4719999999999999E-4</v>
      </c>
      <c r="G73" s="160">
        <f ca="1">IFERROR(INDEX(INDIRECT($A$3&amp;"$1:$1048576"),MATCH(Dashboard!$D$4&amp;$A73,INDIRECT($A$3&amp;"$A:$A"),0),MATCH(G$3,INDIRECT($A$3&amp;"$1:$1"),0)),0)</f>
        <v>0</v>
      </c>
      <c r="H73" s="160">
        <f ca="1">IFERROR(INDEX(INDIRECT($A$3&amp;"$1:$1048576"),MATCH(Dashboard!$D$4&amp;$A73,INDIRECT($A$3&amp;"$A:$A"),0),MATCH(H$3,INDIRECT($A$3&amp;"$1:$1"),0)),0)</f>
        <v>1.6500000000000001E-5</v>
      </c>
    </row>
    <row r="74" spans="1:8" x14ac:dyDescent="0.25">
      <c r="A74" t="str">
        <f>Data_FP!$B74&amp;Data_FP!$C74&amp;Data_FP!$D74&amp;Data_FP!$E74</f>
        <v>2016RuralCommercialIUD</v>
      </c>
      <c r="B74" s="157">
        <f t="shared" si="3"/>
        <v>2016</v>
      </c>
      <c r="C74" s="155" t="s">
        <v>21</v>
      </c>
      <c r="D74" s="155" t="s">
        <v>59</v>
      </c>
      <c r="E74" s="155" t="s">
        <v>16</v>
      </c>
      <c r="F74" s="160">
        <f ca="1">IFERROR(INDEX(INDIRECT($A$3&amp;"$1:$1048576"),MATCH(Dashboard!$D$4&amp;$A74,INDIRECT($A$3&amp;"$A:$A"),0),MATCH(F$3,INDIRECT($A$3&amp;"$1:$1"),0)),0)</f>
        <v>6.5265000000000002E-3</v>
      </c>
      <c r="G74" s="160">
        <f ca="1">IFERROR(INDEX(INDIRECT($A$3&amp;"$1:$1048576"),MATCH(Dashboard!$D$4&amp;$A74,INDIRECT($A$3&amp;"$A:$A"),0),MATCH(G$3,INDIRECT($A$3&amp;"$1:$1"),0)),0)</f>
        <v>7.0900000000000002E-5</v>
      </c>
      <c r="H74" s="160">
        <f ca="1">IFERROR(INDEX(INDIRECT($A$3&amp;"$1:$1048576"),MATCH(Dashboard!$D$4&amp;$A74,INDIRECT($A$3&amp;"$A:$A"),0),MATCH(H$3,INDIRECT($A$3&amp;"$1:$1"),0)),0)</f>
        <v>8.5139999999999999E-4</v>
      </c>
    </row>
    <row r="75" spans="1:8" x14ac:dyDescent="0.25">
      <c r="A75" t="str">
        <f>Data_FP!$B75&amp;Data_FP!$C75&amp;Data_FP!$D75&amp;Data_FP!$E75</f>
        <v>2016RuralNonTradIUD</v>
      </c>
      <c r="B75" s="157">
        <f t="shared" si="3"/>
        <v>2016</v>
      </c>
      <c r="C75" s="155" t="s">
        <v>21</v>
      </c>
      <c r="D75" s="155" t="s">
        <v>171</v>
      </c>
      <c r="E75" s="155" t="s">
        <v>16</v>
      </c>
      <c r="F75" s="160">
        <f ca="1">IFERROR(INDEX(INDIRECT($A$3&amp;"$1:$1048576"),MATCH(Dashboard!$D$4&amp;$A75,INDIRECT($A$3&amp;"$A:$A"),0),MATCH(F$3,INDIRECT($A$3&amp;"$1:$1"),0)),0)</f>
        <v>0</v>
      </c>
      <c r="G75" s="160">
        <f ca="1">IFERROR(INDEX(INDIRECT($A$3&amp;"$1:$1048576"),MATCH(Dashboard!$D$4&amp;$A75,INDIRECT($A$3&amp;"$A:$A"),0),MATCH(G$3,INDIRECT($A$3&amp;"$1:$1"),0)),0)</f>
        <v>0</v>
      </c>
      <c r="H75" s="160">
        <f ca="1">IFERROR(INDEX(INDIRECT($A$3&amp;"$1:$1048576"),MATCH(Dashboard!$D$4&amp;$A75,INDIRECT($A$3&amp;"$A:$A"),0),MATCH(H$3,INDIRECT($A$3&amp;"$1:$1"),0)),0)</f>
        <v>0</v>
      </c>
    </row>
    <row r="76" spans="1:8" x14ac:dyDescent="0.25">
      <c r="A76" t="str">
        <f>Data_FP!$B76&amp;Data_FP!$C76&amp;Data_FP!$D76&amp;Data_FP!$E76</f>
        <v>2016RuralOtherIUD</v>
      </c>
      <c r="B76" s="157">
        <f t="shared" si="3"/>
        <v>2016</v>
      </c>
      <c r="C76" s="155" t="s">
        <v>21</v>
      </c>
      <c r="D76" s="155" t="s">
        <v>116</v>
      </c>
      <c r="E76" s="155" t="s">
        <v>16</v>
      </c>
      <c r="F76" s="160">
        <f ca="1">IFERROR(INDEX(INDIRECT($A$3&amp;"$1:$1048576"),MATCH(Dashboard!$D$4&amp;$A76,INDIRECT($A$3&amp;"$A:$A"),0),MATCH(F$3,INDIRECT($A$3&amp;"$1:$1"),0)),0)</f>
        <v>0</v>
      </c>
      <c r="G76" s="160">
        <f ca="1">IFERROR(INDEX(INDIRECT($A$3&amp;"$1:$1048576"),MATCH(Dashboard!$D$4&amp;$A76,INDIRECT($A$3&amp;"$A:$A"),0),MATCH(G$3,INDIRECT($A$3&amp;"$1:$1"),0)),0)</f>
        <v>0</v>
      </c>
      <c r="H76" s="160">
        <f ca="1">IFERROR(INDEX(INDIRECT($A$3&amp;"$1:$1048576"),MATCH(Dashboard!$D$4&amp;$A76,INDIRECT($A$3&amp;"$A:$A"),0),MATCH(H$3,INDIRECT($A$3&amp;"$1:$1"),0)),0)</f>
        <v>0</v>
      </c>
    </row>
    <row r="77" spans="1:8" x14ac:dyDescent="0.25">
      <c r="A77" t="str">
        <f>Data_FP!$B77&amp;Data_FP!$C77&amp;Data_FP!$D77&amp;Data_FP!$E77</f>
        <v>2011NationalPub_MedInjectable</v>
      </c>
      <c r="B77" s="157">
        <f t="shared" ref="B77:B94" si="4">Yr_DHS1</f>
        <v>2011</v>
      </c>
      <c r="C77" s="155" t="s">
        <v>178</v>
      </c>
      <c r="D77" s="155" t="s">
        <v>52</v>
      </c>
      <c r="E77" s="155" t="s">
        <v>22</v>
      </c>
      <c r="F77" s="160">
        <f ca="1">IFERROR(INDEX(INDIRECT($A$3&amp;"$1:$1048576"),MATCH(Dashboard!$D$4&amp;$A77,INDIRECT($A$3&amp;"$A:$A"),0),MATCH(F$3,INDIRECT($A$3&amp;"$1:$1"),0)),0)</f>
        <v>3.5987400000000003E-2</v>
      </c>
      <c r="G77" s="160">
        <f ca="1">IFERROR(INDEX(INDIRECT($A$3&amp;"$1:$1048576"),MATCH(Dashboard!$D$4&amp;$A77,INDIRECT($A$3&amp;"$A:$A"),0),MATCH(G$3,INDIRECT($A$3&amp;"$1:$1"),0)),0)</f>
        <v>4.3304099999999998E-2</v>
      </c>
      <c r="H77" s="160">
        <f ca="1">IFERROR(INDEX(INDIRECT($A$3&amp;"$1:$1048576"),MATCH(Dashboard!$D$4&amp;$A77,INDIRECT($A$3&amp;"$A:$A"),0),MATCH(H$3,INDIRECT($A$3&amp;"$1:$1"),0)),0)</f>
        <v>4.3190399999999997E-2</v>
      </c>
    </row>
    <row r="78" spans="1:8" x14ac:dyDescent="0.25">
      <c r="A78" t="str">
        <f>Data_FP!$B78&amp;Data_FP!$C78&amp;Data_FP!$D78&amp;Data_FP!$E78</f>
        <v>2011NationalPub_OutreachInjectable</v>
      </c>
      <c r="B78" s="157">
        <f t="shared" si="4"/>
        <v>2011</v>
      </c>
      <c r="C78" s="155" t="s">
        <v>178</v>
      </c>
      <c r="D78" s="155" t="s">
        <v>54</v>
      </c>
      <c r="E78" s="155" t="s">
        <v>22</v>
      </c>
      <c r="F78" s="160">
        <f ca="1">IFERROR(INDEX(INDIRECT($A$3&amp;"$1:$1048576"),MATCH(Dashboard!$D$4&amp;$A78,INDIRECT($A$3&amp;"$A:$A"),0),MATCH(F$3,INDIRECT($A$3&amp;"$1:$1"),0)),0)</f>
        <v>0</v>
      </c>
      <c r="G78" s="160">
        <f ca="1">IFERROR(INDEX(INDIRECT($A$3&amp;"$1:$1048576"),MATCH(Dashboard!$D$4&amp;$A78,INDIRECT($A$3&amp;"$A:$A"),0),MATCH(G$3,INDIRECT($A$3&amp;"$1:$1"),0)),0)</f>
        <v>2.2330000000000001E-4</v>
      </c>
      <c r="H78" s="160">
        <f ca="1">IFERROR(INDEX(INDIRECT($A$3&amp;"$1:$1048576"),MATCH(Dashboard!$D$4&amp;$A78,INDIRECT($A$3&amp;"$A:$A"),0),MATCH(H$3,INDIRECT($A$3&amp;"$1:$1"),0)),0)</f>
        <v>1.8239999999999999E-4</v>
      </c>
    </row>
    <row r="79" spans="1:8" x14ac:dyDescent="0.25">
      <c r="A79" t="str">
        <f>Data_FP!$B79&amp;Data_FP!$C79&amp;Data_FP!$D79&amp;Data_FP!$E79</f>
        <v>2011NationalNGOInjectable</v>
      </c>
      <c r="B79" s="157">
        <f t="shared" si="4"/>
        <v>2011</v>
      </c>
      <c r="C79" s="155" t="s">
        <v>178</v>
      </c>
      <c r="D79" s="155" t="s">
        <v>170</v>
      </c>
      <c r="E79" s="155" t="s">
        <v>22</v>
      </c>
      <c r="F79" s="160">
        <f ca="1">IFERROR(INDEX(INDIRECT($A$3&amp;"$1:$1048576"),MATCH(Dashboard!$D$4&amp;$A79,INDIRECT($A$3&amp;"$A:$A"),0),MATCH(F$3,INDIRECT($A$3&amp;"$1:$1"),0)),0)</f>
        <v>0</v>
      </c>
      <c r="G79" s="160">
        <f ca="1">IFERROR(INDEX(INDIRECT($A$3&amp;"$1:$1048576"),MATCH(Dashboard!$D$4&amp;$A79,INDIRECT($A$3&amp;"$A:$A"),0),MATCH(G$3,INDIRECT($A$3&amp;"$1:$1"),0)),0)</f>
        <v>7.2139999999999997E-4</v>
      </c>
      <c r="H79" s="160">
        <f ca="1">IFERROR(INDEX(INDIRECT($A$3&amp;"$1:$1048576"),MATCH(Dashboard!$D$4&amp;$A79,INDIRECT($A$3&amp;"$A:$A"),0),MATCH(H$3,INDIRECT($A$3&amp;"$1:$1"),0)),0)</f>
        <v>3.5260000000000001E-4</v>
      </c>
    </row>
    <row r="80" spans="1:8" x14ac:dyDescent="0.25">
      <c r="A80" t="str">
        <f>Data_FP!$B80&amp;Data_FP!$C80&amp;Data_FP!$D80&amp;Data_FP!$E80</f>
        <v>2011NationalCommercialInjectable</v>
      </c>
      <c r="B80" s="157">
        <f t="shared" si="4"/>
        <v>2011</v>
      </c>
      <c r="C80" s="155" t="s">
        <v>178</v>
      </c>
      <c r="D80" s="155" t="s">
        <v>59</v>
      </c>
      <c r="E80" s="155" t="s">
        <v>22</v>
      </c>
      <c r="F80" s="160">
        <f ca="1">IFERROR(INDEX(INDIRECT($A$3&amp;"$1:$1048576"),MATCH(Dashboard!$D$4&amp;$A80,INDIRECT($A$3&amp;"$A:$A"),0),MATCH(F$3,INDIRECT($A$3&amp;"$1:$1"),0)),0)</f>
        <v>7.3784799999999998E-2</v>
      </c>
      <c r="G80" s="160">
        <f ca="1">IFERROR(INDEX(INDIRECT($A$3&amp;"$1:$1048576"),MATCH(Dashboard!$D$4&amp;$A80,INDIRECT($A$3&amp;"$A:$A"),0),MATCH(G$3,INDIRECT($A$3&amp;"$1:$1"),0)),0)</f>
        <v>7.5174599999999994E-2</v>
      </c>
      <c r="H80" s="160">
        <f ca="1">IFERROR(INDEX(INDIRECT($A$3&amp;"$1:$1048576"),MATCH(Dashboard!$D$4&amp;$A80,INDIRECT($A$3&amp;"$A:$A"),0),MATCH(H$3,INDIRECT($A$3&amp;"$1:$1"),0)),0)</f>
        <v>5.6322499999999998E-2</v>
      </c>
    </row>
    <row r="81" spans="1:8" x14ac:dyDescent="0.25">
      <c r="A81" t="str">
        <f>Data_FP!$B81&amp;Data_FP!$C81&amp;Data_FP!$D81&amp;Data_FP!$E81</f>
        <v>2011NationalNonTradInjectable</v>
      </c>
      <c r="B81" s="157">
        <f t="shared" si="4"/>
        <v>2011</v>
      </c>
      <c r="C81" s="155" t="s">
        <v>178</v>
      </c>
      <c r="D81" s="155" t="s">
        <v>171</v>
      </c>
      <c r="E81" s="155" t="s">
        <v>22</v>
      </c>
      <c r="F81" s="160">
        <f ca="1">IFERROR(INDEX(INDIRECT($A$3&amp;"$1:$1048576"),MATCH(Dashboard!$D$4&amp;$A81,INDIRECT($A$3&amp;"$A:$A"),0),MATCH(F$3,INDIRECT($A$3&amp;"$1:$1"),0)),0)</f>
        <v>0</v>
      </c>
      <c r="G81" s="160">
        <f ca="1">IFERROR(INDEX(INDIRECT($A$3&amp;"$1:$1048576"),MATCH(Dashboard!$D$4&amp;$A81,INDIRECT($A$3&amp;"$A:$A"),0),MATCH(G$3,INDIRECT($A$3&amp;"$1:$1"),0)),0)</f>
        <v>4.9989999999999995E-4</v>
      </c>
      <c r="H81" s="160">
        <f ca="1">IFERROR(INDEX(INDIRECT($A$3&amp;"$1:$1048576"),MATCH(Dashboard!$D$4&amp;$A81,INDIRECT($A$3&amp;"$A:$A"),0),MATCH(H$3,INDIRECT($A$3&amp;"$1:$1"),0)),0)</f>
        <v>5.3759999999999995E-4</v>
      </c>
    </row>
    <row r="82" spans="1:8" x14ac:dyDescent="0.25">
      <c r="A82" t="str">
        <f>Data_FP!$B82&amp;Data_FP!$C82&amp;Data_FP!$D82&amp;Data_FP!$E82</f>
        <v>2011NationalOtherInjectable</v>
      </c>
      <c r="B82" s="157">
        <f t="shared" si="4"/>
        <v>2011</v>
      </c>
      <c r="C82" s="155" t="s">
        <v>178</v>
      </c>
      <c r="D82" s="155" t="s">
        <v>116</v>
      </c>
      <c r="E82" s="155" t="s">
        <v>22</v>
      </c>
      <c r="F82" s="160">
        <f ca="1">IFERROR(INDEX(INDIRECT($A$3&amp;"$1:$1048576"),MATCH(Dashboard!$D$4&amp;$A82,INDIRECT($A$3&amp;"$A:$A"),0),MATCH(F$3,INDIRECT($A$3&amp;"$1:$1"),0)),0)</f>
        <v>3.1090000000000002E-4</v>
      </c>
      <c r="G82" s="160">
        <f ca="1">IFERROR(INDEX(INDIRECT($A$3&amp;"$1:$1048576"),MATCH(Dashboard!$D$4&amp;$A82,INDIRECT($A$3&amp;"$A:$A"),0),MATCH(G$3,INDIRECT($A$3&amp;"$1:$1"),0)),0)</f>
        <v>3.3070000000000002E-4</v>
      </c>
      <c r="H82" s="160">
        <f ca="1">IFERROR(INDEX(INDIRECT($A$3&amp;"$1:$1048576"),MATCH(Dashboard!$D$4&amp;$A82,INDIRECT($A$3&amp;"$A:$A"),0),MATCH(H$3,INDIRECT($A$3&amp;"$1:$1"),0)),0)</f>
        <v>2.341E-4</v>
      </c>
    </row>
    <row r="83" spans="1:8" x14ac:dyDescent="0.25">
      <c r="A83" t="str">
        <f>Data_FP!$B83&amp;Data_FP!$C83&amp;Data_FP!$D83&amp;Data_FP!$E83</f>
        <v>2011UrbanPub_MedInjectable</v>
      </c>
      <c r="B83" s="157">
        <f t="shared" si="4"/>
        <v>2011</v>
      </c>
      <c r="C83" s="155" t="s">
        <v>20</v>
      </c>
      <c r="D83" s="155" t="s">
        <v>52</v>
      </c>
      <c r="E83" s="155" t="s">
        <v>22</v>
      </c>
      <c r="F83" s="160">
        <f ca="1">IFERROR(INDEX(INDIRECT($A$3&amp;"$1:$1048576"),MATCH(Dashboard!$D$4&amp;$A83,INDIRECT($A$3&amp;"$A:$A"),0),MATCH(F$3,INDIRECT($A$3&amp;"$1:$1"),0)),0)</f>
        <v>9.9697999999999991E-3</v>
      </c>
      <c r="G83" s="160">
        <f ca="1">IFERROR(INDEX(INDIRECT($A$3&amp;"$1:$1048576"),MATCH(Dashboard!$D$4&amp;$A83,INDIRECT($A$3&amp;"$A:$A"),0),MATCH(G$3,INDIRECT($A$3&amp;"$1:$1"),0)),0)</f>
        <v>2.2919599999999998E-2</v>
      </c>
      <c r="H83" s="160">
        <f ca="1">IFERROR(INDEX(INDIRECT($A$3&amp;"$1:$1048576"),MATCH(Dashboard!$D$4&amp;$A83,INDIRECT($A$3&amp;"$A:$A"),0),MATCH(H$3,INDIRECT($A$3&amp;"$1:$1"),0)),0)</f>
        <v>4.6597899999999998E-2</v>
      </c>
    </row>
    <row r="84" spans="1:8" x14ac:dyDescent="0.25">
      <c r="A84" t="str">
        <f>Data_FP!$B84&amp;Data_FP!$C84&amp;Data_FP!$D84&amp;Data_FP!$E84</f>
        <v>2011UrbanPub_OutreachInjectable</v>
      </c>
      <c r="B84" s="157">
        <f t="shared" si="4"/>
        <v>2011</v>
      </c>
      <c r="C84" s="155" t="s">
        <v>20</v>
      </c>
      <c r="D84" s="155" t="s">
        <v>54</v>
      </c>
      <c r="E84" s="155" t="s">
        <v>22</v>
      </c>
      <c r="F84" s="160">
        <f ca="1">IFERROR(INDEX(INDIRECT($A$3&amp;"$1:$1048576"),MATCH(Dashboard!$D$4&amp;$A84,INDIRECT($A$3&amp;"$A:$A"),0),MATCH(F$3,INDIRECT($A$3&amp;"$1:$1"),0)),0)</f>
        <v>0</v>
      </c>
      <c r="G84" s="160">
        <f ca="1">IFERROR(INDEX(INDIRECT($A$3&amp;"$1:$1048576"),MATCH(Dashboard!$D$4&amp;$A84,INDIRECT($A$3&amp;"$A:$A"),0),MATCH(G$3,INDIRECT($A$3&amp;"$1:$1"),0)),0)</f>
        <v>1.0582E-3</v>
      </c>
      <c r="H84" s="160">
        <f ca="1">IFERROR(INDEX(INDIRECT($A$3&amp;"$1:$1048576"),MATCH(Dashboard!$D$4&amp;$A84,INDIRECT($A$3&amp;"$A:$A"),0),MATCH(H$3,INDIRECT($A$3&amp;"$1:$1"),0)),0)</f>
        <v>0</v>
      </c>
    </row>
    <row r="85" spans="1:8" x14ac:dyDescent="0.25">
      <c r="A85" t="str">
        <f>Data_FP!$B85&amp;Data_FP!$C85&amp;Data_FP!$D85&amp;Data_FP!$E85</f>
        <v>2011UrbanNGOInjectable</v>
      </c>
      <c r="B85" s="157">
        <f t="shared" si="4"/>
        <v>2011</v>
      </c>
      <c r="C85" s="155" t="s">
        <v>20</v>
      </c>
      <c r="D85" s="155" t="s">
        <v>170</v>
      </c>
      <c r="E85" s="155" t="s">
        <v>22</v>
      </c>
      <c r="F85" s="160">
        <f ca="1">IFERROR(INDEX(INDIRECT($A$3&amp;"$1:$1048576"),MATCH(Dashboard!$D$4&amp;$A85,INDIRECT($A$3&amp;"$A:$A"),0),MATCH(F$3,INDIRECT($A$3&amp;"$1:$1"),0)),0)</f>
        <v>0</v>
      </c>
      <c r="G85" s="160">
        <f ca="1">IFERROR(INDEX(INDIRECT($A$3&amp;"$1:$1048576"),MATCH(Dashboard!$D$4&amp;$A85,INDIRECT($A$3&amp;"$A:$A"),0),MATCH(G$3,INDIRECT($A$3&amp;"$1:$1"),0)),0)</f>
        <v>0</v>
      </c>
      <c r="H85" s="160">
        <f ca="1">IFERROR(INDEX(INDIRECT($A$3&amp;"$1:$1048576"),MATCH(Dashboard!$D$4&amp;$A85,INDIRECT($A$3&amp;"$A:$A"),0),MATCH(H$3,INDIRECT($A$3&amp;"$1:$1"),0)),0)</f>
        <v>0</v>
      </c>
    </row>
    <row r="86" spans="1:8" x14ac:dyDescent="0.25">
      <c r="A86" t="str">
        <f>Data_FP!$B86&amp;Data_FP!$C86&amp;Data_FP!$D86&amp;Data_FP!$E86</f>
        <v>2011UrbanCommercialInjectable</v>
      </c>
      <c r="B86" s="157">
        <f t="shared" si="4"/>
        <v>2011</v>
      </c>
      <c r="C86" s="155" t="s">
        <v>20</v>
      </c>
      <c r="D86" s="155" t="s">
        <v>59</v>
      </c>
      <c r="E86" s="155" t="s">
        <v>22</v>
      </c>
      <c r="F86" s="160">
        <f ca="1">IFERROR(INDEX(INDIRECT($A$3&amp;"$1:$1048576"),MATCH(Dashboard!$D$4&amp;$A86,INDIRECT($A$3&amp;"$A:$A"),0),MATCH(F$3,INDIRECT($A$3&amp;"$1:$1"),0)),0)</f>
        <v>5.0159299999999997E-2</v>
      </c>
      <c r="G86" s="160">
        <f ca="1">IFERROR(INDEX(INDIRECT($A$3&amp;"$1:$1048576"),MATCH(Dashboard!$D$4&amp;$A86,INDIRECT($A$3&amp;"$A:$A"),0),MATCH(G$3,INDIRECT($A$3&amp;"$1:$1"),0)),0)</f>
        <v>0.10525900000000001</v>
      </c>
      <c r="H86" s="160">
        <f ca="1">IFERROR(INDEX(INDIRECT($A$3&amp;"$1:$1048576"),MATCH(Dashboard!$D$4&amp;$A86,INDIRECT($A$3&amp;"$A:$A"),0),MATCH(H$3,INDIRECT($A$3&amp;"$1:$1"),0)),0)</f>
        <v>0.1127876</v>
      </c>
    </row>
    <row r="87" spans="1:8" x14ac:dyDescent="0.25">
      <c r="A87" t="str">
        <f>Data_FP!$B87&amp;Data_FP!$C87&amp;Data_FP!$D87&amp;Data_FP!$E87</f>
        <v>2011UrbanNonTradInjectable</v>
      </c>
      <c r="B87" s="157">
        <f t="shared" si="4"/>
        <v>2011</v>
      </c>
      <c r="C87" s="155" t="s">
        <v>20</v>
      </c>
      <c r="D87" s="155" t="s">
        <v>171</v>
      </c>
      <c r="E87" s="155" t="s">
        <v>22</v>
      </c>
      <c r="F87" s="160">
        <f ca="1">IFERROR(INDEX(INDIRECT($A$3&amp;"$1:$1048576"),MATCH(Dashboard!$D$4&amp;$A87,INDIRECT($A$3&amp;"$A:$A"),0),MATCH(F$3,INDIRECT($A$3&amp;"$1:$1"),0)),0)</f>
        <v>0</v>
      </c>
      <c r="G87" s="160">
        <f ca="1">IFERROR(INDEX(INDIRECT($A$3&amp;"$1:$1048576"),MATCH(Dashboard!$D$4&amp;$A87,INDIRECT($A$3&amp;"$A:$A"),0),MATCH(G$3,INDIRECT($A$3&amp;"$1:$1"),0)),0)</f>
        <v>2.3693999999999998E-3</v>
      </c>
      <c r="H87" s="160">
        <f ca="1">IFERROR(INDEX(INDIRECT($A$3&amp;"$1:$1048576"),MATCH(Dashboard!$D$4&amp;$A87,INDIRECT($A$3&amp;"$A:$A"),0),MATCH(H$3,INDIRECT($A$3&amp;"$1:$1"),0)),0)</f>
        <v>0</v>
      </c>
    </row>
    <row r="88" spans="1:8" x14ac:dyDescent="0.25">
      <c r="A88" t="str">
        <f>Data_FP!$B88&amp;Data_FP!$C88&amp;Data_FP!$D88&amp;Data_FP!$E88</f>
        <v>2011UrbanOtherInjectable</v>
      </c>
      <c r="B88" s="157">
        <f t="shared" si="4"/>
        <v>2011</v>
      </c>
      <c r="C88" s="155" t="s">
        <v>20</v>
      </c>
      <c r="D88" s="155" t="s">
        <v>116</v>
      </c>
      <c r="E88" s="155" t="s">
        <v>22</v>
      </c>
      <c r="F88" s="160">
        <f ca="1">IFERROR(INDEX(INDIRECT($A$3&amp;"$1:$1048576"),MATCH(Dashboard!$D$4&amp;$A88,INDIRECT($A$3&amp;"$A:$A"),0),MATCH(F$3,INDIRECT($A$3&amp;"$1:$1"),0)),0)</f>
        <v>1.5491000000000001E-3</v>
      </c>
      <c r="G88" s="160">
        <f ca="1">IFERROR(INDEX(INDIRECT($A$3&amp;"$1:$1048576"),MATCH(Dashboard!$D$4&amp;$A88,INDIRECT($A$3&amp;"$A:$A"),0),MATCH(G$3,INDIRECT($A$3&amp;"$1:$1"),0)),0)</f>
        <v>0</v>
      </c>
      <c r="H88" s="160">
        <f ca="1">IFERROR(INDEX(INDIRECT($A$3&amp;"$1:$1048576"),MATCH(Dashboard!$D$4&amp;$A88,INDIRECT($A$3&amp;"$A:$A"),0),MATCH(H$3,INDIRECT($A$3&amp;"$1:$1"),0)),0)</f>
        <v>0</v>
      </c>
    </row>
    <row r="89" spans="1:8" x14ac:dyDescent="0.25">
      <c r="A89" t="str">
        <f>Data_FP!$B89&amp;Data_FP!$C89&amp;Data_FP!$D89&amp;Data_FP!$E89</f>
        <v>2011RuralPub_MedInjectable</v>
      </c>
      <c r="B89" s="157">
        <f t="shared" si="4"/>
        <v>2011</v>
      </c>
      <c r="C89" s="155" t="s">
        <v>21</v>
      </c>
      <c r="D89" s="155" t="s">
        <v>52</v>
      </c>
      <c r="E89" s="155" t="s">
        <v>22</v>
      </c>
      <c r="F89" s="160">
        <f ca="1">IFERROR(INDEX(INDIRECT($A$3&amp;"$1:$1048576"),MATCH(Dashboard!$D$4&amp;$A89,INDIRECT($A$3&amp;"$A:$A"),0),MATCH(F$3,INDIRECT($A$3&amp;"$1:$1"),0)),0)</f>
        <v>4.2521099999999999E-2</v>
      </c>
      <c r="G89" s="160">
        <f ca="1">IFERROR(INDEX(INDIRECT($A$3&amp;"$1:$1048576"),MATCH(Dashboard!$D$4&amp;$A89,INDIRECT($A$3&amp;"$A:$A"),0),MATCH(G$3,INDIRECT($A$3&amp;"$1:$1"),0)),0)</f>
        <v>4.8754499999999999E-2</v>
      </c>
      <c r="H89" s="160">
        <f ca="1">IFERROR(INDEX(INDIRECT($A$3&amp;"$1:$1048576"),MATCH(Dashboard!$D$4&amp;$A89,INDIRECT($A$3&amp;"$A:$A"),0),MATCH(H$3,INDIRECT($A$3&amp;"$1:$1"),0)),0)</f>
        <v>4.2379899999999998E-2</v>
      </c>
    </row>
    <row r="90" spans="1:8" x14ac:dyDescent="0.25">
      <c r="A90" t="str">
        <f>Data_FP!$B90&amp;Data_FP!$C90&amp;Data_FP!$D90&amp;Data_FP!$E90</f>
        <v>2011RuralPub_OutreachInjectable</v>
      </c>
      <c r="B90" s="157">
        <f t="shared" si="4"/>
        <v>2011</v>
      </c>
      <c r="C90" s="155" t="s">
        <v>21</v>
      </c>
      <c r="D90" s="155" t="s">
        <v>54</v>
      </c>
      <c r="E90" s="155" t="s">
        <v>22</v>
      </c>
      <c r="F90" s="160">
        <f ca="1">IFERROR(INDEX(INDIRECT($A$3&amp;"$1:$1048576"),MATCH(Dashboard!$D$4&amp;$A90,INDIRECT($A$3&amp;"$A:$A"),0),MATCH(F$3,INDIRECT($A$3&amp;"$1:$1"),0)),0)</f>
        <v>0</v>
      </c>
      <c r="G90" s="160">
        <f ca="1">IFERROR(INDEX(INDIRECT($A$3&amp;"$1:$1048576"),MATCH(Dashboard!$D$4&amp;$A90,INDIRECT($A$3&amp;"$A:$A"),0),MATCH(G$3,INDIRECT($A$3&amp;"$1:$1"),0)),0)</f>
        <v>0</v>
      </c>
      <c r="H90" s="160">
        <f ca="1">IFERROR(INDEX(INDIRECT($A$3&amp;"$1:$1048576"),MATCH(Dashboard!$D$4&amp;$A90,INDIRECT($A$3&amp;"$A:$A"),0),MATCH(H$3,INDIRECT($A$3&amp;"$1:$1"),0)),0)</f>
        <v>2.2580000000000001E-4</v>
      </c>
    </row>
    <row r="91" spans="1:8" x14ac:dyDescent="0.25">
      <c r="A91" t="str">
        <f>Data_FP!$B91&amp;Data_FP!$C91&amp;Data_FP!$D91&amp;Data_FP!$E91</f>
        <v>2011RuralNGOInjectable</v>
      </c>
      <c r="B91" s="157">
        <f t="shared" si="4"/>
        <v>2011</v>
      </c>
      <c r="C91" s="155" t="s">
        <v>21</v>
      </c>
      <c r="D91" s="155" t="s">
        <v>170</v>
      </c>
      <c r="E91" s="155" t="s">
        <v>22</v>
      </c>
      <c r="F91" s="160">
        <f ca="1">IFERROR(INDEX(INDIRECT($A$3&amp;"$1:$1048576"),MATCH(Dashboard!$D$4&amp;$A91,INDIRECT($A$3&amp;"$A:$A"),0),MATCH(F$3,INDIRECT($A$3&amp;"$1:$1"),0)),0)</f>
        <v>0</v>
      </c>
      <c r="G91" s="160">
        <f ca="1">IFERROR(INDEX(INDIRECT($A$3&amp;"$1:$1048576"),MATCH(Dashboard!$D$4&amp;$A91,INDIRECT($A$3&amp;"$A:$A"),0),MATCH(G$3,INDIRECT($A$3&amp;"$1:$1"),0)),0)</f>
        <v>9.1430000000000005E-4</v>
      </c>
      <c r="H91" s="160">
        <f ca="1">IFERROR(INDEX(INDIRECT($A$3&amp;"$1:$1048576"),MATCH(Dashboard!$D$4&amp;$A91,INDIRECT($A$3&amp;"$A:$A"),0),MATCH(H$3,INDIRECT($A$3&amp;"$1:$1"),0)),0)</f>
        <v>4.3649999999999998E-4</v>
      </c>
    </row>
    <row r="92" spans="1:8" x14ac:dyDescent="0.25">
      <c r="A92" t="str">
        <f>Data_FP!$B92&amp;Data_FP!$C92&amp;Data_FP!$D92&amp;Data_FP!$E92</f>
        <v>2011RuralCommercialInjectable</v>
      </c>
      <c r="B92" s="157">
        <f t="shared" si="4"/>
        <v>2011</v>
      </c>
      <c r="C92" s="155" t="s">
        <v>21</v>
      </c>
      <c r="D92" s="155" t="s">
        <v>59</v>
      </c>
      <c r="E92" s="155" t="s">
        <v>22</v>
      </c>
      <c r="F92" s="160">
        <f ca="1">IFERROR(INDEX(INDIRECT($A$3&amp;"$1:$1048576"),MATCH(Dashboard!$D$4&amp;$A92,INDIRECT($A$3&amp;"$A:$A"),0),MATCH(F$3,INDIRECT($A$3&amp;"$1:$1"),0)),0)</f>
        <v>7.9717800000000005E-2</v>
      </c>
      <c r="G92" s="160">
        <f ca="1">IFERROR(INDEX(INDIRECT($A$3&amp;"$1:$1048576"),MATCH(Dashboard!$D$4&amp;$A92,INDIRECT($A$3&amp;"$A:$A"),0),MATCH(G$3,INDIRECT($A$3&amp;"$1:$1"),0)),0)</f>
        <v>6.7130599999999999E-2</v>
      </c>
      <c r="H92" s="160">
        <f ca="1">IFERROR(INDEX(INDIRECT($A$3&amp;"$1:$1048576"),MATCH(Dashboard!$D$4&amp;$A92,INDIRECT($A$3&amp;"$A:$A"),0),MATCH(H$3,INDIRECT($A$3&amp;"$1:$1"),0)),0)</f>
        <v>4.2891400000000003E-2</v>
      </c>
    </row>
    <row r="93" spans="1:8" x14ac:dyDescent="0.25">
      <c r="A93" t="str">
        <f>Data_FP!$B93&amp;Data_FP!$C93&amp;Data_FP!$D93&amp;Data_FP!$E93</f>
        <v>2011RuralNonTradInjectable</v>
      </c>
      <c r="B93" s="157">
        <f t="shared" si="4"/>
        <v>2011</v>
      </c>
      <c r="C93" s="155" t="s">
        <v>21</v>
      </c>
      <c r="D93" s="155" t="s">
        <v>171</v>
      </c>
      <c r="E93" s="155" t="s">
        <v>22</v>
      </c>
      <c r="F93" s="160">
        <f ca="1">IFERROR(INDEX(INDIRECT($A$3&amp;"$1:$1048576"),MATCH(Dashboard!$D$4&amp;$A93,INDIRECT($A$3&amp;"$A:$A"),0),MATCH(F$3,INDIRECT($A$3&amp;"$1:$1"),0)),0)</f>
        <v>0</v>
      </c>
      <c r="G93" s="160">
        <f ca="1">IFERROR(INDEX(INDIRECT($A$3&amp;"$1:$1048576"),MATCH(Dashboard!$D$4&amp;$A93,INDIRECT($A$3&amp;"$A:$A"),0),MATCH(G$3,INDIRECT($A$3&amp;"$1:$1"),0)),0)</f>
        <v>0</v>
      </c>
      <c r="H93" s="160">
        <f ca="1">IFERROR(INDEX(INDIRECT($A$3&amp;"$1:$1048576"),MATCH(Dashboard!$D$4&amp;$A93,INDIRECT($A$3&amp;"$A:$A"),0),MATCH(H$3,INDIRECT($A$3&amp;"$1:$1"),0)),0)</f>
        <v>6.6549999999999997E-4</v>
      </c>
    </row>
    <row r="94" spans="1:8" x14ac:dyDescent="0.25">
      <c r="A94" t="str">
        <f>Data_FP!$B94&amp;Data_FP!$C94&amp;Data_FP!$D94&amp;Data_FP!$E94</f>
        <v>2011RuralOtherInjectable</v>
      </c>
      <c r="B94" s="157">
        <f t="shared" si="4"/>
        <v>2011</v>
      </c>
      <c r="C94" s="155" t="s">
        <v>21</v>
      </c>
      <c r="D94" s="155" t="s">
        <v>116</v>
      </c>
      <c r="E94" s="155" t="s">
        <v>22</v>
      </c>
      <c r="F94" s="160">
        <f ca="1">IFERROR(INDEX(INDIRECT($A$3&amp;"$1:$1048576"),MATCH(Dashboard!$D$4&amp;$A94,INDIRECT($A$3&amp;"$A:$A"),0),MATCH(F$3,INDIRECT($A$3&amp;"$1:$1"),0)),0)</f>
        <v>0</v>
      </c>
      <c r="G94" s="160">
        <f ca="1">IFERROR(INDEX(INDIRECT($A$3&amp;"$1:$1048576"),MATCH(Dashboard!$D$4&amp;$A94,INDIRECT($A$3&amp;"$A:$A"),0),MATCH(G$3,INDIRECT($A$3&amp;"$1:$1"),0)),0)</f>
        <v>4.191E-4</v>
      </c>
      <c r="H94" s="160">
        <f ca="1">IFERROR(INDEX(INDIRECT($A$3&amp;"$1:$1048576"),MATCH(Dashboard!$D$4&amp;$A94,INDIRECT($A$3&amp;"$A:$A"),0),MATCH(H$3,INDIRECT($A$3&amp;"$1:$1"),0)),0)</f>
        <v>2.898E-4</v>
      </c>
    </row>
    <row r="95" spans="1:8" x14ac:dyDescent="0.25">
      <c r="A95" t="str">
        <f>Data_FP!$B95&amp;Data_FP!$C95&amp;Data_FP!$D95&amp;Data_FP!$E95</f>
        <v>2016NationalPub_MedInjectable</v>
      </c>
      <c r="B95" s="157">
        <f t="shared" ref="B95:B112" si="5">Yr_DHS2</f>
        <v>2016</v>
      </c>
      <c r="C95" s="155" t="s">
        <v>178</v>
      </c>
      <c r="D95" s="155" t="s">
        <v>52</v>
      </c>
      <c r="E95" s="155" t="s">
        <v>22</v>
      </c>
      <c r="F95" s="160">
        <f ca="1">IFERROR(INDEX(INDIRECT($A$3&amp;"$1:$1048576"),MATCH(Dashboard!$D$4&amp;$A95,INDIRECT($A$3&amp;"$A:$A"),0),MATCH(F$3,INDIRECT($A$3&amp;"$1:$1"),0)),0)</f>
        <v>5.5851900000000003E-2</v>
      </c>
      <c r="G95" s="160">
        <f ca="1">IFERROR(INDEX(INDIRECT($A$3&amp;"$1:$1048576"),MATCH(Dashboard!$D$4&amp;$A95,INDIRECT($A$3&amp;"$A:$A"),0),MATCH(G$3,INDIRECT($A$3&amp;"$1:$1"),0)),0)</f>
        <v>7.96182E-2</v>
      </c>
      <c r="H95" s="160">
        <f ca="1">IFERROR(INDEX(INDIRECT($A$3&amp;"$1:$1048576"),MATCH(Dashboard!$D$4&amp;$A95,INDIRECT($A$3&amp;"$A:$A"),0),MATCH(H$3,INDIRECT($A$3&amp;"$1:$1"),0)),0)</f>
        <v>7.6450099999999993E-2</v>
      </c>
    </row>
    <row r="96" spans="1:8" x14ac:dyDescent="0.25">
      <c r="A96" t="str">
        <f>Data_FP!$B96&amp;Data_FP!$C96&amp;Data_FP!$D96&amp;Data_FP!$E96</f>
        <v>2016NationalPub_OutreachInjectable</v>
      </c>
      <c r="B96" s="157">
        <f t="shared" si="5"/>
        <v>2016</v>
      </c>
      <c r="C96" s="155" t="s">
        <v>178</v>
      </c>
      <c r="D96" s="155" t="s">
        <v>54</v>
      </c>
      <c r="E96" s="155" t="s">
        <v>22</v>
      </c>
      <c r="F96" s="160">
        <f ca="1">IFERROR(INDEX(INDIRECT($A$3&amp;"$1:$1048576"),MATCH(Dashboard!$D$4&amp;$A96,INDIRECT($A$3&amp;"$A:$A"),0),MATCH(F$3,INDIRECT($A$3&amp;"$1:$1"),0)),0)</f>
        <v>2.7778E-3</v>
      </c>
      <c r="G96" s="160">
        <f ca="1">IFERROR(INDEX(INDIRECT($A$3&amp;"$1:$1048576"),MATCH(Dashboard!$D$4&amp;$A96,INDIRECT($A$3&amp;"$A:$A"),0),MATCH(G$3,INDIRECT($A$3&amp;"$1:$1"),0)),0)</f>
        <v>2.7353999999999998E-3</v>
      </c>
      <c r="H96" s="160">
        <f ca="1">IFERROR(INDEX(INDIRECT($A$3&amp;"$1:$1048576"),MATCH(Dashboard!$D$4&amp;$A96,INDIRECT($A$3&amp;"$A:$A"),0),MATCH(H$3,INDIRECT($A$3&amp;"$1:$1"),0)),0)</f>
        <v>2.8362999999999999E-3</v>
      </c>
    </row>
    <row r="97" spans="1:8" x14ac:dyDescent="0.25">
      <c r="A97" t="str">
        <f>Data_FP!$B97&amp;Data_FP!$C97&amp;Data_FP!$D97&amp;Data_FP!$E97</f>
        <v>2016NationalNGOInjectable</v>
      </c>
      <c r="B97" s="157">
        <f t="shared" si="5"/>
        <v>2016</v>
      </c>
      <c r="C97" s="155" t="s">
        <v>178</v>
      </c>
      <c r="D97" s="155" t="s">
        <v>170</v>
      </c>
      <c r="E97" s="155" t="s">
        <v>22</v>
      </c>
      <c r="F97" s="160">
        <f ca="1">IFERROR(INDEX(INDIRECT($A$3&amp;"$1:$1048576"),MATCH(Dashboard!$D$4&amp;$A97,INDIRECT($A$3&amp;"$A:$A"),0),MATCH(F$3,INDIRECT($A$3&amp;"$1:$1"),0)),0)</f>
        <v>1.2113E-3</v>
      </c>
      <c r="G97" s="160">
        <f ca="1">IFERROR(INDEX(INDIRECT($A$3&amp;"$1:$1048576"),MATCH(Dashboard!$D$4&amp;$A97,INDIRECT($A$3&amp;"$A:$A"),0),MATCH(G$3,INDIRECT($A$3&amp;"$1:$1"),0)),0)</f>
        <v>1.0019E-3</v>
      </c>
      <c r="H97" s="160">
        <f ca="1">IFERROR(INDEX(INDIRECT($A$3&amp;"$1:$1048576"),MATCH(Dashboard!$D$4&amp;$A97,INDIRECT($A$3&amp;"$A:$A"),0),MATCH(H$3,INDIRECT($A$3&amp;"$1:$1"),0)),0)</f>
        <v>8.9530000000000002E-4</v>
      </c>
    </row>
    <row r="98" spans="1:8" x14ac:dyDescent="0.25">
      <c r="A98" t="str">
        <f>Data_FP!$B98&amp;Data_FP!$C98&amp;Data_FP!$D98&amp;Data_FP!$E98</f>
        <v>2016NationalCommercialInjectable</v>
      </c>
      <c r="B98" s="157">
        <f t="shared" si="5"/>
        <v>2016</v>
      </c>
      <c r="C98" s="155" t="s">
        <v>178</v>
      </c>
      <c r="D98" s="155" t="s">
        <v>59</v>
      </c>
      <c r="E98" s="155" t="s">
        <v>22</v>
      </c>
      <c r="F98" s="160">
        <f ca="1">IFERROR(INDEX(INDIRECT($A$3&amp;"$1:$1048576"),MATCH(Dashboard!$D$4&amp;$A98,INDIRECT($A$3&amp;"$A:$A"),0),MATCH(F$3,INDIRECT($A$3&amp;"$1:$1"),0)),0)</f>
        <v>7.4533299999999997E-2</v>
      </c>
      <c r="G98" s="160">
        <f ca="1">IFERROR(INDEX(INDIRECT($A$3&amp;"$1:$1048576"),MATCH(Dashboard!$D$4&amp;$A98,INDIRECT($A$3&amp;"$A:$A"),0),MATCH(G$3,INDIRECT($A$3&amp;"$1:$1"),0)),0)</f>
        <v>8.0436800000000003E-2</v>
      </c>
      <c r="H98" s="160">
        <f ca="1">IFERROR(INDEX(INDIRECT($A$3&amp;"$1:$1048576"),MATCH(Dashboard!$D$4&amp;$A98,INDIRECT($A$3&amp;"$A:$A"),0),MATCH(H$3,INDIRECT($A$3&amp;"$1:$1"),0)),0)</f>
        <v>5.10293E-2</v>
      </c>
    </row>
    <row r="99" spans="1:8" x14ac:dyDescent="0.25">
      <c r="A99" t="str">
        <f>Data_FP!$B99&amp;Data_FP!$C99&amp;Data_FP!$D99&amp;Data_FP!$E99</f>
        <v>2016NationalNonTradInjectable</v>
      </c>
      <c r="B99" s="157">
        <f t="shared" si="5"/>
        <v>2016</v>
      </c>
      <c r="C99" s="155" t="s">
        <v>178</v>
      </c>
      <c r="D99" s="155" t="s">
        <v>171</v>
      </c>
      <c r="E99" s="155" t="s">
        <v>22</v>
      </c>
      <c r="F99" s="160">
        <f ca="1">IFERROR(INDEX(INDIRECT($A$3&amp;"$1:$1048576"),MATCH(Dashboard!$D$4&amp;$A99,INDIRECT($A$3&amp;"$A:$A"),0),MATCH(F$3,INDIRECT($A$3&amp;"$1:$1"),0)),0)</f>
        <v>0</v>
      </c>
      <c r="G99" s="160">
        <f ca="1">IFERROR(INDEX(INDIRECT($A$3&amp;"$1:$1048576"),MATCH(Dashboard!$D$4&amp;$A99,INDIRECT($A$3&amp;"$A:$A"),0),MATCH(G$3,INDIRECT($A$3&amp;"$1:$1"),0)),0)</f>
        <v>0</v>
      </c>
      <c r="H99" s="160">
        <f ca="1">IFERROR(INDEX(INDIRECT($A$3&amp;"$1:$1048576"),MATCH(Dashboard!$D$4&amp;$A99,INDIRECT($A$3&amp;"$A:$A"),0),MATCH(H$3,INDIRECT($A$3&amp;"$1:$1"),0)),0)</f>
        <v>0</v>
      </c>
    </row>
    <row r="100" spans="1:8" x14ac:dyDescent="0.25">
      <c r="A100" t="str">
        <f>Data_FP!$B100&amp;Data_FP!$C100&amp;Data_FP!$D100&amp;Data_FP!$E100</f>
        <v>2016NationalOtherInjectable</v>
      </c>
      <c r="B100" s="157">
        <f t="shared" si="5"/>
        <v>2016</v>
      </c>
      <c r="C100" s="155" t="s">
        <v>178</v>
      </c>
      <c r="D100" s="155" t="s">
        <v>116</v>
      </c>
      <c r="E100" s="155" t="s">
        <v>22</v>
      </c>
      <c r="F100" s="160">
        <f ca="1">IFERROR(INDEX(INDIRECT($A$3&amp;"$1:$1048576"),MATCH(Dashboard!$D$4&amp;$A100,INDIRECT($A$3&amp;"$A:$A"),0),MATCH(F$3,INDIRECT($A$3&amp;"$1:$1"),0)),0)</f>
        <v>6.1839999999999996E-4</v>
      </c>
      <c r="G100" s="160">
        <f ca="1">IFERROR(INDEX(INDIRECT($A$3&amp;"$1:$1048576"),MATCH(Dashboard!$D$4&amp;$A100,INDIRECT($A$3&amp;"$A:$A"),0),MATCH(G$3,INDIRECT($A$3&amp;"$1:$1"),0)),0)</f>
        <v>2.4479999999999999E-4</v>
      </c>
      <c r="H100" s="160">
        <f ca="1">IFERROR(INDEX(INDIRECT($A$3&amp;"$1:$1048576"),MATCH(Dashboard!$D$4&amp;$A100,INDIRECT($A$3&amp;"$A:$A"),0),MATCH(H$3,INDIRECT($A$3&amp;"$1:$1"),0)),0)</f>
        <v>2.4000000000000001E-4</v>
      </c>
    </row>
    <row r="101" spans="1:8" x14ac:dyDescent="0.25">
      <c r="A101" t="str">
        <f>Data_FP!$B101&amp;Data_FP!$C101&amp;Data_FP!$D101&amp;Data_FP!$E101</f>
        <v>2016UrbanPub_MedInjectable</v>
      </c>
      <c r="B101" s="157">
        <f t="shared" si="5"/>
        <v>2016</v>
      </c>
      <c r="C101" s="155" t="s">
        <v>20</v>
      </c>
      <c r="D101" s="155" t="s">
        <v>52</v>
      </c>
      <c r="E101" s="155" t="s">
        <v>22</v>
      </c>
      <c r="F101" s="160">
        <f ca="1">IFERROR(INDEX(INDIRECT($A$3&amp;"$1:$1048576"),MATCH(Dashboard!$D$4&amp;$A101,INDIRECT($A$3&amp;"$A:$A"),0),MATCH(F$3,INDIRECT($A$3&amp;"$1:$1"),0)),0)</f>
        <v>3.09257E-2</v>
      </c>
      <c r="G101" s="160">
        <f ca="1">IFERROR(INDEX(INDIRECT($A$3&amp;"$1:$1048576"),MATCH(Dashboard!$D$4&amp;$A101,INDIRECT($A$3&amp;"$A:$A"),0),MATCH(G$3,INDIRECT($A$3&amp;"$1:$1"),0)),0)</f>
        <v>4.7372999999999998E-2</v>
      </c>
      <c r="H101" s="160">
        <f ca="1">IFERROR(INDEX(INDIRECT($A$3&amp;"$1:$1048576"),MATCH(Dashboard!$D$4&amp;$A101,INDIRECT($A$3&amp;"$A:$A"),0),MATCH(H$3,INDIRECT($A$3&amp;"$1:$1"),0)),0)</f>
        <v>6.76374E-2</v>
      </c>
    </row>
    <row r="102" spans="1:8" x14ac:dyDescent="0.25">
      <c r="A102" t="str">
        <f>Data_FP!$B102&amp;Data_FP!$C102&amp;Data_FP!$D102&amp;Data_FP!$E102</f>
        <v>2016UrbanPub_OutreachInjectable</v>
      </c>
      <c r="B102" s="157">
        <f t="shared" si="5"/>
        <v>2016</v>
      </c>
      <c r="C102" s="155" t="s">
        <v>20</v>
      </c>
      <c r="D102" s="155" t="s">
        <v>54</v>
      </c>
      <c r="E102" s="155" t="s">
        <v>22</v>
      </c>
      <c r="F102" s="160">
        <f ca="1">IFERROR(INDEX(INDIRECT($A$3&amp;"$1:$1048576"),MATCH(Dashboard!$D$4&amp;$A102,INDIRECT($A$3&amp;"$A:$A"),0),MATCH(F$3,INDIRECT($A$3&amp;"$1:$1"),0)),0)</f>
        <v>2.2753000000000001E-3</v>
      </c>
      <c r="G102" s="160">
        <f ca="1">IFERROR(INDEX(INDIRECT($A$3&amp;"$1:$1048576"),MATCH(Dashboard!$D$4&amp;$A102,INDIRECT($A$3&amp;"$A:$A"),0),MATCH(G$3,INDIRECT($A$3&amp;"$1:$1"),0)),0)</f>
        <v>6.5379999999999995E-4</v>
      </c>
      <c r="H102" s="160">
        <f ca="1">IFERROR(INDEX(INDIRECT($A$3&amp;"$1:$1048576"),MATCH(Dashboard!$D$4&amp;$A102,INDIRECT($A$3&amp;"$A:$A"),0),MATCH(H$3,INDIRECT($A$3&amp;"$1:$1"),0)),0)</f>
        <v>5.396E-4</v>
      </c>
    </row>
    <row r="103" spans="1:8" x14ac:dyDescent="0.25">
      <c r="A103" t="str">
        <f>Data_FP!$B103&amp;Data_FP!$C103&amp;Data_FP!$D103&amp;Data_FP!$E103</f>
        <v>2016UrbanNGOInjectable</v>
      </c>
      <c r="B103" s="157">
        <f t="shared" si="5"/>
        <v>2016</v>
      </c>
      <c r="C103" s="155" t="s">
        <v>20</v>
      </c>
      <c r="D103" s="155" t="s">
        <v>170</v>
      </c>
      <c r="E103" s="155" t="s">
        <v>22</v>
      </c>
      <c r="F103" s="160">
        <f ca="1">IFERROR(INDEX(INDIRECT($A$3&amp;"$1:$1048576"),MATCH(Dashboard!$D$4&amp;$A103,INDIRECT($A$3&amp;"$A:$A"),0),MATCH(F$3,INDIRECT($A$3&amp;"$1:$1"),0)),0)</f>
        <v>0</v>
      </c>
      <c r="G103" s="160">
        <f ca="1">IFERROR(INDEX(INDIRECT($A$3&amp;"$1:$1048576"),MATCH(Dashboard!$D$4&amp;$A103,INDIRECT($A$3&amp;"$A:$A"),0),MATCH(G$3,INDIRECT($A$3&amp;"$1:$1"),0)),0)</f>
        <v>0</v>
      </c>
      <c r="H103" s="160">
        <f ca="1">IFERROR(INDEX(INDIRECT($A$3&amp;"$1:$1048576"),MATCH(Dashboard!$D$4&amp;$A103,INDIRECT($A$3&amp;"$A:$A"),0),MATCH(H$3,INDIRECT($A$3&amp;"$1:$1"),0)),0)</f>
        <v>1.0761E-3</v>
      </c>
    </row>
    <row r="104" spans="1:8" x14ac:dyDescent="0.25">
      <c r="A104" t="str">
        <f>Data_FP!$B104&amp;Data_FP!$C104&amp;Data_FP!$D104&amp;Data_FP!$E104</f>
        <v>2016UrbanCommercialInjectable</v>
      </c>
      <c r="B104" s="157">
        <f t="shared" si="5"/>
        <v>2016</v>
      </c>
      <c r="C104" s="155" t="s">
        <v>20</v>
      </c>
      <c r="D104" s="155" t="s">
        <v>59</v>
      </c>
      <c r="E104" s="155" t="s">
        <v>22</v>
      </c>
      <c r="F104" s="160">
        <f ca="1">IFERROR(INDEX(INDIRECT($A$3&amp;"$1:$1048576"),MATCH(Dashboard!$D$4&amp;$A104,INDIRECT($A$3&amp;"$A:$A"),0),MATCH(F$3,INDIRECT($A$3&amp;"$1:$1"),0)),0)</f>
        <v>7.0752300000000004E-2</v>
      </c>
      <c r="G104" s="160">
        <f ca="1">IFERROR(INDEX(INDIRECT($A$3&amp;"$1:$1048576"),MATCH(Dashboard!$D$4&amp;$A104,INDIRECT($A$3&amp;"$A:$A"),0),MATCH(G$3,INDIRECT($A$3&amp;"$1:$1"),0)),0)</f>
        <v>0.1078966</v>
      </c>
      <c r="H104" s="160">
        <f ca="1">IFERROR(INDEX(INDIRECT($A$3&amp;"$1:$1048576"),MATCH(Dashboard!$D$4&amp;$A104,INDIRECT($A$3&amp;"$A:$A"),0),MATCH(H$3,INDIRECT($A$3&amp;"$1:$1"),0)),0)</f>
        <v>6.7006399999999994E-2</v>
      </c>
    </row>
    <row r="105" spans="1:8" x14ac:dyDescent="0.25">
      <c r="A105" t="str">
        <f>Data_FP!$B105&amp;Data_FP!$C105&amp;Data_FP!$D105&amp;Data_FP!$E105</f>
        <v>2016UrbanNonTradInjectable</v>
      </c>
      <c r="B105" s="157">
        <f t="shared" si="5"/>
        <v>2016</v>
      </c>
      <c r="C105" s="155" t="s">
        <v>20</v>
      </c>
      <c r="D105" s="155" t="s">
        <v>171</v>
      </c>
      <c r="E105" s="155" t="s">
        <v>22</v>
      </c>
      <c r="F105" s="160">
        <f ca="1">IFERROR(INDEX(INDIRECT($A$3&amp;"$1:$1048576"),MATCH(Dashboard!$D$4&amp;$A105,INDIRECT($A$3&amp;"$A:$A"),0),MATCH(F$3,INDIRECT($A$3&amp;"$1:$1"),0)),0)</f>
        <v>0</v>
      </c>
      <c r="G105" s="160">
        <f ca="1">IFERROR(INDEX(INDIRECT($A$3&amp;"$1:$1048576"),MATCH(Dashboard!$D$4&amp;$A105,INDIRECT($A$3&amp;"$A:$A"),0),MATCH(G$3,INDIRECT($A$3&amp;"$1:$1"),0)),0)</f>
        <v>0</v>
      </c>
      <c r="H105" s="160">
        <f ca="1">IFERROR(INDEX(INDIRECT($A$3&amp;"$1:$1048576"),MATCH(Dashboard!$D$4&amp;$A105,INDIRECT($A$3&amp;"$A:$A"),0),MATCH(H$3,INDIRECT($A$3&amp;"$1:$1"),0)),0)</f>
        <v>0</v>
      </c>
    </row>
    <row r="106" spans="1:8" x14ac:dyDescent="0.25">
      <c r="A106" t="str">
        <f>Data_FP!$B106&amp;Data_FP!$C106&amp;Data_FP!$D106&amp;Data_FP!$E106</f>
        <v>2016UrbanOtherInjectable</v>
      </c>
      <c r="B106" s="157">
        <f t="shared" si="5"/>
        <v>2016</v>
      </c>
      <c r="C106" s="155" t="s">
        <v>20</v>
      </c>
      <c r="D106" s="155" t="s">
        <v>116</v>
      </c>
      <c r="E106" s="155" t="s">
        <v>22</v>
      </c>
      <c r="F106" s="160">
        <f ca="1">IFERROR(INDEX(INDIRECT($A$3&amp;"$1:$1048576"),MATCH(Dashboard!$D$4&amp;$A106,INDIRECT($A$3&amp;"$A:$A"),0),MATCH(F$3,INDIRECT($A$3&amp;"$1:$1"),0)),0)</f>
        <v>0</v>
      </c>
      <c r="G106" s="160">
        <f ca="1">IFERROR(INDEX(INDIRECT($A$3&amp;"$1:$1048576"),MATCH(Dashboard!$D$4&amp;$A106,INDIRECT($A$3&amp;"$A:$A"),0),MATCH(G$3,INDIRECT($A$3&amp;"$1:$1"),0)),0)</f>
        <v>0</v>
      </c>
      <c r="H106" s="160">
        <f ca="1">IFERROR(INDEX(INDIRECT($A$3&amp;"$1:$1048576"),MATCH(Dashboard!$D$4&amp;$A106,INDIRECT($A$3&amp;"$A:$A"),0),MATCH(H$3,INDIRECT($A$3&amp;"$1:$1"),0)),0)</f>
        <v>0</v>
      </c>
    </row>
    <row r="107" spans="1:8" x14ac:dyDescent="0.25">
      <c r="A107" t="str">
        <f>Data_FP!$B107&amp;Data_FP!$C107&amp;Data_FP!$D107&amp;Data_FP!$E107</f>
        <v>2016RuralPub_MedInjectable</v>
      </c>
      <c r="B107" s="157">
        <f t="shared" si="5"/>
        <v>2016</v>
      </c>
      <c r="C107" s="155" t="s">
        <v>21</v>
      </c>
      <c r="D107" s="155" t="s">
        <v>52</v>
      </c>
      <c r="E107" s="155" t="s">
        <v>22</v>
      </c>
      <c r="F107" s="160">
        <f ca="1">IFERROR(INDEX(INDIRECT($A$3&amp;"$1:$1048576"),MATCH(Dashboard!$D$4&amp;$A107,INDIRECT($A$3&amp;"$A:$A"),0),MATCH(F$3,INDIRECT($A$3&amp;"$1:$1"),0)),0)</f>
        <v>6.5509100000000001E-2</v>
      </c>
      <c r="G107" s="160">
        <f ca="1">IFERROR(INDEX(INDIRECT($A$3&amp;"$1:$1048576"),MATCH(Dashboard!$D$4&amp;$A107,INDIRECT($A$3&amp;"$A:$A"),0),MATCH(G$3,INDIRECT($A$3&amp;"$1:$1"),0)),0)</f>
        <v>9.2343099999999997E-2</v>
      </c>
      <c r="H107" s="160">
        <f ca="1">IFERROR(INDEX(INDIRECT($A$3&amp;"$1:$1048576"),MATCH(Dashboard!$D$4&amp;$A107,INDIRECT($A$3&amp;"$A:$A"),0),MATCH(H$3,INDIRECT($A$3&amp;"$1:$1"),0)),0)</f>
        <v>7.94879E-2</v>
      </c>
    </row>
    <row r="108" spans="1:8" x14ac:dyDescent="0.25">
      <c r="A108" t="str">
        <f>Data_FP!$B108&amp;Data_FP!$C108&amp;Data_FP!$D108&amp;Data_FP!$E108</f>
        <v>2016RuralPub_OutreachInjectable</v>
      </c>
      <c r="B108" s="157">
        <f t="shared" si="5"/>
        <v>2016</v>
      </c>
      <c r="C108" s="155" t="s">
        <v>21</v>
      </c>
      <c r="D108" s="155" t="s">
        <v>54</v>
      </c>
      <c r="E108" s="155" t="s">
        <v>22</v>
      </c>
      <c r="F108" s="160">
        <f ca="1">IFERROR(INDEX(INDIRECT($A$3&amp;"$1:$1048576"),MATCH(Dashboard!$D$4&amp;$A108,INDIRECT($A$3&amp;"$A:$A"),0),MATCH(F$3,INDIRECT($A$3&amp;"$1:$1"),0)),0)</f>
        <v>2.9724999999999999E-3</v>
      </c>
      <c r="G108" s="160">
        <f ca="1">IFERROR(INDEX(INDIRECT($A$3&amp;"$1:$1048576"),MATCH(Dashboard!$D$4&amp;$A108,INDIRECT($A$3&amp;"$A:$A"),0),MATCH(G$3,INDIRECT($A$3&amp;"$1:$1"),0)),0)</f>
        <v>3.5569E-3</v>
      </c>
      <c r="H108" s="160">
        <f ca="1">IFERROR(INDEX(INDIRECT($A$3&amp;"$1:$1048576"),MATCH(Dashboard!$D$4&amp;$A108,INDIRECT($A$3&amp;"$A:$A"),0),MATCH(H$3,INDIRECT($A$3&amp;"$1:$1"),0)),0)</f>
        <v>3.6278999999999999E-3</v>
      </c>
    </row>
    <row r="109" spans="1:8" x14ac:dyDescent="0.25">
      <c r="A109" t="str">
        <f>Data_FP!$B109&amp;Data_FP!$C109&amp;Data_FP!$D109&amp;Data_FP!$E109</f>
        <v>2016RuralNGOInjectable</v>
      </c>
      <c r="B109" s="157">
        <f t="shared" si="5"/>
        <v>2016</v>
      </c>
      <c r="C109" s="155" t="s">
        <v>21</v>
      </c>
      <c r="D109" s="155" t="s">
        <v>170</v>
      </c>
      <c r="E109" s="155" t="s">
        <v>22</v>
      </c>
      <c r="F109" s="160">
        <f ca="1">IFERROR(INDEX(INDIRECT($A$3&amp;"$1:$1048576"),MATCH(Dashboard!$D$4&amp;$A109,INDIRECT($A$3&amp;"$A:$A"),0),MATCH(F$3,INDIRECT($A$3&amp;"$1:$1"),0)),0)</f>
        <v>1.6806E-3</v>
      </c>
      <c r="G109" s="160">
        <f ca="1">IFERROR(INDEX(INDIRECT($A$3&amp;"$1:$1048576"),MATCH(Dashboard!$D$4&amp;$A109,INDIRECT($A$3&amp;"$A:$A"),0),MATCH(G$3,INDIRECT($A$3&amp;"$1:$1"),0)),0)</f>
        <v>1.3973E-3</v>
      </c>
      <c r="H109" s="160">
        <f ca="1">IFERROR(INDEX(INDIRECT($A$3&amp;"$1:$1048576"),MATCH(Dashboard!$D$4&amp;$A109,INDIRECT($A$3&amp;"$A:$A"),0),MATCH(H$3,INDIRECT($A$3&amp;"$1:$1"),0)),0)</f>
        <v>8.3299999999999997E-4</v>
      </c>
    </row>
    <row r="110" spans="1:8" x14ac:dyDescent="0.25">
      <c r="A110" t="str">
        <f>Data_FP!$B110&amp;Data_FP!$C110&amp;Data_FP!$D110&amp;Data_FP!$E110</f>
        <v>2016RuralCommercialInjectable</v>
      </c>
      <c r="B110" s="157">
        <f t="shared" si="5"/>
        <v>2016</v>
      </c>
      <c r="C110" s="155" t="s">
        <v>21</v>
      </c>
      <c r="D110" s="155" t="s">
        <v>59</v>
      </c>
      <c r="E110" s="155" t="s">
        <v>22</v>
      </c>
      <c r="F110" s="160">
        <f ca="1">IFERROR(INDEX(INDIRECT($A$3&amp;"$1:$1048576"),MATCH(Dashboard!$D$4&amp;$A110,INDIRECT($A$3&amp;"$A:$A"),0),MATCH(F$3,INDIRECT($A$3&amp;"$1:$1"),0)),0)</f>
        <v>7.5998200000000002E-2</v>
      </c>
      <c r="G110" s="160">
        <f ca="1">IFERROR(INDEX(INDIRECT($A$3&amp;"$1:$1048576"),MATCH(Dashboard!$D$4&amp;$A110,INDIRECT($A$3&amp;"$A:$A"),0),MATCH(G$3,INDIRECT($A$3&amp;"$1:$1"),0)),0)</f>
        <v>6.9600300000000004E-2</v>
      </c>
      <c r="H110" s="160">
        <f ca="1">IFERROR(INDEX(INDIRECT($A$3&amp;"$1:$1048576"),MATCH(Dashboard!$D$4&amp;$A110,INDIRECT($A$3&amp;"$A:$A"),0),MATCH(H$3,INDIRECT($A$3&amp;"$1:$1"),0)),0)</f>
        <v>4.5521800000000001E-2</v>
      </c>
    </row>
    <row r="111" spans="1:8" x14ac:dyDescent="0.25">
      <c r="A111" t="str">
        <f>Data_FP!$B111&amp;Data_FP!$C111&amp;Data_FP!$D111&amp;Data_FP!$E111</f>
        <v>2016RuralNonTradInjectable</v>
      </c>
      <c r="B111" s="157">
        <f t="shared" si="5"/>
        <v>2016</v>
      </c>
      <c r="C111" s="155" t="s">
        <v>21</v>
      </c>
      <c r="D111" s="155" t="s">
        <v>171</v>
      </c>
      <c r="E111" s="155" t="s">
        <v>22</v>
      </c>
      <c r="F111" s="160">
        <f ca="1">IFERROR(INDEX(INDIRECT($A$3&amp;"$1:$1048576"),MATCH(Dashboard!$D$4&amp;$A111,INDIRECT($A$3&amp;"$A:$A"),0),MATCH(F$3,INDIRECT($A$3&amp;"$1:$1"),0)),0)</f>
        <v>0</v>
      </c>
      <c r="G111" s="160">
        <f ca="1">IFERROR(INDEX(INDIRECT($A$3&amp;"$1:$1048576"),MATCH(Dashboard!$D$4&amp;$A111,INDIRECT($A$3&amp;"$A:$A"),0),MATCH(G$3,INDIRECT($A$3&amp;"$1:$1"),0)),0)</f>
        <v>0</v>
      </c>
      <c r="H111" s="160">
        <f ca="1">IFERROR(INDEX(INDIRECT($A$3&amp;"$1:$1048576"),MATCH(Dashboard!$D$4&amp;$A111,INDIRECT($A$3&amp;"$A:$A"),0),MATCH(H$3,INDIRECT($A$3&amp;"$1:$1"),0)),0)</f>
        <v>0</v>
      </c>
    </row>
    <row r="112" spans="1:8" x14ac:dyDescent="0.25">
      <c r="A112" t="str">
        <f>Data_FP!$B112&amp;Data_FP!$C112&amp;Data_FP!$D112&amp;Data_FP!$E112</f>
        <v>2016RuralOtherInjectable</v>
      </c>
      <c r="B112" s="157">
        <f t="shared" si="5"/>
        <v>2016</v>
      </c>
      <c r="C112" s="155" t="s">
        <v>21</v>
      </c>
      <c r="D112" s="155" t="s">
        <v>116</v>
      </c>
      <c r="E112" s="155" t="s">
        <v>22</v>
      </c>
      <c r="F112" s="160">
        <f ca="1">IFERROR(INDEX(INDIRECT($A$3&amp;"$1:$1048576"),MATCH(Dashboard!$D$4&amp;$A112,INDIRECT($A$3&amp;"$A:$A"),0),MATCH(F$3,INDIRECT($A$3&amp;"$1:$1"),0)),0)</f>
        <v>8.5789999999999998E-4</v>
      </c>
      <c r="G112" s="160">
        <f ca="1">IFERROR(INDEX(INDIRECT($A$3&amp;"$1:$1048576"),MATCH(Dashboard!$D$4&amp;$A112,INDIRECT($A$3&amp;"$A:$A"),0),MATCH(G$3,INDIRECT($A$3&amp;"$1:$1"),0)),0)</f>
        <v>3.414E-4</v>
      </c>
      <c r="H112" s="160">
        <f ca="1">IFERROR(INDEX(INDIRECT($A$3&amp;"$1:$1048576"),MATCH(Dashboard!$D$4&amp;$A112,INDIRECT($A$3&amp;"$A:$A"),0),MATCH(H$3,INDIRECT($A$3&amp;"$1:$1"),0)),0)</f>
        <v>3.2279999999999999E-4</v>
      </c>
    </row>
    <row r="113" spans="1:8" x14ac:dyDescent="0.25">
      <c r="A113" t="str">
        <f>Data_FP!$B113&amp;Data_FP!$C113&amp;Data_FP!$D113&amp;Data_FP!$E113</f>
        <v>2011NationalPub_MedImplant</v>
      </c>
      <c r="B113" s="157">
        <f t="shared" ref="B113:B130" si="6">Yr_DHS1</f>
        <v>2011</v>
      </c>
      <c r="C113" s="155" t="s">
        <v>178</v>
      </c>
      <c r="D113" s="155" t="s">
        <v>52</v>
      </c>
      <c r="E113" s="155" t="s">
        <v>23</v>
      </c>
      <c r="F113" s="160">
        <f ca="1">IFERROR(INDEX(INDIRECT($A$3&amp;"$1:$1048576"),MATCH(Dashboard!$D$4&amp;$A113,INDIRECT($A$3&amp;"$A:$A"),0),MATCH(F$3,INDIRECT($A$3&amp;"$1:$1"),0)),0)</f>
        <v>1.7478299999999999E-2</v>
      </c>
      <c r="G113" s="160">
        <f ca="1">IFERROR(INDEX(INDIRECT($A$3&amp;"$1:$1048576"),MATCH(Dashboard!$D$4&amp;$A113,INDIRECT($A$3&amp;"$A:$A"),0),MATCH(G$3,INDIRECT($A$3&amp;"$1:$1"),0)),0)</f>
        <v>1.3404599999999999E-2</v>
      </c>
      <c r="H113" s="160">
        <f ca="1">IFERROR(INDEX(INDIRECT($A$3&amp;"$1:$1048576"),MATCH(Dashboard!$D$4&amp;$A113,INDIRECT($A$3&amp;"$A:$A"),0),MATCH(H$3,INDIRECT($A$3&amp;"$1:$1"),0)),0)</f>
        <v>1.5717100000000001E-2</v>
      </c>
    </row>
    <row r="114" spans="1:8" x14ac:dyDescent="0.25">
      <c r="A114" t="str">
        <f>Data_FP!$B114&amp;Data_FP!$C114&amp;Data_FP!$D114&amp;Data_FP!$E114</f>
        <v>2011NationalPub_OutreachImplant</v>
      </c>
      <c r="B114" s="157">
        <f t="shared" si="6"/>
        <v>2011</v>
      </c>
      <c r="C114" s="155" t="s">
        <v>178</v>
      </c>
      <c r="D114" s="155" t="s">
        <v>54</v>
      </c>
      <c r="E114" s="155" t="s">
        <v>23</v>
      </c>
      <c r="F114" s="160">
        <f ca="1">IFERROR(INDEX(INDIRECT($A$3&amp;"$1:$1048576"),MATCH(Dashboard!$D$4&amp;$A114,INDIRECT($A$3&amp;"$A:$A"),0),MATCH(F$3,INDIRECT($A$3&amp;"$1:$1"),0)),0)</f>
        <v>0</v>
      </c>
      <c r="G114" s="160">
        <f ca="1">IFERROR(INDEX(INDIRECT($A$3&amp;"$1:$1048576"),MATCH(Dashboard!$D$4&amp;$A114,INDIRECT($A$3&amp;"$A:$A"),0),MATCH(G$3,INDIRECT($A$3&amp;"$1:$1"),0)),0)</f>
        <v>5.9880000000000003E-4</v>
      </c>
      <c r="H114" s="160">
        <f ca="1">IFERROR(INDEX(INDIRECT($A$3&amp;"$1:$1048576"),MATCH(Dashboard!$D$4&amp;$A114,INDIRECT($A$3&amp;"$A:$A"),0),MATCH(H$3,INDIRECT($A$3&amp;"$1:$1"),0)),0)</f>
        <v>6.3159999999999996E-4</v>
      </c>
    </row>
    <row r="115" spans="1:8" x14ac:dyDescent="0.25">
      <c r="A115" t="str">
        <f>Data_FP!$B115&amp;Data_FP!$C115&amp;Data_FP!$D115&amp;Data_FP!$E115</f>
        <v>2011NationalNGOImplant</v>
      </c>
      <c r="B115" s="157">
        <f t="shared" si="6"/>
        <v>2011</v>
      </c>
      <c r="C115" s="155" t="s">
        <v>178</v>
      </c>
      <c r="D115" s="155" t="s">
        <v>170</v>
      </c>
      <c r="E115" s="155" t="s">
        <v>23</v>
      </c>
      <c r="F115" s="160">
        <f ca="1">IFERROR(INDEX(INDIRECT($A$3&amp;"$1:$1048576"),MATCH(Dashboard!$D$4&amp;$A115,INDIRECT($A$3&amp;"$A:$A"),0),MATCH(F$3,INDIRECT($A$3&amp;"$1:$1"),0)),0)</f>
        <v>5.3899999999999998E-4</v>
      </c>
      <c r="G115" s="160">
        <f ca="1">IFERROR(INDEX(INDIRECT($A$3&amp;"$1:$1048576"),MATCH(Dashboard!$D$4&amp;$A115,INDIRECT($A$3&amp;"$A:$A"),0),MATCH(G$3,INDIRECT($A$3&amp;"$1:$1"),0)),0)</f>
        <v>6.6370000000000003E-4</v>
      </c>
      <c r="H115" s="160">
        <f ca="1">IFERROR(INDEX(INDIRECT($A$3&amp;"$1:$1048576"),MATCH(Dashboard!$D$4&amp;$A115,INDIRECT($A$3&amp;"$A:$A"),0),MATCH(H$3,INDIRECT($A$3&amp;"$1:$1"),0)),0)</f>
        <v>3.3070000000000002E-4</v>
      </c>
    </row>
    <row r="116" spans="1:8" x14ac:dyDescent="0.25">
      <c r="A116" t="str">
        <f>Data_FP!$B116&amp;Data_FP!$C116&amp;Data_FP!$D116&amp;Data_FP!$E116</f>
        <v>2011NationalCommercialImplant</v>
      </c>
      <c r="B116" s="157">
        <f t="shared" si="6"/>
        <v>2011</v>
      </c>
      <c r="C116" s="155" t="s">
        <v>178</v>
      </c>
      <c r="D116" s="155" t="s">
        <v>59</v>
      </c>
      <c r="E116" s="155" t="s">
        <v>23</v>
      </c>
      <c r="F116" s="160">
        <f ca="1">IFERROR(INDEX(INDIRECT($A$3&amp;"$1:$1048576"),MATCH(Dashboard!$D$4&amp;$A116,INDIRECT($A$3&amp;"$A:$A"),0),MATCH(F$3,INDIRECT($A$3&amp;"$1:$1"),0)),0)</f>
        <v>3.4342000000000001E-3</v>
      </c>
      <c r="G116" s="160">
        <f ca="1">IFERROR(INDEX(INDIRECT($A$3&amp;"$1:$1048576"),MATCH(Dashboard!$D$4&amp;$A116,INDIRECT($A$3&amp;"$A:$A"),0),MATCH(G$3,INDIRECT($A$3&amp;"$1:$1"),0)),0)</f>
        <v>1.6194E-3</v>
      </c>
      <c r="H116" s="160">
        <f ca="1">IFERROR(INDEX(INDIRECT($A$3&amp;"$1:$1048576"),MATCH(Dashboard!$D$4&amp;$A116,INDIRECT($A$3&amp;"$A:$A"),0),MATCH(H$3,INDIRECT($A$3&amp;"$1:$1"),0)),0)</f>
        <v>2.0596999999999998E-3</v>
      </c>
    </row>
    <row r="117" spans="1:8" x14ac:dyDescent="0.25">
      <c r="A117" t="str">
        <f>Data_FP!$B117&amp;Data_FP!$C117&amp;Data_FP!$D117&amp;Data_FP!$E117</f>
        <v>2011NationalNonTradImplant</v>
      </c>
      <c r="B117" s="157">
        <f t="shared" si="6"/>
        <v>2011</v>
      </c>
      <c r="C117" s="155" t="s">
        <v>178</v>
      </c>
      <c r="D117" s="155" t="s">
        <v>171</v>
      </c>
      <c r="E117" s="155" t="s">
        <v>23</v>
      </c>
      <c r="F117" s="160">
        <f ca="1">IFERROR(INDEX(INDIRECT($A$3&amp;"$1:$1048576"),MATCH(Dashboard!$D$4&amp;$A117,INDIRECT($A$3&amp;"$A:$A"),0),MATCH(F$3,INDIRECT($A$3&amp;"$1:$1"),0)),0)</f>
        <v>0</v>
      </c>
      <c r="G117" s="160">
        <f ca="1">IFERROR(INDEX(INDIRECT($A$3&amp;"$1:$1048576"),MATCH(Dashboard!$D$4&amp;$A117,INDIRECT($A$3&amp;"$A:$A"),0),MATCH(G$3,INDIRECT($A$3&amp;"$1:$1"),0)),0)</f>
        <v>0</v>
      </c>
      <c r="H117" s="160">
        <f ca="1">IFERROR(INDEX(INDIRECT($A$3&amp;"$1:$1048576"),MATCH(Dashboard!$D$4&amp;$A117,INDIRECT($A$3&amp;"$A:$A"),0),MATCH(H$3,INDIRECT($A$3&amp;"$1:$1"),0)),0)</f>
        <v>0</v>
      </c>
    </row>
    <row r="118" spans="1:8" x14ac:dyDescent="0.25">
      <c r="A118" t="str">
        <f>Data_FP!$B118&amp;Data_FP!$C118&amp;Data_FP!$D118&amp;Data_FP!$E118</f>
        <v>2011NationalOtherImplant</v>
      </c>
      <c r="B118" s="157">
        <f t="shared" si="6"/>
        <v>2011</v>
      </c>
      <c r="C118" s="155" t="s">
        <v>178</v>
      </c>
      <c r="D118" s="155" t="s">
        <v>116</v>
      </c>
      <c r="E118" s="155" t="s">
        <v>23</v>
      </c>
      <c r="F118" s="160">
        <f ca="1">IFERROR(INDEX(INDIRECT($A$3&amp;"$1:$1048576"),MATCH(Dashboard!$D$4&amp;$A118,INDIRECT($A$3&amp;"$A:$A"),0),MATCH(F$3,INDIRECT($A$3&amp;"$1:$1"),0)),0)</f>
        <v>6.6299999999999999E-5</v>
      </c>
      <c r="G118" s="160">
        <f ca="1">IFERROR(INDEX(INDIRECT($A$3&amp;"$1:$1048576"),MATCH(Dashboard!$D$4&amp;$A118,INDIRECT($A$3&amp;"$A:$A"),0),MATCH(G$3,INDIRECT($A$3&amp;"$1:$1"),0)),0)</f>
        <v>0</v>
      </c>
      <c r="H118" s="160">
        <f ca="1">IFERROR(INDEX(INDIRECT($A$3&amp;"$1:$1048576"),MATCH(Dashboard!$D$4&amp;$A118,INDIRECT($A$3&amp;"$A:$A"),0),MATCH(H$3,INDIRECT($A$3&amp;"$1:$1"),0)),0)</f>
        <v>0</v>
      </c>
    </row>
    <row r="119" spans="1:8" x14ac:dyDescent="0.25">
      <c r="A119" t="str">
        <f>Data_FP!$B119&amp;Data_FP!$C119&amp;Data_FP!$D119&amp;Data_FP!$E119</f>
        <v>2011UrbanPub_MedImplant</v>
      </c>
      <c r="B119" s="157">
        <f t="shared" si="6"/>
        <v>2011</v>
      </c>
      <c r="C119" s="155" t="s">
        <v>20</v>
      </c>
      <c r="D119" s="155" t="s">
        <v>52</v>
      </c>
      <c r="E119" s="155" t="s">
        <v>23</v>
      </c>
      <c r="F119" s="160">
        <f ca="1">IFERROR(INDEX(INDIRECT($A$3&amp;"$1:$1048576"),MATCH(Dashboard!$D$4&amp;$A119,INDIRECT($A$3&amp;"$A:$A"),0),MATCH(F$3,INDIRECT($A$3&amp;"$1:$1"),0)),0)</f>
        <v>6.7730999999999998E-3</v>
      </c>
      <c r="G119" s="160">
        <f ca="1">IFERROR(INDEX(INDIRECT($A$3&amp;"$1:$1048576"),MATCH(Dashboard!$D$4&amp;$A119,INDIRECT($A$3&amp;"$A:$A"),0),MATCH(G$3,INDIRECT($A$3&amp;"$1:$1"),0)),0)</f>
        <v>6.0384000000000002E-3</v>
      </c>
      <c r="H119" s="160">
        <f ca="1">IFERROR(INDEX(INDIRECT($A$3&amp;"$1:$1048576"),MATCH(Dashboard!$D$4&amp;$A119,INDIRECT($A$3&amp;"$A:$A"),0),MATCH(H$3,INDIRECT($A$3&amp;"$1:$1"),0)),0)</f>
        <v>1.3792199999999999E-2</v>
      </c>
    </row>
    <row r="120" spans="1:8" x14ac:dyDescent="0.25">
      <c r="A120" t="str">
        <f>Data_FP!$B120&amp;Data_FP!$C120&amp;Data_FP!$D120&amp;Data_FP!$E120</f>
        <v>2011UrbanPub_OutreachImplant</v>
      </c>
      <c r="B120" s="157">
        <f t="shared" si="6"/>
        <v>2011</v>
      </c>
      <c r="C120" s="155" t="s">
        <v>20</v>
      </c>
      <c r="D120" s="155" t="s">
        <v>54</v>
      </c>
      <c r="E120" s="155" t="s">
        <v>23</v>
      </c>
      <c r="F120" s="160">
        <f ca="1">IFERROR(INDEX(INDIRECT($A$3&amp;"$1:$1048576"),MATCH(Dashboard!$D$4&amp;$A120,INDIRECT($A$3&amp;"$A:$A"),0),MATCH(F$3,INDIRECT($A$3&amp;"$1:$1"),0)),0)</f>
        <v>0</v>
      </c>
      <c r="G120" s="160">
        <f ca="1">IFERROR(INDEX(INDIRECT($A$3&amp;"$1:$1048576"),MATCH(Dashboard!$D$4&amp;$A120,INDIRECT($A$3&amp;"$A:$A"),0),MATCH(G$3,INDIRECT($A$3&amp;"$1:$1"),0)),0)</f>
        <v>0</v>
      </c>
      <c r="H120" s="160">
        <f ca="1">IFERROR(INDEX(INDIRECT($A$3&amp;"$1:$1048576"),MATCH(Dashboard!$D$4&amp;$A120,INDIRECT($A$3&amp;"$A:$A"),0),MATCH(H$3,INDIRECT($A$3&amp;"$1:$1"),0)),0)</f>
        <v>0</v>
      </c>
    </row>
    <row r="121" spans="1:8" x14ac:dyDescent="0.25">
      <c r="A121" t="str">
        <f>Data_FP!$B121&amp;Data_FP!$C121&amp;Data_FP!$D121&amp;Data_FP!$E121</f>
        <v>2011UrbanNGOImplant</v>
      </c>
      <c r="B121" s="157">
        <f t="shared" si="6"/>
        <v>2011</v>
      </c>
      <c r="C121" s="155" t="s">
        <v>20</v>
      </c>
      <c r="D121" s="155" t="s">
        <v>170</v>
      </c>
      <c r="E121" s="155" t="s">
        <v>23</v>
      </c>
      <c r="F121" s="160">
        <f ca="1">IFERROR(INDEX(INDIRECT($A$3&amp;"$1:$1048576"),MATCH(Dashboard!$D$4&amp;$A121,INDIRECT($A$3&amp;"$A:$A"),0),MATCH(F$3,INDIRECT($A$3&amp;"$1:$1"),0)),0)</f>
        <v>0</v>
      </c>
      <c r="G121" s="160">
        <f ca="1">IFERROR(INDEX(INDIRECT($A$3&amp;"$1:$1048576"),MATCH(Dashboard!$D$4&amp;$A121,INDIRECT($A$3&amp;"$A:$A"),0),MATCH(G$3,INDIRECT($A$3&amp;"$1:$1"),0)),0)</f>
        <v>0</v>
      </c>
      <c r="H121" s="160">
        <f ca="1">IFERROR(INDEX(INDIRECT($A$3&amp;"$1:$1048576"),MATCH(Dashboard!$D$4&amp;$A121,INDIRECT($A$3&amp;"$A:$A"),0),MATCH(H$3,INDIRECT($A$3&amp;"$1:$1"),0)),0)</f>
        <v>0</v>
      </c>
    </row>
    <row r="122" spans="1:8" x14ac:dyDescent="0.25">
      <c r="A122" t="str">
        <f>Data_FP!$B122&amp;Data_FP!$C122&amp;Data_FP!$D122&amp;Data_FP!$E122</f>
        <v>2011UrbanCommercialImplant</v>
      </c>
      <c r="B122" s="157">
        <f t="shared" si="6"/>
        <v>2011</v>
      </c>
      <c r="C122" s="155" t="s">
        <v>20</v>
      </c>
      <c r="D122" s="155" t="s">
        <v>59</v>
      </c>
      <c r="E122" s="155" t="s">
        <v>23</v>
      </c>
      <c r="F122" s="160">
        <f ca="1">IFERROR(INDEX(INDIRECT($A$3&amp;"$1:$1048576"),MATCH(Dashboard!$D$4&amp;$A122,INDIRECT($A$3&amp;"$A:$A"),0),MATCH(F$3,INDIRECT($A$3&amp;"$1:$1"),0)),0)</f>
        <v>8.6830999999999992E-3</v>
      </c>
      <c r="G122" s="160">
        <f ca="1">IFERROR(INDEX(INDIRECT($A$3&amp;"$1:$1048576"),MATCH(Dashboard!$D$4&amp;$A122,INDIRECT($A$3&amp;"$A:$A"),0),MATCH(G$3,INDIRECT($A$3&amp;"$1:$1"),0)),0)</f>
        <v>0</v>
      </c>
      <c r="H122" s="160">
        <f ca="1">IFERROR(INDEX(INDIRECT($A$3&amp;"$1:$1048576"),MATCH(Dashboard!$D$4&amp;$A122,INDIRECT($A$3&amp;"$A:$A"),0),MATCH(H$3,INDIRECT($A$3&amp;"$1:$1"),0)),0)</f>
        <v>2.7785000000000002E-3</v>
      </c>
    </row>
    <row r="123" spans="1:8" x14ac:dyDescent="0.25">
      <c r="A123" t="str">
        <f>Data_FP!$B123&amp;Data_FP!$C123&amp;Data_FP!$D123&amp;Data_FP!$E123</f>
        <v>2011UrbanNonTradImplant</v>
      </c>
      <c r="B123" s="157">
        <f t="shared" si="6"/>
        <v>2011</v>
      </c>
      <c r="C123" s="155" t="s">
        <v>20</v>
      </c>
      <c r="D123" s="155" t="s">
        <v>171</v>
      </c>
      <c r="E123" s="155" t="s">
        <v>23</v>
      </c>
      <c r="F123" s="160">
        <f ca="1">IFERROR(INDEX(INDIRECT($A$3&amp;"$1:$1048576"),MATCH(Dashboard!$D$4&amp;$A123,INDIRECT($A$3&amp;"$A:$A"),0),MATCH(F$3,INDIRECT($A$3&amp;"$1:$1"),0)),0)</f>
        <v>0</v>
      </c>
      <c r="G123" s="160">
        <f ca="1">IFERROR(INDEX(INDIRECT($A$3&amp;"$1:$1048576"),MATCH(Dashboard!$D$4&amp;$A123,INDIRECT($A$3&amp;"$A:$A"),0),MATCH(G$3,INDIRECT($A$3&amp;"$1:$1"),0)),0)</f>
        <v>0</v>
      </c>
      <c r="H123" s="160">
        <f ca="1">IFERROR(INDEX(INDIRECT($A$3&amp;"$1:$1048576"),MATCH(Dashboard!$D$4&amp;$A123,INDIRECT($A$3&amp;"$A:$A"),0),MATCH(H$3,INDIRECT($A$3&amp;"$1:$1"),0)),0)</f>
        <v>0</v>
      </c>
    </row>
    <row r="124" spans="1:8" x14ac:dyDescent="0.25">
      <c r="A124" t="str">
        <f>Data_FP!$B124&amp;Data_FP!$C124&amp;Data_FP!$D124&amp;Data_FP!$E124</f>
        <v>2011UrbanOtherImplant</v>
      </c>
      <c r="B124" s="157">
        <f t="shared" si="6"/>
        <v>2011</v>
      </c>
      <c r="C124" s="155" t="s">
        <v>20</v>
      </c>
      <c r="D124" s="155" t="s">
        <v>116</v>
      </c>
      <c r="E124" s="155" t="s">
        <v>23</v>
      </c>
      <c r="F124" s="160">
        <f ca="1">IFERROR(INDEX(INDIRECT($A$3&amp;"$1:$1048576"),MATCH(Dashboard!$D$4&amp;$A124,INDIRECT($A$3&amp;"$A:$A"),0),MATCH(F$3,INDIRECT($A$3&amp;"$1:$1"),0)),0)</f>
        <v>3.3040000000000001E-4</v>
      </c>
      <c r="G124" s="160">
        <f ca="1">IFERROR(INDEX(INDIRECT($A$3&amp;"$1:$1048576"),MATCH(Dashboard!$D$4&amp;$A124,INDIRECT($A$3&amp;"$A:$A"),0),MATCH(G$3,INDIRECT($A$3&amp;"$1:$1"),0)),0)</f>
        <v>0</v>
      </c>
      <c r="H124" s="160">
        <f ca="1">IFERROR(INDEX(INDIRECT($A$3&amp;"$1:$1048576"),MATCH(Dashboard!$D$4&amp;$A124,INDIRECT($A$3&amp;"$A:$A"),0),MATCH(H$3,INDIRECT($A$3&amp;"$1:$1"),0)),0)</f>
        <v>0</v>
      </c>
    </row>
    <row r="125" spans="1:8" x14ac:dyDescent="0.25">
      <c r="A125" t="str">
        <f>Data_FP!$B125&amp;Data_FP!$C125&amp;Data_FP!$D125&amp;Data_FP!$E125</f>
        <v>2011RuralPub_MedImplant</v>
      </c>
      <c r="B125" s="157">
        <f t="shared" si="6"/>
        <v>2011</v>
      </c>
      <c r="C125" s="155" t="s">
        <v>21</v>
      </c>
      <c r="D125" s="155" t="s">
        <v>52</v>
      </c>
      <c r="E125" s="155" t="s">
        <v>23</v>
      </c>
      <c r="F125" s="160">
        <f ca="1">IFERROR(INDEX(INDIRECT($A$3&amp;"$1:$1048576"),MATCH(Dashboard!$D$4&amp;$A125,INDIRECT($A$3&amp;"$A:$A"),0),MATCH(F$3,INDIRECT($A$3&amp;"$1:$1"),0)),0)</f>
        <v>2.0166699999999999E-2</v>
      </c>
      <c r="G125" s="160">
        <f ca="1">IFERROR(INDEX(INDIRECT($A$3&amp;"$1:$1048576"),MATCH(Dashboard!$D$4&amp;$A125,INDIRECT($A$3&amp;"$A:$A"),0),MATCH(G$3,INDIRECT($A$3&amp;"$1:$1"),0)),0)</f>
        <v>1.5374199999999999E-2</v>
      </c>
      <c r="H125" s="160">
        <f ca="1">IFERROR(INDEX(INDIRECT($A$3&amp;"$1:$1048576"),MATCH(Dashboard!$D$4&amp;$A125,INDIRECT($A$3&amp;"$A:$A"),0),MATCH(H$3,INDIRECT($A$3&amp;"$1:$1"),0)),0)</f>
        <v>1.6174999999999998E-2</v>
      </c>
    </row>
    <row r="126" spans="1:8" x14ac:dyDescent="0.25">
      <c r="A126" t="str">
        <f>Data_FP!$B126&amp;Data_FP!$C126&amp;Data_FP!$D126&amp;Data_FP!$E126</f>
        <v>2011RuralPub_OutreachImplant</v>
      </c>
      <c r="B126" s="157">
        <f t="shared" si="6"/>
        <v>2011</v>
      </c>
      <c r="C126" s="155" t="s">
        <v>21</v>
      </c>
      <c r="D126" s="155" t="s">
        <v>54</v>
      </c>
      <c r="E126" s="155" t="s">
        <v>23</v>
      </c>
      <c r="F126" s="160">
        <f ca="1">IFERROR(INDEX(INDIRECT($A$3&amp;"$1:$1048576"),MATCH(Dashboard!$D$4&amp;$A126,INDIRECT($A$3&amp;"$A:$A"),0),MATCH(F$3,INDIRECT($A$3&amp;"$1:$1"),0)),0)</f>
        <v>0</v>
      </c>
      <c r="G126" s="160">
        <f ca="1">IFERROR(INDEX(INDIRECT($A$3&amp;"$1:$1048576"),MATCH(Dashboard!$D$4&amp;$A126,INDIRECT($A$3&amp;"$A:$A"),0),MATCH(G$3,INDIRECT($A$3&amp;"$1:$1"),0)),0)</f>
        <v>7.5900000000000002E-4</v>
      </c>
      <c r="H126" s="160">
        <f ca="1">IFERROR(INDEX(INDIRECT($A$3&amp;"$1:$1048576"),MATCH(Dashboard!$D$4&amp;$A126,INDIRECT($A$3&amp;"$A:$A"),0),MATCH(H$3,INDIRECT($A$3&amp;"$1:$1"),0)),0)</f>
        <v>7.8189999999999998E-4</v>
      </c>
    </row>
    <row r="127" spans="1:8" x14ac:dyDescent="0.25">
      <c r="A127" t="str">
        <f>Data_FP!$B127&amp;Data_FP!$C127&amp;Data_FP!$D127&amp;Data_FP!$E127</f>
        <v>2011RuralNGOImplant</v>
      </c>
      <c r="B127" s="157">
        <f t="shared" si="6"/>
        <v>2011</v>
      </c>
      <c r="C127" s="155" t="s">
        <v>21</v>
      </c>
      <c r="D127" s="155" t="s">
        <v>170</v>
      </c>
      <c r="E127" s="155" t="s">
        <v>23</v>
      </c>
      <c r="F127" s="160">
        <f ca="1">IFERROR(INDEX(INDIRECT($A$3&amp;"$1:$1048576"),MATCH(Dashboard!$D$4&amp;$A127,INDIRECT($A$3&amp;"$A:$A"),0),MATCH(F$3,INDIRECT($A$3&amp;"$1:$1"),0)),0)</f>
        <v>6.7440000000000002E-4</v>
      </c>
      <c r="G127" s="160">
        <f ca="1">IFERROR(INDEX(INDIRECT($A$3&amp;"$1:$1048576"),MATCH(Dashboard!$D$4&amp;$A127,INDIRECT($A$3&amp;"$A:$A"),0),MATCH(G$3,INDIRECT($A$3&amp;"$1:$1"),0)),0)</f>
        <v>8.4119999999999996E-4</v>
      </c>
      <c r="H127" s="160">
        <f ca="1">IFERROR(INDEX(INDIRECT($A$3&amp;"$1:$1048576"),MATCH(Dashboard!$D$4&amp;$A127,INDIRECT($A$3&amp;"$A:$A"),0),MATCH(H$3,INDIRECT($A$3&amp;"$1:$1"),0)),0)</f>
        <v>4.0939999999999998E-4</v>
      </c>
    </row>
    <row r="128" spans="1:8" x14ac:dyDescent="0.25">
      <c r="A128" t="str">
        <f>Data_FP!$B128&amp;Data_FP!$C128&amp;Data_FP!$D128&amp;Data_FP!$E128</f>
        <v>2011RuralCommercialImplant</v>
      </c>
      <c r="B128" s="157">
        <f t="shared" si="6"/>
        <v>2011</v>
      </c>
      <c r="C128" s="155" t="s">
        <v>21</v>
      </c>
      <c r="D128" s="155" t="s">
        <v>59</v>
      </c>
      <c r="E128" s="155" t="s">
        <v>23</v>
      </c>
      <c r="F128" s="160">
        <f ca="1">IFERROR(INDEX(INDIRECT($A$3&amp;"$1:$1048576"),MATCH(Dashboard!$D$4&amp;$A128,INDIRECT($A$3&amp;"$A:$A"),0),MATCH(F$3,INDIRECT($A$3&amp;"$1:$1"),0)),0)</f>
        <v>2.1161000000000001E-3</v>
      </c>
      <c r="G128" s="160">
        <f ca="1">IFERROR(INDEX(INDIRECT($A$3&amp;"$1:$1048576"),MATCH(Dashboard!$D$4&amp;$A128,INDIRECT($A$3&amp;"$A:$A"),0),MATCH(G$3,INDIRECT($A$3&amp;"$1:$1"),0)),0)</f>
        <v>2.0523999999999998E-3</v>
      </c>
      <c r="H128" s="160">
        <f ca="1">IFERROR(INDEX(INDIRECT($A$3&amp;"$1:$1048576"),MATCH(Dashboard!$D$4&amp;$A128,INDIRECT($A$3&amp;"$A:$A"),0),MATCH(H$3,INDIRECT($A$3&amp;"$1:$1"),0)),0)</f>
        <v>1.8887000000000001E-3</v>
      </c>
    </row>
    <row r="129" spans="1:8" x14ac:dyDescent="0.25">
      <c r="A129" t="str">
        <f>Data_FP!$B129&amp;Data_FP!$C129&amp;Data_FP!$D129&amp;Data_FP!$E129</f>
        <v>2011RuralNonTradImplant</v>
      </c>
      <c r="B129" s="157">
        <f t="shared" si="6"/>
        <v>2011</v>
      </c>
      <c r="C129" s="155" t="s">
        <v>21</v>
      </c>
      <c r="D129" s="155" t="s">
        <v>171</v>
      </c>
      <c r="E129" s="155" t="s">
        <v>23</v>
      </c>
      <c r="F129" s="160">
        <f ca="1">IFERROR(INDEX(INDIRECT($A$3&amp;"$1:$1048576"),MATCH(Dashboard!$D$4&amp;$A129,INDIRECT($A$3&amp;"$A:$A"),0),MATCH(F$3,INDIRECT($A$3&amp;"$1:$1"),0)),0)</f>
        <v>0</v>
      </c>
      <c r="G129" s="160">
        <f ca="1">IFERROR(INDEX(INDIRECT($A$3&amp;"$1:$1048576"),MATCH(Dashboard!$D$4&amp;$A129,INDIRECT($A$3&amp;"$A:$A"),0),MATCH(G$3,INDIRECT($A$3&amp;"$1:$1"),0)),0)</f>
        <v>0</v>
      </c>
      <c r="H129" s="160">
        <f ca="1">IFERROR(INDEX(INDIRECT($A$3&amp;"$1:$1048576"),MATCH(Dashboard!$D$4&amp;$A129,INDIRECT($A$3&amp;"$A:$A"),0),MATCH(H$3,INDIRECT($A$3&amp;"$1:$1"),0)),0)</f>
        <v>0</v>
      </c>
    </row>
    <row r="130" spans="1:8" x14ac:dyDescent="0.25">
      <c r="A130" t="str">
        <f>Data_FP!$B130&amp;Data_FP!$C130&amp;Data_FP!$D130&amp;Data_FP!$E130</f>
        <v>2011RuralOtherImplant</v>
      </c>
      <c r="B130" s="157">
        <f t="shared" si="6"/>
        <v>2011</v>
      </c>
      <c r="C130" s="155" t="s">
        <v>21</v>
      </c>
      <c r="D130" s="155" t="s">
        <v>116</v>
      </c>
      <c r="E130" s="155" t="s">
        <v>23</v>
      </c>
      <c r="F130" s="160">
        <f ca="1">IFERROR(INDEX(INDIRECT($A$3&amp;"$1:$1048576"),MATCH(Dashboard!$D$4&amp;$A130,INDIRECT($A$3&amp;"$A:$A"),0),MATCH(F$3,INDIRECT($A$3&amp;"$1:$1"),0)),0)</f>
        <v>0</v>
      </c>
      <c r="G130" s="160">
        <f ca="1">IFERROR(INDEX(INDIRECT($A$3&amp;"$1:$1048576"),MATCH(Dashboard!$D$4&amp;$A130,INDIRECT($A$3&amp;"$A:$A"),0),MATCH(G$3,INDIRECT($A$3&amp;"$1:$1"),0)),0)</f>
        <v>0</v>
      </c>
      <c r="H130" s="160">
        <f ca="1">IFERROR(INDEX(INDIRECT($A$3&amp;"$1:$1048576"),MATCH(Dashboard!$D$4&amp;$A130,INDIRECT($A$3&amp;"$A:$A"),0),MATCH(H$3,INDIRECT($A$3&amp;"$1:$1"),0)),0)</f>
        <v>0</v>
      </c>
    </row>
    <row r="131" spans="1:8" x14ac:dyDescent="0.25">
      <c r="A131" t="str">
        <f>Data_FP!$B131&amp;Data_FP!$C131&amp;Data_FP!$D131&amp;Data_FP!$E131</f>
        <v>2016NationalPub_MedImplant</v>
      </c>
      <c r="B131" s="157">
        <f t="shared" ref="B131:B148" si="7">Yr_DHS2</f>
        <v>2016</v>
      </c>
      <c r="C131" s="155" t="s">
        <v>178</v>
      </c>
      <c r="D131" s="155" t="s">
        <v>52</v>
      </c>
      <c r="E131" s="155" t="s">
        <v>23</v>
      </c>
      <c r="F131" s="160">
        <f ca="1">IFERROR(INDEX(INDIRECT($A$3&amp;"$1:$1048576"),MATCH(Dashboard!$D$4&amp;$A131,INDIRECT($A$3&amp;"$A:$A"),0),MATCH(F$3,INDIRECT($A$3&amp;"$1:$1"),0)),0)</f>
        <v>2.8003E-2</v>
      </c>
      <c r="G131" s="160">
        <f ca="1">IFERROR(INDEX(INDIRECT($A$3&amp;"$1:$1048576"),MATCH(Dashboard!$D$4&amp;$A131,INDIRECT($A$3&amp;"$A:$A"),0),MATCH(G$3,INDIRECT($A$3&amp;"$1:$1"),0)),0)</f>
        <v>3.6400000000000002E-2</v>
      </c>
      <c r="H131" s="160">
        <f ca="1">IFERROR(INDEX(INDIRECT($A$3&amp;"$1:$1048576"),MATCH(Dashboard!$D$4&amp;$A131,INDIRECT($A$3&amp;"$A:$A"),0),MATCH(H$3,INDIRECT($A$3&amp;"$1:$1"),0)),0)</f>
        <v>4.0377000000000003E-2</v>
      </c>
    </row>
    <row r="132" spans="1:8" x14ac:dyDescent="0.25">
      <c r="A132" t="str">
        <f>Data_FP!$B132&amp;Data_FP!$C132&amp;Data_FP!$D132&amp;Data_FP!$E132</f>
        <v>2016NationalPub_OutreachImplant</v>
      </c>
      <c r="B132" s="157">
        <f t="shared" si="7"/>
        <v>2016</v>
      </c>
      <c r="C132" s="155" t="s">
        <v>178</v>
      </c>
      <c r="D132" s="155" t="s">
        <v>54</v>
      </c>
      <c r="E132" s="155" t="s">
        <v>23</v>
      </c>
      <c r="F132" s="160">
        <f ca="1">IFERROR(INDEX(INDIRECT($A$3&amp;"$1:$1048576"),MATCH(Dashboard!$D$4&amp;$A132,INDIRECT($A$3&amp;"$A:$A"),0),MATCH(F$3,INDIRECT($A$3&amp;"$1:$1"),0)),0)</f>
        <v>3.0661999999999998E-3</v>
      </c>
      <c r="G132" s="160">
        <f ca="1">IFERROR(INDEX(INDIRECT($A$3&amp;"$1:$1048576"),MATCH(Dashboard!$D$4&amp;$A132,INDIRECT($A$3&amp;"$A:$A"),0),MATCH(G$3,INDIRECT($A$3&amp;"$1:$1"),0)),0)</f>
        <v>1.3353E-3</v>
      </c>
      <c r="H132" s="160">
        <f ca="1">IFERROR(INDEX(INDIRECT($A$3&amp;"$1:$1048576"),MATCH(Dashboard!$D$4&amp;$A132,INDIRECT($A$3&amp;"$A:$A"),0),MATCH(H$3,INDIRECT($A$3&amp;"$1:$1"),0)),0)</f>
        <v>2.2921E-3</v>
      </c>
    </row>
    <row r="133" spans="1:8" x14ac:dyDescent="0.25">
      <c r="A133" t="str">
        <f>Data_FP!$B133&amp;Data_FP!$C133&amp;Data_FP!$D133&amp;Data_FP!$E133</f>
        <v>2016NationalNGOImplant</v>
      </c>
      <c r="B133" s="157">
        <f t="shared" si="7"/>
        <v>2016</v>
      </c>
      <c r="C133" s="155" t="s">
        <v>178</v>
      </c>
      <c r="D133" s="155" t="s">
        <v>170</v>
      </c>
      <c r="E133" s="155" t="s">
        <v>23</v>
      </c>
      <c r="F133" s="160">
        <f ca="1">IFERROR(INDEX(INDIRECT($A$3&amp;"$1:$1048576"),MATCH(Dashboard!$D$4&amp;$A133,INDIRECT($A$3&amp;"$A:$A"),0),MATCH(F$3,INDIRECT($A$3&amp;"$1:$1"),0)),0)</f>
        <v>8.964E-4</v>
      </c>
      <c r="G133" s="160">
        <f ca="1">IFERROR(INDEX(INDIRECT($A$3&amp;"$1:$1048576"),MATCH(Dashboard!$D$4&amp;$A133,INDIRECT($A$3&amp;"$A:$A"),0),MATCH(G$3,INDIRECT($A$3&amp;"$1:$1"),0)),0)</f>
        <v>9.4620000000000001E-4</v>
      </c>
      <c r="H133" s="160">
        <f ca="1">IFERROR(INDEX(INDIRECT($A$3&amp;"$1:$1048576"),MATCH(Dashboard!$D$4&amp;$A133,INDIRECT($A$3&amp;"$A:$A"),0),MATCH(H$3,INDIRECT($A$3&amp;"$1:$1"),0)),0)</f>
        <v>7.1299999999999998E-4</v>
      </c>
    </row>
    <row r="134" spans="1:8" x14ac:dyDescent="0.25">
      <c r="A134" t="str">
        <f>Data_FP!$B134&amp;Data_FP!$C134&amp;Data_FP!$D134&amp;Data_FP!$E134</f>
        <v>2016NationalCommercialImplant</v>
      </c>
      <c r="B134" s="157">
        <f t="shared" si="7"/>
        <v>2016</v>
      </c>
      <c r="C134" s="155" t="s">
        <v>178</v>
      </c>
      <c r="D134" s="155" t="s">
        <v>59</v>
      </c>
      <c r="E134" s="155" t="s">
        <v>23</v>
      </c>
      <c r="F134" s="160">
        <f ca="1">IFERROR(INDEX(INDIRECT($A$3&amp;"$1:$1048576"),MATCH(Dashboard!$D$4&amp;$A134,INDIRECT($A$3&amp;"$A:$A"),0),MATCH(F$3,INDIRECT($A$3&amp;"$1:$1"),0)),0)</f>
        <v>9.3335999999999992E-3</v>
      </c>
      <c r="G134" s="160">
        <f ca="1">IFERROR(INDEX(INDIRECT($A$3&amp;"$1:$1048576"),MATCH(Dashboard!$D$4&amp;$A134,INDIRECT($A$3&amp;"$A:$A"),0),MATCH(G$3,INDIRECT($A$3&amp;"$1:$1"),0)),0)</f>
        <v>8.2678999999999999E-3</v>
      </c>
      <c r="H134" s="160">
        <f ca="1">IFERROR(INDEX(INDIRECT($A$3&amp;"$1:$1048576"),MATCH(Dashboard!$D$4&amp;$A134,INDIRECT($A$3&amp;"$A:$A"),0),MATCH(H$3,INDIRECT($A$3&amp;"$1:$1"),0)),0)</f>
        <v>6.2186000000000003E-3</v>
      </c>
    </row>
    <row r="135" spans="1:8" x14ac:dyDescent="0.25">
      <c r="A135" t="str">
        <f>Data_FP!$B135&amp;Data_FP!$C135&amp;Data_FP!$D135&amp;Data_FP!$E135</f>
        <v>2016NationalNonTradImplant</v>
      </c>
      <c r="B135" s="157">
        <f t="shared" si="7"/>
        <v>2016</v>
      </c>
      <c r="C135" s="155" t="s">
        <v>178</v>
      </c>
      <c r="D135" s="155" t="s">
        <v>171</v>
      </c>
      <c r="E135" s="155" t="s">
        <v>23</v>
      </c>
      <c r="F135" s="160">
        <f ca="1">IFERROR(INDEX(INDIRECT($A$3&amp;"$1:$1048576"),MATCH(Dashboard!$D$4&amp;$A135,INDIRECT($A$3&amp;"$A:$A"),0),MATCH(F$3,INDIRECT($A$3&amp;"$1:$1"),0)),0)</f>
        <v>0</v>
      </c>
      <c r="G135" s="160">
        <f ca="1">IFERROR(INDEX(INDIRECT($A$3&amp;"$1:$1048576"),MATCH(Dashboard!$D$4&amp;$A135,INDIRECT($A$3&amp;"$A:$A"),0),MATCH(G$3,INDIRECT($A$3&amp;"$1:$1"),0)),0)</f>
        <v>0</v>
      </c>
      <c r="H135" s="160">
        <f ca="1">IFERROR(INDEX(INDIRECT($A$3&amp;"$1:$1048576"),MATCH(Dashboard!$D$4&amp;$A135,INDIRECT($A$3&amp;"$A:$A"),0),MATCH(H$3,INDIRECT($A$3&amp;"$1:$1"),0)),0)</f>
        <v>0</v>
      </c>
    </row>
    <row r="136" spans="1:8" x14ac:dyDescent="0.25">
      <c r="A136" t="str">
        <f>Data_FP!$B136&amp;Data_FP!$C136&amp;Data_FP!$D136&amp;Data_FP!$E136</f>
        <v>2016NationalOtherImplant</v>
      </c>
      <c r="B136" s="157">
        <f t="shared" si="7"/>
        <v>2016</v>
      </c>
      <c r="C136" s="155" t="s">
        <v>178</v>
      </c>
      <c r="D136" s="155" t="s">
        <v>116</v>
      </c>
      <c r="E136" s="155" t="s">
        <v>23</v>
      </c>
      <c r="F136" s="160">
        <f ca="1">IFERROR(INDEX(INDIRECT($A$3&amp;"$1:$1048576"),MATCH(Dashboard!$D$4&amp;$A136,INDIRECT($A$3&amp;"$A:$A"),0),MATCH(F$3,INDIRECT($A$3&amp;"$1:$1"),0)),0)</f>
        <v>0</v>
      </c>
      <c r="G136" s="160">
        <f ca="1">IFERROR(INDEX(INDIRECT($A$3&amp;"$1:$1048576"),MATCH(Dashboard!$D$4&amp;$A136,INDIRECT($A$3&amp;"$A:$A"),0),MATCH(G$3,INDIRECT($A$3&amp;"$1:$1"),0)),0)</f>
        <v>0</v>
      </c>
      <c r="H136" s="160">
        <f ca="1">IFERROR(INDEX(INDIRECT($A$3&amp;"$1:$1048576"),MATCH(Dashboard!$D$4&amp;$A136,INDIRECT($A$3&amp;"$A:$A"),0),MATCH(H$3,INDIRECT($A$3&amp;"$1:$1"),0)),0)</f>
        <v>1.0119999999999999E-4</v>
      </c>
    </row>
    <row r="137" spans="1:8" x14ac:dyDescent="0.25">
      <c r="A137" t="str">
        <f>Data_FP!$B137&amp;Data_FP!$C137&amp;Data_FP!$D137&amp;Data_FP!$E137</f>
        <v>2016UrbanPub_MedImplant</v>
      </c>
      <c r="B137" s="157">
        <f t="shared" si="7"/>
        <v>2016</v>
      </c>
      <c r="C137" s="155" t="s">
        <v>20</v>
      </c>
      <c r="D137" s="155" t="s">
        <v>52</v>
      </c>
      <c r="E137" s="155" t="s">
        <v>23</v>
      </c>
      <c r="F137" s="160">
        <f ca="1">IFERROR(INDEX(INDIRECT($A$3&amp;"$1:$1048576"),MATCH(Dashboard!$D$4&amp;$A137,INDIRECT($A$3&amp;"$A:$A"),0),MATCH(F$3,INDIRECT($A$3&amp;"$1:$1"),0)),0)</f>
        <v>1.8581199999999999E-2</v>
      </c>
      <c r="G137" s="160">
        <f ca="1">IFERROR(INDEX(INDIRECT($A$3&amp;"$1:$1048576"),MATCH(Dashboard!$D$4&amp;$A137,INDIRECT($A$3&amp;"$A:$A"),0),MATCH(G$3,INDIRECT($A$3&amp;"$1:$1"),0)),0)</f>
        <v>3.4386E-2</v>
      </c>
      <c r="H137" s="160">
        <f ca="1">IFERROR(INDEX(INDIRECT($A$3&amp;"$1:$1048576"),MATCH(Dashboard!$D$4&amp;$A137,INDIRECT($A$3&amp;"$A:$A"),0),MATCH(H$3,INDIRECT($A$3&amp;"$1:$1"),0)),0)</f>
        <v>4.5020699999999997E-2</v>
      </c>
    </row>
    <row r="138" spans="1:8" x14ac:dyDescent="0.25">
      <c r="A138" t="str">
        <f>Data_FP!$B138&amp;Data_FP!$C138&amp;Data_FP!$D138&amp;Data_FP!$E138</f>
        <v>2016UrbanPub_OutreachImplant</v>
      </c>
      <c r="B138" s="157">
        <f t="shared" si="7"/>
        <v>2016</v>
      </c>
      <c r="C138" s="155" t="s">
        <v>20</v>
      </c>
      <c r="D138" s="155" t="s">
        <v>54</v>
      </c>
      <c r="E138" s="155" t="s">
        <v>23</v>
      </c>
      <c r="F138" s="160">
        <f ca="1">IFERROR(INDEX(INDIRECT($A$3&amp;"$1:$1048576"),MATCH(Dashboard!$D$4&amp;$A138,INDIRECT($A$3&amp;"$A:$A"),0),MATCH(F$3,INDIRECT($A$3&amp;"$1:$1"),0)),0)</f>
        <v>1.8314E-3</v>
      </c>
      <c r="G138" s="160">
        <f ca="1">IFERROR(INDEX(INDIRECT($A$3&amp;"$1:$1048576"),MATCH(Dashboard!$D$4&amp;$A138,INDIRECT($A$3&amp;"$A:$A"),0),MATCH(G$3,INDIRECT($A$3&amp;"$1:$1"),0)),0)</f>
        <v>0</v>
      </c>
      <c r="H138" s="160">
        <f ca="1">IFERROR(INDEX(INDIRECT($A$3&amp;"$1:$1048576"),MATCH(Dashboard!$D$4&amp;$A138,INDIRECT($A$3&amp;"$A:$A"),0),MATCH(H$3,INDIRECT($A$3&amp;"$1:$1"),0)),0)</f>
        <v>5.4086000000000004E-3</v>
      </c>
    </row>
    <row r="139" spans="1:8" x14ac:dyDescent="0.25">
      <c r="A139" t="str">
        <f>Data_FP!$B139&amp;Data_FP!$C139&amp;Data_FP!$D139&amp;Data_FP!$E139</f>
        <v>2016UrbanNGOImplant</v>
      </c>
      <c r="B139" s="157">
        <f t="shared" si="7"/>
        <v>2016</v>
      </c>
      <c r="C139" s="155" t="s">
        <v>20</v>
      </c>
      <c r="D139" s="155" t="s">
        <v>170</v>
      </c>
      <c r="E139" s="155" t="s">
        <v>23</v>
      </c>
      <c r="F139" s="160">
        <f ca="1">IFERROR(INDEX(INDIRECT($A$3&amp;"$1:$1048576"),MATCH(Dashboard!$D$4&amp;$A139,INDIRECT($A$3&amp;"$A:$A"),0),MATCH(F$3,INDIRECT($A$3&amp;"$1:$1"),0)),0)</f>
        <v>0</v>
      </c>
      <c r="G139" s="160">
        <f ca="1">IFERROR(INDEX(INDIRECT($A$3&amp;"$1:$1048576"),MATCH(Dashboard!$D$4&amp;$A139,INDIRECT($A$3&amp;"$A:$A"),0),MATCH(G$3,INDIRECT($A$3&amp;"$1:$1"),0)),0)</f>
        <v>1.1647999999999999E-3</v>
      </c>
      <c r="H139" s="160">
        <f ca="1">IFERROR(INDEX(INDIRECT($A$3&amp;"$1:$1048576"),MATCH(Dashboard!$D$4&amp;$A139,INDIRECT($A$3&amp;"$A:$A"),0),MATCH(H$3,INDIRECT($A$3&amp;"$1:$1"),0)),0)</f>
        <v>1.4874000000000001E-3</v>
      </c>
    </row>
    <row r="140" spans="1:8" x14ac:dyDescent="0.25">
      <c r="A140" t="str">
        <f>Data_FP!$B140&amp;Data_FP!$C140&amp;Data_FP!$D140&amp;Data_FP!$E140</f>
        <v>2016UrbanCommercialImplant</v>
      </c>
      <c r="B140" s="157">
        <f t="shared" si="7"/>
        <v>2016</v>
      </c>
      <c r="C140" s="155" t="s">
        <v>20</v>
      </c>
      <c r="D140" s="155" t="s">
        <v>59</v>
      </c>
      <c r="E140" s="155" t="s">
        <v>23</v>
      </c>
      <c r="F140" s="160">
        <f ca="1">IFERROR(INDEX(INDIRECT($A$3&amp;"$1:$1048576"),MATCH(Dashboard!$D$4&amp;$A140,INDIRECT($A$3&amp;"$A:$A"),0),MATCH(F$3,INDIRECT($A$3&amp;"$1:$1"),0)),0)</f>
        <v>6.5278000000000003E-3</v>
      </c>
      <c r="G140" s="160">
        <f ca="1">IFERROR(INDEX(INDIRECT($A$3&amp;"$1:$1048576"),MATCH(Dashboard!$D$4&amp;$A140,INDIRECT($A$3&amp;"$A:$A"),0),MATCH(G$3,INDIRECT($A$3&amp;"$1:$1"),0)),0)</f>
        <v>1.45229E-2</v>
      </c>
      <c r="H140" s="160">
        <f ca="1">IFERROR(INDEX(INDIRECT($A$3&amp;"$1:$1048576"),MATCH(Dashboard!$D$4&amp;$A140,INDIRECT($A$3&amp;"$A:$A"),0),MATCH(H$3,INDIRECT($A$3&amp;"$1:$1"),0)),0)</f>
        <v>8.8821000000000004E-3</v>
      </c>
    </row>
    <row r="141" spans="1:8" x14ac:dyDescent="0.25">
      <c r="A141" t="str">
        <f>Data_FP!$B141&amp;Data_FP!$C141&amp;Data_FP!$D141&amp;Data_FP!$E141</f>
        <v>2016UrbanNonTradImplant</v>
      </c>
      <c r="B141" s="157">
        <f t="shared" si="7"/>
        <v>2016</v>
      </c>
      <c r="C141" s="155" t="s">
        <v>20</v>
      </c>
      <c r="D141" s="155" t="s">
        <v>171</v>
      </c>
      <c r="E141" s="155" t="s">
        <v>23</v>
      </c>
      <c r="F141" s="160">
        <f ca="1">IFERROR(INDEX(INDIRECT($A$3&amp;"$1:$1048576"),MATCH(Dashboard!$D$4&amp;$A141,INDIRECT($A$3&amp;"$A:$A"),0),MATCH(F$3,INDIRECT($A$3&amp;"$1:$1"),0)),0)</f>
        <v>0</v>
      </c>
      <c r="G141" s="160">
        <f ca="1">IFERROR(INDEX(INDIRECT($A$3&amp;"$1:$1048576"),MATCH(Dashboard!$D$4&amp;$A141,INDIRECT($A$3&amp;"$A:$A"),0),MATCH(G$3,INDIRECT($A$3&amp;"$1:$1"),0)),0)</f>
        <v>0</v>
      </c>
      <c r="H141" s="160">
        <f ca="1">IFERROR(INDEX(INDIRECT($A$3&amp;"$1:$1048576"),MATCH(Dashboard!$D$4&amp;$A141,INDIRECT($A$3&amp;"$A:$A"),0),MATCH(H$3,INDIRECT($A$3&amp;"$1:$1"),0)),0)</f>
        <v>0</v>
      </c>
    </row>
    <row r="142" spans="1:8" x14ac:dyDescent="0.25">
      <c r="A142" t="str">
        <f>Data_FP!$B142&amp;Data_FP!$C142&amp;Data_FP!$D142&amp;Data_FP!$E142</f>
        <v>2016UrbanOtherImplant</v>
      </c>
      <c r="B142" s="157">
        <f t="shared" si="7"/>
        <v>2016</v>
      </c>
      <c r="C142" s="155" t="s">
        <v>20</v>
      </c>
      <c r="D142" s="155" t="s">
        <v>116</v>
      </c>
      <c r="E142" s="155" t="s">
        <v>23</v>
      </c>
      <c r="F142" s="160">
        <f ca="1">IFERROR(INDEX(INDIRECT($A$3&amp;"$1:$1048576"),MATCH(Dashboard!$D$4&amp;$A142,INDIRECT($A$3&amp;"$A:$A"),0),MATCH(F$3,INDIRECT($A$3&amp;"$1:$1"),0)),0)</f>
        <v>0</v>
      </c>
      <c r="G142" s="160">
        <f ca="1">IFERROR(INDEX(INDIRECT($A$3&amp;"$1:$1048576"),MATCH(Dashboard!$D$4&amp;$A142,INDIRECT($A$3&amp;"$A:$A"),0),MATCH(G$3,INDIRECT($A$3&amp;"$1:$1"),0)),0)</f>
        <v>0</v>
      </c>
      <c r="H142" s="160">
        <f ca="1">IFERROR(INDEX(INDIRECT($A$3&amp;"$1:$1048576"),MATCH(Dashboard!$D$4&amp;$A142,INDIRECT($A$3&amp;"$A:$A"),0),MATCH(H$3,INDIRECT($A$3&amp;"$1:$1"),0)),0)</f>
        <v>3.9500000000000001E-4</v>
      </c>
    </row>
    <row r="143" spans="1:8" x14ac:dyDescent="0.25">
      <c r="A143" t="str">
        <f>Data_FP!$B143&amp;Data_FP!$C143&amp;Data_FP!$D143&amp;Data_FP!$E143</f>
        <v>2016RuralPub_MedImplant</v>
      </c>
      <c r="B143" s="157">
        <f t="shared" si="7"/>
        <v>2016</v>
      </c>
      <c r="C143" s="155" t="s">
        <v>21</v>
      </c>
      <c r="D143" s="155" t="s">
        <v>52</v>
      </c>
      <c r="E143" s="155" t="s">
        <v>23</v>
      </c>
      <c r="F143" s="160">
        <f ca="1">IFERROR(INDEX(INDIRECT($A$3&amp;"$1:$1048576"),MATCH(Dashboard!$D$4&amp;$A143,INDIRECT($A$3&amp;"$A:$A"),0),MATCH(F$3,INDIRECT($A$3&amp;"$1:$1"),0)),0)</f>
        <v>3.1653300000000002E-2</v>
      </c>
      <c r="G143" s="160">
        <f ca="1">IFERROR(INDEX(INDIRECT($A$3&amp;"$1:$1048576"),MATCH(Dashboard!$D$4&amp;$A143,INDIRECT($A$3&amp;"$A:$A"),0),MATCH(G$3,INDIRECT($A$3&amp;"$1:$1"),0)),0)</f>
        <v>3.71948E-2</v>
      </c>
      <c r="H143" s="160">
        <f ca="1">IFERROR(INDEX(INDIRECT($A$3&amp;"$1:$1048576"),MATCH(Dashboard!$D$4&amp;$A143,INDIRECT($A$3&amp;"$A:$A"),0),MATCH(H$3,INDIRECT($A$3&amp;"$1:$1"),0)),0)</f>
        <v>3.87763E-2</v>
      </c>
    </row>
    <row r="144" spans="1:8" x14ac:dyDescent="0.25">
      <c r="A144" t="str">
        <f>Data_FP!$B144&amp;Data_FP!$C144&amp;Data_FP!$D144&amp;Data_FP!$E144</f>
        <v>2016RuralPub_OutreachImplant</v>
      </c>
      <c r="B144" s="157">
        <f t="shared" si="7"/>
        <v>2016</v>
      </c>
      <c r="C144" s="155" t="s">
        <v>21</v>
      </c>
      <c r="D144" s="155" t="s">
        <v>54</v>
      </c>
      <c r="E144" s="155" t="s">
        <v>23</v>
      </c>
      <c r="F144" s="160">
        <f ca="1">IFERROR(INDEX(INDIRECT($A$3&amp;"$1:$1048576"),MATCH(Dashboard!$D$4&amp;$A144,INDIRECT($A$3&amp;"$A:$A"),0),MATCH(F$3,INDIRECT($A$3&amp;"$1:$1"),0)),0)</f>
        <v>3.5446000000000002E-3</v>
      </c>
      <c r="G144" s="160">
        <f ca="1">IFERROR(INDEX(INDIRECT($A$3&amp;"$1:$1048576"),MATCH(Dashboard!$D$4&amp;$A144,INDIRECT($A$3&amp;"$A:$A"),0),MATCH(G$3,INDIRECT($A$3&amp;"$1:$1"),0)),0)</f>
        <v>1.8622000000000001E-3</v>
      </c>
      <c r="H144" s="160">
        <f ca="1">IFERROR(INDEX(INDIRECT($A$3&amp;"$1:$1048576"),MATCH(Dashboard!$D$4&amp;$A144,INDIRECT($A$3&amp;"$A:$A"),0),MATCH(H$3,INDIRECT($A$3&amp;"$1:$1"),0)),0)</f>
        <v>1.2178E-3</v>
      </c>
    </row>
    <row r="145" spans="1:8" x14ac:dyDescent="0.25">
      <c r="A145" t="str">
        <f>Data_FP!$B145&amp;Data_FP!$C145&amp;Data_FP!$D145&amp;Data_FP!$E145</f>
        <v>2016RuralNGOImplant</v>
      </c>
      <c r="B145" s="157">
        <f t="shared" si="7"/>
        <v>2016</v>
      </c>
      <c r="C145" s="155" t="s">
        <v>21</v>
      </c>
      <c r="D145" s="155" t="s">
        <v>170</v>
      </c>
      <c r="E145" s="155" t="s">
        <v>23</v>
      </c>
      <c r="F145" s="160">
        <f ca="1">IFERROR(INDEX(INDIRECT($A$3&amp;"$1:$1048576"),MATCH(Dashboard!$D$4&amp;$A145,INDIRECT($A$3&amp;"$A:$A"),0),MATCH(F$3,INDIRECT($A$3&amp;"$1:$1"),0)),0)</f>
        <v>1.2436999999999999E-3</v>
      </c>
      <c r="G145" s="160">
        <f ca="1">IFERROR(INDEX(INDIRECT($A$3&amp;"$1:$1048576"),MATCH(Dashboard!$D$4&amp;$A145,INDIRECT($A$3&amp;"$A:$A"),0),MATCH(G$3,INDIRECT($A$3&amp;"$1:$1"),0)),0)</f>
        <v>8.5999999999999998E-4</v>
      </c>
      <c r="H145" s="160">
        <f ca="1">IFERROR(INDEX(INDIRECT($A$3&amp;"$1:$1048576"),MATCH(Dashboard!$D$4&amp;$A145,INDIRECT($A$3&amp;"$A:$A"),0),MATCH(H$3,INDIRECT($A$3&amp;"$1:$1"),0)),0)</f>
        <v>4.461E-4</v>
      </c>
    </row>
    <row r="146" spans="1:8" x14ac:dyDescent="0.25">
      <c r="A146" t="str">
        <f>Data_FP!$B146&amp;Data_FP!$C146&amp;Data_FP!$D146&amp;Data_FP!$E146</f>
        <v>2016RuralCommercialImplant</v>
      </c>
      <c r="B146" s="157">
        <f t="shared" si="7"/>
        <v>2016</v>
      </c>
      <c r="C146" s="155" t="s">
        <v>21</v>
      </c>
      <c r="D146" s="155" t="s">
        <v>59</v>
      </c>
      <c r="E146" s="155" t="s">
        <v>23</v>
      </c>
      <c r="F146" s="160">
        <f ca="1">IFERROR(INDEX(INDIRECT($A$3&amp;"$1:$1048576"),MATCH(Dashboard!$D$4&amp;$A146,INDIRECT($A$3&amp;"$A:$A"),0),MATCH(F$3,INDIRECT($A$3&amp;"$1:$1"),0)),0)</f>
        <v>1.04207E-2</v>
      </c>
      <c r="G146" s="160">
        <f ca="1">IFERROR(INDEX(INDIRECT($A$3&amp;"$1:$1048576"),MATCH(Dashboard!$D$4&amp;$A146,INDIRECT($A$3&amp;"$A:$A"),0),MATCH(G$3,INDIRECT($A$3&amp;"$1:$1"),0)),0)</f>
        <v>5.7995E-3</v>
      </c>
      <c r="H146" s="160">
        <f ca="1">IFERROR(INDEX(INDIRECT($A$3&amp;"$1:$1048576"),MATCH(Dashboard!$D$4&amp;$A146,INDIRECT($A$3&amp;"$A:$A"),0),MATCH(H$3,INDIRECT($A$3&amp;"$1:$1"),0)),0)</f>
        <v>5.3004999999999997E-3</v>
      </c>
    </row>
    <row r="147" spans="1:8" x14ac:dyDescent="0.25">
      <c r="A147" t="str">
        <f>Data_FP!$B147&amp;Data_FP!$C147&amp;Data_FP!$D147&amp;Data_FP!$E147</f>
        <v>2016RuralNonTradImplant</v>
      </c>
      <c r="B147" s="157">
        <f t="shared" si="7"/>
        <v>2016</v>
      </c>
      <c r="C147" s="155" t="s">
        <v>21</v>
      </c>
      <c r="D147" s="155" t="s">
        <v>171</v>
      </c>
      <c r="E147" s="155" t="s">
        <v>23</v>
      </c>
      <c r="F147" s="160">
        <f ca="1">IFERROR(INDEX(INDIRECT($A$3&amp;"$1:$1048576"),MATCH(Dashboard!$D$4&amp;$A147,INDIRECT($A$3&amp;"$A:$A"),0),MATCH(F$3,INDIRECT($A$3&amp;"$1:$1"),0)),0)</f>
        <v>0</v>
      </c>
      <c r="G147" s="160">
        <f ca="1">IFERROR(INDEX(INDIRECT($A$3&amp;"$1:$1048576"),MATCH(Dashboard!$D$4&amp;$A147,INDIRECT($A$3&amp;"$A:$A"),0),MATCH(G$3,INDIRECT($A$3&amp;"$1:$1"),0)),0)</f>
        <v>0</v>
      </c>
      <c r="H147" s="160">
        <f ca="1">IFERROR(INDEX(INDIRECT($A$3&amp;"$1:$1048576"),MATCH(Dashboard!$D$4&amp;$A147,INDIRECT($A$3&amp;"$A:$A"),0),MATCH(H$3,INDIRECT($A$3&amp;"$1:$1"),0)),0)</f>
        <v>0</v>
      </c>
    </row>
    <row r="148" spans="1:8" x14ac:dyDescent="0.25">
      <c r="A148" t="str">
        <f>Data_FP!$B148&amp;Data_FP!$C148&amp;Data_FP!$D148&amp;Data_FP!$E148</f>
        <v>2016RuralOtherImplant</v>
      </c>
      <c r="B148" s="157">
        <f t="shared" si="7"/>
        <v>2016</v>
      </c>
      <c r="C148" s="155" t="s">
        <v>21</v>
      </c>
      <c r="D148" s="155" t="s">
        <v>116</v>
      </c>
      <c r="E148" s="155" t="s">
        <v>23</v>
      </c>
      <c r="F148" s="160">
        <f ca="1">IFERROR(INDEX(INDIRECT($A$3&amp;"$1:$1048576"),MATCH(Dashboard!$D$4&amp;$A148,INDIRECT($A$3&amp;"$A:$A"),0),MATCH(F$3,INDIRECT($A$3&amp;"$1:$1"),0)),0)</f>
        <v>0</v>
      </c>
      <c r="G148" s="160">
        <f ca="1">IFERROR(INDEX(INDIRECT($A$3&amp;"$1:$1048576"),MATCH(Dashboard!$D$4&amp;$A148,INDIRECT($A$3&amp;"$A:$A"),0),MATCH(G$3,INDIRECT($A$3&amp;"$1:$1"),0)),0)</f>
        <v>0</v>
      </c>
      <c r="H148" s="160">
        <f ca="1">IFERROR(INDEX(INDIRECT($A$3&amp;"$1:$1048576"),MATCH(Dashboard!$D$4&amp;$A148,INDIRECT($A$3&amp;"$A:$A"),0),MATCH(H$3,INDIRECT($A$3&amp;"$1:$1"),0)),0)</f>
        <v>0</v>
      </c>
    </row>
    <row r="149" spans="1:8" x14ac:dyDescent="0.25">
      <c r="A149" t="str">
        <f>Data_FP!$B149&amp;Data_FP!$C149&amp;Data_FP!$D149&amp;Data_FP!$E149</f>
        <v>2011NationalPub_MedCondom</v>
      </c>
      <c r="B149" s="157">
        <f t="shared" ref="B149:B166" si="8">Yr_DHS1</f>
        <v>2011</v>
      </c>
      <c r="C149" s="155" t="s">
        <v>178</v>
      </c>
      <c r="D149" s="155" t="s">
        <v>52</v>
      </c>
      <c r="E149" s="155" t="s">
        <v>25</v>
      </c>
      <c r="F149" s="160">
        <f ca="1">IFERROR(INDEX(INDIRECT($A$3&amp;"$1:$1048576"),MATCH(Dashboard!$D$4&amp;$A149,INDIRECT($A$3&amp;"$A:$A"),0),MATCH(F$3,INDIRECT($A$3&amp;"$1:$1"),0)),0)</f>
        <v>1.12254E-2</v>
      </c>
      <c r="G149" s="160">
        <f ca="1">IFERROR(INDEX(INDIRECT($A$3&amp;"$1:$1048576"),MATCH(Dashboard!$D$4&amp;$A149,INDIRECT($A$3&amp;"$A:$A"),0),MATCH(G$3,INDIRECT($A$3&amp;"$1:$1"),0)),0)</f>
        <v>7.7221E-3</v>
      </c>
      <c r="H149" s="160">
        <f ca="1">IFERROR(INDEX(INDIRECT($A$3&amp;"$1:$1048576"),MATCH(Dashboard!$D$4&amp;$A149,INDIRECT($A$3&amp;"$A:$A"),0),MATCH(H$3,INDIRECT($A$3&amp;"$1:$1"),0)),0)</f>
        <v>5.3762000000000002E-3</v>
      </c>
    </row>
    <row r="150" spans="1:8" x14ac:dyDescent="0.25">
      <c r="A150" t="str">
        <f>Data_FP!$B150&amp;Data_FP!$C150&amp;Data_FP!$D150&amp;Data_FP!$E150</f>
        <v>2011NationalPub_OutreachCondom</v>
      </c>
      <c r="B150" s="157">
        <f t="shared" si="8"/>
        <v>2011</v>
      </c>
      <c r="C150" s="155" t="s">
        <v>178</v>
      </c>
      <c r="D150" s="155" t="s">
        <v>54</v>
      </c>
      <c r="E150" s="155" t="s">
        <v>25</v>
      </c>
      <c r="F150" s="160">
        <f ca="1">IFERROR(INDEX(INDIRECT($A$3&amp;"$1:$1048576"),MATCH(Dashboard!$D$4&amp;$A150,INDIRECT($A$3&amp;"$A:$A"),0),MATCH(F$3,INDIRECT($A$3&amp;"$1:$1"),0)),0)</f>
        <v>1.4503999999999999E-3</v>
      </c>
      <c r="G150" s="160">
        <f ca="1">IFERROR(INDEX(INDIRECT($A$3&amp;"$1:$1048576"),MATCH(Dashboard!$D$4&amp;$A150,INDIRECT($A$3&amp;"$A:$A"),0),MATCH(G$3,INDIRECT($A$3&amp;"$1:$1"),0)),0)</f>
        <v>2.8741000000000001E-3</v>
      </c>
      <c r="H150" s="160">
        <f ca="1">IFERROR(INDEX(INDIRECT($A$3&amp;"$1:$1048576"),MATCH(Dashboard!$D$4&amp;$A150,INDIRECT($A$3&amp;"$A:$A"),0),MATCH(H$3,INDIRECT($A$3&amp;"$1:$1"),0)),0)</f>
        <v>1.9705E-3</v>
      </c>
    </row>
    <row r="151" spans="1:8" x14ac:dyDescent="0.25">
      <c r="A151" t="str">
        <f>Data_FP!$B151&amp;Data_FP!$C151&amp;Data_FP!$D151&amp;Data_FP!$E151</f>
        <v>2011NationalNGOCondom</v>
      </c>
      <c r="B151" s="157">
        <f t="shared" si="8"/>
        <v>2011</v>
      </c>
      <c r="C151" s="155" t="s">
        <v>178</v>
      </c>
      <c r="D151" s="155" t="s">
        <v>170</v>
      </c>
      <c r="E151" s="155" t="s">
        <v>25</v>
      </c>
      <c r="F151" s="160">
        <f ca="1">IFERROR(INDEX(INDIRECT($A$3&amp;"$1:$1048576"),MATCH(Dashboard!$D$4&amp;$A151,INDIRECT($A$3&amp;"$A:$A"),0),MATCH(F$3,INDIRECT($A$3&amp;"$1:$1"),0)),0)</f>
        <v>8.9389999999999999E-4</v>
      </c>
      <c r="G151" s="160">
        <f ca="1">IFERROR(INDEX(INDIRECT($A$3&amp;"$1:$1048576"),MATCH(Dashboard!$D$4&amp;$A151,INDIRECT($A$3&amp;"$A:$A"),0),MATCH(G$3,INDIRECT($A$3&amp;"$1:$1"),0)),0)</f>
        <v>3.2140000000000001E-4</v>
      </c>
      <c r="H151" s="160">
        <f ca="1">IFERROR(INDEX(INDIRECT($A$3&amp;"$1:$1048576"),MATCH(Dashboard!$D$4&amp;$A151,INDIRECT($A$3&amp;"$A:$A"),0),MATCH(H$3,INDIRECT($A$3&amp;"$1:$1"),0)),0)</f>
        <v>0</v>
      </c>
    </row>
    <row r="152" spans="1:8" x14ac:dyDescent="0.25">
      <c r="A152" t="str">
        <f>Data_FP!$B152&amp;Data_FP!$C152&amp;Data_FP!$D152&amp;Data_FP!$E152</f>
        <v>2011NationalCommercialCondom</v>
      </c>
      <c r="B152" s="157">
        <f t="shared" si="8"/>
        <v>2011</v>
      </c>
      <c r="C152" s="155" t="s">
        <v>178</v>
      </c>
      <c r="D152" s="155" t="s">
        <v>59</v>
      </c>
      <c r="E152" s="155" t="s">
        <v>25</v>
      </c>
      <c r="F152" s="160">
        <f ca="1">IFERROR(INDEX(INDIRECT($A$3&amp;"$1:$1048576"),MATCH(Dashboard!$D$4&amp;$A152,INDIRECT($A$3&amp;"$A:$A"),0),MATCH(F$3,INDIRECT($A$3&amp;"$1:$1"),0)),0)</f>
        <v>1.69564E-2</v>
      </c>
      <c r="G152" s="160">
        <f ca="1">IFERROR(INDEX(INDIRECT($A$3&amp;"$1:$1048576"),MATCH(Dashboard!$D$4&amp;$A152,INDIRECT($A$3&amp;"$A:$A"),0),MATCH(G$3,INDIRECT($A$3&amp;"$1:$1"),0)),0)</f>
        <v>7.4130999999999997E-3</v>
      </c>
      <c r="H152" s="160">
        <f ca="1">IFERROR(INDEX(INDIRECT($A$3&amp;"$1:$1048576"),MATCH(Dashboard!$D$4&amp;$A152,INDIRECT($A$3&amp;"$A:$A"),0),MATCH(H$3,INDIRECT($A$3&amp;"$1:$1"),0)),0)</f>
        <v>6.3902999999999998E-3</v>
      </c>
    </row>
    <row r="153" spans="1:8" x14ac:dyDescent="0.25">
      <c r="A153" t="str">
        <f>Data_FP!$B153&amp;Data_FP!$C153&amp;Data_FP!$D153&amp;Data_FP!$E153</f>
        <v>2011NationalNonTradCondom</v>
      </c>
      <c r="B153" s="157">
        <f t="shared" si="8"/>
        <v>2011</v>
      </c>
      <c r="C153" s="155" t="s">
        <v>178</v>
      </c>
      <c r="D153" s="155" t="s">
        <v>171</v>
      </c>
      <c r="E153" s="155" t="s">
        <v>25</v>
      </c>
      <c r="F153" s="160">
        <f ca="1">IFERROR(INDEX(INDIRECT($A$3&amp;"$1:$1048576"),MATCH(Dashboard!$D$4&amp;$A153,INDIRECT($A$3&amp;"$A:$A"),0),MATCH(F$3,INDIRECT($A$3&amp;"$1:$1"),0)),0)</f>
        <v>1.68635E-2</v>
      </c>
      <c r="G153" s="160">
        <f ca="1">IFERROR(INDEX(INDIRECT($A$3&amp;"$1:$1048576"),MATCH(Dashboard!$D$4&amp;$A153,INDIRECT($A$3&amp;"$A:$A"),0),MATCH(G$3,INDIRECT($A$3&amp;"$1:$1"),0)),0)</f>
        <v>1.45997E-2</v>
      </c>
      <c r="H153" s="160">
        <f ca="1">IFERROR(INDEX(INDIRECT($A$3&amp;"$1:$1048576"),MATCH(Dashboard!$D$4&amp;$A153,INDIRECT($A$3&amp;"$A:$A"),0),MATCH(H$3,INDIRECT($A$3&amp;"$1:$1"),0)),0)</f>
        <v>6.6049999999999998E-3</v>
      </c>
    </row>
    <row r="154" spans="1:8" x14ac:dyDescent="0.25">
      <c r="A154" t="str">
        <f>Data_FP!$B154&amp;Data_FP!$C154&amp;Data_FP!$D154&amp;Data_FP!$E154</f>
        <v>2011NationalOtherCondom</v>
      </c>
      <c r="B154" s="157">
        <f t="shared" si="8"/>
        <v>2011</v>
      </c>
      <c r="C154" s="155" t="s">
        <v>178</v>
      </c>
      <c r="D154" s="155" t="s">
        <v>116</v>
      </c>
      <c r="E154" s="155" t="s">
        <v>25</v>
      </c>
      <c r="F154" s="160">
        <f ca="1">IFERROR(INDEX(INDIRECT($A$3&amp;"$1:$1048576"),MATCH(Dashboard!$D$4&amp;$A154,INDIRECT($A$3&amp;"$A:$A"),0),MATCH(F$3,INDIRECT($A$3&amp;"$1:$1"),0)),0)</f>
        <v>5.2157000000000002E-3</v>
      </c>
      <c r="G154" s="160">
        <f ca="1">IFERROR(INDEX(INDIRECT($A$3&amp;"$1:$1048576"),MATCH(Dashboard!$D$4&amp;$A154,INDIRECT($A$3&amp;"$A:$A"),0),MATCH(G$3,INDIRECT($A$3&amp;"$1:$1"),0)),0)</f>
        <v>5.0999000000000001E-3</v>
      </c>
      <c r="H154" s="160">
        <f ca="1">IFERROR(INDEX(INDIRECT($A$3&amp;"$1:$1048576"),MATCH(Dashboard!$D$4&amp;$A154,INDIRECT($A$3&amp;"$A:$A"),0),MATCH(H$3,INDIRECT($A$3&amp;"$1:$1"),0)),0)</f>
        <v>1.7749E-3</v>
      </c>
    </row>
    <row r="155" spans="1:8" x14ac:dyDescent="0.25">
      <c r="A155" t="str">
        <f>Data_FP!$B155&amp;Data_FP!$C155&amp;Data_FP!$D155&amp;Data_FP!$E155</f>
        <v>2011UrbanPub_MedCondom</v>
      </c>
      <c r="B155" s="157">
        <f t="shared" si="8"/>
        <v>2011</v>
      </c>
      <c r="C155" s="155" t="s">
        <v>20</v>
      </c>
      <c r="D155" s="155" t="s">
        <v>52</v>
      </c>
      <c r="E155" s="155" t="s">
        <v>25</v>
      </c>
      <c r="F155" s="160">
        <f ca="1">IFERROR(INDEX(INDIRECT($A$3&amp;"$1:$1048576"),MATCH(Dashboard!$D$4&amp;$A155,INDIRECT($A$3&amp;"$A:$A"),0),MATCH(F$3,INDIRECT($A$3&amp;"$1:$1"),0)),0)</f>
        <v>7.8581999999999992E-3</v>
      </c>
      <c r="G155" s="160">
        <f ca="1">IFERROR(INDEX(INDIRECT($A$3&amp;"$1:$1048576"),MATCH(Dashboard!$D$4&amp;$A155,INDIRECT($A$3&amp;"$A:$A"),0),MATCH(G$3,INDIRECT($A$3&amp;"$1:$1"),0)),0)</f>
        <v>9.2235000000000008E-3</v>
      </c>
      <c r="H155" s="160">
        <f ca="1">IFERROR(INDEX(INDIRECT($A$3&amp;"$1:$1048576"),MATCH(Dashboard!$D$4&amp;$A155,INDIRECT($A$3&amp;"$A:$A"),0),MATCH(H$3,INDIRECT($A$3&amp;"$1:$1"),0)),0)</f>
        <v>6.2303999999999997E-3</v>
      </c>
    </row>
    <row r="156" spans="1:8" x14ac:dyDescent="0.25">
      <c r="A156" t="str">
        <f>Data_FP!$B156&amp;Data_FP!$C156&amp;Data_FP!$D156&amp;Data_FP!$E156</f>
        <v>2011UrbanPub_OutreachCondom</v>
      </c>
      <c r="B156" s="157">
        <f t="shared" si="8"/>
        <v>2011</v>
      </c>
      <c r="C156" s="155" t="s">
        <v>20</v>
      </c>
      <c r="D156" s="155" t="s">
        <v>54</v>
      </c>
      <c r="E156" s="155" t="s">
        <v>25</v>
      </c>
      <c r="F156" s="160">
        <f ca="1">IFERROR(INDEX(INDIRECT($A$3&amp;"$1:$1048576"),MATCH(Dashboard!$D$4&amp;$A156,INDIRECT($A$3&amp;"$A:$A"),0),MATCH(F$3,INDIRECT($A$3&amp;"$1:$1"),0)),0)</f>
        <v>0</v>
      </c>
      <c r="G156" s="160">
        <f ca="1">IFERROR(INDEX(INDIRECT($A$3&amp;"$1:$1048576"),MATCH(Dashboard!$D$4&amp;$A156,INDIRECT($A$3&amp;"$A:$A"),0),MATCH(G$3,INDIRECT($A$3&amp;"$1:$1"),0)),0)</f>
        <v>1.0977000000000001E-2</v>
      </c>
      <c r="H156" s="160">
        <f ca="1">IFERROR(INDEX(INDIRECT($A$3&amp;"$1:$1048576"),MATCH(Dashboard!$D$4&amp;$A156,INDIRECT($A$3&amp;"$A:$A"),0),MATCH(H$3,INDIRECT($A$3&amp;"$1:$1"),0)),0)</f>
        <v>1.4342000000000001E-3</v>
      </c>
    </row>
    <row r="157" spans="1:8" x14ac:dyDescent="0.25">
      <c r="A157" t="str">
        <f>Data_FP!$B157&amp;Data_FP!$C157&amp;Data_FP!$D157&amp;Data_FP!$E157</f>
        <v>2011UrbanNGOCondom</v>
      </c>
      <c r="B157" s="157">
        <f t="shared" si="8"/>
        <v>2011</v>
      </c>
      <c r="C157" s="155" t="s">
        <v>20</v>
      </c>
      <c r="D157" s="155" t="s">
        <v>170</v>
      </c>
      <c r="E157" s="155" t="s">
        <v>25</v>
      </c>
      <c r="F157" s="160">
        <f ca="1">IFERROR(INDEX(INDIRECT($A$3&amp;"$1:$1048576"),MATCH(Dashboard!$D$4&amp;$A157,INDIRECT($A$3&amp;"$A:$A"),0),MATCH(F$3,INDIRECT($A$3&amp;"$1:$1"),0)),0)</f>
        <v>0</v>
      </c>
      <c r="G157" s="160">
        <f ca="1">IFERROR(INDEX(INDIRECT($A$3&amp;"$1:$1048576"),MATCH(Dashboard!$D$4&amp;$A157,INDIRECT($A$3&amp;"$A:$A"),0),MATCH(G$3,INDIRECT($A$3&amp;"$1:$1"),0)),0)</f>
        <v>1.5233E-3</v>
      </c>
      <c r="H157" s="160">
        <f ca="1">IFERROR(INDEX(INDIRECT($A$3&amp;"$1:$1048576"),MATCH(Dashboard!$D$4&amp;$A157,INDIRECT($A$3&amp;"$A:$A"),0),MATCH(H$3,INDIRECT($A$3&amp;"$1:$1"),0)),0)</f>
        <v>0</v>
      </c>
    </row>
    <row r="158" spans="1:8" x14ac:dyDescent="0.25">
      <c r="A158" t="str">
        <f>Data_FP!$B158&amp;Data_FP!$C158&amp;Data_FP!$D158&amp;Data_FP!$E158</f>
        <v>2011UrbanCommercialCondom</v>
      </c>
      <c r="B158" s="157">
        <f t="shared" si="8"/>
        <v>2011</v>
      </c>
      <c r="C158" s="155" t="s">
        <v>20</v>
      </c>
      <c r="D158" s="155" t="s">
        <v>59</v>
      </c>
      <c r="E158" s="155" t="s">
        <v>25</v>
      </c>
      <c r="F158" s="160">
        <f ca="1">IFERROR(INDEX(INDIRECT($A$3&amp;"$1:$1048576"),MATCH(Dashboard!$D$4&amp;$A158,INDIRECT($A$3&amp;"$A:$A"),0),MATCH(F$3,INDIRECT($A$3&amp;"$1:$1"),0)),0)</f>
        <v>3.3749800000000003E-2</v>
      </c>
      <c r="G158" s="160">
        <f ca="1">IFERROR(INDEX(INDIRECT($A$3&amp;"$1:$1048576"),MATCH(Dashboard!$D$4&amp;$A158,INDIRECT($A$3&amp;"$A:$A"),0),MATCH(G$3,INDIRECT($A$3&amp;"$1:$1"),0)),0)</f>
        <v>1.7795999999999999E-2</v>
      </c>
      <c r="H158" s="160">
        <f ca="1">IFERROR(INDEX(INDIRECT($A$3&amp;"$1:$1048576"),MATCH(Dashboard!$D$4&amp;$A158,INDIRECT($A$3&amp;"$A:$A"),0),MATCH(H$3,INDIRECT($A$3&amp;"$1:$1"),0)),0)</f>
        <v>1.8495899999999999E-2</v>
      </c>
    </row>
    <row r="159" spans="1:8" x14ac:dyDescent="0.25">
      <c r="A159" t="str">
        <f>Data_FP!$B159&amp;Data_FP!$C159&amp;Data_FP!$D159&amp;Data_FP!$E159</f>
        <v>2011UrbanNonTradCondom</v>
      </c>
      <c r="B159" s="157">
        <f t="shared" si="8"/>
        <v>2011</v>
      </c>
      <c r="C159" s="155" t="s">
        <v>20</v>
      </c>
      <c r="D159" s="155" t="s">
        <v>171</v>
      </c>
      <c r="E159" s="155" t="s">
        <v>25</v>
      </c>
      <c r="F159" s="160">
        <f ca="1">IFERROR(INDEX(INDIRECT($A$3&amp;"$1:$1048576"),MATCH(Dashboard!$D$4&amp;$A159,INDIRECT($A$3&amp;"$A:$A"),0),MATCH(F$3,INDIRECT($A$3&amp;"$1:$1"),0)),0)</f>
        <v>3.03095E-2</v>
      </c>
      <c r="G159" s="160">
        <f ca="1">IFERROR(INDEX(INDIRECT($A$3&amp;"$1:$1048576"),MATCH(Dashboard!$D$4&amp;$A159,INDIRECT($A$3&amp;"$A:$A"),0),MATCH(G$3,INDIRECT($A$3&amp;"$1:$1"),0)),0)</f>
        <v>2.08845E-2</v>
      </c>
      <c r="H159" s="160">
        <f ca="1">IFERROR(INDEX(INDIRECT($A$3&amp;"$1:$1048576"),MATCH(Dashboard!$D$4&amp;$A159,INDIRECT($A$3&amp;"$A:$A"),0),MATCH(H$3,INDIRECT($A$3&amp;"$1:$1"),0)),0)</f>
        <v>1.8627600000000001E-2</v>
      </c>
    </row>
    <row r="160" spans="1:8" x14ac:dyDescent="0.25">
      <c r="A160" t="str">
        <f>Data_FP!$B160&amp;Data_FP!$C160&amp;Data_FP!$D160&amp;Data_FP!$E160</f>
        <v>2011UrbanOtherCondom</v>
      </c>
      <c r="B160" s="157">
        <f t="shared" si="8"/>
        <v>2011</v>
      </c>
      <c r="C160" s="155" t="s">
        <v>20</v>
      </c>
      <c r="D160" s="155" t="s">
        <v>116</v>
      </c>
      <c r="E160" s="155" t="s">
        <v>25</v>
      </c>
      <c r="F160" s="160">
        <f ca="1">IFERROR(INDEX(INDIRECT($A$3&amp;"$1:$1048576"),MATCH(Dashboard!$D$4&amp;$A160,INDIRECT($A$3&amp;"$A:$A"),0),MATCH(F$3,INDIRECT($A$3&amp;"$1:$1"),0)),0)</f>
        <v>6.1181999999999999E-3</v>
      </c>
      <c r="G160" s="160">
        <f ca="1">IFERROR(INDEX(INDIRECT($A$3&amp;"$1:$1048576"),MATCH(Dashboard!$D$4&amp;$A160,INDIRECT($A$3&amp;"$A:$A"),0),MATCH(G$3,INDIRECT($A$3&amp;"$1:$1"),0)),0)</f>
        <v>1.5453E-2</v>
      </c>
      <c r="H160" s="160">
        <f ca="1">IFERROR(INDEX(INDIRECT($A$3&amp;"$1:$1048576"),MATCH(Dashboard!$D$4&amp;$A160,INDIRECT($A$3&amp;"$A:$A"),0),MATCH(H$3,INDIRECT($A$3&amp;"$1:$1"),0)),0)</f>
        <v>3.8636E-3</v>
      </c>
    </row>
    <row r="161" spans="1:8" x14ac:dyDescent="0.25">
      <c r="A161" t="str">
        <f>Data_FP!$B161&amp;Data_FP!$C161&amp;Data_FP!$D161&amp;Data_FP!$E161</f>
        <v>2011RuralPub_MedCondom</v>
      </c>
      <c r="B161" s="157">
        <f t="shared" si="8"/>
        <v>2011</v>
      </c>
      <c r="C161" s="155" t="s">
        <v>21</v>
      </c>
      <c r="D161" s="155" t="s">
        <v>52</v>
      </c>
      <c r="E161" s="155" t="s">
        <v>25</v>
      </c>
      <c r="F161" s="160">
        <f ca="1">IFERROR(INDEX(INDIRECT($A$3&amp;"$1:$1048576"),MATCH(Dashboard!$D$4&amp;$A161,INDIRECT($A$3&amp;"$A:$A"),0),MATCH(F$3,INDIRECT($A$3&amp;"$1:$1"),0)),0)</f>
        <v>1.2071E-2</v>
      </c>
      <c r="G161" s="160">
        <f ca="1">IFERROR(INDEX(INDIRECT($A$3&amp;"$1:$1048576"),MATCH(Dashboard!$D$4&amp;$A161,INDIRECT($A$3&amp;"$A:$A"),0),MATCH(G$3,INDIRECT($A$3&amp;"$1:$1"),0)),0)</f>
        <v>7.3207000000000003E-3</v>
      </c>
      <c r="H161" s="160">
        <f ca="1">IFERROR(INDEX(INDIRECT($A$3&amp;"$1:$1048576"),MATCH(Dashboard!$D$4&amp;$A161,INDIRECT($A$3&amp;"$A:$A"),0),MATCH(H$3,INDIRECT($A$3&amp;"$1:$1"),0)),0)</f>
        <v>5.1729999999999996E-3</v>
      </c>
    </row>
    <row r="162" spans="1:8" x14ac:dyDescent="0.25">
      <c r="A162" t="str">
        <f>Data_FP!$B162&amp;Data_FP!$C162&amp;Data_FP!$D162&amp;Data_FP!$E162</f>
        <v>2011RuralPub_OutreachCondom</v>
      </c>
      <c r="B162" s="157">
        <f t="shared" si="8"/>
        <v>2011</v>
      </c>
      <c r="C162" s="155" t="s">
        <v>21</v>
      </c>
      <c r="D162" s="155" t="s">
        <v>54</v>
      </c>
      <c r="E162" s="155" t="s">
        <v>25</v>
      </c>
      <c r="F162" s="160">
        <f ca="1">IFERROR(INDEX(INDIRECT($A$3&amp;"$1:$1048576"),MATCH(Dashboard!$D$4&amp;$A162,INDIRECT($A$3&amp;"$A:$A"),0),MATCH(F$3,INDIRECT($A$3&amp;"$1:$1"),0)),0)</f>
        <v>1.8146E-3</v>
      </c>
      <c r="G162" s="160">
        <f ca="1">IFERROR(INDEX(INDIRECT($A$3&amp;"$1:$1048576"),MATCH(Dashboard!$D$4&amp;$A162,INDIRECT($A$3&amp;"$A:$A"),0),MATCH(G$3,INDIRECT($A$3&amp;"$1:$1"),0)),0)</f>
        <v>7.0750000000000001E-4</v>
      </c>
      <c r="H162" s="160">
        <f ca="1">IFERROR(INDEX(INDIRECT($A$3&amp;"$1:$1048576"),MATCH(Dashboard!$D$4&amp;$A162,INDIRECT($A$3&amp;"$A:$A"),0),MATCH(H$3,INDIRECT($A$3&amp;"$1:$1"),0)),0)</f>
        <v>2.0980999999999999E-3</v>
      </c>
    </row>
    <row r="163" spans="1:8" x14ac:dyDescent="0.25">
      <c r="A163" t="str">
        <f>Data_FP!$B163&amp;Data_FP!$C163&amp;Data_FP!$D163&amp;Data_FP!$E163</f>
        <v>2011RuralNGOCondom</v>
      </c>
      <c r="B163" s="157">
        <f t="shared" si="8"/>
        <v>2011</v>
      </c>
      <c r="C163" s="155" t="s">
        <v>21</v>
      </c>
      <c r="D163" s="155" t="s">
        <v>170</v>
      </c>
      <c r="E163" s="155" t="s">
        <v>25</v>
      </c>
      <c r="F163" s="160">
        <f ca="1">IFERROR(INDEX(INDIRECT($A$3&amp;"$1:$1048576"),MATCH(Dashboard!$D$4&amp;$A163,INDIRECT($A$3&amp;"$A:$A"),0),MATCH(F$3,INDIRECT($A$3&amp;"$1:$1"),0)),0)</f>
        <v>1.1183E-3</v>
      </c>
      <c r="G163" s="160">
        <f ca="1">IFERROR(INDEX(INDIRECT($A$3&amp;"$1:$1048576"),MATCH(Dashboard!$D$4&amp;$A163,INDIRECT($A$3&amp;"$A:$A"),0),MATCH(G$3,INDIRECT($A$3&amp;"$1:$1"),0)),0)</f>
        <v>0</v>
      </c>
      <c r="H163" s="160">
        <f ca="1">IFERROR(INDEX(INDIRECT($A$3&amp;"$1:$1048576"),MATCH(Dashboard!$D$4&amp;$A163,INDIRECT($A$3&amp;"$A:$A"),0),MATCH(H$3,INDIRECT($A$3&amp;"$1:$1"),0)),0)</f>
        <v>0</v>
      </c>
    </row>
    <row r="164" spans="1:8" x14ac:dyDescent="0.25">
      <c r="A164" t="str">
        <f>Data_FP!$B164&amp;Data_FP!$C164&amp;Data_FP!$D164&amp;Data_FP!$E164</f>
        <v>2011RuralCommercialCondom</v>
      </c>
      <c r="B164" s="157">
        <f t="shared" si="8"/>
        <v>2011</v>
      </c>
      <c r="C164" s="155" t="s">
        <v>21</v>
      </c>
      <c r="D164" s="155" t="s">
        <v>59</v>
      </c>
      <c r="E164" s="155" t="s">
        <v>25</v>
      </c>
      <c r="F164" s="160">
        <f ca="1">IFERROR(INDEX(INDIRECT($A$3&amp;"$1:$1048576"),MATCH(Dashboard!$D$4&amp;$A164,INDIRECT($A$3&amp;"$A:$A"),0),MATCH(F$3,INDIRECT($A$3&amp;"$1:$1"),0)),0)</f>
        <v>1.2739199999999999E-2</v>
      </c>
      <c r="G164" s="160">
        <f ca="1">IFERROR(INDEX(INDIRECT($A$3&amp;"$1:$1048576"),MATCH(Dashboard!$D$4&amp;$A164,INDIRECT($A$3&amp;"$A:$A"),0),MATCH(G$3,INDIRECT($A$3&amp;"$1:$1"),0)),0)</f>
        <v>4.6369000000000002E-3</v>
      </c>
      <c r="H164" s="160">
        <f ca="1">IFERROR(INDEX(INDIRECT($A$3&amp;"$1:$1048576"),MATCH(Dashboard!$D$4&amp;$A164,INDIRECT($A$3&amp;"$A:$A"),0),MATCH(H$3,INDIRECT($A$3&amp;"$1:$1"),0)),0)</f>
        <v>3.5108000000000001E-3</v>
      </c>
    </row>
    <row r="165" spans="1:8" x14ac:dyDescent="0.25">
      <c r="A165" t="str">
        <f>Data_FP!$B165&amp;Data_FP!$C165&amp;Data_FP!$D165&amp;Data_FP!$E165</f>
        <v>2011RuralNonTradCondom</v>
      </c>
      <c r="B165" s="157">
        <f t="shared" si="8"/>
        <v>2011</v>
      </c>
      <c r="C165" s="155" t="s">
        <v>21</v>
      </c>
      <c r="D165" s="155" t="s">
        <v>171</v>
      </c>
      <c r="E165" s="155" t="s">
        <v>25</v>
      </c>
      <c r="F165" s="160">
        <f ca="1">IFERROR(INDEX(INDIRECT($A$3&amp;"$1:$1048576"),MATCH(Dashboard!$D$4&amp;$A165,INDIRECT($A$3&amp;"$A:$A"),0),MATCH(F$3,INDIRECT($A$3&amp;"$1:$1"),0)),0)</f>
        <v>1.34869E-2</v>
      </c>
      <c r="G165" s="160">
        <f ca="1">IFERROR(INDEX(INDIRECT($A$3&amp;"$1:$1048576"),MATCH(Dashboard!$D$4&amp;$A165,INDIRECT($A$3&amp;"$A:$A"),0),MATCH(G$3,INDIRECT($A$3&amp;"$1:$1"),0)),0)</f>
        <v>1.29192E-2</v>
      </c>
      <c r="H165" s="160">
        <f ca="1">IFERROR(INDEX(INDIRECT($A$3&amp;"$1:$1048576"),MATCH(Dashboard!$D$4&amp;$A165,INDIRECT($A$3&amp;"$A:$A"),0),MATCH(H$3,INDIRECT($A$3&amp;"$1:$1"),0)),0)</f>
        <v>3.7452000000000002E-3</v>
      </c>
    </row>
    <row r="166" spans="1:8" x14ac:dyDescent="0.25">
      <c r="A166" t="str">
        <f>Data_FP!$B166&amp;Data_FP!$C166&amp;Data_FP!$D166&amp;Data_FP!$E166</f>
        <v>2011RuralOtherCondom</v>
      </c>
      <c r="B166" s="157">
        <f t="shared" si="8"/>
        <v>2011</v>
      </c>
      <c r="C166" s="155" t="s">
        <v>21</v>
      </c>
      <c r="D166" s="155" t="s">
        <v>116</v>
      </c>
      <c r="E166" s="155" t="s">
        <v>25</v>
      </c>
      <c r="F166" s="160">
        <f ca="1">IFERROR(INDEX(INDIRECT($A$3&amp;"$1:$1048576"),MATCH(Dashboard!$D$4&amp;$A166,INDIRECT($A$3&amp;"$A:$A"),0),MATCH(F$3,INDIRECT($A$3&amp;"$1:$1"),0)),0)</f>
        <v>4.9890000000000004E-3</v>
      </c>
      <c r="G166" s="160">
        <f ca="1">IFERROR(INDEX(INDIRECT($A$3&amp;"$1:$1048576"),MATCH(Dashboard!$D$4&amp;$A166,INDIRECT($A$3&amp;"$A:$A"),0),MATCH(G$3,INDIRECT($A$3&amp;"$1:$1"),0)),0)</f>
        <v>2.3316999999999999E-3</v>
      </c>
      <c r="H166" s="160">
        <f ca="1">IFERROR(INDEX(INDIRECT($A$3&amp;"$1:$1048576"),MATCH(Dashboard!$D$4&amp;$A166,INDIRECT($A$3&amp;"$A:$A"),0),MATCH(H$3,INDIRECT($A$3&amp;"$1:$1"),0)),0)</f>
        <v>1.2780999999999999E-3</v>
      </c>
    </row>
    <row r="167" spans="1:8" x14ac:dyDescent="0.25">
      <c r="A167" t="str">
        <f>Data_FP!$B167&amp;Data_FP!$C167&amp;Data_FP!$D167&amp;Data_FP!$E167</f>
        <v>2016NationalPub_MedCondom</v>
      </c>
      <c r="B167" s="157">
        <f t="shared" ref="B167:B184" si="9">Yr_DHS2</f>
        <v>2016</v>
      </c>
      <c r="C167" s="155" t="s">
        <v>178</v>
      </c>
      <c r="D167" s="155" t="s">
        <v>52</v>
      </c>
      <c r="E167" s="155" t="s">
        <v>25</v>
      </c>
      <c r="F167" s="160">
        <f ca="1">IFERROR(INDEX(INDIRECT($A$3&amp;"$1:$1048576"),MATCH(Dashboard!$D$4&amp;$A167,INDIRECT($A$3&amp;"$A:$A"),0),MATCH(F$3,INDIRECT($A$3&amp;"$1:$1"),0)),0)</f>
        <v>1.2264300000000001E-2</v>
      </c>
      <c r="G167" s="160">
        <f ca="1">IFERROR(INDEX(INDIRECT($A$3&amp;"$1:$1048576"),MATCH(Dashboard!$D$4&amp;$A167,INDIRECT($A$3&amp;"$A:$A"),0),MATCH(G$3,INDIRECT($A$3&amp;"$1:$1"),0)),0)</f>
        <v>1.55449E-2</v>
      </c>
      <c r="H167" s="160">
        <f ca="1">IFERROR(INDEX(INDIRECT($A$3&amp;"$1:$1048576"),MATCH(Dashboard!$D$4&amp;$A167,INDIRECT($A$3&amp;"$A:$A"),0),MATCH(H$3,INDIRECT($A$3&amp;"$1:$1"),0)),0)</f>
        <v>1.12175E-2</v>
      </c>
    </row>
    <row r="168" spans="1:8" x14ac:dyDescent="0.25">
      <c r="A168" t="str">
        <f>Data_FP!$B168&amp;Data_FP!$C168&amp;Data_FP!$D168&amp;Data_FP!$E168</f>
        <v>2016NationalPub_OutreachCondom</v>
      </c>
      <c r="B168" s="157">
        <f t="shared" si="9"/>
        <v>2016</v>
      </c>
      <c r="C168" s="155" t="s">
        <v>178</v>
      </c>
      <c r="D168" s="155" t="s">
        <v>54</v>
      </c>
      <c r="E168" s="155" t="s">
        <v>25</v>
      </c>
      <c r="F168" s="160">
        <f ca="1">IFERROR(INDEX(INDIRECT($A$3&amp;"$1:$1048576"),MATCH(Dashboard!$D$4&amp;$A168,INDIRECT($A$3&amp;"$A:$A"),0),MATCH(F$3,INDIRECT($A$3&amp;"$1:$1"),0)),0)</f>
        <v>1.0532E-3</v>
      </c>
      <c r="G168" s="160">
        <f ca="1">IFERROR(INDEX(INDIRECT($A$3&amp;"$1:$1048576"),MATCH(Dashboard!$D$4&amp;$A168,INDIRECT($A$3&amp;"$A:$A"),0),MATCH(G$3,INDIRECT($A$3&amp;"$1:$1"),0)),0)</f>
        <v>4.4650000000000001E-4</v>
      </c>
      <c r="H168" s="160">
        <f ca="1">IFERROR(INDEX(INDIRECT($A$3&amp;"$1:$1048576"),MATCH(Dashboard!$D$4&amp;$A168,INDIRECT($A$3&amp;"$A:$A"),0),MATCH(H$3,INDIRECT($A$3&amp;"$1:$1"),0)),0)</f>
        <v>9.944000000000001E-4</v>
      </c>
    </row>
    <row r="169" spans="1:8" x14ac:dyDescent="0.25">
      <c r="A169" t="str">
        <f>Data_FP!$B169&amp;Data_FP!$C169&amp;Data_FP!$D169&amp;Data_FP!$E169</f>
        <v>2016NationalNGOCondom</v>
      </c>
      <c r="B169" s="157">
        <f t="shared" si="9"/>
        <v>2016</v>
      </c>
      <c r="C169" s="155" t="s">
        <v>178</v>
      </c>
      <c r="D169" s="155" t="s">
        <v>170</v>
      </c>
      <c r="E169" s="155" t="s">
        <v>25</v>
      </c>
      <c r="F169" s="160">
        <f ca="1">IFERROR(INDEX(INDIRECT($A$3&amp;"$1:$1048576"),MATCH(Dashboard!$D$4&amp;$A169,INDIRECT($A$3&amp;"$A:$A"),0),MATCH(F$3,INDIRECT($A$3&amp;"$1:$1"),0)),0)</f>
        <v>9.2380000000000001E-4</v>
      </c>
      <c r="G169" s="160">
        <f ca="1">IFERROR(INDEX(INDIRECT($A$3&amp;"$1:$1048576"),MATCH(Dashboard!$D$4&amp;$A169,INDIRECT($A$3&amp;"$A:$A"),0),MATCH(G$3,INDIRECT($A$3&amp;"$1:$1"),0)),0)</f>
        <v>0</v>
      </c>
      <c r="H169" s="160">
        <f ca="1">IFERROR(INDEX(INDIRECT($A$3&amp;"$1:$1048576"),MATCH(Dashboard!$D$4&amp;$A169,INDIRECT($A$3&amp;"$A:$A"),0),MATCH(H$3,INDIRECT($A$3&amp;"$1:$1"),0)),0)</f>
        <v>2.385E-4</v>
      </c>
    </row>
    <row r="170" spans="1:8" x14ac:dyDescent="0.25">
      <c r="A170" t="str">
        <f>Data_FP!$B170&amp;Data_FP!$C170&amp;Data_FP!$D170&amp;Data_FP!$E170</f>
        <v>2016NationalCommercialCondom</v>
      </c>
      <c r="B170" s="157">
        <f t="shared" si="9"/>
        <v>2016</v>
      </c>
      <c r="C170" s="155" t="s">
        <v>178</v>
      </c>
      <c r="D170" s="155" t="s">
        <v>59</v>
      </c>
      <c r="E170" s="155" t="s">
        <v>25</v>
      </c>
      <c r="F170" s="160">
        <f ca="1">IFERROR(INDEX(INDIRECT($A$3&amp;"$1:$1048576"),MATCH(Dashboard!$D$4&amp;$A170,INDIRECT($A$3&amp;"$A:$A"),0),MATCH(F$3,INDIRECT($A$3&amp;"$1:$1"),0)),0)</f>
        <v>2.00924E-2</v>
      </c>
      <c r="G170" s="160">
        <f ca="1">IFERROR(INDEX(INDIRECT($A$3&amp;"$1:$1048576"),MATCH(Dashboard!$D$4&amp;$A170,INDIRECT($A$3&amp;"$A:$A"),0),MATCH(G$3,INDIRECT($A$3&amp;"$1:$1"),0)),0)</f>
        <v>1.5609400000000001E-2</v>
      </c>
      <c r="H170" s="160">
        <f ca="1">IFERROR(INDEX(INDIRECT($A$3&amp;"$1:$1048576"),MATCH(Dashboard!$D$4&amp;$A170,INDIRECT($A$3&amp;"$A:$A"),0),MATCH(H$3,INDIRECT($A$3&amp;"$1:$1"),0)),0)</f>
        <v>7.8516999999999997E-3</v>
      </c>
    </row>
    <row r="171" spans="1:8" x14ac:dyDescent="0.25">
      <c r="A171" t="str">
        <f>Data_FP!$B171&amp;Data_FP!$C171&amp;Data_FP!$D171&amp;Data_FP!$E171</f>
        <v>2016NationalNonTradCondom</v>
      </c>
      <c r="B171" s="157">
        <f t="shared" si="9"/>
        <v>2016</v>
      </c>
      <c r="C171" s="155" t="s">
        <v>178</v>
      </c>
      <c r="D171" s="155" t="s">
        <v>171</v>
      </c>
      <c r="E171" s="155" t="s">
        <v>25</v>
      </c>
      <c r="F171" s="160">
        <f ca="1">IFERROR(INDEX(INDIRECT($A$3&amp;"$1:$1048576"),MATCH(Dashboard!$D$4&amp;$A171,INDIRECT($A$3&amp;"$A:$A"),0),MATCH(F$3,INDIRECT($A$3&amp;"$1:$1"),0)),0)</f>
        <v>5.2652000000000003E-3</v>
      </c>
      <c r="G171" s="160">
        <f ca="1">IFERROR(INDEX(INDIRECT($A$3&amp;"$1:$1048576"),MATCH(Dashboard!$D$4&amp;$A171,INDIRECT($A$3&amp;"$A:$A"),0),MATCH(G$3,INDIRECT($A$3&amp;"$1:$1"),0)),0)</f>
        <v>3.6516000000000001E-3</v>
      </c>
      <c r="H171" s="160">
        <f ca="1">IFERROR(INDEX(INDIRECT($A$3&amp;"$1:$1048576"),MATCH(Dashboard!$D$4&amp;$A171,INDIRECT($A$3&amp;"$A:$A"),0),MATCH(H$3,INDIRECT($A$3&amp;"$1:$1"),0)),0)</f>
        <v>2.0574999999999999E-3</v>
      </c>
    </row>
    <row r="172" spans="1:8" x14ac:dyDescent="0.25">
      <c r="A172" t="str">
        <f>Data_FP!$B172&amp;Data_FP!$C172&amp;Data_FP!$D172&amp;Data_FP!$E172</f>
        <v>2016NationalOtherCondom</v>
      </c>
      <c r="B172" s="157">
        <f t="shared" si="9"/>
        <v>2016</v>
      </c>
      <c r="C172" s="155" t="s">
        <v>178</v>
      </c>
      <c r="D172" s="155" t="s">
        <v>116</v>
      </c>
      <c r="E172" s="155" t="s">
        <v>25</v>
      </c>
      <c r="F172" s="160">
        <f ca="1">IFERROR(INDEX(INDIRECT($A$3&amp;"$1:$1048576"),MATCH(Dashboard!$D$4&amp;$A172,INDIRECT($A$3&amp;"$A:$A"),0),MATCH(F$3,INDIRECT($A$3&amp;"$1:$1"),0)),0)</f>
        <v>4.1127000000000004E-3</v>
      </c>
      <c r="G172" s="160">
        <f ca="1">IFERROR(INDEX(INDIRECT($A$3&amp;"$1:$1048576"),MATCH(Dashboard!$D$4&amp;$A172,INDIRECT($A$3&amp;"$A:$A"),0),MATCH(G$3,INDIRECT($A$3&amp;"$1:$1"),0)),0)</f>
        <v>2.1982E-3</v>
      </c>
      <c r="H172" s="160">
        <f ca="1">IFERROR(INDEX(INDIRECT($A$3&amp;"$1:$1048576"),MATCH(Dashboard!$D$4&amp;$A172,INDIRECT($A$3&amp;"$A:$A"),0),MATCH(H$3,INDIRECT($A$3&amp;"$1:$1"),0)),0)</f>
        <v>1.557E-3</v>
      </c>
    </row>
    <row r="173" spans="1:8" x14ac:dyDescent="0.25">
      <c r="A173" t="str">
        <f>Data_FP!$B173&amp;Data_FP!$C173&amp;Data_FP!$D173&amp;Data_FP!$E173</f>
        <v>2016UrbanPub_MedCondom</v>
      </c>
      <c r="B173" s="157">
        <f t="shared" si="9"/>
        <v>2016</v>
      </c>
      <c r="C173" s="155" t="s">
        <v>20</v>
      </c>
      <c r="D173" s="155" t="s">
        <v>52</v>
      </c>
      <c r="E173" s="155" t="s">
        <v>25</v>
      </c>
      <c r="F173" s="160">
        <f ca="1">IFERROR(INDEX(INDIRECT($A$3&amp;"$1:$1048576"),MATCH(Dashboard!$D$4&amp;$A173,INDIRECT($A$3&amp;"$A:$A"),0),MATCH(F$3,INDIRECT($A$3&amp;"$1:$1"),0)),0)</f>
        <v>9.5756000000000001E-3</v>
      </c>
      <c r="G173" s="160">
        <f ca="1">IFERROR(INDEX(INDIRECT($A$3&amp;"$1:$1048576"),MATCH(Dashboard!$D$4&amp;$A173,INDIRECT($A$3&amp;"$A:$A"),0),MATCH(G$3,INDIRECT($A$3&amp;"$1:$1"),0)),0)</f>
        <v>1.58844E-2</v>
      </c>
      <c r="H173" s="160">
        <f ca="1">IFERROR(INDEX(INDIRECT($A$3&amp;"$1:$1048576"),MATCH(Dashboard!$D$4&amp;$A173,INDIRECT($A$3&amp;"$A:$A"),0),MATCH(H$3,INDIRECT($A$3&amp;"$1:$1"),0)),0)</f>
        <v>1.4560200000000001E-2</v>
      </c>
    </row>
    <row r="174" spans="1:8" x14ac:dyDescent="0.25">
      <c r="A174" t="str">
        <f>Data_FP!$B174&amp;Data_FP!$C174&amp;Data_FP!$D174&amp;Data_FP!$E174</f>
        <v>2016UrbanPub_OutreachCondom</v>
      </c>
      <c r="B174" s="157">
        <f t="shared" si="9"/>
        <v>2016</v>
      </c>
      <c r="C174" s="155" t="s">
        <v>20</v>
      </c>
      <c r="D174" s="155" t="s">
        <v>54</v>
      </c>
      <c r="E174" s="155" t="s">
        <v>25</v>
      </c>
      <c r="F174" s="160">
        <f ca="1">IFERROR(INDEX(INDIRECT($A$3&amp;"$1:$1048576"),MATCH(Dashboard!$D$4&amp;$A174,INDIRECT($A$3&amp;"$A:$A"),0),MATCH(F$3,INDIRECT($A$3&amp;"$1:$1"),0)),0)</f>
        <v>3.2417000000000001E-3</v>
      </c>
      <c r="G174" s="160">
        <f ca="1">IFERROR(INDEX(INDIRECT($A$3&amp;"$1:$1048576"),MATCH(Dashboard!$D$4&amp;$A174,INDIRECT($A$3&amp;"$A:$A"),0),MATCH(G$3,INDIRECT($A$3&amp;"$1:$1"),0)),0)</f>
        <v>5.3459999999999998E-4</v>
      </c>
      <c r="H174" s="160">
        <f ca="1">IFERROR(INDEX(INDIRECT($A$3&amp;"$1:$1048576"),MATCH(Dashboard!$D$4&amp;$A174,INDIRECT($A$3&amp;"$A:$A"),0),MATCH(H$3,INDIRECT($A$3&amp;"$1:$1"),0)),0)</f>
        <v>9.7659999999999999E-4</v>
      </c>
    </row>
    <row r="175" spans="1:8" x14ac:dyDescent="0.25">
      <c r="A175" t="str">
        <f>Data_FP!$B175&amp;Data_FP!$C175&amp;Data_FP!$D175&amp;Data_FP!$E175</f>
        <v>2016UrbanNGOCondom</v>
      </c>
      <c r="B175" s="157">
        <f t="shared" si="9"/>
        <v>2016</v>
      </c>
      <c r="C175" s="155" t="s">
        <v>20</v>
      </c>
      <c r="D175" s="155" t="s">
        <v>170</v>
      </c>
      <c r="E175" s="155" t="s">
        <v>25</v>
      </c>
      <c r="F175" s="160">
        <f ca="1">IFERROR(INDEX(INDIRECT($A$3&amp;"$1:$1048576"),MATCH(Dashboard!$D$4&amp;$A175,INDIRECT($A$3&amp;"$A:$A"),0),MATCH(F$3,INDIRECT($A$3&amp;"$1:$1"),0)),0)</f>
        <v>0</v>
      </c>
      <c r="G175" s="160">
        <f ca="1">IFERROR(INDEX(INDIRECT($A$3&amp;"$1:$1048576"),MATCH(Dashboard!$D$4&amp;$A175,INDIRECT($A$3&amp;"$A:$A"),0),MATCH(G$3,INDIRECT($A$3&amp;"$1:$1"),0)),0)</f>
        <v>0</v>
      </c>
      <c r="H175" s="160">
        <f ca="1">IFERROR(INDEX(INDIRECT($A$3&amp;"$1:$1048576"),MATCH(Dashboard!$D$4&amp;$A175,INDIRECT($A$3&amp;"$A:$A"),0),MATCH(H$3,INDIRECT($A$3&amp;"$1:$1"),0)),0)</f>
        <v>0</v>
      </c>
    </row>
    <row r="176" spans="1:8" x14ac:dyDescent="0.25">
      <c r="A176" t="str">
        <f>Data_FP!$B176&amp;Data_FP!$C176&amp;Data_FP!$D176&amp;Data_FP!$E176</f>
        <v>2016UrbanCommercialCondom</v>
      </c>
      <c r="B176" s="157">
        <f t="shared" si="9"/>
        <v>2016</v>
      </c>
      <c r="C176" s="155" t="s">
        <v>20</v>
      </c>
      <c r="D176" s="155" t="s">
        <v>59</v>
      </c>
      <c r="E176" s="155" t="s">
        <v>25</v>
      </c>
      <c r="F176" s="160">
        <f ca="1">IFERROR(INDEX(INDIRECT($A$3&amp;"$1:$1048576"),MATCH(Dashboard!$D$4&amp;$A176,INDIRECT($A$3&amp;"$A:$A"),0),MATCH(F$3,INDIRECT($A$3&amp;"$1:$1"),0)),0)</f>
        <v>3.7331999999999997E-2</v>
      </c>
      <c r="G176" s="160">
        <f ca="1">IFERROR(INDEX(INDIRECT($A$3&amp;"$1:$1048576"),MATCH(Dashboard!$D$4&amp;$A176,INDIRECT($A$3&amp;"$A:$A"),0),MATCH(G$3,INDIRECT($A$3&amp;"$1:$1"),0)),0)</f>
        <v>2.75567E-2</v>
      </c>
      <c r="H176" s="160">
        <f ca="1">IFERROR(INDEX(INDIRECT($A$3&amp;"$1:$1048576"),MATCH(Dashboard!$D$4&amp;$A176,INDIRECT($A$3&amp;"$A:$A"),0),MATCH(H$3,INDIRECT($A$3&amp;"$1:$1"),0)),0)</f>
        <v>1.35995E-2</v>
      </c>
    </row>
    <row r="177" spans="1:8" x14ac:dyDescent="0.25">
      <c r="A177" t="str">
        <f>Data_FP!$B177&amp;Data_FP!$C177&amp;Data_FP!$D177&amp;Data_FP!$E177</f>
        <v>2016UrbanNonTradCondom</v>
      </c>
      <c r="B177" s="157">
        <f t="shared" si="9"/>
        <v>2016</v>
      </c>
      <c r="C177" s="155" t="s">
        <v>20</v>
      </c>
      <c r="D177" s="155" t="s">
        <v>171</v>
      </c>
      <c r="E177" s="155" t="s">
        <v>25</v>
      </c>
      <c r="F177" s="160">
        <f ca="1">IFERROR(INDEX(INDIRECT($A$3&amp;"$1:$1048576"),MATCH(Dashboard!$D$4&amp;$A177,INDIRECT($A$3&amp;"$A:$A"),0),MATCH(F$3,INDIRECT($A$3&amp;"$1:$1"),0)),0)</f>
        <v>1.35592E-2</v>
      </c>
      <c r="G177" s="160">
        <f ca="1">IFERROR(INDEX(INDIRECT($A$3&amp;"$1:$1048576"),MATCH(Dashboard!$D$4&amp;$A177,INDIRECT($A$3&amp;"$A:$A"),0),MATCH(G$3,INDIRECT($A$3&amp;"$1:$1"),0)),0)</f>
        <v>9.7976000000000001E-3</v>
      </c>
      <c r="H177" s="160">
        <f ca="1">IFERROR(INDEX(INDIRECT($A$3&amp;"$1:$1048576"),MATCH(Dashboard!$D$4&amp;$A177,INDIRECT($A$3&amp;"$A:$A"),0),MATCH(H$3,INDIRECT($A$3&amp;"$1:$1"),0)),0)</f>
        <v>3.9009000000000001E-3</v>
      </c>
    </row>
    <row r="178" spans="1:8" x14ac:dyDescent="0.25">
      <c r="A178" t="str">
        <f>Data_FP!$B178&amp;Data_FP!$C178&amp;Data_FP!$D178&amp;Data_FP!$E178</f>
        <v>2016UrbanOtherCondom</v>
      </c>
      <c r="B178" s="157">
        <f t="shared" si="9"/>
        <v>2016</v>
      </c>
      <c r="C178" s="155" t="s">
        <v>20</v>
      </c>
      <c r="D178" s="155" t="s">
        <v>116</v>
      </c>
      <c r="E178" s="155" t="s">
        <v>25</v>
      </c>
      <c r="F178" s="160">
        <f ca="1">IFERROR(INDEX(INDIRECT($A$3&amp;"$1:$1048576"),MATCH(Dashboard!$D$4&amp;$A178,INDIRECT($A$3&amp;"$A:$A"),0),MATCH(F$3,INDIRECT($A$3&amp;"$1:$1"),0)),0)</f>
        <v>4.8342000000000003E-3</v>
      </c>
      <c r="G178" s="160">
        <f ca="1">IFERROR(INDEX(INDIRECT($A$3&amp;"$1:$1048576"),MATCH(Dashboard!$D$4&amp;$A178,INDIRECT($A$3&amp;"$A:$A"),0),MATCH(G$3,INDIRECT($A$3&amp;"$1:$1"),0)),0)</f>
        <v>1.1969999999999999E-3</v>
      </c>
      <c r="H178" s="160">
        <f ca="1">IFERROR(INDEX(INDIRECT($A$3&amp;"$1:$1048576"),MATCH(Dashboard!$D$4&amp;$A178,INDIRECT($A$3&amp;"$A:$A"),0),MATCH(H$3,INDIRECT($A$3&amp;"$1:$1"),0)),0)</f>
        <v>2.7366999999999999E-3</v>
      </c>
    </row>
    <row r="179" spans="1:8" x14ac:dyDescent="0.25">
      <c r="A179" t="str">
        <f>Data_FP!$B179&amp;Data_FP!$C179&amp;Data_FP!$D179&amp;Data_FP!$E179</f>
        <v>2016RuralPub_MedCondom</v>
      </c>
      <c r="B179" s="157">
        <f t="shared" si="9"/>
        <v>2016</v>
      </c>
      <c r="C179" s="155" t="s">
        <v>21</v>
      </c>
      <c r="D179" s="155" t="s">
        <v>52</v>
      </c>
      <c r="E179" s="155" t="s">
        <v>25</v>
      </c>
      <c r="F179" s="160">
        <f ca="1">IFERROR(INDEX(INDIRECT($A$3&amp;"$1:$1048576"),MATCH(Dashboard!$D$4&amp;$A179,INDIRECT($A$3&amp;"$A:$A"),0),MATCH(F$3,INDIRECT($A$3&amp;"$1:$1"),0)),0)</f>
        <v>1.3306E-2</v>
      </c>
      <c r="G179" s="160">
        <f ca="1">IFERROR(INDEX(INDIRECT($A$3&amp;"$1:$1048576"),MATCH(Dashboard!$D$4&amp;$A179,INDIRECT($A$3&amp;"$A:$A"),0),MATCH(G$3,INDIRECT($A$3&amp;"$1:$1"),0)),0)</f>
        <v>1.5410999999999999E-2</v>
      </c>
      <c r="H179" s="160">
        <f ca="1">IFERROR(INDEX(INDIRECT($A$3&amp;"$1:$1048576"),MATCH(Dashboard!$D$4&amp;$A179,INDIRECT($A$3&amp;"$A:$A"),0),MATCH(H$3,INDIRECT($A$3&amp;"$1:$1"),0)),0)</f>
        <v>1.00652E-2</v>
      </c>
    </row>
    <row r="180" spans="1:8" x14ac:dyDescent="0.25">
      <c r="A180" t="str">
        <f>Data_FP!$B180&amp;Data_FP!$C180&amp;Data_FP!$D180&amp;Data_FP!$E180</f>
        <v>2016RuralPub_OutreachCondom</v>
      </c>
      <c r="B180" s="157">
        <f t="shared" si="9"/>
        <v>2016</v>
      </c>
      <c r="C180" s="155" t="s">
        <v>21</v>
      </c>
      <c r="D180" s="155" t="s">
        <v>54</v>
      </c>
      <c r="E180" s="155" t="s">
        <v>25</v>
      </c>
      <c r="F180" s="160">
        <f ca="1">IFERROR(INDEX(INDIRECT($A$3&amp;"$1:$1048576"),MATCH(Dashboard!$D$4&amp;$A180,INDIRECT($A$3&amp;"$A:$A"),0),MATCH(F$3,INDIRECT($A$3&amp;"$1:$1"),0)),0)</f>
        <v>2.053E-4</v>
      </c>
      <c r="G180" s="160">
        <f ca="1">IFERROR(INDEX(INDIRECT($A$3&amp;"$1:$1048576"),MATCH(Dashboard!$D$4&amp;$A180,INDIRECT($A$3&amp;"$A:$A"),0),MATCH(G$3,INDIRECT($A$3&amp;"$1:$1"),0)),0)</f>
        <v>4.1169999999999998E-4</v>
      </c>
      <c r="H180" s="160">
        <f ca="1">IFERROR(INDEX(INDIRECT($A$3&amp;"$1:$1048576"),MATCH(Dashboard!$D$4&amp;$A180,INDIRECT($A$3&amp;"$A:$A"),0),MATCH(H$3,INDIRECT($A$3&amp;"$1:$1"),0)),0)</f>
        <v>1.0005000000000001E-3</v>
      </c>
    </row>
    <row r="181" spans="1:8" x14ac:dyDescent="0.25">
      <c r="A181" t="str">
        <f>Data_FP!$B181&amp;Data_FP!$C181&amp;Data_FP!$D181&amp;Data_FP!$E181</f>
        <v>2016RuralNGOCondom</v>
      </c>
      <c r="B181" s="157">
        <f t="shared" si="9"/>
        <v>2016</v>
      </c>
      <c r="C181" s="155" t="s">
        <v>21</v>
      </c>
      <c r="D181" s="155" t="s">
        <v>170</v>
      </c>
      <c r="E181" s="155" t="s">
        <v>25</v>
      </c>
      <c r="F181" s="160">
        <f ca="1">IFERROR(INDEX(INDIRECT($A$3&amp;"$1:$1048576"),MATCH(Dashboard!$D$4&amp;$A181,INDIRECT($A$3&amp;"$A:$A"),0),MATCH(F$3,INDIRECT($A$3&amp;"$1:$1"),0)),0)</f>
        <v>1.2817E-3</v>
      </c>
      <c r="G181" s="160">
        <f ca="1">IFERROR(INDEX(INDIRECT($A$3&amp;"$1:$1048576"),MATCH(Dashboard!$D$4&amp;$A181,INDIRECT($A$3&amp;"$A:$A"),0),MATCH(G$3,INDIRECT($A$3&amp;"$1:$1"),0)),0)</f>
        <v>0</v>
      </c>
      <c r="H181" s="160">
        <f ca="1">IFERROR(INDEX(INDIRECT($A$3&amp;"$1:$1048576"),MATCH(Dashboard!$D$4&amp;$A181,INDIRECT($A$3&amp;"$A:$A"),0),MATCH(H$3,INDIRECT($A$3&amp;"$1:$1"),0)),0)</f>
        <v>3.2069999999999999E-4</v>
      </c>
    </row>
    <row r="182" spans="1:8" x14ac:dyDescent="0.25">
      <c r="A182" t="str">
        <f>Data_FP!$B182&amp;Data_FP!$C182&amp;Data_FP!$D182&amp;Data_FP!$E182</f>
        <v>2016RuralCommercialCondom</v>
      </c>
      <c r="B182" s="157">
        <f t="shared" si="9"/>
        <v>2016</v>
      </c>
      <c r="C182" s="155" t="s">
        <v>21</v>
      </c>
      <c r="D182" s="155" t="s">
        <v>59</v>
      </c>
      <c r="E182" s="155" t="s">
        <v>25</v>
      </c>
      <c r="F182" s="160">
        <f ca="1">IFERROR(INDEX(INDIRECT($A$3&amp;"$1:$1048576"),MATCH(Dashboard!$D$4&amp;$A182,INDIRECT($A$3&amp;"$A:$A"),0),MATCH(F$3,INDIRECT($A$3&amp;"$1:$1"),0)),0)</f>
        <v>1.34132E-2</v>
      </c>
      <c r="G182" s="160">
        <f ca="1">IFERROR(INDEX(INDIRECT($A$3&amp;"$1:$1048576"),MATCH(Dashboard!$D$4&amp;$A182,INDIRECT($A$3&amp;"$A:$A"),0),MATCH(G$3,INDIRECT($A$3&amp;"$1:$1"),0)),0)</f>
        <v>1.0894600000000001E-2</v>
      </c>
      <c r="H182" s="160">
        <f ca="1">IFERROR(INDEX(INDIRECT($A$3&amp;"$1:$1048576"),MATCH(Dashboard!$D$4&amp;$A182,INDIRECT($A$3&amp;"$A:$A"),0),MATCH(H$3,INDIRECT($A$3&amp;"$1:$1"),0)),0)</f>
        <v>5.8703000000000002E-3</v>
      </c>
    </row>
    <row r="183" spans="1:8" x14ac:dyDescent="0.25">
      <c r="A183" t="str">
        <f>Data_FP!$B183&amp;Data_FP!$C183&amp;Data_FP!$D183&amp;Data_FP!$E183</f>
        <v>2016RuralNonTradCondom</v>
      </c>
      <c r="B183" s="157">
        <f t="shared" si="9"/>
        <v>2016</v>
      </c>
      <c r="C183" s="155" t="s">
        <v>21</v>
      </c>
      <c r="D183" s="155" t="s">
        <v>171</v>
      </c>
      <c r="E183" s="155" t="s">
        <v>25</v>
      </c>
      <c r="F183" s="160">
        <f ca="1">IFERROR(INDEX(INDIRECT($A$3&amp;"$1:$1048576"),MATCH(Dashboard!$D$4&amp;$A183,INDIRECT($A$3&amp;"$A:$A"),0),MATCH(F$3,INDIRECT($A$3&amp;"$1:$1"),0)),0)</f>
        <v>2.0517999999999999E-3</v>
      </c>
      <c r="G183" s="160">
        <f ca="1">IFERROR(INDEX(INDIRECT($A$3&amp;"$1:$1048576"),MATCH(Dashboard!$D$4&amp;$A183,INDIRECT($A$3&amp;"$A:$A"),0),MATCH(G$3,INDIRECT($A$3&amp;"$1:$1"),0)),0)</f>
        <v>1.2262E-3</v>
      </c>
      <c r="H183" s="160">
        <f ca="1">IFERROR(INDEX(INDIRECT($A$3&amp;"$1:$1048576"),MATCH(Dashboard!$D$4&amp;$A183,INDIRECT($A$3&amp;"$A:$A"),0),MATCH(H$3,INDIRECT($A$3&amp;"$1:$1"),0)),0)</f>
        <v>1.4220999999999999E-3</v>
      </c>
    </row>
    <row r="184" spans="1:8" x14ac:dyDescent="0.25">
      <c r="A184" t="str">
        <f>Data_FP!$B184&amp;Data_FP!$C184&amp;Data_FP!$D184&amp;Data_FP!$E184</f>
        <v>2016RuralOtherCondom</v>
      </c>
      <c r="B184" s="157">
        <f t="shared" si="9"/>
        <v>2016</v>
      </c>
      <c r="C184" s="159" t="s">
        <v>21</v>
      </c>
      <c r="D184" s="159" t="s">
        <v>116</v>
      </c>
      <c r="E184" s="159" t="s">
        <v>25</v>
      </c>
      <c r="F184" s="160">
        <f ca="1">IFERROR(INDEX(INDIRECT($A$3&amp;"$1:$1048576"),MATCH(Dashboard!$D$4&amp;$A184,INDIRECT($A$3&amp;"$A:$A"),0),MATCH(F$3,INDIRECT($A$3&amp;"$1:$1"),0)),0)</f>
        <v>3.8332000000000001E-3</v>
      </c>
      <c r="G184" s="160">
        <f ca="1">IFERROR(INDEX(INDIRECT($A$3&amp;"$1:$1048576"),MATCH(Dashboard!$D$4&amp;$A184,INDIRECT($A$3&amp;"$A:$A"),0),MATCH(G$3,INDIRECT($A$3&amp;"$1:$1"),0)),0)</f>
        <v>2.5933000000000002E-3</v>
      </c>
      <c r="H184" s="160">
        <f ca="1">IFERROR(INDEX(INDIRECT($A$3&amp;"$1:$1048576"),MATCH(Dashboard!$D$4&amp;$A184,INDIRECT($A$3&amp;"$A:$A"),0),MATCH(H$3,INDIRECT($A$3&amp;"$1:$1"),0)),0)</f>
        <v>1.1502999999999999E-3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J37"/>
  <sheetViews>
    <sheetView workbookViewId="0">
      <selection activeCell="AG75" sqref="AG75"/>
    </sheetView>
  </sheetViews>
  <sheetFormatPr defaultRowHeight="15" outlineLevelRow="1" x14ac:dyDescent="0.25"/>
  <cols>
    <col min="2" max="2" width="13.5703125" customWidth="1"/>
    <col min="3" max="3" width="1.7109375" customWidth="1"/>
    <col min="4" max="4" width="13.5703125" customWidth="1"/>
    <col min="5" max="5" width="15.5703125" customWidth="1"/>
    <col min="6" max="6" width="16.42578125" customWidth="1"/>
    <col min="7" max="7" width="2" customWidth="1"/>
    <col min="8" max="8" width="15.42578125" customWidth="1"/>
    <col min="9" max="9" width="14.85546875" customWidth="1"/>
    <col min="10" max="10" width="14.7109375" customWidth="1"/>
  </cols>
  <sheetData>
    <row r="1" spans="1:10" x14ac:dyDescent="0.25">
      <c r="A1" s="3" t="s">
        <v>226</v>
      </c>
    </row>
    <row r="2" spans="1:10" outlineLevel="1" x14ac:dyDescent="0.25">
      <c r="A2" t="str">
        <f>IF(Dashboard!$N$4="Wealth Quintiles", "geo_wealth_breakdown_raw!","geo_income_breakdown_raw!")</f>
        <v>geo_wealth_breakdown_raw!</v>
      </c>
      <c r="D2" s="123" t="s">
        <v>227</v>
      </c>
      <c r="E2" s="123" t="s">
        <v>227</v>
      </c>
      <c r="F2" s="123" t="s">
        <v>227</v>
      </c>
      <c r="G2" s="123"/>
      <c r="H2" s="123" t="s">
        <v>228</v>
      </c>
      <c r="I2" s="123" t="s">
        <v>228</v>
      </c>
      <c r="J2" s="123" t="s">
        <v>228</v>
      </c>
    </row>
    <row r="3" spans="1:10" outlineLevel="1" x14ac:dyDescent="0.25">
      <c r="D3" s="2" t="s">
        <v>225</v>
      </c>
      <c r="E3" s="2" t="s">
        <v>224</v>
      </c>
      <c r="F3" s="2" t="s">
        <v>223</v>
      </c>
      <c r="G3" s="124"/>
      <c r="H3" s="2" t="s">
        <v>225</v>
      </c>
      <c r="I3" s="2" t="s">
        <v>224</v>
      </c>
      <c r="J3" s="2" t="s">
        <v>223</v>
      </c>
    </row>
    <row r="4" spans="1:10" x14ac:dyDescent="0.25">
      <c r="A4" s="206" t="s">
        <v>70</v>
      </c>
      <c r="B4" s="207" t="s">
        <v>229</v>
      </c>
      <c r="C4" s="125"/>
      <c r="D4" s="207" t="str">
        <f>PROPER(D2)&amp;PROPER(D3)</f>
        <v>UrbanOther</v>
      </c>
      <c r="E4" s="207" t="str">
        <f>PROPER(E2)&amp;PROPER(E3)</f>
        <v>UrbanRicher</v>
      </c>
      <c r="F4" s="207" t="str">
        <f>PROPER(F2)&amp;PROPER(F3)</f>
        <v>UrbanRichest</v>
      </c>
      <c r="G4" s="125"/>
      <c r="H4" s="207" t="str">
        <f>PROPER(H2)&amp;PROPER(H3)</f>
        <v>RuralOther</v>
      </c>
      <c r="I4" s="207" t="str">
        <f>PROPER(I2)&amp;PROPER(I3)</f>
        <v>RuralRicher</v>
      </c>
      <c r="J4" s="207" t="str">
        <f>PROPER(J2)&amp;PROPER(J3)</f>
        <v>RuralRichest</v>
      </c>
    </row>
    <row r="5" spans="1:10" s="190" customFormat="1" x14ac:dyDescent="0.25">
      <c r="A5" s="210"/>
      <c r="B5" s="210"/>
      <c r="C5" s="189"/>
      <c r="D5" s="209">
        <f ca="1">INDEX(INDIRECT($A$2&amp;"$1:$1048576"),MATCH(Dashboard!$D$4&amp;Yr_DHS2&amp;D$2,INDIRECT($A$2&amp;"$A:$A"),0),MATCH(D$3,INDIRECT($A$2&amp;"$1:$1"),0))</f>
        <v>0.14447789999999999</v>
      </c>
      <c r="E5" s="209">
        <f ca="1">INDEX(INDIRECT($A$2&amp;"$1:$1048576"),MATCH(Dashboard!$D$4&amp;Yr_DHS2&amp;E$2,INDIRECT($A$2&amp;"$A:$A"),0),MATCH(E$3,INDIRECT($A$2&amp;"$1:$1"),0))</f>
        <v>5.9398600000000003E-2</v>
      </c>
      <c r="F5" s="209">
        <f ca="1">INDEX(INDIRECT($A$2&amp;"$1:$1048576"),MATCH(Dashboard!$D$4&amp;Yr_DHS2&amp;F$2,INDIRECT($A$2&amp;"$A:$A"),0),MATCH(F$3,INDIRECT($A$2&amp;"$1:$1"),0))</f>
        <v>6.3242499999999993E-2</v>
      </c>
      <c r="G5" s="189"/>
      <c r="H5" s="209">
        <f ca="1">INDEX(INDIRECT($A$2&amp;"$1:$1048576"),MATCH(Dashboard!$D$4&amp;Yr_DHS2&amp;H$2,INDIRECT($A$2&amp;"$A:$A"),0),MATCH(H$3,INDIRECT($A$2&amp;"$1:$1"),0))</f>
        <v>0.41912860000000002</v>
      </c>
      <c r="I5" s="209">
        <f ca="1">INDEX(INDIRECT($A$2&amp;"$1:$1048576"),MATCH(Dashboard!$D$4&amp;Yr_DHS2&amp;I$2,INDIRECT($A$2&amp;"$A:$A"),0),MATCH(I$3,INDIRECT($A$2&amp;"$1:$1"),0))</f>
        <v>0.1505175</v>
      </c>
      <c r="J5" s="209">
        <f ca="1">INDEX(INDIRECT($A$2&amp;"$1:$1048576"),MATCH(Dashboard!$D$4&amp;Yr_DHS2&amp;J$2,INDIRECT($A$2&amp;"$A:$A"),0),MATCH(J$3,INDIRECT($A$2&amp;"$1:$1"),0))</f>
        <v>0.16323480000000001</v>
      </c>
    </row>
    <row r="6" spans="1:10" x14ac:dyDescent="0.25">
      <c r="A6" s="126">
        <v>2015</v>
      </c>
      <c r="B6" s="144">
        <f>1000*INDEX(wra_trend_raw!$1:$1048576,MATCH(Dashboard!$D$4&amp;$A6,wra_trend_raw!$A:$A,0),MATCH(B$4,wra_trend_raw!$1:$1,0))</f>
        <v>9059232</v>
      </c>
      <c r="C6" s="145"/>
      <c r="D6" s="39">
        <f ca="1">$B6*D$5</f>
        <v>1308858.8149728</v>
      </c>
      <c r="E6" s="39">
        <f t="shared" ref="E6:F6" ca="1" si="0">$B6*E$5</f>
        <v>538105.69787520007</v>
      </c>
      <c r="F6" s="39">
        <f t="shared" ca="1" si="0"/>
        <v>572928.4797599999</v>
      </c>
      <c r="G6" s="40"/>
      <c r="H6" s="37">
        <f ca="1">$B6*H$5</f>
        <v>3796983.2252352</v>
      </c>
      <c r="I6" s="37">
        <f t="shared" ref="I6:J23" ca="1" si="1">$B6*I$5</f>
        <v>1363572.9525599999</v>
      </c>
      <c r="J6" s="37">
        <f t="shared" ca="1" si="1"/>
        <v>1478781.9236736002</v>
      </c>
    </row>
    <row r="7" spans="1:10" x14ac:dyDescent="0.25">
      <c r="A7" s="126">
        <v>2016</v>
      </c>
      <c r="B7" s="144">
        <f>1000*INDEX(wra_trend_raw!$1:$1048576,MATCH(Dashboard!$D$4&amp;$A7,wra_trend_raw!$A:$A,0),MATCH(B$4,wra_trend_raw!$1:$1,0))</f>
        <v>9407843</v>
      </c>
      <c r="C7" s="145"/>
      <c r="D7" s="39">
        <f t="shared" ref="D7:F9" ca="1" si="2">$B7*D$5</f>
        <v>1359225.4001696999</v>
      </c>
      <c r="E7" s="39">
        <f t="shared" ca="1" si="2"/>
        <v>558812.70321980002</v>
      </c>
      <c r="F7" s="39">
        <f t="shared" ca="1" si="2"/>
        <v>594975.51092749997</v>
      </c>
      <c r="G7" s="40"/>
      <c r="H7" s="37">
        <f t="shared" ref="H7:H9" ca="1" si="3">$B7*H$5</f>
        <v>3943096.0656098002</v>
      </c>
      <c r="I7" s="37">
        <f t="shared" ca="1" si="1"/>
        <v>1416045.0087524999</v>
      </c>
      <c r="J7" s="37">
        <f t="shared" ca="1" si="1"/>
        <v>1535687.3705364002</v>
      </c>
    </row>
    <row r="8" spans="1:10" x14ac:dyDescent="0.25">
      <c r="A8" s="126">
        <v>2017</v>
      </c>
      <c r="B8" s="144">
        <f>1000*INDEX(wra_trend_raw!$1:$1048576,MATCH(Dashboard!$D$4&amp;$A8,wra_trend_raw!$A:$A,0),MATCH(B$4,wra_trend_raw!$1:$1,0))</f>
        <v>9770828</v>
      </c>
      <c r="C8" s="145"/>
      <c r="D8" s="39">
        <f t="shared" ca="1" si="2"/>
        <v>1411668.7107011999</v>
      </c>
      <c r="E8" s="39">
        <f t="shared" ca="1" si="2"/>
        <v>580373.50404080003</v>
      </c>
      <c r="F8" s="39">
        <f t="shared" ca="1" si="2"/>
        <v>617931.58978999988</v>
      </c>
      <c r="G8" s="40"/>
      <c r="H8" s="37">
        <f t="shared" ca="1" si="3"/>
        <v>4095233.4604808004</v>
      </c>
      <c r="I8" s="37">
        <f t="shared" ca="1" si="1"/>
        <v>1470680.6034899999</v>
      </c>
      <c r="J8" s="37">
        <f t="shared" ca="1" si="1"/>
        <v>1594939.1544144002</v>
      </c>
    </row>
    <row r="9" spans="1:10" x14ac:dyDescent="0.25">
      <c r="A9" s="126">
        <v>2018</v>
      </c>
      <c r="B9" s="144">
        <f>1000*INDEX(wra_trend_raw!$1:$1048576,MATCH(Dashboard!$D$4&amp;$A9,wra_trend_raw!$A:$A,0),MATCH(B$4,wra_trend_raw!$1:$1,0))</f>
        <v>10147778</v>
      </c>
      <c r="C9" s="145"/>
      <c r="D9" s="39">
        <f t="shared" ca="1" si="2"/>
        <v>1466129.6551061999</v>
      </c>
      <c r="E9" s="39">
        <f t="shared" ca="1" si="2"/>
        <v>602763.80631080002</v>
      </c>
      <c r="F9" s="39">
        <f t="shared" ca="1" si="2"/>
        <v>641770.85016499995</v>
      </c>
      <c r="G9" s="40"/>
      <c r="H9" s="37">
        <f t="shared" ca="1" si="3"/>
        <v>4253223.9862508001</v>
      </c>
      <c r="I9" s="37">
        <f t="shared" ca="1" si="1"/>
        <v>1527418.175115</v>
      </c>
      <c r="J9" s="37">
        <f t="shared" ca="1" si="1"/>
        <v>1656470.5122744001</v>
      </c>
    </row>
    <row r="10" spans="1:10" x14ac:dyDescent="0.25">
      <c r="A10" s="126">
        <v>2019</v>
      </c>
      <c r="B10" s="144">
        <f>1000*INDEX(wra_trend_raw!$1:$1048576,MATCH(Dashboard!$D$4&amp;$A10,wra_trend_raw!$A:$A,0),MATCH(B$4,wra_trend_raw!$1:$1,0))</f>
        <v>10538015.000000002</v>
      </c>
      <c r="C10" s="145"/>
      <c r="D10" s="37">
        <f t="shared" ref="D10:D26" ca="1" si="4">$B10*D$5</f>
        <v>1522510.2773685001</v>
      </c>
      <c r="E10" s="37">
        <f t="shared" ref="E10:F23" ca="1" si="5">$B10*E$5</f>
        <v>625943.33777900017</v>
      </c>
      <c r="F10" s="37">
        <f t="shared" ca="1" si="5"/>
        <v>666450.41363750002</v>
      </c>
      <c r="G10" s="40"/>
      <c r="H10" s="37">
        <f t="shared" ref="H10:H26" ca="1" si="6">$B10*H$5</f>
        <v>4416783.4737290014</v>
      </c>
      <c r="I10" s="37">
        <f t="shared" ca="1" si="1"/>
        <v>1586155.6727625004</v>
      </c>
      <c r="J10" s="37">
        <f t="shared" ca="1" si="1"/>
        <v>1720170.7709220005</v>
      </c>
    </row>
    <row r="11" spans="1:10" x14ac:dyDescent="0.25">
      <c r="A11" s="126">
        <v>2020</v>
      </c>
      <c r="B11" s="144">
        <f>1000*INDEX(wra_trend_raw!$1:$1048576,MATCH(Dashboard!$D$4&amp;$A11,wra_trend_raw!$A:$A,0),MATCH(B$4,wra_trend_raw!$1:$1,0))</f>
        <v>10940859</v>
      </c>
      <c r="C11" s="145"/>
      <c r="D11" s="37">
        <f t="shared" ca="1" si="4"/>
        <v>1580712.3325161</v>
      </c>
      <c r="E11" s="37">
        <f t="shared" ca="1" si="5"/>
        <v>649871.70739740005</v>
      </c>
      <c r="F11" s="37">
        <f t="shared" ca="1" si="5"/>
        <v>691927.27530749992</v>
      </c>
      <c r="G11" s="40"/>
      <c r="H11" s="37">
        <f t="shared" ca="1" si="6"/>
        <v>4585626.9154674001</v>
      </c>
      <c r="I11" s="37">
        <f t="shared" ca="1" si="1"/>
        <v>1646790.7445324999</v>
      </c>
      <c r="J11" s="37">
        <f t="shared" ca="1" si="1"/>
        <v>1785928.9306932001</v>
      </c>
    </row>
    <row r="12" spans="1:10" x14ac:dyDescent="0.25">
      <c r="A12" s="126">
        <v>2021</v>
      </c>
      <c r="B12" s="144">
        <f>1000*INDEX(wra_trend_raw!$1:$1048576,MATCH(Dashboard!$D$4&amp;$A12,wra_trend_raw!$A:$A,0),MATCH(B$4,wra_trend_raw!$1:$1,0))</f>
        <v>11342251</v>
      </c>
      <c r="C12" s="145"/>
      <c r="D12" s="37">
        <f t="shared" ca="1" si="4"/>
        <v>1638704.6057529</v>
      </c>
      <c r="E12" s="37">
        <f t="shared" ca="1" si="5"/>
        <v>673713.83024859999</v>
      </c>
      <c r="F12" s="37">
        <f t="shared" ca="1" si="5"/>
        <v>717312.30886749993</v>
      </c>
      <c r="G12" s="40"/>
      <c r="H12" s="37">
        <f t="shared" ca="1" si="6"/>
        <v>4753861.7824785998</v>
      </c>
      <c r="I12" s="37">
        <f t="shared" ca="1" si="1"/>
        <v>1707207.2648924999</v>
      </c>
      <c r="J12" s="37">
        <f t="shared" ca="1" si="1"/>
        <v>1851450.0735348002</v>
      </c>
    </row>
    <row r="13" spans="1:10" x14ac:dyDescent="0.25">
      <c r="A13" s="126">
        <v>2022</v>
      </c>
      <c r="B13" s="144">
        <f>1000*INDEX(wra_trend_raw!$1:$1048576,MATCH(Dashboard!$D$4&amp;$A13,wra_trend_raw!$A:$A,0),MATCH(B$4,wra_trend_raw!$1:$1,0))</f>
        <v>11758329.000000002</v>
      </c>
      <c r="C13" s="145"/>
      <c r="D13" s="37">
        <f t="shared" ca="1" si="4"/>
        <v>1698818.6814291002</v>
      </c>
      <c r="E13" s="37">
        <f t="shared" ca="1" si="5"/>
        <v>698428.2809394002</v>
      </c>
      <c r="F13" s="37">
        <f t="shared" ca="1" si="5"/>
        <v>743626.12178250006</v>
      </c>
      <c r="G13" s="40"/>
      <c r="H13" s="37">
        <f t="shared" ca="1" si="6"/>
        <v>4928251.9721094007</v>
      </c>
      <c r="I13" s="37">
        <f t="shared" ca="1" si="1"/>
        <v>1769834.2852575004</v>
      </c>
      <c r="J13" s="37">
        <f t="shared" ca="1" si="1"/>
        <v>1919368.4826492004</v>
      </c>
    </row>
    <row r="14" spans="1:10" x14ac:dyDescent="0.25">
      <c r="A14" s="126">
        <v>2023</v>
      </c>
      <c r="B14" s="144">
        <f>1000*INDEX(wra_trend_raw!$1:$1048576,MATCH(Dashboard!$D$4&amp;$A14,wra_trend_raw!$A:$A,0),MATCH(B$4,wra_trend_raw!$1:$1,0))</f>
        <v>12187656</v>
      </c>
      <c r="C14" s="145"/>
      <c r="D14" s="37">
        <f t="shared" ca="1" si="4"/>
        <v>1760846.9448024</v>
      </c>
      <c r="E14" s="37">
        <f t="shared" ca="1" si="5"/>
        <v>723929.70368160005</v>
      </c>
      <c r="F14" s="37">
        <f t="shared" ca="1" si="5"/>
        <v>770777.83457999991</v>
      </c>
      <c r="G14" s="40"/>
      <c r="H14" s="37">
        <f t="shared" ca="1" si="6"/>
        <v>5108195.1965616001</v>
      </c>
      <c r="I14" s="37">
        <f t="shared" ca="1" si="1"/>
        <v>1834455.51198</v>
      </c>
      <c r="J14" s="37">
        <f t="shared" ca="1" si="1"/>
        <v>1989449.5896288001</v>
      </c>
    </row>
    <row r="15" spans="1:10" x14ac:dyDescent="0.25">
      <c r="A15" s="126">
        <v>2024</v>
      </c>
      <c r="B15" s="144">
        <f>1000*INDEX(wra_trend_raw!$1:$1048576,MATCH(Dashboard!$D$4&amp;$A15,wra_trend_raw!$A:$A,0),MATCH(B$4,wra_trend_raw!$1:$1,0))</f>
        <v>12628598</v>
      </c>
      <c r="C15" s="145"/>
      <c r="D15" s="37">
        <f t="shared" ca="1" si="4"/>
        <v>1824553.3189842</v>
      </c>
      <c r="E15" s="37">
        <f t="shared" ca="1" si="5"/>
        <v>750121.04116280004</v>
      </c>
      <c r="F15" s="37">
        <f t="shared" ca="1" si="5"/>
        <v>798664.10901499994</v>
      </c>
      <c r="G15" s="40"/>
      <c r="H15" s="37">
        <f t="shared" ca="1" si="6"/>
        <v>5293006.5997028006</v>
      </c>
      <c r="I15" s="37">
        <f t="shared" ca="1" si="1"/>
        <v>1900824.9994649999</v>
      </c>
      <c r="J15" s="37">
        <f t="shared" ca="1" si="1"/>
        <v>2061426.6688104002</v>
      </c>
    </row>
    <row r="16" spans="1:10" x14ac:dyDescent="0.25">
      <c r="A16" s="126">
        <v>2025</v>
      </c>
      <c r="B16" s="144">
        <f>1000*INDEX(wra_trend_raw!$1:$1048576,MATCH(Dashboard!$D$4&amp;$A16,wra_trend_raw!$A:$A,0),MATCH(B$4,wra_trend_raw!$1:$1,0))</f>
        <v>13080335</v>
      </c>
      <c r="C16" s="145"/>
      <c r="D16" s="37">
        <f t="shared" ca="1" si="4"/>
        <v>1889819.3320964999</v>
      </c>
      <c r="E16" s="37">
        <f t="shared" ca="1" si="5"/>
        <v>776953.58653099998</v>
      </c>
      <c r="F16" s="37">
        <f t="shared" ca="1" si="5"/>
        <v>827233.08623749996</v>
      </c>
      <c r="G16" s="40"/>
      <c r="H16" s="37">
        <f t="shared" ca="1" si="6"/>
        <v>5482342.4960810002</v>
      </c>
      <c r="I16" s="37">
        <f t="shared" ca="1" si="1"/>
        <v>1968819.3233624999</v>
      </c>
      <c r="J16" s="37">
        <f t="shared" ca="1" si="1"/>
        <v>2135165.867658</v>
      </c>
    </row>
    <row r="17" spans="1:10" x14ac:dyDescent="0.25">
      <c r="A17" s="126">
        <v>2026</v>
      </c>
      <c r="B17" s="144">
        <f>1000*INDEX(wra_trend_raw!$1:$1048576,MATCH(Dashboard!$D$4&amp;$A17,wra_trend_raw!$A:$A,0),MATCH(B$4,wra_trend_raw!$1:$1,0))</f>
        <v>13533585.000000002</v>
      </c>
      <c r="C17" s="145"/>
      <c r="D17" s="37">
        <f t="shared" ca="1" si="4"/>
        <v>1955303.9402715003</v>
      </c>
      <c r="E17" s="37">
        <f t="shared" ca="1" si="5"/>
        <v>803876.00198100018</v>
      </c>
      <c r="F17" s="37">
        <f t="shared" ca="1" si="5"/>
        <v>855897.74936250004</v>
      </c>
      <c r="G17" s="40"/>
      <c r="H17" s="37">
        <f t="shared" ca="1" si="6"/>
        <v>5672312.5340310009</v>
      </c>
      <c r="I17" s="37">
        <f t="shared" ca="1" si="1"/>
        <v>2037041.3802375002</v>
      </c>
      <c r="J17" s="37">
        <f t="shared" ca="1" si="1"/>
        <v>2209152.0407580007</v>
      </c>
    </row>
    <row r="18" spans="1:10" x14ac:dyDescent="0.25">
      <c r="A18" s="126">
        <v>2027</v>
      </c>
      <c r="B18" s="144">
        <f>1000*INDEX(wra_trend_raw!$1:$1048576,MATCH(Dashboard!$D$4&amp;$A18,wra_trend_raw!$A:$A,0),MATCH(B$4,wra_trend_raw!$1:$1,0))</f>
        <v>13998721</v>
      </c>
      <c r="C18" s="145"/>
      <c r="D18" s="37">
        <f t="shared" ca="1" si="4"/>
        <v>2022505.8127658998</v>
      </c>
      <c r="E18" s="37">
        <f t="shared" ca="1" si="5"/>
        <v>831504.42919060006</v>
      </c>
      <c r="F18" s="37">
        <f t="shared" ca="1" si="5"/>
        <v>885314.11284249986</v>
      </c>
      <c r="G18" s="40"/>
      <c r="H18" s="37">
        <f t="shared" ca="1" si="6"/>
        <v>5867264.3345205998</v>
      </c>
      <c r="I18" s="37">
        <f t="shared" ca="1" si="1"/>
        <v>2107052.4881175002</v>
      </c>
      <c r="J18" s="37">
        <f t="shared" ca="1" si="1"/>
        <v>2285078.4226908004</v>
      </c>
    </row>
    <row r="19" spans="1:10" x14ac:dyDescent="0.25">
      <c r="A19" s="126">
        <v>2028</v>
      </c>
      <c r="B19" s="144">
        <f>1000*INDEX(wra_trend_raw!$1:$1048576,MATCH(Dashboard!$D$4&amp;$A19,wra_trend_raw!$A:$A,0),MATCH(B$4,wra_trend_raw!$1:$1,0))</f>
        <v>14475933.999999998</v>
      </c>
      <c r="C19" s="145"/>
      <c r="D19" s="37">
        <f t="shared" ca="1" si="4"/>
        <v>2091452.5448585995</v>
      </c>
      <c r="E19" s="37">
        <f t="shared" ca="1" si="5"/>
        <v>859850.21329239989</v>
      </c>
      <c r="F19" s="37">
        <f t="shared" ca="1" si="5"/>
        <v>915494.25599499978</v>
      </c>
      <c r="G19" s="40"/>
      <c r="H19" s="37">
        <f t="shared" ca="1" si="6"/>
        <v>6067277.9511123998</v>
      </c>
      <c r="I19" s="37">
        <f t="shared" ca="1" si="1"/>
        <v>2178881.3958449997</v>
      </c>
      <c r="J19" s="37">
        <f t="shared" ca="1" si="1"/>
        <v>2362976.1913032001</v>
      </c>
    </row>
    <row r="20" spans="1:10" x14ac:dyDescent="0.25">
      <c r="A20" s="126">
        <v>2029</v>
      </c>
      <c r="B20" s="144">
        <f>1000*INDEX(wra_trend_raw!$1:$1048576,MATCH(Dashboard!$D$4&amp;$A20,wra_trend_raw!$A:$A,0),MATCH(B$4,wra_trend_raw!$1:$1,0))</f>
        <v>14966054</v>
      </c>
      <c r="C20" s="145"/>
      <c r="D20" s="37">
        <f t="shared" ca="1" si="4"/>
        <v>2162264.0532065998</v>
      </c>
      <c r="E20" s="37">
        <f t="shared" ca="1" si="5"/>
        <v>888962.65512440004</v>
      </c>
      <c r="F20" s="37">
        <f t="shared" ca="1" si="5"/>
        <v>946490.67009499995</v>
      </c>
      <c r="G20" s="40"/>
      <c r="H20" s="37">
        <f t="shared" ca="1" si="6"/>
        <v>6272701.2605444007</v>
      </c>
      <c r="I20" s="37">
        <f t="shared" ca="1" si="1"/>
        <v>2252653.0329450001</v>
      </c>
      <c r="J20" s="37">
        <f t="shared" ca="1" si="1"/>
        <v>2442980.8314792002</v>
      </c>
    </row>
    <row r="21" spans="1:10" x14ac:dyDescent="0.25">
      <c r="A21" s="126">
        <v>2030</v>
      </c>
      <c r="B21" s="144">
        <f>1000*INDEX(wra_trend_raw!$1:$1048576,MATCH(Dashboard!$D$4&amp;$A21,wra_trend_raw!$A:$A,0),MATCH(B$4,wra_trend_raw!$1:$1,0))</f>
        <v>15469427</v>
      </c>
      <c r="C21" s="145"/>
      <c r="D21" s="37">
        <f t="shared" ca="1" si="4"/>
        <v>2234990.3271633</v>
      </c>
      <c r="E21" s="37">
        <f t="shared" ca="1" si="5"/>
        <v>918862.30660220003</v>
      </c>
      <c r="F21" s="37">
        <f t="shared" ca="1" si="5"/>
        <v>978325.23704749986</v>
      </c>
      <c r="G21" s="40"/>
      <c r="H21" s="37">
        <f t="shared" ca="1" si="6"/>
        <v>6483679.2813122002</v>
      </c>
      <c r="I21" s="37">
        <f t="shared" ca="1" si="1"/>
        <v>2328419.4784725001</v>
      </c>
      <c r="J21" s="37">
        <f t="shared" ca="1" si="1"/>
        <v>2525148.8224596004</v>
      </c>
    </row>
    <row r="22" spans="1:10" x14ac:dyDescent="0.25">
      <c r="A22" s="126">
        <v>2031</v>
      </c>
      <c r="B22" s="144">
        <f>1000*INDEX(wra_trend_raw!$1:$1048576,MATCH(Dashboard!$D$4&amp;$A22,wra_trend_raw!$A:$A,0),MATCH(B$4,wra_trend_raw!$1:$1,0))</f>
        <v>15976678</v>
      </c>
      <c r="C22" s="145"/>
      <c r="D22" s="37">
        <f t="shared" ca="1" si="4"/>
        <v>2308276.8864162001</v>
      </c>
      <c r="E22" s="37">
        <f t="shared" ca="1" si="5"/>
        <v>948992.30585080001</v>
      </c>
      <c r="F22" s="37">
        <f t="shared" ca="1" si="5"/>
        <v>1010405.0584149999</v>
      </c>
      <c r="G22" s="40"/>
      <c r="H22" s="37">
        <f t="shared" ca="1" si="6"/>
        <v>6696282.6827908</v>
      </c>
      <c r="I22" s="37">
        <f t="shared" ca="1" si="1"/>
        <v>2404769.6308650002</v>
      </c>
      <c r="J22" s="37">
        <f t="shared" ca="1" si="1"/>
        <v>2607949.8379944004</v>
      </c>
    </row>
    <row r="23" spans="1:10" x14ac:dyDescent="0.25">
      <c r="A23" s="126">
        <v>2032</v>
      </c>
      <c r="B23" s="144">
        <f>1000*INDEX(wra_trend_raw!$1:$1048576,MATCH(Dashboard!$D$4&amp;$A23,wra_trend_raw!$A:$A,0),MATCH(B$4,wra_trend_raw!$1:$1,0))</f>
        <v>16498106</v>
      </c>
      <c r="C23" s="145"/>
      <c r="D23" s="37">
        <f t="shared" ca="1" si="4"/>
        <v>2383611.7088573999</v>
      </c>
      <c r="E23" s="37">
        <f t="shared" ca="1" si="5"/>
        <v>979964.39905160002</v>
      </c>
      <c r="F23" s="37">
        <f t="shared" ca="1" si="5"/>
        <v>1043381.4687049999</v>
      </c>
      <c r="G23" s="40"/>
      <c r="H23" s="37">
        <f t="shared" ca="1" si="6"/>
        <v>6914828.0704316003</v>
      </c>
      <c r="I23" s="37">
        <f t="shared" ca="1" si="1"/>
        <v>2483253.669855</v>
      </c>
      <c r="J23" s="37">
        <f t="shared" ca="1" si="1"/>
        <v>2693065.0332888002</v>
      </c>
    </row>
    <row r="24" spans="1:10" x14ac:dyDescent="0.25">
      <c r="A24" s="126">
        <v>2033</v>
      </c>
      <c r="B24" s="144">
        <f>1000*INDEX(wra_trend_raw!$1:$1048576,MATCH(Dashboard!$D$4&amp;$A24,wra_trend_raw!$A:$A,0),MATCH(B$4,wra_trend_raw!$1:$1,0))</f>
        <v>17032714.000000004</v>
      </c>
      <c r="C24" s="145"/>
      <c r="D24" s="37">
        <f t="shared" ca="1" si="4"/>
        <v>2460850.7500206004</v>
      </c>
      <c r="E24" s="37">
        <f t="shared" ref="E24:F26" ca="1" si="7">$B24*E$5</f>
        <v>1011719.3658004003</v>
      </c>
      <c r="F24" s="37">
        <f t="shared" ca="1" si="7"/>
        <v>1077191.4151450002</v>
      </c>
      <c r="G24" s="40"/>
      <c r="H24" s="37">
        <f t="shared" ca="1" si="6"/>
        <v>7138897.5730204014</v>
      </c>
      <c r="I24" s="37">
        <f t="shared" ref="I24:J26" ca="1" si="8">$B24*I$5</f>
        <v>2563721.5294950004</v>
      </c>
      <c r="J24" s="37">
        <f t="shared" ca="1" si="8"/>
        <v>2780331.6632472007</v>
      </c>
    </row>
    <row r="25" spans="1:10" x14ac:dyDescent="0.25">
      <c r="A25" s="126">
        <v>2034</v>
      </c>
      <c r="B25" s="144">
        <f>1000*INDEX(wra_trend_raw!$1:$1048576,MATCH(Dashboard!$D$4&amp;$A25,wra_trend_raw!$A:$A,0),MATCH(B$4,wra_trend_raw!$1:$1,0))</f>
        <v>17579370</v>
      </c>
      <c r="C25" s="145"/>
      <c r="D25" s="37">
        <f t="shared" ca="1" si="4"/>
        <v>2539830.4609229998</v>
      </c>
      <c r="E25" s="37">
        <f t="shared" ca="1" si="7"/>
        <v>1044189.9668820001</v>
      </c>
      <c r="F25" s="37">
        <f t="shared" ca="1" si="7"/>
        <v>1111763.3072249999</v>
      </c>
      <c r="G25" s="40"/>
      <c r="H25" s="37">
        <f t="shared" ca="1" si="6"/>
        <v>7368016.7369820001</v>
      </c>
      <c r="I25" s="37">
        <f t="shared" ca="1" si="8"/>
        <v>2646002.8239750001</v>
      </c>
      <c r="J25" s="37">
        <f t="shared" ca="1" si="8"/>
        <v>2869564.9460760001</v>
      </c>
    </row>
    <row r="26" spans="1:10" x14ac:dyDescent="0.25">
      <c r="A26" s="126">
        <v>2035</v>
      </c>
      <c r="B26" s="144">
        <f>1000*INDEX(wra_trend_raw!$1:$1048576,MATCH(Dashboard!$D$4&amp;$A26,wra_trend_raw!$A:$A,0),MATCH(B$4,wra_trend_raw!$1:$1,0))</f>
        <v>18137315.999999996</v>
      </c>
      <c r="C26" s="145"/>
      <c r="D26" s="37">
        <f t="shared" ca="1" si="4"/>
        <v>2620441.3273163992</v>
      </c>
      <c r="E26" s="37">
        <f t="shared" ca="1" si="7"/>
        <v>1077331.1781575999</v>
      </c>
      <c r="F26" s="37">
        <f t="shared" ca="1" si="7"/>
        <v>1147049.2071299995</v>
      </c>
      <c r="G26" s="40"/>
      <c r="H26" s="37">
        <f t="shared" ca="1" si="6"/>
        <v>7601867.8628375987</v>
      </c>
      <c r="I26" s="37">
        <f t="shared" ca="1" si="8"/>
        <v>2729983.4610299994</v>
      </c>
      <c r="J26" s="37">
        <f t="shared" ca="1" si="8"/>
        <v>2960641.1497967998</v>
      </c>
    </row>
    <row r="37" spans="5:5" x14ac:dyDescent="0.25">
      <c r="E37" s="6"/>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D1291"/>
  <sheetViews>
    <sheetView topLeftCell="A190" workbookViewId="0">
      <selection activeCell="B2" sqref="B2"/>
    </sheetView>
  </sheetViews>
  <sheetFormatPr defaultRowHeight="15" x14ac:dyDescent="0.25"/>
  <cols>
    <col min="1" max="1" width="11.42578125" style="104" customWidth="1"/>
    <col min="2" max="2" width="79.7109375" customWidth="1"/>
    <col min="3" max="3" width="14" customWidth="1"/>
    <col min="4" max="4" width="30.7109375" customWidth="1"/>
    <col min="29" max="29" width="10.140625" customWidth="1"/>
    <col min="30" max="30" width="10.28515625" customWidth="1"/>
  </cols>
  <sheetData>
    <row r="1" spans="1:30" ht="45" x14ac:dyDescent="0.25">
      <c r="A1" s="154" t="s">
        <v>230</v>
      </c>
      <c r="B1" s="212" t="s">
        <v>231</v>
      </c>
      <c r="C1" s="111" t="s">
        <v>232</v>
      </c>
      <c r="D1" s="112" t="s">
        <v>5</v>
      </c>
      <c r="E1" s="112" t="s">
        <v>233</v>
      </c>
      <c r="F1" s="113" t="s">
        <v>234</v>
      </c>
      <c r="G1" s="113" t="s">
        <v>70</v>
      </c>
      <c r="H1" s="114" t="s">
        <v>235</v>
      </c>
      <c r="I1" s="114" t="s">
        <v>236</v>
      </c>
      <c r="J1" s="114" t="s">
        <v>237</v>
      </c>
      <c r="K1" s="114" t="s">
        <v>238</v>
      </c>
      <c r="L1" s="114" t="s">
        <v>239</v>
      </c>
      <c r="M1" s="114" t="s">
        <v>240</v>
      </c>
      <c r="N1" s="114" t="s">
        <v>241</v>
      </c>
      <c r="O1" s="114" t="s">
        <v>242</v>
      </c>
      <c r="P1" s="114" t="s">
        <v>243</v>
      </c>
      <c r="Q1" s="114" t="s">
        <v>244</v>
      </c>
      <c r="R1" s="114" t="s">
        <v>245</v>
      </c>
      <c r="S1" s="114" t="s">
        <v>246</v>
      </c>
      <c r="T1" s="114" t="s">
        <v>247</v>
      </c>
      <c r="U1" s="114" t="s">
        <v>248</v>
      </c>
      <c r="V1" s="114" t="s">
        <v>249</v>
      </c>
      <c r="W1" s="114" t="s">
        <v>250</v>
      </c>
      <c r="X1" s="114" t="s">
        <v>251</v>
      </c>
      <c r="Y1" s="114" t="s">
        <v>252</v>
      </c>
      <c r="Z1" s="114" t="s">
        <v>253</v>
      </c>
      <c r="AA1" s="114" t="s">
        <v>254</v>
      </c>
      <c r="AB1" s="114" t="s">
        <v>255</v>
      </c>
      <c r="AC1" s="116" t="s">
        <v>229</v>
      </c>
      <c r="AD1" s="117" t="s">
        <v>256</v>
      </c>
    </row>
    <row r="2" spans="1:30" x14ac:dyDescent="0.25">
      <c r="A2" s="104" t="str">
        <f>D2&amp;G2</f>
        <v>Kenya2015</v>
      </c>
      <c r="B2" s="118"/>
      <c r="C2" s="107" t="s">
        <v>257</v>
      </c>
      <c r="D2" s="108" t="s">
        <v>205</v>
      </c>
      <c r="E2" s="109"/>
      <c r="F2" s="109">
        <v>404</v>
      </c>
      <c r="G2" s="109">
        <v>2015</v>
      </c>
      <c r="H2" s="110">
        <v>3462.4949999999999</v>
      </c>
      <c r="I2" s="110">
        <v>3287.422</v>
      </c>
      <c r="J2" s="110">
        <v>2931.9160000000002</v>
      </c>
      <c r="K2" s="110">
        <v>2571.5140000000001</v>
      </c>
      <c r="L2" s="110">
        <v>2170.6019999999999</v>
      </c>
      <c r="M2" s="110">
        <v>2035.836</v>
      </c>
      <c r="N2" s="110">
        <v>1772.114</v>
      </c>
      <c r="O2" s="110">
        <v>1426.9680000000001</v>
      </c>
      <c r="P2" s="110">
        <v>1085.69</v>
      </c>
      <c r="Q2" s="110">
        <v>808.75</v>
      </c>
      <c r="R2" s="110">
        <v>633.73900000000003</v>
      </c>
      <c r="S2" s="110">
        <v>504.125</v>
      </c>
      <c r="T2" s="110">
        <v>394.71300000000002</v>
      </c>
      <c r="U2" s="110">
        <v>271.49</v>
      </c>
      <c r="V2" s="110">
        <v>169.41200000000001</v>
      </c>
      <c r="W2" s="110">
        <v>121.982</v>
      </c>
      <c r="X2" s="110">
        <v>72.991</v>
      </c>
      <c r="Y2" s="110">
        <v>28.754000000000001</v>
      </c>
      <c r="Z2" s="110">
        <v>7.4119999999999999</v>
      </c>
      <c r="AA2" s="110">
        <v>1.2070000000000001</v>
      </c>
      <c r="AB2" s="110">
        <v>0.112</v>
      </c>
      <c r="AC2" s="115">
        <f>SUM(K2:Q2)</f>
        <v>11871.474000000002</v>
      </c>
      <c r="AD2" t="str">
        <f>IF(D2=D1,AC2/AC1,"")</f>
        <v/>
      </c>
    </row>
    <row r="3" spans="1:30" x14ac:dyDescent="0.25">
      <c r="A3" s="104" t="str">
        <f t="shared" ref="A3:A66" si="0">D3&amp;G3</f>
        <v>Kenya2016</v>
      </c>
      <c r="C3" s="107" t="s">
        <v>257</v>
      </c>
      <c r="D3" s="108" t="s">
        <v>205</v>
      </c>
      <c r="E3" s="109"/>
      <c r="F3" s="109">
        <v>404</v>
      </c>
      <c r="G3" s="109">
        <v>2016</v>
      </c>
      <c r="H3" s="110">
        <v>3475.4250000000002</v>
      </c>
      <c r="I3" s="110">
        <v>3339.884</v>
      </c>
      <c r="J3" s="110">
        <v>3005.8440000000001</v>
      </c>
      <c r="K3" s="110">
        <v>2647.5459999999998</v>
      </c>
      <c r="L3" s="110">
        <v>2227.4870000000001</v>
      </c>
      <c r="M3" s="110">
        <v>2060.9560000000001</v>
      </c>
      <c r="N3" s="110">
        <v>1829.835</v>
      </c>
      <c r="O3" s="110">
        <v>1493.501</v>
      </c>
      <c r="P3" s="110">
        <v>1145.674</v>
      </c>
      <c r="Q3" s="110">
        <v>851.37900000000002</v>
      </c>
      <c r="R3" s="110">
        <v>658.95399999999995</v>
      </c>
      <c r="S3" s="110">
        <v>522.56399999999996</v>
      </c>
      <c r="T3" s="110">
        <v>411.286</v>
      </c>
      <c r="U3" s="110">
        <v>288.49</v>
      </c>
      <c r="V3" s="110">
        <v>178.11699999999999</v>
      </c>
      <c r="W3" s="110">
        <v>122.253</v>
      </c>
      <c r="X3" s="110">
        <v>75.171000000000006</v>
      </c>
      <c r="Y3" s="110">
        <v>31.568000000000001</v>
      </c>
      <c r="Z3" s="110">
        <v>8.5839999999999996</v>
      </c>
      <c r="AA3" s="110">
        <v>1.3819999999999999</v>
      </c>
      <c r="AB3" s="110">
        <v>0.11700000000000001</v>
      </c>
      <c r="AC3" s="115">
        <f t="shared" ref="AC3:AC66" si="1">SUM(K3:Q3)</f>
        <v>12256.378000000001</v>
      </c>
      <c r="AD3">
        <f t="shared" ref="AD3:AD66" si="2">IF(D3=D2,AC3/AC2,"")</f>
        <v>1.0324225955428954</v>
      </c>
    </row>
    <row r="4" spans="1:30" x14ac:dyDescent="0.25">
      <c r="A4" s="104" t="str">
        <f t="shared" si="0"/>
        <v>Kenya2017</v>
      </c>
      <c r="C4" s="107" t="s">
        <v>257</v>
      </c>
      <c r="D4" s="108" t="s">
        <v>205</v>
      </c>
      <c r="E4" s="109"/>
      <c r="F4" s="109">
        <v>404</v>
      </c>
      <c r="G4" s="109">
        <v>2017</v>
      </c>
      <c r="H4" s="110">
        <v>3512.558</v>
      </c>
      <c r="I4" s="110">
        <v>3375.42</v>
      </c>
      <c r="J4" s="110">
        <v>3079.482</v>
      </c>
      <c r="K4" s="110">
        <v>2715.6619999999998</v>
      </c>
      <c r="L4" s="110">
        <v>2300.3989999999999</v>
      </c>
      <c r="M4" s="110">
        <v>2074.116</v>
      </c>
      <c r="N4" s="110">
        <v>1884.0139999999999</v>
      </c>
      <c r="O4" s="110">
        <v>1558.769</v>
      </c>
      <c r="P4" s="110">
        <v>1206.7719999999999</v>
      </c>
      <c r="Q4" s="110">
        <v>897.87099999999998</v>
      </c>
      <c r="R4" s="110">
        <v>685.09299999999996</v>
      </c>
      <c r="S4" s="110">
        <v>542.03800000000001</v>
      </c>
      <c r="T4" s="110">
        <v>426.92500000000001</v>
      </c>
      <c r="U4" s="110">
        <v>306.38400000000001</v>
      </c>
      <c r="V4" s="110">
        <v>189.583</v>
      </c>
      <c r="W4" s="110">
        <v>122.06100000000001</v>
      </c>
      <c r="X4" s="110">
        <v>76.941999999999993</v>
      </c>
      <c r="Y4" s="110">
        <v>33.86</v>
      </c>
      <c r="Z4" s="110">
        <v>9.3770000000000007</v>
      </c>
      <c r="AA4" s="110">
        <v>1.6890000000000001</v>
      </c>
      <c r="AB4" s="110">
        <v>0.122</v>
      </c>
      <c r="AC4" s="115">
        <f t="shared" si="1"/>
        <v>12637.602999999999</v>
      </c>
      <c r="AD4">
        <f t="shared" si="2"/>
        <v>1.0311042136592066</v>
      </c>
    </row>
    <row r="5" spans="1:30" x14ac:dyDescent="0.25">
      <c r="A5" s="104" t="str">
        <f t="shared" si="0"/>
        <v>Kenya2018</v>
      </c>
      <c r="C5" s="107" t="s">
        <v>257</v>
      </c>
      <c r="D5" s="108" t="s">
        <v>205</v>
      </c>
      <c r="E5" s="109"/>
      <c r="F5" s="109">
        <v>404</v>
      </c>
      <c r="G5" s="109">
        <v>2018</v>
      </c>
      <c r="H5" s="110">
        <v>3566.6959999999999</v>
      </c>
      <c r="I5" s="110">
        <v>3395.701</v>
      </c>
      <c r="J5" s="110">
        <v>3151.6779999999999</v>
      </c>
      <c r="K5" s="110">
        <v>2779.3249999999998</v>
      </c>
      <c r="L5" s="110">
        <v>2383.87</v>
      </c>
      <c r="M5" s="110">
        <v>2084.2049999999999</v>
      </c>
      <c r="N5" s="110">
        <v>1932.954</v>
      </c>
      <c r="O5" s="110">
        <v>1622.405</v>
      </c>
      <c r="P5" s="110">
        <v>1268.9649999999999</v>
      </c>
      <c r="Q5" s="110">
        <v>947.99800000000005</v>
      </c>
      <c r="R5" s="110">
        <v>713.35599999999999</v>
      </c>
      <c r="S5" s="110">
        <v>562.64700000000005</v>
      </c>
      <c r="T5" s="110">
        <v>442.33600000000001</v>
      </c>
      <c r="U5" s="110">
        <v>324.76900000000001</v>
      </c>
      <c r="V5" s="110">
        <v>203.179</v>
      </c>
      <c r="W5" s="110">
        <v>122.703</v>
      </c>
      <c r="X5" s="110">
        <v>78.382000000000005</v>
      </c>
      <c r="Y5" s="110">
        <v>35.359000000000002</v>
      </c>
      <c r="Z5" s="110">
        <v>9.9190000000000005</v>
      </c>
      <c r="AA5" s="110">
        <v>1.925</v>
      </c>
      <c r="AB5" s="110">
        <v>0.127</v>
      </c>
      <c r="AC5" s="115">
        <f t="shared" si="1"/>
        <v>13019.722</v>
      </c>
      <c r="AD5">
        <f t="shared" si="2"/>
        <v>1.0302366675072796</v>
      </c>
    </row>
    <row r="6" spans="1:30" x14ac:dyDescent="0.25">
      <c r="A6" s="104" t="str">
        <f t="shared" si="0"/>
        <v>Kenya2019</v>
      </c>
      <c r="C6" s="107" t="s">
        <v>257</v>
      </c>
      <c r="D6" s="108" t="s">
        <v>205</v>
      </c>
      <c r="E6" s="109"/>
      <c r="F6" s="109">
        <v>404</v>
      </c>
      <c r="G6" s="109">
        <v>2019</v>
      </c>
      <c r="H6" s="110">
        <v>3623.5970000000002</v>
      </c>
      <c r="I6" s="110">
        <v>3409.11</v>
      </c>
      <c r="J6" s="110">
        <v>3217.721</v>
      </c>
      <c r="K6" s="110">
        <v>2844.8209999999999</v>
      </c>
      <c r="L6" s="110">
        <v>2468.5830000000001</v>
      </c>
      <c r="M6" s="110">
        <v>2104.7939999999999</v>
      </c>
      <c r="N6" s="110">
        <v>1974.231</v>
      </c>
      <c r="O6" s="110">
        <v>1684.1120000000001</v>
      </c>
      <c r="P6" s="110">
        <v>1332.569</v>
      </c>
      <c r="Q6" s="110">
        <v>1001.414</v>
      </c>
      <c r="R6" s="110">
        <v>745.54499999999996</v>
      </c>
      <c r="S6" s="110">
        <v>584.54700000000003</v>
      </c>
      <c r="T6" s="110">
        <v>458.56900000000002</v>
      </c>
      <c r="U6" s="110">
        <v>343.06599999999997</v>
      </c>
      <c r="V6" s="110">
        <v>218.15700000000001</v>
      </c>
      <c r="W6" s="110">
        <v>125.764</v>
      </c>
      <c r="X6" s="110">
        <v>79.385000000000005</v>
      </c>
      <c r="Y6" s="110">
        <v>36.201999999999998</v>
      </c>
      <c r="Z6" s="110">
        <v>10.045999999999999</v>
      </c>
      <c r="AA6" s="110">
        <v>1.9159999999999999</v>
      </c>
      <c r="AB6" s="110">
        <v>0.13300000000000001</v>
      </c>
      <c r="AC6" s="115">
        <f t="shared" si="1"/>
        <v>13410.524000000001</v>
      </c>
      <c r="AD6">
        <f t="shared" si="2"/>
        <v>1.0300161554908778</v>
      </c>
    </row>
    <row r="7" spans="1:30" x14ac:dyDescent="0.25">
      <c r="A7" s="104" t="str">
        <f t="shared" si="0"/>
        <v>Kenya2020</v>
      </c>
      <c r="C7" s="107" t="s">
        <v>257</v>
      </c>
      <c r="D7" s="108" t="s">
        <v>205</v>
      </c>
      <c r="E7" s="109"/>
      <c r="F7" s="109">
        <v>404</v>
      </c>
      <c r="G7" s="109">
        <v>2020</v>
      </c>
      <c r="H7" s="110">
        <v>3673.5320000000002</v>
      </c>
      <c r="I7" s="110">
        <v>3427.2179999999998</v>
      </c>
      <c r="J7" s="110">
        <v>3271.54</v>
      </c>
      <c r="K7" s="110">
        <v>2915.2370000000001</v>
      </c>
      <c r="L7" s="110">
        <v>2548.3339999999998</v>
      </c>
      <c r="M7" s="110">
        <v>2143.8339999999998</v>
      </c>
      <c r="N7" s="110">
        <v>2006.7760000000001</v>
      </c>
      <c r="O7" s="110">
        <v>1743.2560000000001</v>
      </c>
      <c r="P7" s="110">
        <v>1397.463</v>
      </c>
      <c r="Q7" s="110">
        <v>1057.69</v>
      </c>
      <c r="R7" s="110">
        <v>782.67600000000004</v>
      </c>
      <c r="S7" s="110">
        <v>607.90499999999997</v>
      </c>
      <c r="T7" s="110">
        <v>476.19299999999998</v>
      </c>
      <c r="U7" s="110">
        <v>360.899</v>
      </c>
      <c r="V7" s="110">
        <v>234.125</v>
      </c>
      <c r="W7" s="110">
        <v>131.98599999999999</v>
      </c>
      <c r="X7" s="110">
        <v>80.025000000000006</v>
      </c>
      <c r="Y7" s="110">
        <v>36.466000000000001</v>
      </c>
      <c r="Z7" s="110">
        <v>9.7759999999999998</v>
      </c>
      <c r="AA7" s="110">
        <v>1.5169999999999999</v>
      </c>
      <c r="AB7" s="110">
        <v>0.13900000000000001</v>
      </c>
      <c r="AC7" s="115">
        <f t="shared" si="1"/>
        <v>13812.59</v>
      </c>
      <c r="AD7">
        <f t="shared" si="2"/>
        <v>1.0299813788036918</v>
      </c>
    </row>
    <row r="8" spans="1:30" x14ac:dyDescent="0.25">
      <c r="A8" s="104" t="str">
        <f t="shared" si="0"/>
        <v>Kenya2021</v>
      </c>
      <c r="C8" s="107" t="s">
        <v>257</v>
      </c>
      <c r="D8" s="108" t="s">
        <v>205</v>
      </c>
      <c r="E8" s="109"/>
      <c r="F8" s="109">
        <v>404</v>
      </c>
      <c r="G8" s="109">
        <v>2021</v>
      </c>
      <c r="H8" s="110">
        <v>3736.2640000000001</v>
      </c>
      <c r="I8" s="110">
        <v>3456.56</v>
      </c>
      <c r="J8" s="110">
        <v>3311.0770000000002</v>
      </c>
      <c r="K8" s="110">
        <v>2985.8029999999999</v>
      </c>
      <c r="L8" s="110">
        <v>2621.134</v>
      </c>
      <c r="M8" s="110">
        <v>2198.0100000000002</v>
      </c>
      <c r="N8" s="110">
        <v>2029.1679999999999</v>
      </c>
      <c r="O8" s="110">
        <v>1797.799</v>
      </c>
      <c r="P8" s="110">
        <v>1461.4059999999999</v>
      </c>
      <c r="Q8" s="110">
        <v>1114.973</v>
      </c>
      <c r="R8" s="110">
        <v>822.99199999999996</v>
      </c>
      <c r="S8" s="110">
        <v>631.22900000000004</v>
      </c>
      <c r="T8" s="110">
        <v>492.73</v>
      </c>
      <c r="U8" s="110">
        <v>375.42899999999997</v>
      </c>
      <c r="V8" s="110">
        <v>248.51599999999999</v>
      </c>
      <c r="W8" s="110">
        <v>139.232</v>
      </c>
      <c r="X8" s="110">
        <v>80.718000000000004</v>
      </c>
      <c r="Y8" s="110">
        <v>38.646999999999998</v>
      </c>
      <c r="Z8" s="110">
        <v>11.442</v>
      </c>
      <c r="AA8" s="110">
        <v>1.7649999999999999</v>
      </c>
      <c r="AB8" s="110">
        <v>0.14499999999999999</v>
      </c>
      <c r="AC8" s="115">
        <f t="shared" si="1"/>
        <v>14208.293</v>
      </c>
      <c r="AD8">
        <f t="shared" si="2"/>
        <v>1.0286479943298106</v>
      </c>
    </row>
    <row r="9" spans="1:30" x14ac:dyDescent="0.25">
      <c r="A9" s="104" t="str">
        <f t="shared" si="0"/>
        <v>Kenya2022</v>
      </c>
      <c r="C9" s="107" t="s">
        <v>257</v>
      </c>
      <c r="D9" s="108" t="s">
        <v>205</v>
      </c>
      <c r="E9" s="109"/>
      <c r="F9" s="109">
        <v>404</v>
      </c>
      <c r="G9" s="109">
        <v>2022</v>
      </c>
      <c r="H9" s="110">
        <v>3782.7530000000002</v>
      </c>
      <c r="I9" s="110">
        <v>3495.4349999999999</v>
      </c>
      <c r="J9" s="110">
        <v>3340.585</v>
      </c>
      <c r="K9" s="110">
        <v>3061.1129999999998</v>
      </c>
      <c r="L9" s="110">
        <v>2689.4180000000001</v>
      </c>
      <c r="M9" s="110">
        <v>2270.8719999999998</v>
      </c>
      <c r="N9" s="110">
        <v>2042.567</v>
      </c>
      <c r="O9" s="110">
        <v>1851.2760000000001</v>
      </c>
      <c r="P9" s="110">
        <v>1526.0070000000001</v>
      </c>
      <c r="Q9" s="110">
        <v>1174.9559999999999</v>
      </c>
      <c r="R9" s="110">
        <v>868.19600000000003</v>
      </c>
      <c r="S9" s="110">
        <v>656.41300000000001</v>
      </c>
      <c r="T9" s="110">
        <v>511.13099999999997</v>
      </c>
      <c r="U9" s="110">
        <v>389.83699999999999</v>
      </c>
      <c r="V9" s="110">
        <v>264.19099999999997</v>
      </c>
      <c r="W9" s="110">
        <v>148.50800000000001</v>
      </c>
      <c r="X9" s="110">
        <v>80.822999999999993</v>
      </c>
      <c r="Y9" s="110">
        <v>40.304000000000002</v>
      </c>
      <c r="Z9" s="110">
        <v>12.598000000000001</v>
      </c>
      <c r="AA9" s="110">
        <v>2.1970000000000001</v>
      </c>
      <c r="AB9" s="110">
        <v>0.152</v>
      </c>
      <c r="AC9" s="115">
        <f t="shared" si="1"/>
        <v>14616.209000000001</v>
      </c>
      <c r="AD9">
        <f t="shared" si="2"/>
        <v>1.0287097119970712</v>
      </c>
    </row>
    <row r="10" spans="1:30" x14ac:dyDescent="0.25">
      <c r="A10" s="104" t="str">
        <f t="shared" si="0"/>
        <v>Kenya2023</v>
      </c>
      <c r="C10" s="107" t="s">
        <v>257</v>
      </c>
      <c r="D10" s="108" t="s">
        <v>205</v>
      </c>
      <c r="E10" s="109"/>
      <c r="F10" s="109">
        <v>404</v>
      </c>
      <c r="G10" s="109">
        <v>2023</v>
      </c>
      <c r="H10" s="110">
        <v>3817.54</v>
      </c>
      <c r="I10" s="110">
        <v>3543.2640000000001</v>
      </c>
      <c r="J10" s="110">
        <v>3363.0129999999999</v>
      </c>
      <c r="K10" s="110">
        <v>3136.067</v>
      </c>
      <c r="L10" s="110">
        <v>2755.123</v>
      </c>
      <c r="M10" s="110">
        <v>2355.7150000000001</v>
      </c>
      <c r="N10" s="110">
        <v>2054.4360000000001</v>
      </c>
      <c r="O10" s="110">
        <v>1901.1</v>
      </c>
      <c r="P10" s="110">
        <v>1590</v>
      </c>
      <c r="Q10" s="110">
        <v>1237.0940000000001</v>
      </c>
      <c r="R10" s="110">
        <v>917.63699999999994</v>
      </c>
      <c r="S10" s="110">
        <v>684.21500000000003</v>
      </c>
      <c r="T10" s="110">
        <v>531.26300000000003</v>
      </c>
      <c r="U10" s="110">
        <v>404.59</v>
      </c>
      <c r="V10" s="110">
        <v>280.71300000000002</v>
      </c>
      <c r="W10" s="110">
        <v>159.387</v>
      </c>
      <c r="X10" s="110">
        <v>81.388999999999996</v>
      </c>
      <c r="Y10" s="110">
        <v>41.191000000000003</v>
      </c>
      <c r="Z10" s="110">
        <v>13.301</v>
      </c>
      <c r="AA10" s="110">
        <v>2.5339999999999998</v>
      </c>
      <c r="AB10" s="110">
        <v>0.16</v>
      </c>
      <c r="AC10" s="115">
        <f t="shared" si="1"/>
        <v>15029.535</v>
      </c>
      <c r="AD10">
        <f t="shared" si="2"/>
        <v>1.0282786049378467</v>
      </c>
    </row>
    <row r="11" spans="1:30" x14ac:dyDescent="0.25">
      <c r="A11" s="104" t="str">
        <f t="shared" si="0"/>
        <v>Kenya2024</v>
      </c>
      <c r="C11" s="107" t="s">
        <v>257</v>
      </c>
      <c r="D11" s="108" t="s">
        <v>205</v>
      </c>
      <c r="E11" s="109"/>
      <c r="F11" s="109">
        <v>404</v>
      </c>
      <c r="G11" s="109">
        <v>2024</v>
      </c>
      <c r="H11" s="110">
        <v>3850.721</v>
      </c>
      <c r="I11" s="110">
        <v>3594.7280000000001</v>
      </c>
      <c r="J11" s="110">
        <v>3385.1480000000001</v>
      </c>
      <c r="K11" s="110">
        <v>3202.5030000000002</v>
      </c>
      <c r="L11" s="110">
        <v>2822.0439999999999</v>
      </c>
      <c r="M11" s="110">
        <v>2441.2199999999998</v>
      </c>
      <c r="N11" s="110">
        <v>2076.259</v>
      </c>
      <c r="O11" s="110">
        <v>1943.1559999999999</v>
      </c>
      <c r="P11" s="110">
        <v>1651.663</v>
      </c>
      <c r="Q11" s="110">
        <v>1300.549</v>
      </c>
      <c r="R11" s="110">
        <v>970.226</v>
      </c>
      <c r="S11" s="110">
        <v>715.76599999999996</v>
      </c>
      <c r="T11" s="110">
        <v>552.79300000000001</v>
      </c>
      <c r="U11" s="110">
        <v>420.28100000000001</v>
      </c>
      <c r="V11" s="110">
        <v>297.28800000000001</v>
      </c>
      <c r="W11" s="110">
        <v>171.387</v>
      </c>
      <c r="X11" s="110">
        <v>83.57</v>
      </c>
      <c r="Y11" s="110">
        <v>41.313000000000002</v>
      </c>
      <c r="Z11" s="110">
        <v>13.337</v>
      </c>
      <c r="AA11" s="110">
        <v>2.5459999999999998</v>
      </c>
      <c r="AB11" s="110">
        <v>0.16900000000000001</v>
      </c>
      <c r="AC11" s="115">
        <f t="shared" si="1"/>
        <v>15437.394</v>
      </c>
      <c r="AD11">
        <f t="shared" si="2"/>
        <v>1.0271371669183378</v>
      </c>
    </row>
    <row r="12" spans="1:30" x14ac:dyDescent="0.25">
      <c r="A12" s="104" t="str">
        <f t="shared" si="0"/>
        <v>Kenya2025</v>
      </c>
      <c r="C12" s="107" t="s">
        <v>257</v>
      </c>
      <c r="D12" s="108" t="s">
        <v>205</v>
      </c>
      <c r="E12" s="109"/>
      <c r="F12" s="109">
        <v>404</v>
      </c>
      <c r="G12" s="109">
        <v>2025</v>
      </c>
      <c r="H12" s="110">
        <v>3889.8580000000002</v>
      </c>
      <c r="I12" s="110">
        <v>3641.9609999999998</v>
      </c>
      <c r="J12" s="110">
        <v>3413.357</v>
      </c>
      <c r="K12" s="110">
        <v>3255.8090000000002</v>
      </c>
      <c r="L12" s="110">
        <v>2892.364</v>
      </c>
      <c r="M12" s="110">
        <v>2520.3910000000001</v>
      </c>
      <c r="N12" s="110">
        <v>2115.1619999999998</v>
      </c>
      <c r="O12" s="110">
        <v>1975.625</v>
      </c>
      <c r="P12" s="110">
        <v>1709.8979999999999</v>
      </c>
      <c r="Q12" s="110">
        <v>1364.5909999999999</v>
      </c>
      <c r="R12" s="110">
        <v>1025.2380000000001</v>
      </c>
      <c r="S12" s="110">
        <v>751.80100000000004</v>
      </c>
      <c r="T12" s="110">
        <v>575.61199999999997</v>
      </c>
      <c r="U12" s="110">
        <v>437.28399999999999</v>
      </c>
      <c r="V12" s="110">
        <v>313.48200000000003</v>
      </c>
      <c r="W12" s="110">
        <v>184.34899999999999</v>
      </c>
      <c r="X12" s="110">
        <v>87.881</v>
      </c>
      <c r="Y12" s="110">
        <v>40.774999999999999</v>
      </c>
      <c r="Z12" s="110">
        <v>12.695</v>
      </c>
      <c r="AA12" s="110">
        <v>2.056</v>
      </c>
      <c r="AB12" s="110">
        <v>0.17899999999999999</v>
      </c>
      <c r="AC12" s="115">
        <f t="shared" si="1"/>
        <v>15833.84</v>
      </c>
      <c r="AD12">
        <f t="shared" si="2"/>
        <v>1.0256808888857796</v>
      </c>
    </row>
    <row r="13" spans="1:30" x14ac:dyDescent="0.25">
      <c r="A13" s="104" t="str">
        <f t="shared" si="0"/>
        <v>Kenya2026</v>
      </c>
      <c r="C13" s="107" t="s">
        <v>257</v>
      </c>
      <c r="D13" s="108" t="s">
        <v>205</v>
      </c>
      <c r="E13" s="109"/>
      <c r="F13" s="109">
        <v>404</v>
      </c>
      <c r="G13" s="109">
        <v>2026</v>
      </c>
      <c r="H13" s="110">
        <v>3932.3009999999999</v>
      </c>
      <c r="I13" s="110">
        <v>3689.2570000000001</v>
      </c>
      <c r="J13" s="110">
        <v>3448.902</v>
      </c>
      <c r="K13" s="110">
        <v>3296.9279999999999</v>
      </c>
      <c r="L13" s="110">
        <v>2965.085</v>
      </c>
      <c r="M13" s="110">
        <v>2595.002</v>
      </c>
      <c r="N13" s="110">
        <v>2170.7159999999999</v>
      </c>
      <c r="O13" s="110">
        <v>1999.221</v>
      </c>
      <c r="P13" s="110">
        <v>1765.2860000000001</v>
      </c>
      <c r="Q13" s="110">
        <v>1428.4380000000001</v>
      </c>
      <c r="R13" s="110">
        <v>1081.9770000000001</v>
      </c>
      <c r="S13" s="110">
        <v>791.14499999999998</v>
      </c>
      <c r="T13" s="110">
        <v>597.73</v>
      </c>
      <c r="U13" s="110">
        <v>452.74200000000002</v>
      </c>
      <c r="V13" s="110">
        <v>326.35700000000003</v>
      </c>
      <c r="W13" s="110">
        <v>196.39099999999999</v>
      </c>
      <c r="X13" s="110">
        <v>94.061999999999998</v>
      </c>
      <c r="Y13" s="110">
        <v>42.183999999999997</v>
      </c>
      <c r="Z13" s="110">
        <v>14.367000000000001</v>
      </c>
      <c r="AA13" s="110">
        <v>2.4239999999999999</v>
      </c>
      <c r="AB13" s="110">
        <v>0.191</v>
      </c>
      <c r="AC13" s="115">
        <f t="shared" si="1"/>
        <v>16220.675999999999</v>
      </c>
      <c r="AD13">
        <f t="shared" si="2"/>
        <v>1.0244309655775226</v>
      </c>
    </row>
    <row r="14" spans="1:30" x14ac:dyDescent="0.25">
      <c r="A14" s="104" t="str">
        <f t="shared" si="0"/>
        <v>Kenya2027</v>
      </c>
      <c r="C14" s="107" t="s">
        <v>257</v>
      </c>
      <c r="D14" s="108" t="s">
        <v>205</v>
      </c>
      <c r="E14" s="109"/>
      <c r="F14" s="109">
        <v>404</v>
      </c>
      <c r="G14" s="109">
        <v>2027</v>
      </c>
      <c r="H14" s="110">
        <v>3976.4989999999998</v>
      </c>
      <c r="I14" s="110">
        <v>3734.8939999999998</v>
      </c>
      <c r="J14" s="110">
        <v>3490.66</v>
      </c>
      <c r="K14" s="110">
        <v>3325.413</v>
      </c>
      <c r="L14" s="110">
        <v>3040.6610000000001</v>
      </c>
      <c r="M14" s="110">
        <v>2663.5540000000001</v>
      </c>
      <c r="N14" s="110">
        <v>2243.5540000000001</v>
      </c>
      <c r="O14" s="110">
        <v>2012.8589999999999</v>
      </c>
      <c r="P14" s="110">
        <v>1818.6279999999999</v>
      </c>
      <c r="Q14" s="110">
        <v>1492.2829999999999</v>
      </c>
      <c r="R14" s="110">
        <v>1140.9349999999999</v>
      </c>
      <c r="S14" s="110">
        <v>834.971</v>
      </c>
      <c r="T14" s="110">
        <v>621.577</v>
      </c>
      <c r="U14" s="110">
        <v>469.85199999999998</v>
      </c>
      <c r="V14" s="110">
        <v>339.13900000000001</v>
      </c>
      <c r="W14" s="110">
        <v>209.339</v>
      </c>
      <c r="X14" s="110">
        <v>100.968</v>
      </c>
      <c r="Y14" s="110">
        <v>42.802999999999997</v>
      </c>
      <c r="Z14" s="110">
        <v>15.459</v>
      </c>
      <c r="AA14" s="110">
        <v>3.02</v>
      </c>
      <c r="AB14" s="110">
        <v>0.20300000000000001</v>
      </c>
      <c r="AC14" s="115">
        <f t="shared" si="1"/>
        <v>16596.952000000001</v>
      </c>
      <c r="AD14">
        <f t="shared" si="2"/>
        <v>1.0231973069433111</v>
      </c>
    </row>
    <row r="15" spans="1:30" x14ac:dyDescent="0.25">
      <c r="A15" s="104" t="str">
        <f t="shared" si="0"/>
        <v>Kenya2028</v>
      </c>
      <c r="C15" s="107" t="s">
        <v>257</v>
      </c>
      <c r="D15" s="108" t="s">
        <v>205</v>
      </c>
      <c r="E15" s="109"/>
      <c r="F15" s="109">
        <v>404</v>
      </c>
      <c r="G15" s="109">
        <v>2028</v>
      </c>
      <c r="H15" s="110">
        <v>4022.444</v>
      </c>
      <c r="I15" s="110">
        <v>3778.3270000000002</v>
      </c>
      <c r="J15" s="110">
        <v>3536.931</v>
      </c>
      <c r="K15" s="110">
        <v>3346.6120000000001</v>
      </c>
      <c r="L15" s="110">
        <v>3114.62</v>
      </c>
      <c r="M15" s="110">
        <v>2728.43</v>
      </c>
      <c r="N15" s="110">
        <v>2327.3939999999998</v>
      </c>
      <c r="O15" s="110">
        <v>2024.4690000000001</v>
      </c>
      <c r="P15" s="110">
        <v>1867.5730000000001</v>
      </c>
      <c r="Q15" s="110">
        <v>1555.1949999999999</v>
      </c>
      <c r="R15" s="110">
        <v>1201.6880000000001</v>
      </c>
      <c r="S15" s="110">
        <v>882.726</v>
      </c>
      <c r="T15" s="110">
        <v>648.07500000000005</v>
      </c>
      <c r="U15" s="110">
        <v>488.58199999999999</v>
      </c>
      <c r="V15" s="110">
        <v>352.40600000000001</v>
      </c>
      <c r="W15" s="110">
        <v>222.923</v>
      </c>
      <c r="X15" s="110">
        <v>108.443</v>
      </c>
      <c r="Y15" s="110">
        <v>43.204000000000001</v>
      </c>
      <c r="Z15" s="110">
        <v>15.988</v>
      </c>
      <c r="AA15" s="110">
        <v>3.46</v>
      </c>
      <c r="AB15" s="110">
        <v>0.218</v>
      </c>
      <c r="AC15" s="115">
        <f t="shared" si="1"/>
        <v>16964.293000000001</v>
      </c>
      <c r="AD15">
        <f t="shared" si="2"/>
        <v>1.0221330398497266</v>
      </c>
    </row>
    <row r="16" spans="1:30" x14ac:dyDescent="0.25">
      <c r="A16" s="104" t="str">
        <f t="shared" si="0"/>
        <v>Kenya2029</v>
      </c>
      <c r="C16" s="107" t="s">
        <v>257</v>
      </c>
      <c r="D16" s="108" t="s">
        <v>205</v>
      </c>
      <c r="E16" s="109"/>
      <c r="F16" s="109">
        <v>404</v>
      </c>
      <c r="G16" s="109">
        <v>2029</v>
      </c>
      <c r="H16" s="110">
        <v>4067.3820000000001</v>
      </c>
      <c r="I16" s="110">
        <v>3820.2339999999999</v>
      </c>
      <c r="J16" s="110">
        <v>3584.1610000000001</v>
      </c>
      <c r="K16" s="110">
        <v>3369.38</v>
      </c>
      <c r="L16" s="110">
        <v>3180.1979999999999</v>
      </c>
      <c r="M16" s="110">
        <v>2794.518</v>
      </c>
      <c r="N16" s="110">
        <v>2411.9609999999998</v>
      </c>
      <c r="O16" s="110">
        <v>2046.241</v>
      </c>
      <c r="P16" s="110">
        <v>1908.8430000000001</v>
      </c>
      <c r="Q16" s="110">
        <v>1616.07</v>
      </c>
      <c r="R16" s="110">
        <v>1263.8630000000001</v>
      </c>
      <c r="S16" s="110">
        <v>933.72400000000005</v>
      </c>
      <c r="T16" s="110">
        <v>678.56899999999996</v>
      </c>
      <c r="U16" s="110">
        <v>508.87200000000001</v>
      </c>
      <c r="V16" s="110">
        <v>366.82900000000001</v>
      </c>
      <c r="W16" s="110">
        <v>236.59399999999999</v>
      </c>
      <c r="X16" s="110">
        <v>116.46599999999999</v>
      </c>
      <c r="Y16" s="110">
        <v>44.167000000000002</v>
      </c>
      <c r="Z16" s="110">
        <v>15.788</v>
      </c>
      <c r="AA16" s="110">
        <v>3.4550000000000001</v>
      </c>
      <c r="AB16" s="110">
        <v>0.23400000000000001</v>
      </c>
      <c r="AC16" s="115">
        <f t="shared" si="1"/>
        <v>17327.210999999999</v>
      </c>
      <c r="AD16">
        <f t="shared" si="2"/>
        <v>1.0213930518648786</v>
      </c>
    </row>
    <row r="17" spans="1:30" x14ac:dyDescent="0.25">
      <c r="A17" s="104" t="str">
        <f t="shared" si="0"/>
        <v>Kenya2030</v>
      </c>
      <c r="C17" s="107" t="s">
        <v>257</v>
      </c>
      <c r="D17" s="108" t="s">
        <v>205</v>
      </c>
      <c r="E17" s="109"/>
      <c r="F17" s="109">
        <v>404</v>
      </c>
      <c r="G17" s="109">
        <v>2030</v>
      </c>
      <c r="H17" s="110">
        <v>4109.8469999999998</v>
      </c>
      <c r="I17" s="110">
        <v>3861.7310000000002</v>
      </c>
      <c r="J17" s="110">
        <v>3629.4479999999999</v>
      </c>
      <c r="K17" s="110">
        <v>3399.1880000000001</v>
      </c>
      <c r="L17" s="110">
        <v>3233.4369999999999</v>
      </c>
      <c r="M17" s="110">
        <v>2864.4459999999999</v>
      </c>
      <c r="N17" s="110">
        <v>2490.7089999999998</v>
      </c>
      <c r="O17" s="110">
        <v>2085.4119999999998</v>
      </c>
      <c r="P17" s="110">
        <v>1941.1020000000001</v>
      </c>
      <c r="Q17" s="110">
        <v>1673.961</v>
      </c>
      <c r="R17" s="110">
        <v>1326.9949999999999</v>
      </c>
      <c r="S17" s="110">
        <v>987.47</v>
      </c>
      <c r="T17" s="110">
        <v>713.78700000000003</v>
      </c>
      <c r="U17" s="110">
        <v>530.79600000000005</v>
      </c>
      <c r="V17" s="110">
        <v>382.755</v>
      </c>
      <c r="W17" s="110">
        <v>250.107</v>
      </c>
      <c r="X17" s="110">
        <v>125.24</v>
      </c>
      <c r="Y17" s="110">
        <v>46.100999999999999</v>
      </c>
      <c r="Z17" s="110">
        <v>14.757999999999999</v>
      </c>
      <c r="AA17" s="110">
        <v>2.7989999999999999</v>
      </c>
      <c r="AB17" s="110">
        <v>0.252</v>
      </c>
      <c r="AC17" s="115">
        <f t="shared" si="1"/>
        <v>17688.255000000001</v>
      </c>
      <c r="AD17">
        <f t="shared" si="2"/>
        <v>1.0208368213441852</v>
      </c>
    </row>
    <row r="18" spans="1:30" x14ac:dyDescent="0.25">
      <c r="A18" s="104" t="str">
        <f t="shared" si="0"/>
        <v>Kenya2031</v>
      </c>
      <c r="C18" s="107" t="s">
        <v>257</v>
      </c>
      <c r="D18" s="108" t="s">
        <v>205</v>
      </c>
      <c r="E18" s="109"/>
      <c r="F18" s="109">
        <v>404</v>
      </c>
      <c r="G18" s="109">
        <v>2031</v>
      </c>
      <c r="H18" s="110">
        <v>4155.01</v>
      </c>
      <c r="I18" s="110">
        <v>3907.4749999999999</v>
      </c>
      <c r="J18" s="110">
        <v>3674.0369999999998</v>
      </c>
      <c r="K18" s="110">
        <v>3434.3209999999999</v>
      </c>
      <c r="L18" s="110">
        <v>3274.6019999999999</v>
      </c>
      <c r="M18" s="110">
        <v>2937.1669999999999</v>
      </c>
      <c r="N18" s="110">
        <v>2565.0100000000002</v>
      </c>
      <c r="O18" s="110">
        <v>2140.6280000000002</v>
      </c>
      <c r="P18" s="110">
        <v>1964.88</v>
      </c>
      <c r="Q18" s="110">
        <v>1728.404</v>
      </c>
      <c r="R18" s="110">
        <v>1389.6079999999999</v>
      </c>
      <c r="S18" s="110">
        <v>1042.3510000000001</v>
      </c>
      <c r="T18" s="110">
        <v>750.75199999999995</v>
      </c>
      <c r="U18" s="110">
        <v>550.96900000000005</v>
      </c>
      <c r="V18" s="110">
        <v>396.36599999999999</v>
      </c>
      <c r="W18" s="110">
        <v>260.83300000000003</v>
      </c>
      <c r="X18" s="110">
        <v>134.84800000000001</v>
      </c>
      <c r="Y18" s="110">
        <v>50.932000000000002</v>
      </c>
      <c r="Z18" s="110">
        <v>16.068000000000001</v>
      </c>
      <c r="AA18" s="110">
        <v>3.1920000000000002</v>
      </c>
      <c r="AB18" s="110">
        <v>0.27200000000000002</v>
      </c>
      <c r="AC18" s="115">
        <f t="shared" si="1"/>
        <v>18045.011999999999</v>
      </c>
      <c r="AD18">
        <f t="shared" si="2"/>
        <v>1.0201691461368008</v>
      </c>
    </row>
    <row r="19" spans="1:30" x14ac:dyDescent="0.25">
      <c r="A19" s="104" t="str">
        <f t="shared" si="0"/>
        <v>Kenya2032</v>
      </c>
      <c r="C19" s="107" t="s">
        <v>257</v>
      </c>
      <c r="D19" s="108" t="s">
        <v>205</v>
      </c>
      <c r="E19" s="109"/>
      <c r="F19" s="109">
        <v>404</v>
      </c>
      <c r="G19" s="109">
        <v>2032</v>
      </c>
      <c r="H19" s="110">
        <v>4195.1989999999996</v>
      </c>
      <c r="I19" s="110">
        <v>3953.5140000000001</v>
      </c>
      <c r="J19" s="110">
        <v>3718.2739999999999</v>
      </c>
      <c r="K19" s="110">
        <v>3476.28</v>
      </c>
      <c r="L19" s="110">
        <v>3303.49</v>
      </c>
      <c r="M19" s="110">
        <v>3012.9870000000001</v>
      </c>
      <c r="N19" s="110">
        <v>2633.7</v>
      </c>
      <c r="O19" s="110">
        <v>2213.2759999999998</v>
      </c>
      <c r="P19" s="110">
        <v>1979.204</v>
      </c>
      <c r="Q19" s="110">
        <v>1781.2529999999999</v>
      </c>
      <c r="R19" s="110">
        <v>1452.585</v>
      </c>
      <c r="S19" s="110">
        <v>1099.865</v>
      </c>
      <c r="T19" s="110">
        <v>792.47299999999996</v>
      </c>
      <c r="U19" s="110">
        <v>573.08299999999997</v>
      </c>
      <c r="V19" s="110">
        <v>411.59300000000002</v>
      </c>
      <c r="W19" s="110">
        <v>271.51499999999999</v>
      </c>
      <c r="X19" s="110">
        <v>144.72</v>
      </c>
      <c r="Y19" s="110">
        <v>55.381999999999998</v>
      </c>
      <c r="Z19" s="110">
        <v>16.786000000000001</v>
      </c>
      <c r="AA19" s="110">
        <v>3.81</v>
      </c>
      <c r="AB19" s="110">
        <v>0.29399999999999998</v>
      </c>
      <c r="AC19" s="115">
        <f t="shared" si="1"/>
        <v>18400.190000000002</v>
      </c>
      <c r="AD19">
        <f t="shared" si="2"/>
        <v>1.0196828907622784</v>
      </c>
    </row>
    <row r="20" spans="1:30" x14ac:dyDescent="0.25">
      <c r="A20" s="104" t="str">
        <f t="shared" si="0"/>
        <v>Kenya2033</v>
      </c>
      <c r="C20" s="107" t="s">
        <v>257</v>
      </c>
      <c r="D20" s="108" t="s">
        <v>205</v>
      </c>
      <c r="E20" s="109"/>
      <c r="F20" s="109">
        <v>404</v>
      </c>
      <c r="G20" s="109">
        <v>2033</v>
      </c>
      <c r="H20" s="110">
        <v>4231.1289999999999</v>
      </c>
      <c r="I20" s="110">
        <v>3999.2310000000002</v>
      </c>
      <c r="J20" s="110">
        <v>3762.1790000000001</v>
      </c>
      <c r="K20" s="110">
        <v>3522.998</v>
      </c>
      <c r="L20" s="110">
        <v>3325.3240000000001</v>
      </c>
      <c r="M20" s="110">
        <v>3087.32</v>
      </c>
      <c r="N20" s="110">
        <v>2698.9989999999998</v>
      </c>
      <c r="O20" s="110">
        <v>2297.1759999999999</v>
      </c>
      <c r="P20" s="110">
        <v>1991.665</v>
      </c>
      <c r="Q20" s="110">
        <v>1830.2329999999999</v>
      </c>
      <c r="R20" s="110">
        <v>1514.913</v>
      </c>
      <c r="S20" s="110">
        <v>1159.4770000000001</v>
      </c>
      <c r="T20" s="110">
        <v>838.51</v>
      </c>
      <c r="U20" s="110">
        <v>598.01300000000003</v>
      </c>
      <c r="V20" s="110">
        <v>428.51</v>
      </c>
      <c r="W20" s="110">
        <v>282.81599999999997</v>
      </c>
      <c r="X20" s="110">
        <v>154.60300000000001</v>
      </c>
      <c r="Y20" s="110">
        <v>59.357999999999997</v>
      </c>
      <c r="Z20" s="110">
        <v>17.283999999999999</v>
      </c>
      <c r="AA20" s="110">
        <v>4.2569999999999997</v>
      </c>
      <c r="AB20" s="110">
        <v>0.317</v>
      </c>
      <c r="AC20" s="115">
        <f t="shared" si="1"/>
        <v>18753.715</v>
      </c>
      <c r="AD20">
        <f t="shared" si="2"/>
        <v>1.0192131168210763</v>
      </c>
    </row>
    <row r="21" spans="1:30" x14ac:dyDescent="0.25">
      <c r="A21" s="104" t="str">
        <f t="shared" si="0"/>
        <v>Kenya2034</v>
      </c>
      <c r="C21" s="107" t="s">
        <v>257</v>
      </c>
      <c r="D21" s="108" t="s">
        <v>205</v>
      </c>
      <c r="E21" s="109"/>
      <c r="F21" s="109">
        <v>404</v>
      </c>
      <c r="G21" s="109">
        <v>2034</v>
      </c>
      <c r="H21" s="110">
        <v>4264.3360000000002</v>
      </c>
      <c r="I21" s="110">
        <v>4043.5149999999999</v>
      </c>
      <c r="J21" s="110">
        <v>3806.1619999999998</v>
      </c>
      <c r="K21" s="110">
        <v>3570.4850000000001</v>
      </c>
      <c r="L21" s="110">
        <v>3348.509</v>
      </c>
      <c r="M21" s="110">
        <v>3153.0219999999999</v>
      </c>
      <c r="N21" s="110">
        <v>2765.3380000000002</v>
      </c>
      <c r="O21" s="110">
        <v>2381.8670000000002</v>
      </c>
      <c r="P21" s="110">
        <v>2013.9970000000001</v>
      </c>
      <c r="Q21" s="110">
        <v>1871.8520000000001</v>
      </c>
      <c r="R21" s="110">
        <v>1575.277</v>
      </c>
      <c r="S21" s="110">
        <v>1220.6179999999999</v>
      </c>
      <c r="T21" s="110">
        <v>888.13300000000004</v>
      </c>
      <c r="U21" s="110">
        <v>627.01900000000001</v>
      </c>
      <c r="V21" s="110">
        <v>447.11</v>
      </c>
      <c r="W21" s="110">
        <v>295.25299999999999</v>
      </c>
      <c r="X21" s="110">
        <v>164.131</v>
      </c>
      <c r="Y21" s="110">
        <v>63.404000000000003</v>
      </c>
      <c r="Z21" s="110">
        <v>17.446000000000002</v>
      </c>
      <c r="AA21" s="110">
        <v>4.2110000000000003</v>
      </c>
      <c r="AB21" s="110">
        <v>0.34100000000000003</v>
      </c>
      <c r="AC21" s="115">
        <f t="shared" si="1"/>
        <v>19105.07</v>
      </c>
      <c r="AD21">
        <f t="shared" si="2"/>
        <v>1.018735221261494</v>
      </c>
    </row>
    <row r="22" spans="1:30" x14ac:dyDescent="0.25">
      <c r="A22" s="104" t="str">
        <f t="shared" si="0"/>
        <v>Kenya2035</v>
      </c>
      <c r="C22" s="107" t="s">
        <v>257</v>
      </c>
      <c r="D22" s="108" t="s">
        <v>205</v>
      </c>
      <c r="E22" s="109"/>
      <c r="F22" s="109">
        <v>404</v>
      </c>
      <c r="G22" s="109">
        <v>2035</v>
      </c>
      <c r="H22" s="110">
        <v>4296.0200000000004</v>
      </c>
      <c r="I22" s="110">
        <v>4085.0309999999999</v>
      </c>
      <c r="J22" s="110">
        <v>3850.4609999999998</v>
      </c>
      <c r="K22" s="110">
        <v>3616.2130000000002</v>
      </c>
      <c r="L22" s="110">
        <v>3378.4209999999998</v>
      </c>
      <c r="M22" s="110">
        <v>3206.0210000000002</v>
      </c>
      <c r="N22" s="110">
        <v>2835.136</v>
      </c>
      <c r="O22" s="110">
        <v>2460.6390000000001</v>
      </c>
      <c r="P22" s="110">
        <v>2053.3490000000002</v>
      </c>
      <c r="Q22" s="110">
        <v>1904.5509999999999</v>
      </c>
      <c r="R22" s="110">
        <v>1632.6990000000001</v>
      </c>
      <c r="S22" s="110">
        <v>1282.761</v>
      </c>
      <c r="T22" s="110">
        <v>940.73500000000001</v>
      </c>
      <c r="U22" s="110">
        <v>660.84100000000001</v>
      </c>
      <c r="V22" s="110">
        <v>467.495</v>
      </c>
      <c r="W22" s="110">
        <v>309.06799999999998</v>
      </c>
      <c r="X22" s="110">
        <v>173.37</v>
      </c>
      <c r="Y22" s="110">
        <v>67.698999999999998</v>
      </c>
      <c r="Z22" s="110">
        <v>17.387</v>
      </c>
      <c r="AA22" s="110">
        <v>3.4260000000000002</v>
      </c>
      <c r="AB22" s="110">
        <v>0.36299999999999999</v>
      </c>
      <c r="AC22" s="115">
        <f t="shared" si="1"/>
        <v>19454.330000000002</v>
      </c>
      <c r="AD22">
        <f t="shared" si="2"/>
        <v>1.0182810112708303</v>
      </c>
    </row>
    <row r="23" spans="1:30" x14ac:dyDescent="0.25">
      <c r="A23" s="104" t="str">
        <f t="shared" si="0"/>
        <v>Kenya2036</v>
      </c>
      <c r="C23" s="107" t="s">
        <v>257</v>
      </c>
      <c r="D23" s="108" t="s">
        <v>205</v>
      </c>
      <c r="E23" s="109"/>
      <c r="F23" s="109">
        <v>404</v>
      </c>
      <c r="G23" s="109">
        <v>2036</v>
      </c>
      <c r="H23" s="110">
        <v>4328.4530000000004</v>
      </c>
      <c r="I23" s="110">
        <v>4128.152</v>
      </c>
      <c r="J23" s="110">
        <v>3896.085</v>
      </c>
      <c r="K23" s="110">
        <v>3660.9870000000001</v>
      </c>
      <c r="L23" s="110">
        <v>3414.3989999999999</v>
      </c>
      <c r="M23" s="110">
        <v>3248.105</v>
      </c>
      <c r="N23" s="110">
        <v>2908.3130000000001</v>
      </c>
      <c r="O23" s="110">
        <v>2534.9140000000002</v>
      </c>
      <c r="P23" s="110">
        <v>2108.9340000000002</v>
      </c>
      <c r="Q23" s="110">
        <v>1928.414</v>
      </c>
      <c r="R23" s="110">
        <v>1686.558</v>
      </c>
      <c r="S23" s="110">
        <v>1343.877</v>
      </c>
      <c r="T23" s="110">
        <v>992.85699999999997</v>
      </c>
      <c r="U23" s="110">
        <v>695.11099999999999</v>
      </c>
      <c r="V23" s="110">
        <v>485.33300000000003</v>
      </c>
      <c r="W23" s="110">
        <v>320.68599999999998</v>
      </c>
      <c r="X23" s="110">
        <v>182.26300000000001</v>
      </c>
      <c r="Y23" s="110">
        <v>75.027000000000001</v>
      </c>
      <c r="Z23" s="110">
        <v>20.242000000000001</v>
      </c>
      <c r="AA23" s="110">
        <v>3.7490000000000001</v>
      </c>
      <c r="AB23" s="110">
        <v>0.38500000000000001</v>
      </c>
      <c r="AC23" s="115">
        <f t="shared" si="1"/>
        <v>19804.066000000003</v>
      </c>
      <c r="AD23">
        <f t="shared" si="2"/>
        <v>1.0179772832063607</v>
      </c>
    </row>
    <row r="24" spans="1:30" x14ac:dyDescent="0.25">
      <c r="A24" s="104" t="str">
        <f t="shared" si="0"/>
        <v>Kenya2037</v>
      </c>
      <c r="C24" s="107" t="s">
        <v>257</v>
      </c>
      <c r="D24" s="108" t="s">
        <v>205</v>
      </c>
      <c r="E24" s="109"/>
      <c r="F24" s="109">
        <v>404</v>
      </c>
      <c r="G24" s="109">
        <v>2037</v>
      </c>
      <c r="H24" s="110">
        <v>4357.2860000000001</v>
      </c>
      <c r="I24" s="110">
        <v>4169.0050000000001</v>
      </c>
      <c r="J24" s="110">
        <v>3941.9949999999999</v>
      </c>
      <c r="K24" s="110">
        <v>3705.09</v>
      </c>
      <c r="L24" s="110">
        <v>3456.7069999999999</v>
      </c>
      <c r="M24" s="110">
        <v>3277.6179999999999</v>
      </c>
      <c r="N24" s="110">
        <v>2984.3710000000001</v>
      </c>
      <c r="O24" s="110">
        <v>2603.5839999999998</v>
      </c>
      <c r="P24" s="110">
        <v>2181.627</v>
      </c>
      <c r="Q24" s="110">
        <v>1943.0250000000001</v>
      </c>
      <c r="R24" s="110">
        <v>1738.92</v>
      </c>
      <c r="S24" s="110">
        <v>1405.6130000000001</v>
      </c>
      <c r="T24" s="110">
        <v>1048.0160000000001</v>
      </c>
      <c r="U24" s="110">
        <v>734.06700000000001</v>
      </c>
      <c r="V24" s="110">
        <v>505.02</v>
      </c>
      <c r="W24" s="110">
        <v>333.46</v>
      </c>
      <c r="X24" s="110">
        <v>190.708</v>
      </c>
      <c r="Y24" s="110">
        <v>81.655000000000001</v>
      </c>
      <c r="Z24" s="110">
        <v>22.558</v>
      </c>
      <c r="AA24" s="110">
        <v>4.3520000000000003</v>
      </c>
      <c r="AB24" s="110">
        <v>0.40799999999999997</v>
      </c>
      <c r="AC24" s="115">
        <f t="shared" si="1"/>
        <v>20152.022000000001</v>
      </c>
      <c r="AD24">
        <f t="shared" si="2"/>
        <v>1.0175699273068468</v>
      </c>
    </row>
    <row r="25" spans="1:30" x14ac:dyDescent="0.25">
      <c r="A25" s="104" t="str">
        <f t="shared" si="0"/>
        <v>Kenya2038</v>
      </c>
      <c r="C25" s="107" t="s">
        <v>257</v>
      </c>
      <c r="D25" s="108" t="s">
        <v>205</v>
      </c>
      <c r="E25" s="109"/>
      <c r="F25" s="109">
        <v>404</v>
      </c>
      <c r="G25" s="109">
        <v>2038</v>
      </c>
      <c r="H25" s="110">
        <v>4383.143</v>
      </c>
      <c r="I25" s="110">
        <v>4207.0309999999999</v>
      </c>
      <c r="J25" s="110">
        <v>3987.643</v>
      </c>
      <c r="K25" s="110">
        <v>3748.86</v>
      </c>
      <c r="L25" s="110">
        <v>3503.3789999999999</v>
      </c>
      <c r="M25" s="110">
        <v>3299.7579999999998</v>
      </c>
      <c r="N25" s="110">
        <v>3058.7170000000001</v>
      </c>
      <c r="O25" s="110">
        <v>2668.9789999999998</v>
      </c>
      <c r="P25" s="110">
        <v>2265.2020000000002</v>
      </c>
      <c r="Q25" s="110">
        <v>1955.999</v>
      </c>
      <c r="R25" s="110">
        <v>1787.5150000000001</v>
      </c>
      <c r="S25" s="110">
        <v>1466.8589999999999</v>
      </c>
      <c r="T25" s="110">
        <v>1105.8109999999999</v>
      </c>
      <c r="U25" s="110">
        <v>777.33399999999995</v>
      </c>
      <c r="V25" s="110">
        <v>527.505</v>
      </c>
      <c r="W25" s="110">
        <v>347.72399999999999</v>
      </c>
      <c r="X25" s="110">
        <v>199.26400000000001</v>
      </c>
      <c r="Y25" s="110">
        <v>87.168999999999997</v>
      </c>
      <c r="Z25" s="110">
        <v>24.565000000000001</v>
      </c>
      <c r="AA25" s="110">
        <v>4.8650000000000002</v>
      </c>
      <c r="AB25" s="110">
        <v>0.43</v>
      </c>
      <c r="AC25" s="115">
        <f t="shared" si="1"/>
        <v>20500.894</v>
      </c>
      <c r="AD25">
        <f t="shared" si="2"/>
        <v>1.0173120096831971</v>
      </c>
    </row>
    <row r="26" spans="1:30" x14ac:dyDescent="0.25">
      <c r="A26" s="104" t="str">
        <f t="shared" si="0"/>
        <v>Kenya2039</v>
      </c>
      <c r="C26" s="107" t="s">
        <v>257</v>
      </c>
      <c r="D26" s="108" t="s">
        <v>205</v>
      </c>
      <c r="E26" s="109"/>
      <c r="F26" s="109">
        <v>404</v>
      </c>
      <c r="G26" s="109">
        <v>2039</v>
      </c>
      <c r="H26" s="110">
        <v>4406.4589999999998</v>
      </c>
      <c r="I26" s="110">
        <v>4241.9610000000002</v>
      </c>
      <c r="J26" s="110">
        <v>4032.1419999999998</v>
      </c>
      <c r="K26" s="110">
        <v>3793.0230000000001</v>
      </c>
      <c r="L26" s="110">
        <v>3550.665</v>
      </c>
      <c r="M26" s="110">
        <v>3323</v>
      </c>
      <c r="N26" s="110">
        <v>3124.3490000000002</v>
      </c>
      <c r="O26" s="110">
        <v>2735.5549999999998</v>
      </c>
      <c r="P26" s="110">
        <v>2349.4169999999999</v>
      </c>
      <c r="Q26" s="110">
        <v>1978.9580000000001</v>
      </c>
      <c r="R26" s="110">
        <v>1828.95</v>
      </c>
      <c r="S26" s="110">
        <v>1526.3330000000001</v>
      </c>
      <c r="T26" s="110">
        <v>1165.6769999999999</v>
      </c>
      <c r="U26" s="110">
        <v>824.38699999999994</v>
      </c>
      <c r="V26" s="110">
        <v>554.08500000000004</v>
      </c>
      <c r="W26" s="110">
        <v>363.61200000000002</v>
      </c>
      <c r="X26" s="110">
        <v>208.33</v>
      </c>
      <c r="Y26" s="110">
        <v>92.025000000000006</v>
      </c>
      <c r="Z26" s="110">
        <v>25.847999999999999</v>
      </c>
      <c r="AA26" s="110">
        <v>4.9349999999999996</v>
      </c>
      <c r="AB26" s="110">
        <v>0.45200000000000001</v>
      </c>
      <c r="AC26" s="115">
        <f t="shared" si="1"/>
        <v>20854.967000000001</v>
      </c>
      <c r="AD26">
        <f t="shared" si="2"/>
        <v>1.0172711004700576</v>
      </c>
    </row>
    <row r="27" spans="1:30" x14ac:dyDescent="0.25">
      <c r="A27" s="104" t="str">
        <f t="shared" si="0"/>
        <v>Kenya2040</v>
      </c>
      <c r="C27" s="107" t="s">
        <v>257</v>
      </c>
      <c r="D27" s="108" t="s">
        <v>205</v>
      </c>
      <c r="E27" s="109"/>
      <c r="F27" s="109">
        <v>404</v>
      </c>
      <c r="G27" s="109">
        <v>2040</v>
      </c>
      <c r="H27" s="110">
        <v>4427.6639999999998</v>
      </c>
      <c r="I27" s="110">
        <v>4273.7259999999997</v>
      </c>
      <c r="J27" s="110">
        <v>4074.6080000000002</v>
      </c>
      <c r="K27" s="110">
        <v>3837.893</v>
      </c>
      <c r="L27" s="110">
        <v>3596.24</v>
      </c>
      <c r="M27" s="110">
        <v>3352.7539999999999</v>
      </c>
      <c r="N27" s="110">
        <v>3177.26</v>
      </c>
      <c r="O27" s="110">
        <v>2805.59</v>
      </c>
      <c r="P27" s="110">
        <v>2427.8510000000001</v>
      </c>
      <c r="Q27" s="110">
        <v>2018.825</v>
      </c>
      <c r="R27" s="110">
        <v>1861.7670000000001</v>
      </c>
      <c r="S27" s="110">
        <v>1583.116</v>
      </c>
      <c r="T27" s="110">
        <v>1226.934</v>
      </c>
      <c r="U27" s="110">
        <v>874.851</v>
      </c>
      <c r="V27" s="110">
        <v>585.51599999999996</v>
      </c>
      <c r="W27" s="110">
        <v>381.27800000000002</v>
      </c>
      <c r="X27" s="110">
        <v>218.227</v>
      </c>
      <c r="Y27" s="110">
        <v>96.379000000000005</v>
      </c>
      <c r="Z27" s="110">
        <v>26.545000000000002</v>
      </c>
      <c r="AA27" s="110">
        <v>4.2389999999999999</v>
      </c>
      <c r="AB27" s="110">
        <v>0.47299999999999998</v>
      </c>
      <c r="AC27" s="115">
        <f t="shared" si="1"/>
        <v>21216.413</v>
      </c>
      <c r="AD27">
        <f t="shared" si="2"/>
        <v>1.0173314107857374</v>
      </c>
    </row>
    <row r="28" spans="1:30" x14ac:dyDescent="0.25">
      <c r="A28" s="104" t="str">
        <f t="shared" si="0"/>
        <v>Kenya2041</v>
      </c>
      <c r="C28" s="107" t="s">
        <v>257</v>
      </c>
      <c r="D28" s="108" t="s">
        <v>205</v>
      </c>
      <c r="E28" s="109"/>
      <c r="F28" s="109">
        <v>404</v>
      </c>
      <c r="G28" s="109">
        <v>2041</v>
      </c>
      <c r="H28" s="110">
        <v>4448.9040000000005</v>
      </c>
      <c r="I28" s="110">
        <v>4306.7870000000003</v>
      </c>
      <c r="J28" s="110">
        <v>4116.5190000000002</v>
      </c>
      <c r="K28" s="110">
        <v>3883.4009999999998</v>
      </c>
      <c r="L28" s="110">
        <v>3641.4389999999999</v>
      </c>
      <c r="M28" s="110">
        <v>3389.33</v>
      </c>
      <c r="N28" s="110">
        <v>3219.7130000000002</v>
      </c>
      <c r="O28" s="110">
        <v>2878.5230000000001</v>
      </c>
      <c r="P28" s="110">
        <v>2502.0050000000001</v>
      </c>
      <c r="Q28" s="110">
        <v>2074.0160000000001</v>
      </c>
      <c r="R28" s="110">
        <v>1885.6</v>
      </c>
      <c r="S28" s="110">
        <v>1635.7449999999999</v>
      </c>
      <c r="T28" s="110">
        <v>1285.152</v>
      </c>
      <c r="U28" s="110">
        <v>923.44600000000003</v>
      </c>
      <c r="V28" s="110">
        <v>616.23</v>
      </c>
      <c r="W28" s="110">
        <v>396.48899999999998</v>
      </c>
      <c r="X28" s="110">
        <v>228.2</v>
      </c>
      <c r="Y28" s="110">
        <v>103.86</v>
      </c>
      <c r="Z28" s="110">
        <v>31.084</v>
      </c>
      <c r="AA28" s="110">
        <v>5.0309999999999997</v>
      </c>
      <c r="AB28" s="110">
        <v>0.49399999999999999</v>
      </c>
      <c r="AC28" s="115">
        <f t="shared" si="1"/>
        <v>21588.427</v>
      </c>
      <c r="AD28">
        <f t="shared" si="2"/>
        <v>1.0175342552013857</v>
      </c>
    </row>
    <row r="29" spans="1:30" x14ac:dyDescent="0.25">
      <c r="A29" s="104" t="str">
        <f t="shared" si="0"/>
        <v>Kenya2042</v>
      </c>
      <c r="C29" s="107" t="s">
        <v>257</v>
      </c>
      <c r="D29" s="108" t="s">
        <v>205</v>
      </c>
      <c r="E29" s="109"/>
      <c r="F29" s="109">
        <v>404</v>
      </c>
      <c r="G29" s="109">
        <v>2042</v>
      </c>
      <c r="H29" s="110">
        <v>4467.8109999999997</v>
      </c>
      <c r="I29" s="110">
        <v>4336.5690000000004</v>
      </c>
      <c r="J29" s="110">
        <v>4156.63</v>
      </c>
      <c r="K29" s="110">
        <v>3929.143</v>
      </c>
      <c r="L29" s="110">
        <v>3685.6660000000002</v>
      </c>
      <c r="M29" s="110">
        <v>3431.93</v>
      </c>
      <c r="N29" s="110">
        <v>3249.616</v>
      </c>
      <c r="O29" s="110">
        <v>2954.3359999999998</v>
      </c>
      <c r="P29" s="110">
        <v>2570.654</v>
      </c>
      <c r="Q29" s="110">
        <v>2146.1129999999998</v>
      </c>
      <c r="R29" s="110">
        <v>1900.489</v>
      </c>
      <c r="S29" s="110">
        <v>1687.268</v>
      </c>
      <c r="T29" s="110">
        <v>1344.5820000000001</v>
      </c>
      <c r="U29" s="110">
        <v>975.38099999999997</v>
      </c>
      <c r="V29" s="110">
        <v>651.29100000000005</v>
      </c>
      <c r="W29" s="110">
        <v>413.06599999999997</v>
      </c>
      <c r="X29" s="110">
        <v>238.42400000000001</v>
      </c>
      <c r="Y29" s="110">
        <v>110.166</v>
      </c>
      <c r="Z29" s="110">
        <v>34.581000000000003</v>
      </c>
      <c r="AA29" s="110">
        <v>6.3419999999999996</v>
      </c>
      <c r="AB29" s="110">
        <v>0.51700000000000002</v>
      </c>
      <c r="AC29" s="115">
        <f t="shared" si="1"/>
        <v>21967.457999999999</v>
      </c>
      <c r="AD29">
        <f t="shared" si="2"/>
        <v>1.0175571383686268</v>
      </c>
    </row>
    <row r="30" spans="1:30" x14ac:dyDescent="0.25">
      <c r="A30" s="104" t="str">
        <f t="shared" si="0"/>
        <v>Kenya2043</v>
      </c>
      <c r="C30" s="107" t="s">
        <v>257</v>
      </c>
      <c r="D30" s="108" t="s">
        <v>205</v>
      </c>
      <c r="E30" s="109"/>
      <c r="F30" s="109">
        <v>404</v>
      </c>
      <c r="G30" s="109">
        <v>2043</v>
      </c>
      <c r="H30" s="110">
        <v>4484.8090000000002</v>
      </c>
      <c r="I30" s="110">
        <v>4362.84</v>
      </c>
      <c r="J30" s="110">
        <v>4194.7920000000004</v>
      </c>
      <c r="K30" s="110">
        <v>3974.674</v>
      </c>
      <c r="L30" s="110">
        <v>3729.3670000000002</v>
      </c>
      <c r="M30" s="110">
        <v>3478.6509999999998</v>
      </c>
      <c r="N30" s="110">
        <v>3272.123</v>
      </c>
      <c r="O30" s="110">
        <v>3028.6509999999998</v>
      </c>
      <c r="P30" s="110">
        <v>2636.018</v>
      </c>
      <c r="Q30" s="110">
        <v>2229.123</v>
      </c>
      <c r="R30" s="110">
        <v>1913.913</v>
      </c>
      <c r="S30" s="110">
        <v>1735.32</v>
      </c>
      <c r="T30" s="110">
        <v>1404.307</v>
      </c>
      <c r="U30" s="110">
        <v>1030.3009999999999</v>
      </c>
      <c r="V30" s="110">
        <v>690.52700000000004</v>
      </c>
      <c r="W30" s="110">
        <v>432.161</v>
      </c>
      <c r="X30" s="110">
        <v>249.34200000000001</v>
      </c>
      <c r="Y30" s="110">
        <v>115.28400000000001</v>
      </c>
      <c r="Z30" s="110">
        <v>37.344999999999999</v>
      </c>
      <c r="AA30" s="110">
        <v>7.4279999999999999</v>
      </c>
      <c r="AB30" s="110">
        <v>0.54300000000000004</v>
      </c>
      <c r="AC30" s="115">
        <f t="shared" si="1"/>
        <v>22348.607</v>
      </c>
      <c r="AD30">
        <f t="shared" si="2"/>
        <v>1.0173506192660071</v>
      </c>
    </row>
    <row r="31" spans="1:30" x14ac:dyDescent="0.25">
      <c r="A31" s="104" t="str">
        <f t="shared" si="0"/>
        <v>Kenya2044</v>
      </c>
      <c r="C31" s="107" t="s">
        <v>257</v>
      </c>
      <c r="D31" s="108" t="s">
        <v>205</v>
      </c>
      <c r="E31" s="109"/>
      <c r="F31" s="109">
        <v>404</v>
      </c>
      <c r="G31" s="109">
        <v>2044</v>
      </c>
      <c r="H31" s="110">
        <v>4500.5370000000003</v>
      </c>
      <c r="I31" s="110">
        <v>4385.8180000000002</v>
      </c>
      <c r="J31" s="110">
        <v>4230.6170000000002</v>
      </c>
      <c r="K31" s="110">
        <v>4019.2269999999999</v>
      </c>
      <c r="L31" s="110">
        <v>3773.3719999999998</v>
      </c>
      <c r="M31" s="110">
        <v>3525.808</v>
      </c>
      <c r="N31" s="110">
        <v>3295.6390000000001</v>
      </c>
      <c r="O31" s="110">
        <v>3094.529</v>
      </c>
      <c r="P31" s="110">
        <v>2702.498</v>
      </c>
      <c r="Q31" s="110">
        <v>2313.0010000000002</v>
      </c>
      <c r="R31" s="110">
        <v>1937.279</v>
      </c>
      <c r="S31" s="110">
        <v>1776.5340000000001</v>
      </c>
      <c r="T31" s="110">
        <v>1463.0309999999999</v>
      </c>
      <c r="U31" s="110">
        <v>1087.71</v>
      </c>
      <c r="V31" s="110">
        <v>733.69299999999998</v>
      </c>
      <c r="W31" s="110">
        <v>455.11500000000001</v>
      </c>
      <c r="X31" s="110">
        <v>261.17200000000003</v>
      </c>
      <c r="Y31" s="110">
        <v>120.10599999999999</v>
      </c>
      <c r="Z31" s="110">
        <v>38.921999999999997</v>
      </c>
      <c r="AA31" s="110">
        <v>7.7309999999999999</v>
      </c>
      <c r="AB31" s="110">
        <v>0.57899999999999996</v>
      </c>
      <c r="AC31" s="115">
        <f t="shared" si="1"/>
        <v>22724.073999999997</v>
      </c>
      <c r="AD31">
        <f t="shared" si="2"/>
        <v>1.0168004654607778</v>
      </c>
    </row>
    <row r="32" spans="1:30" x14ac:dyDescent="0.25">
      <c r="A32" s="104" t="str">
        <f t="shared" si="0"/>
        <v>Kenya2045</v>
      </c>
      <c r="C32" s="107" t="s">
        <v>257</v>
      </c>
      <c r="D32" s="108" t="s">
        <v>205</v>
      </c>
      <c r="E32" s="109"/>
      <c r="F32" s="109">
        <v>404</v>
      </c>
      <c r="G32" s="109">
        <v>2045</v>
      </c>
      <c r="H32" s="110">
        <v>4515.5789999999997</v>
      </c>
      <c r="I32" s="110">
        <v>4406.0450000000001</v>
      </c>
      <c r="J32" s="110">
        <v>4263.4880000000003</v>
      </c>
      <c r="K32" s="110">
        <v>4062.1640000000002</v>
      </c>
      <c r="L32" s="110">
        <v>3818.1210000000001</v>
      </c>
      <c r="M32" s="110">
        <v>3571.116</v>
      </c>
      <c r="N32" s="110">
        <v>3325.5059999999999</v>
      </c>
      <c r="O32" s="110">
        <v>3147.8539999999998</v>
      </c>
      <c r="P32" s="110">
        <v>2772.4560000000001</v>
      </c>
      <c r="Q32" s="110">
        <v>2391.3339999999998</v>
      </c>
      <c r="R32" s="110">
        <v>1977.4059999999999</v>
      </c>
      <c r="S32" s="110">
        <v>1809.5070000000001</v>
      </c>
      <c r="T32" s="110">
        <v>1519.624</v>
      </c>
      <c r="U32" s="110">
        <v>1147.077</v>
      </c>
      <c r="V32" s="110">
        <v>780.63900000000001</v>
      </c>
      <c r="W32" s="110">
        <v>482.65300000000002</v>
      </c>
      <c r="X32" s="110">
        <v>274.21199999999999</v>
      </c>
      <c r="Y32" s="110">
        <v>125.041</v>
      </c>
      <c r="Z32" s="110">
        <v>39.472000000000001</v>
      </c>
      <c r="AA32" s="110">
        <v>6.8529999999999998</v>
      </c>
      <c r="AB32" s="110">
        <v>0.626</v>
      </c>
      <c r="AC32" s="115">
        <f t="shared" si="1"/>
        <v>23088.550999999996</v>
      </c>
      <c r="AD32">
        <f t="shared" si="2"/>
        <v>1.0160392454275584</v>
      </c>
    </row>
    <row r="33" spans="1:30" x14ac:dyDescent="0.25">
      <c r="A33" s="104" t="str">
        <f t="shared" si="0"/>
        <v>Kenya2046</v>
      </c>
      <c r="C33" s="107" t="s">
        <v>257</v>
      </c>
      <c r="D33" s="108" t="s">
        <v>205</v>
      </c>
      <c r="E33" s="109"/>
      <c r="F33" s="109">
        <v>404</v>
      </c>
      <c r="G33" s="109">
        <v>2046</v>
      </c>
      <c r="H33" s="110">
        <v>4532.4650000000001</v>
      </c>
      <c r="I33" s="110">
        <v>4428.3959999999997</v>
      </c>
      <c r="J33" s="110">
        <v>4295.05</v>
      </c>
      <c r="K33" s="110">
        <v>4103.9390000000003</v>
      </c>
      <c r="L33" s="110">
        <v>3864.0259999999998</v>
      </c>
      <c r="M33" s="110">
        <v>3616.7939999999999</v>
      </c>
      <c r="N33" s="110">
        <v>3362.4639999999999</v>
      </c>
      <c r="O33" s="110">
        <v>3190.28</v>
      </c>
      <c r="P33" s="110">
        <v>2845.3690000000001</v>
      </c>
      <c r="Q33" s="110">
        <v>2464.7759999999998</v>
      </c>
      <c r="R33" s="110">
        <v>2032.2639999999999</v>
      </c>
      <c r="S33" s="110">
        <v>1833.038</v>
      </c>
      <c r="T33" s="110">
        <v>1569.829</v>
      </c>
      <c r="U33" s="110">
        <v>1201.779</v>
      </c>
      <c r="V33" s="110">
        <v>824.56899999999996</v>
      </c>
      <c r="W33" s="110">
        <v>509.16300000000001</v>
      </c>
      <c r="X33" s="110">
        <v>287.13400000000001</v>
      </c>
      <c r="Y33" s="110">
        <v>133.82400000000001</v>
      </c>
      <c r="Z33" s="110">
        <v>44.786000000000001</v>
      </c>
      <c r="AA33" s="110">
        <v>8.1690000000000005</v>
      </c>
      <c r="AB33" s="110">
        <v>0.68700000000000006</v>
      </c>
      <c r="AC33" s="115">
        <f t="shared" si="1"/>
        <v>23447.648000000001</v>
      </c>
      <c r="AD33">
        <f t="shared" si="2"/>
        <v>1.0155530331894802</v>
      </c>
    </row>
    <row r="34" spans="1:30" x14ac:dyDescent="0.25">
      <c r="A34" s="104" t="str">
        <f t="shared" si="0"/>
        <v>Kenya2047</v>
      </c>
      <c r="C34" s="107" t="s">
        <v>257</v>
      </c>
      <c r="D34" s="108" t="s">
        <v>205</v>
      </c>
      <c r="E34" s="109"/>
      <c r="F34" s="109">
        <v>404</v>
      </c>
      <c r="G34" s="109">
        <v>2047</v>
      </c>
      <c r="H34" s="110">
        <v>4548.5810000000001</v>
      </c>
      <c r="I34" s="110">
        <v>4448.3689999999997</v>
      </c>
      <c r="J34" s="110">
        <v>4323.9440000000004</v>
      </c>
      <c r="K34" s="110">
        <v>4143.991</v>
      </c>
      <c r="L34" s="110">
        <v>3909.95</v>
      </c>
      <c r="M34" s="110">
        <v>3661.3339999999998</v>
      </c>
      <c r="N34" s="110">
        <v>3405.3989999999999</v>
      </c>
      <c r="O34" s="110">
        <v>3220.3649999999998</v>
      </c>
      <c r="P34" s="110">
        <v>2921.2130000000002</v>
      </c>
      <c r="Q34" s="110">
        <v>2532.9859999999999</v>
      </c>
      <c r="R34" s="110">
        <v>2103.8000000000002</v>
      </c>
      <c r="S34" s="110">
        <v>1848.2439999999999</v>
      </c>
      <c r="T34" s="110">
        <v>1619.704</v>
      </c>
      <c r="U34" s="110">
        <v>1258.251</v>
      </c>
      <c r="V34" s="110">
        <v>871.94399999999996</v>
      </c>
      <c r="W34" s="110">
        <v>539.12599999999998</v>
      </c>
      <c r="X34" s="110">
        <v>300.36900000000003</v>
      </c>
      <c r="Y34" s="110">
        <v>141.642</v>
      </c>
      <c r="Z34" s="110">
        <v>48.509</v>
      </c>
      <c r="AA34" s="110">
        <v>10.125999999999999</v>
      </c>
      <c r="AB34" s="110">
        <v>0.76100000000000001</v>
      </c>
      <c r="AC34" s="115">
        <f t="shared" si="1"/>
        <v>23795.237999999998</v>
      </c>
      <c r="AD34">
        <f t="shared" si="2"/>
        <v>1.0148240881132298</v>
      </c>
    </row>
    <row r="35" spans="1:30" x14ac:dyDescent="0.25">
      <c r="A35" s="104" t="str">
        <f t="shared" si="0"/>
        <v>Kenya2048</v>
      </c>
      <c r="C35" s="107" t="s">
        <v>257</v>
      </c>
      <c r="D35" s="108" t="s">
        <v>205</v>
      </c>
      <c r="E35" s="109"/>
      <c r="F35" s="109">
        <v>404</v>
      </c>
      <c r="G35" s="109">
        <v>2048</v>
      </c>
      <c r="H35" s="110">
        <v>4563.7150000000001</v>
      </c>
      <c r="I35" s="110">
        <v>4465.9319999999998</v>
      </c>
      <c r="J35" s="110">
        <v>4350.3509999999997</v>
      </c>
      <c r="K35" s="110">
        <v>4182.1000000000004</v>
      </c>
      <c r="L35" s="110">
        <v>3955.4569999999999</v>
      </c>
      <c r="M35" s="110">
        <v>3705.1439999999998</v>
      </c>
      <c r="N35" s="110">
        <v>3452.33</v>
      </c>
      <c r="O35" s="110">
        <v>3243.337</v>
      </c>
      <c r="P35" s="110">
        <v>2995.502</v>
      </c>
      <c r="Q35" s="110">
        <v>2598.2539999999999</v>
      </c>
      <c r="R35" s="110">
        <v>2186.0549999999998</v>
      </c>
      <c r="S35" s="110">
        <v>1862.241</v>
      </c>
      <c r="T35" s="110">
        <v>1667.0719999999999</v>
      </c>
      <c r="U35" s="110">
        <v>1315.6130000000001</v>
      </c>
      <c r="V35" s="110">
        <v>922.57100000000003</v>
      </c>
      <c r="W35" s="110">
        <v>572.74599999999998</v>
      </c>
      <c r="X35" s="110">
        <v>315.161</v>
      </c>
      <c r="Y35" s="110">
        <v>148.43799999999999</v>
      </c>
      <c r="Z35" s="110">
        <v>51.305999999999997</v>
      </c>
      <c r="AA35" s="110">
        <v>11.694000000000001</v>
      </c>
      <c r="AB35" s="110">
        <v>0.84899999999999998</v>
      </c>
      <c r="AC35" s="115">
        <f t="shared" si="1"/>
        <v>24132.124000000003</v>
      </c>
      <c r="AD35">
        <f t="shared" si="2"/>
        <v>1.0141577066806395</v>
      </c>
    </row>
    <row r="36" spans="1:30" x14ac:dyDescent="0.25">
      <c r="A36" s="104" t="str">
        <f t="shared" si="0"/>
        <v>Kenya2049</v>
      </c>
      <c r="C36" s="107" t="s">
        <v>257</v>
      </c>
      <c r="D36" s="108" t="s">
        <v>205</v>
      </c>
      <c r="E36" s="109"/>
      <c r="F36" s="109">
        <v>404</v>
      </c>
      <c r="G36" s="109">
        <v>2049</v>
      </c>
      <c r="H36" s="110">
        <v>4577.4380000000001</v>
      </c>
      <c r="I36" s="110">
        <v>4481.32</v>
      </c>
      <c r="J36" s="110">
        <v>4374.4440000000004</v>
      </c>
      <c r="K36" s="110">
        <v>4217.9660000000003</v>
      </c>
      <c r="L36" s="110">
        <v>3999.8820000000001</v>
      </c>
      <c r="M36" s="110">
        <v>3749.0770000000002</v>
      </c>
      <c r="N36" s="110">
        <v>3499.5920000000001</v>
      </c>
      <c r="O36" s="110">
        <v>3267.5309999999999</v>
      </c>
      <c r="P36" s="110">
        <v>3061.3629999999998</v>
      </c>
      <c r="Q36" s="110">
        <v>2664.9079999999999</v>
      </c>
      <c r="R36" s="110">
        <v>2269.2080000000001</v>
      </c>
      <c r="S36" s="110">
        <v>1886.144</v>
      </c>
      <c r="T36" s="110">
        <v>1708.5830000000001</v>
      </c>
      <c r="U36" s="110">
        <v>1372.634</v>
      </c>
      <c r="V36" s="110">
        <v>976.11400000000003</v>
      </c>
      <c r="W36" s="110">
        <v>610.16700000000003</v>
      </c>
      <c r="X36" s="110">
        <v>332.79500000000002</v>
      </c>
      <c r="Y36" s="110">
        <v>155.13800000000001</v>
      </c>
      <c r="Z36" s="110">
        <v>52.886000000000003</v>
      </c>
      <c r="AA36" s="110">
        <v>12.1</v>
      </c>
      <c r="AB36" s="110">
        <v>0.94799999999999995</v>
      </c>
      <c r="AC36" s="115">
        <f t="shared" si="1"/>
        <v>24460.319</v>
      </c>
      <c r="AD36">
        <f t="shared" si="2"/>
        <v>1.0135999218303369</v>
      </c>
    </row>
    <row r="37" spans="1:30" x14ac:dyDescent="0.25">
      <c r="A37" s="104" t="str">
        <f t="shared" si="0"/>
        <v>Kenya2050</v>
      </c>
      <c r="C37" s="107" t="s">
        <v>257</v>
      </c>
      <c r="D37" s="108" t="s">
        <v>205</v>
      </c>
      <c r="E37" s="109"/>
      <c r="F37" s="109">
        <v>404</v>
      </c>
      <c r="G37" s="109">
        <v>2050</v>
      </c>
      <c r="H37" s="110">
        <v>4589.6559999999999</v>
      </c>
      <c r="I37" s="110">
        <v>4494.9009999999998</v>
      </c>
      <c r="J37" s="110">
        <v>4396.1189999999997</v>
      </c>
      <c r="K37" s="110">
        <v>4251.2969999999996</v>
      </c>
      <c r="L37" s="110">
        <v>4042.7249999999999</v>
      </c>
      <c r="M37" s="110">
        <v>3793.5940000000001</v>
      </c>
      <c r="N37" s="110">
        <v>3544.9110000000001</v>
      </c>
      <c r="O37" s="110">
        <v>3298.096</v>
      </c>
      <c r="P37" s="110">
        <v>3114.86</v>
      </c>
      <c r="Q37" s="110">
        <v>2735.136</v>
      </c>
      <c r="R37" s="110">
        <v>2347.0729999999999</v>
      </c>
      <c r="S37" s="110">
        <v>1926.6289999999999</v>
      </c>
      <c r="T37" s="110">
        <v>1742.5989999999999</v>
      </c>
      <c r="U37" s="110">
        <v>1428.3219999999999</v>
      </c>
      <c r="V37" s="110">
        <v>1032.183</v>
      </c>
      <c r="W37" s="110">
        <v>651.51800000000003</v>
      </c>
      <c r="X37" s="110">
        <v>354.04500000000002</v>
      </c>
      <c r="Y37" s="110">
        <v>162.19900000000001</v>
      </c>
      <c r="Z37" s="110">
        <v>53.613</v>
      </c>
      <c r="AA37" s="110">
        <v>10.824</v>
      </c>
      <c r="AB37" s="110">
        <v>1.06</v>
      </c>
      <c r="AC37" s="115">
        <f t="shared" si="1"/>
        <v>24780.618999999999</v>
      </c>
      <c r="AD37">
        <f t="shared" si="2"/>
        <v>1.0130946779557535</v>
      </c>
    </row>
    <row r="38" spans="1:30" x14ac:dyDescent="0.25">
      <c r="A38" s="104" t="str">
        <f t="shared" si="0"/>
        <v>Kenya2051</v>
      </c>
      <c r="C38" s="107" t="s">
        <v>257</v>
      </c>
      <c r="D38" s="108" t="s">
        <v>205</v>
      </c>
      <c r="E38" s="109"/>
      <c r="F38" s="109">
        <v>404</v>
      </c>
      <c r="G38" s="109">
        <v>2051</v>
      </c>
      <c r="H38" s="110">
        <v>4605.8819999999996</v>
      </c>
      <c r="I38" s="110">
        <v>4511.7169999999996</v>
      </c>
      <c r="J38" s="110">
        <v>4417.1890000000003</v>
      </c>
      <c r="K38" s="110">
        <v>4282.6639999999998</v>
      </c>
      <c r="L38" s="110">
        <v>4084.8530000000001</v>
      </c>
      <c r="M38" s="110">
        <v>3839.8809999999999</v>
      </c>
      <c r="N38" s="110">
        <v>3590.7190000000001</v>
      </c>
      <c r="O38" s="110">
        <v>3334.91</v>
      </c>
      <c r="P38" s="110">
        <v>3157.3989999999999</v>
      </c>
      <c r="Q38" s="110">
        <v>2807.4259999999999</v>
      </c>
      <c r="R38" s="110">
        <v>2419.7280000000001</v>
      </c>
      <c r="S38" s="110">
        <v>1980.779</v>
      </c>
      <c r="T38" s="110">
        <v>1764.837</v>
      </c>
      <c r="U38" s="110">
        <v>1475.7339999999999</v>
      </c>
      <c r="V38" s="110">
        <v>1082.145</v>
      </c>
      <c r="W38" s="110">
        <v>689.67100000000005</v>
      </c>
      <c r="X38" s="110">
        <v>376.21800000000002</v>
      </c>
      <c r="Y38" s="110">
        <v>173.36500000000001</v>
      </c>
      <c r="Z38" s="110">
        <v>60.201000000000001</v>
      </c>
      <c r="AA38" s="110">
        <v>12.425000000000001</v>
      </c>
      <c r="AB38" s="110">
        <v>1.1850000000000001</v>
      </c>
      <c r="AC38" s="115">
        <f t="shared" si="1"/>
        <v>25097.851999999999</v>
      </c>
      <c r="AD38">
        <f t="shared" si="2"/>
        <v>1.0128016576179957</v>
      </c>
    </row>
    <row r="39" spans="1:30" x14ac:dyDescent="0.25">
      <c r="A39" s="104" t="str">
        <f t="shared" si="0"/>
        <v>Kenya2052</v>
      </c>
      <c r="C39" s="107" t="s">
        <v>257</v>
      </c>
      <c r="D39" s="108" t="s">
        <v>205</v>
      </c>
      <c r="E39" s="109"/>
      <c r="F39" s="109">
        <v>404</v>
      </c>
      <c r="G39" s="109">
        <v>2052</v>
      </c>
      <c r="H39" s="110">
        <v>4617.9009999999998</v>
      </c>
      <c r="I39" s="110">
        <v>4528.1779999999999</v>
      </c>
      <c r="J39" s="110">
        <v>4436.4480000000003</v>
      </c>
      <c r="K39" s="110">
        <v>4311.6099999999997</v>
      </c>
      <c r="L39" s="110">
        <v>4125.2640000000001</v>
      </c>
      <c r="M39" s="110">
        <v>3886.2350000000001</v>
      </c>
      <c r="N39" s="110">
        <v>3635.614</v>
      </c>
      <c r="O39" s="110">
        <v>3377.9209999999998</v>
      </c>
      <c r="P39" s="110">
        <v>3187.9589999999998</v>
      </c>
      <c r="Q39" s="110">
        <v>2882.904</v>
      </c>
      <c r="R39" s="110">
        <v>2487.556</v>
      </c>
      <c r="S39" s="110">
        <v>2051.6089999999999</v>
      </c>
      <c r="T39" s="110">
        <v>1779.8209999999999</v>
      </c>
      <c r="U39" s="110">
        <v>1523.692</v>
      </c>
      <c r="V39" s="110">
        <v>1134.366</v>
      </c>
      <c r="W39" s="110">
        <v>730.86099999999999</v>
      </c>
      <c r="X39" s="110">
        <v>400.16300000000001</v>
      </c>
      <c r="Y39" s="110">
        <v>183.36</v>
      </c>
      <c r="Z39" s="110">
        <v>65.007999999999996</v>
      </c>
      <c r="AA39" s="110">
        <v>14.782</v>
      </c>
      <c r="AB39" s="110">
        <v>1.3240000000000001</v>
      </c>
      <c r="AC39" s="115">
        <f t="shared" si="1"/>
        <v>25407.506999999998</v>
      </c>
      <c r="AD39">
        <f t="shared" si="2"/>
        <v>1.0123379084393358</v>
      </c>
    </row>
    <row r="40" spans="1:30" x14ac:dyDescent="0.25">
      <c r="A40" s="104" t="str">
        <f t="shared" si="0"/>
        <v>Kenya2053</v>
      </c>
      <c r="C40" s="107" t="s">
        <v>257</v>
      </c>
      <c r="D40" s="108" t="s">
        <v>205</v>
      </c>
      <c r="E40" s="109"/>
      <c r="F40" s="109">
        <v>404</v>
      </c>
      <c r="G40" s="109">
        <v>2053</v>
      </c>
      <c r="H40" s="110">
        <v>4626.6509999999998</v>
      </c>
      <c r="I40" s="110">
        <v>4543.9769999999999</v>
      </c>
      <c r="J40" s="110">
        <v>4454.0079999999998</v>
      </c>
      <c r="K40" s="110">
        <v>4338.1869999999999</v>
      </c>
      <c r="L40" s="110">
        <v>4163.6109999999999</v>
      </c>
      <c r="M40" s="110">
        <v>3932.0529999999999</v>
      </c>
      <c r="N40" s="110">
        <v>3679.7840000000001</v>
      </c>
      <c r="O40" s="110">
        <v>3425.1729999999998</v>
      </c>
      <c r="P40" s="110">
        <v>3211.473</v>
      </c>
      <c r="Q40" s="110">
        <v>2957.1280000000002</v>
      </c>
      <c r="R40" s="110">
        <v>2552.6889999999999</v>
      </c>
      <c r="S40" s="110">
        <v>2132.9789999999998</v>
      </c>
      <c r="T40" s="110">
        <v>1794.5619999999999</v>
      </c>
      <c r="U40" s="110">
        <v>1570.0160000000001</v>
      </c>
      <c r="V40" s="110">
        <v>1188.1310000000001</v>
      </c>
      <c r="W40" s="110">
        <v>775.23699999999997</v>
      </c>
      <c r="X40" s="110">
        <v>426.43</v>
      </c>
      <c r="Y40" s="110">
        <v>192.76900000000001</v>
      </c>
      <c r="Z40" s="110">
        <v>68.828000000000003</v>
      </c>
      <c r="AA40" s="110">
        <v>16.693999999999999</v>
      </c>
      <c r="AB40" s="110">
        <v>1.474</v>
      </c>
      <c r="AC40" s="115">
        <f t="shared" si="1"/>
        <v>25707.408999999996</v>
      </c>
      <c r="AD40">
        <f t="shared" si="2"/>
        <v>1.0118036767637217</v>
      </c>
    </row>
    <row r="41" spans="1:30" x14ac:dyDescent="0.25">
      <c r="A41" s="104" t="str">
        <f t="shared" si="0"/>
        <v>Kenya2054</v>
      </c>
      <c r="C41" s="107" t="s">
        <v>257</v>
      </c>
      <c r="D41" s="108" t="s">
        <v>205</v>
      </c>
      <c r="E41" s="109"/>
      <c r="F41" s="109">
        <v>404</v>
      </c>
      <c r="G41" s="109">
        <v>2054</v>
      </c>
      <c r="H41" s="110">
        <v>4633.5379999999996</v>
      </c>
      <c r="I41" s="110">
        <v>4558.3100000000004</v>
      </c>
      <c r="J41" s="110">
        <v>4470.2359999999999</v>
      </c>
      <c r="K41" s="110">
        <v>4362.4629999999997</v>
      </c>
      <c r="L41" s="110">
        <v>4199.4759999999997</v>
      </c>
      <c r="M41" s="110">
        <v>3976.5079999999998</v>
      </c>
      <c r="N41" s="110">
        <v>3723.895</v>
      </c>
      <c r="O41" s="110">
        <v>3472.8760000000002</v>
      </c>
      <c r="P41" s="110">
        <v>3236.0540000000001</v>
      </c>
      <c r="Q41" s="110">
        <v>3023.1669999999999</v>
      </c>
      <c r="R41" s="110">
        <v>2619.2199999999998</v>
      </c>
      <c r="S41" s="110">
        <v>2215.2069999999999</v>
      </c>
      <c r="T41" s="110">
        <v>1819.7370000000001</v>
      </c>
      <c r="U41" s="110">
        <v>1611.347</v>
      </c>
      <c r="V41" s="110">
        <v>1242.3040000000001</v>
      </c>
      <c r="W41" s="110">
        <v>822.70799999999997</v>
      </c>
      <c r="X41" s="110">
        <v>455.56599999999997</v>
      </c>
      <c r="Y41" s="110">
        <v>203.48</v>
      </c>
      <c r="Z41" s="110">
        <v>71.319999999999993</v>
      </c>
      <c r="AA41" s="110">
        <v>17.216000000000001</v>
      </c>
      <c r="AB41" s="110">
        <v>1.635</v>
      </c>
      <c r="AC41" s="115">
        <f t="shared" si="1"/>
        <v>25994.439000000002</v>
      </c>
      <c r="AD41">
        <f t="shared" si="2"/>
        <v>1.0111652636794322</v>
      </c>
    </row>
    <row r="42" spans="1:30" x14ac:dyDescent="0.25">
      <c r="A42" s="104" t="str">
        <f t="shared" si="0"/>
        <v>Kenya2055</v>
      </c>
      <c r="C42" s="107" t="s">
        <v>257</v>
      </c>
      <c r="D42" s="108" t="s">
        <v>205</v>
      </c>
      <c r="E42" s="109"/>
      <c r="F42" s="109">
        <v>404</v>
      </c>
      <c r="G42" s="109">
        <v>2055</v>
      </c>
      <c r="H42" s="110">
        <v>4639.7510000000002</v>
      </c>
      <c r="I42" s="110">
        <v>4570.0789999999997</v>
      </c>
      <c r="J42" s="110">
        <v>4485.4859999999999</v>
      </c>
      <c r="K42" s="110">
        <v>4384.4979999999996</v>
      </c>
      <c r="L42" s="110">
        <v>4232.625</v>
      </c>
      <c r="M42" s="110">
        <v>4019.0459999999998</v>
      </c>
      <c r="N42" s="110">
        <v>3768.3270000000002</v>
      </c>
      <c r="O42" s="110">
        <v>3518.5819999999999</v>
      </c>
      <c r="P42" s="110">
        <v>3266.8710000000001</v>
      </c>
      <c r="Q42" s="110">
        <v>3076.9609999999998</v>
      </c>
      <c r="R42" s="110">
        <v>2689.252</v>
      </c>
      <c r="S42" s="110">
        <v>2292.3420000000001</v>
      </c>
      <c r="T42" s="110">
        <v>1861.4870000000001</v>
      </c>
      <c r="U42" s="110">
        <v>1646.1010000000001</v>
      </c>
      <c r="V42" s="110">
        <v>1295.9829999999999</v>
      </c>
      <c r="W42" s="110">
        <v>873.09699999999998</v>
      </c>
      <c r="X42" s="110">
        <v>488.07900000000001</v>
      </c>
      <c r="Y42" s="110">
        <v>216.38</v>
      </c>
      <c r="Z42" s="110">
        <v>72.926000000000002</v>
      </c>
      <c r="AA42" s="110">
        <v>15.664999999999999</v>
      </c>
      <c r="AB42" s="110">
        <v>1.804</v>
      </c>
      <c r="AC42" s="115">
        <f t="shared" si="1"/>
        <v>26266.909999999996</v>
      </c>
      <c r="AD42">
        <f t="shared" si="2"/>
        <v>1.0104818957623973</v>
      </c>
    </row>
    <row r="43" spans="1:30" x14ac:dyDescent="0.25">
      <c r="A43" s="104" t="str">
        <f t="shared" si="0"/>
        <v>Kenya2056</v>
      </c>
      <c r="C43" s="107" t="s">
        <v>257</v>
      </c>
      <c r="D43" s="108" t="s">
        <v>205</v>
      </c>
      <c r="E43" s="109"/>
      <c r="F43" s="109">
        <v>404</v>
      </c>
      <c r="G43" s="109">
        <v>2056</v>
      </c>
      <c r="H43" s="110">
        <v>4648.6499999999996</v>
      </c>
      <c r="I43" s="110">
        <v>4584.2960000000003</v>
      </c>
      <c r="J43" s="110">
        <v>4502.3760000000002</v>
      </c>
      <c r="K43" s="110">
        <v>4405.7309999999998</v>
      </c>
      <c r="L43" s="110">
        <v>4264.741</v>
      </c>
      <c r="M43" s="110">
        <v>4061.8890000000001</v>
      </c>
      <c r="N43" s="110">
        <v>3815.0160000000001</v>
      </c>
      <c r="O43" s="110">
        <v>3564.3780000000002</v>
      </c>
      <c r="P43" s="110">
        <v>3304.1320000000001</v>
      </c>
      <c r="Q43" s="110">
        <v>3119.4369999999999</v>
      </c>
      <c r="R43" s="110">
        <v>2761.183</v>
      </c>
      <c r="S43" s="110">
        <v>2363.8789999999999</v>
      </c>
      <c r="T43" s="110">
        <v>1913.98</v>
      </c>
      <c r="U43" s="110">
        <v>1667.1289999999999</v>
      </c>
      <c r="V43" s="110">
        <v>1339.6379999999999</v>
      </c>
      <c r="W43" s="110">
        <v>916.87300000000005</v>
      </c>
      <c r="X43" s="110">
        <v>519.74</v>
      </c>
      <c r="Y43" s="110">
        <v>234.50899999999999</v>
      </c>
      <c r="Z43" s="110">
        <v>81.344999999999999</v>
      </c>
      <c r="AA43" s="110">
        <v>17.791</v>
      </c>
      <c r="AB43" s="110">
        <v>1.984</v>
      </c>
      <c r="AC43" s="115">
        <f t="shared" si="1"/>
        <v>26535.324000000001</v>
      </c>
      <c r="AD43">
        <f t="shared" si="2"/>
        <v>1.0102187124408621</v>
      </c>
    </row>
    <row r="44" spans="1:30" x14ac:dyDescent="0.25">
      <c r="A44" s="104" t="str">
        <f t="shared" si="0"/>
        <v>Kenya2057</v>
      </c>
      <c r="C44" s="107" t="s">
        <v>257</v>
      </c>
      <c r="D44" s="108" t="s">
        <v>205</v>
      </c>
      <c r="E44" s="109"/>
      <c r="F44" s="109">
        <v>404</v>
      </c>
      <c r="G44" s="109">
        <v>2057</v>
      </c>
      <c r="H44" s="110">
        <v>4655.3779999999997</v>
      </c>
      <c r="I44" s="110">
        <v>4596.7340000000004</v>
      </c>
      <c r="J44" s="110">
        <v>4518.7929999999997</v>
      </c>
      <c r="K44" s="110">
        <v>4424.8270000000002</v>
      </c>
      <c r="L44" s="110">
        <v>4294.0309999999999</v>
      </c>
      <c r="M44" s="110">
        <v>4102.6899999999996</v>
      </c>
      <c r="N44" s="110">
        <v>3861.6260000000002</v>
      </c>
      <c r="O44" s="110">
        <v>3609.2049999999999</v>
      </c>
      <c r="P44" s="110">
        <v>3347.4160000000002</v>
      </c>
      <c r="Q44" s="110">
        <v>3150.0720000000001</v>
      </c>
      <c r="R44" s="110">
        <v>2836.268</v>
      </c>
      <c r="S44" s="110">
        <v>2431.0700000000002</v>
      </c>
      <c r="T44" s="110">
        <v>1983.11</v>
      </c>
      <c r="U44" s="110">
        <v>1681.915</v>
      </c>
      <c r="V44" s="110">
        <v>1384.577</v>
      </c>
      <c r="W44" s="110">
        <v>962.85</v>
      </c>
      <c r="X44" s="110">
        <v>552.95600000000002</v>
      </c>
      <c r="Y44" s="110">
        <v>251.786</v>
      </c>
      <c r="Z44" s="110">
        <v>87.545000000000002</v>
      </c>
      <c r="AA44" s="110">
        <v>20.946999999999999</v>
      </c>
      <c r="AB44" s="110">
        <v>2.1749999999999998</v>
      </c>
      <c r="AC44" s="115">
        <f t="shared" si="1"/>
        <v>26789.867000000002</v>
      </c>
      <c r="AD44">
        <f t="shared" si="2"/>
        <v>1.0095926094589989</v>
      </c>
    </row>
    <row r="45" spans="1:30" x14ac:dyDescent="0.25">
      <c r="A45" s="104" t="str">
        <f t="shared" si="0"/>
        <v>Kenya2058</v>
      </c>
      <c r="C45" s="107" t="s">
        <v>257</v>
      </c>
      <c r="D45" s="108" t="s">
        <v>205</v>
      </c>
      <c r="E45" s="109"/>
      <c r="F45" s="109">
        <v>404</v>
      </c>
      <c r="G45" s="109">
        <v>2058</v>
      </c>
      <c r="H45" s="110">
        <v>4660.2430000000004</v>
      </c>
      <c r="I45" s="110">
        <v>4607.1040000000003</v>
      </c>
      <c r="J45" s="110">
        <v>4534.4340000000002</v>
      </c>
      <c r="K45" s="110">
        <v>4442.2709999999997</v>
      </c>
      <c r="L45" s="110">
        <v>4320.634</v>
      </c>
      <c r="M45" s="110">
        <v>4141.1390000000001</v>
      </c>
      <c r="N45" s="110">
        <v>3907.5390000000002</v>
      </c>
      <c r="O45" s="110">
        <v>3653.4389999999999</v>
      </c>
      <c r="P45" s="110">
        <v>3394.6950000000002</v>
      </c>
      <c r="Q45" s="110">
        <v>3173.9079999999999</v>
      </c>
      <c r="R45" s="110">
        <v>2910.0909999999999</v>
      </c>
      <c r="S45" s="110">
        <v>2495.8130000000001</v>
      </c>
      <c r="T45" s="110">
        <v>2063.0160000000001</v>
      </c>
      <c r="U45" s="110">
        <v>1697.2639999999999</v>
      </c>
      <c r="V45" s="110">
        <v>1428.847</v>
      </c>
      <c r="W45" s="110">
        <v>1010.794</v>
      </c>
      <c r="X45" s="110">
        <v>588.28499999999997</v>
      </c>
      <c r="Y45" s="110">
        <v>268.38600000000002</v>
      </c>
      <c r="Z45" s="110">
        <v>92.962000000000003</v>
      </c>
      <c r="AA45" s="110">
        <v>23.555</v>
      </c>
      <c r="AB45" s="110">
        <v>2.379</v>
      </c>
      <c r="AC45" s="115">
        <f t="shared" si="1"/>
        <v>27033.624999999996</v>
      </c>
      <c r="AD45">
        <f t="shared" si="2"/>
        <v>1.0090988880235947</v>
      </c>
    </row>
    <row r="46" spans="1:30" x14ac:dyDescent="0.25">
      <c r="A46" s="104" t="str">
        <f t="shared" si="0"/>
        <v>Kenya2059</v>
      </c>
      <c r="C46" s="107" t="s">
        <v>257</v>
      </c>
      <c r="D46" s="108" t="s">
        <v>205</v>
      </c>
      <c r="E46" s="109"/>
      <c r="F46" s="109">
        <v>404</v>
      </c>
      <c r="G46" s="109">
        <v>2059</v>
      </c>
      <c r="H46" s="110">
        <v>4663.3</v>
      </c>
      <c r="I46" s="110">
        <v>4615.2920000000004</v>
      </c>
      <c r="J46" s="110">
        <v>4548.7179999999998</v>
      </c>
      <c r="K46" s="110">
        <v>4458.7120000000004</v>
      </c>
      <c r="L46" s="110">
        <v>4344.7929999999997</v>
      </c>
      <c r="M46" s="110">
        <v>4176.9229999999998</v>
      </c>
      <c r="N46" s="110">
        <v>3951.9949999999999</v>
      </c>
      <c r="O46" s="110">
        <v>3697.8229999999999</v>
      </c>
      <c r="P46" s="110">
        <v>3442.3220000000001</v>
      </c>
      <c r="Q46" s="110">
        <v>3199.0349999999999</v>
      </c>
      <c r="R46" s="110">
        <v>2975.8670000000002</v>
      </c>
      <c r="S46" s="110">
        <v>2562.0540000000001</v>
      </c>
      <c r="T46" s="110">
        <v>2144.4140000000002</v>
      </c>
      <c r="U46" s="110">
        <v>1723.4839999999999</v>
      </c>
      <c r="V46" s="110">
        <v>1469.2619999999999</v>
      </c>
      <c r="W46" s="110">
        <v>1059.864</v>
      </c>
      <c r="X46" s="110">
        <v>626.05799999999999</v>
      </c>
      <c r="Y46" s="110">
        <v>286.59399999999999</v>
      </c>
      <c r="Z46" s="110">
        <v>97.301000000000002</v>
      </c>
      <c r="AA46" s="110">
        <v>24.395</v>
      </c>
      <c r="AB46" s="110">
        <v>2.5979999999999999</v>
      </c>
      <c r="AC46" s="115">
        <f t="shared" si="1"/>
        <v>27271.602999999999</v>
      </c>
      <c r="AD46">
        <f t="shared" si="2"/>
        <v>1.0088030369586025</v>
      </c>
    </row>
    <row r="47" spans="1:30" x14ac:dyDescent="0.25">
      <c r="A47" s="104" t="str">
        <f t="shared" si="0"/>
        <v>Kenya2060</v>
      </c>
      <c r="C47" s="107" t="s">
        <v>257</v>
      </c>
      <c r="D47" s="108" t="s">
        <v>205</v>
      </c>
      <c r="E47" s="109"/>
      <c r="F47" s="109">
        <v>404</v>
      </c>
      <c r="G47" s="109">
        <v>2060</v>
      </c>
      <c r="H47" s="110">
        <v>4664.7520000000004</v>
      </c>
      <c r="I47" s="110">
        <v>4621.2650000000003</v>
      </c>
      <c r="J47" s="110">
        <v>4561.085</v>
      </c>
      <c r="K47" s="110">
        <v>4474.4880000000003</v>
      </c>
      <c r="L47" s="110">
        <v>4366.7280000000001</v>
      </c>
      <c r="M47" s="110">
        <v>4209.8580000000002</v>
      </c>
      <c r="N47" s="110">
        <v>3994.473</v>
      </c>
      <c r="O47" s="110">
        <v>3742.6260000000002</v>
      </c>
      <c r="P47" s="110">
        <v>3488.0459999999998</v>
      </c>
      <c r="Q47" s="110">
        <v>3230.4520000000002</v>
      </c>
      <c r="R47" s="110">
        <v>3029.6640000000002</v>
      </c>
      <c r="S47" s="110">
        <v>2631.86</v>
      </c>
      <c r="T47" s="110">
        <v>2221.4459999999999</v>
      </c>
      <c r="U47" s="110">
        <v>1766.4480000000001</v>
      </c>
      <c r="V47" s="110">
        <v>1504.3019999999999</v>
      </c>
      <c r="W47" s="110">
        <v>1109.3589999999999</v>
      </c>
      <c r="X47" s="110">
        <v>666.58699999999999</v>
      </c>
      <c r="Y47" s="110">
        <v>307.16699999999997</v>
      </c>
      <c r="Z47" s="110">
        <v>101.587</v>
      </c>
      <c r="AA47" s="110">
        <v>22.606000000000002</v>
      </c>
      <c r="AB47" s="110">
        <v>2.835</v>
      </c>
      <c r="AC47" s="115">
        <f t="shared" si="1"/>
        <v>27506.670999999998</v>
      </c>
      <c r="AD47">
        <f t="shared" si="2"/>
        <v>1.0086195153251534</v>
      </c>
    </row>
    <row r="48" spans="1:30" x14ac:dyDescent="0.25">
      <c r="A48" s="104" t="str">
        <f t="shared" si="0"/>
        <v>Kenya2061</v>
      </c>
      <c r="C48" s="107" t="s">
        <v>257</v>
      </c>
      <c r="D48" s="108" t="s">
        <v>205</v>
      </c>
      <c r="E48" s="109"/>
      <c r="F48" s="109">
        <v>404</v>
      </c>
      <c r="G48" s="109">
        <v>2061</v>
      </c>
      <c r="H48" s="110">
        <v>4668.9719999999998</v>
      </c>
      <c r="I48" s="110">
        <v>4630.3209999999999</v>
      </c>
      <c r="J48" s="110">
        <v>4574.4110000000001</v>
      </c>
      <c r="K48" s="110">
        <v>4491.3370000000004</v>
      </c>
      <c r="L48" s="110">
        <v>4388.4489999999996</v>
      </c>
      <c r="M48" s="110">
        <v>4242.4560000000001</v>
      </c>
      <c r="N48" s="110">
        <v>4037.5050000000001</v>
      </c>
      <c r="O48" s="110">
        <v>3789.096</v>
      </c>
      <c r="P48" s="110">
        <v>3533.9720000000002</v>
      </c>
      <c r="Q48" s="110">
        <v>3267.6120000000001</v>
      </c>
      <c r="R48" s="110">
        <v>3072.0349999999999</v>
      </c>
      <c r="S48" s="110">
        <v>2702.8319999999999</v>
      </c>
      <c r="T48" s="110">
        <v>2290.1750000000002</v>
      </c>
      <c r="U48" s="110">
        <v>1816.95</v>
      </c>
      <c r="V48" s="110">
        <v>1523.6010000000001</v>
      </c>
      <c r="W48" s="110">
        <v>1147.8900000000001</v>
      </c>
      <c r="X48" s="110">
        <v>703.25699999999995</v>
      </c>
      <c r="Y48" s="110">
        <v>332.875</v>
      </c>
      <c r="Z48" s="110">
        <v>114.55800000000001</v>
      </c>
      <c r="AA48" s="110">
        <v>25.484000000000002</v>
      </c>
      <c r="AB48" s="110">
        <v>3.0950000000000002</v>
      </c>
      <c r="AC48" s="115">
        <f t="shared" si="1"/>
        <v>27750.427000000003</v>
      </c>
      <c r="AD48">
        <f t="shared" si="2"/>
        <v>1.0088617048569783</v>
      </c>
    </row>
    <row r="49" spans="1:30" x14ac:dyDescent="0.25">
      <c r="A49" s="104" t="str">
        <f t="shared" si="0"/>
        <v>Kenya2062</v>
      </c>
      <c r="C49" s="107" t="s">
        <v>257</v>
      </c>
      <c r="D49" s="108" t="s">
        <v>205</v>
      </c>
      <c r="E49" s="109"/>
      <c r="F49" s="109">
        <v>404</v>
      </c>
      <c r="G49" s="109">
        <v>2062</v>
      </c>
      <c r="H49" s="110">
        <v>4670.3919999999998</v>
      </c>
      <c r="I49" s="110">
        <v>4637.7179999999998</v>
      </c>
      <c r="J49" s="110">
        <v>4586.33</v>
      </c>
      <c r="K49" s="110">
        <v>4507.7430000000004</v>
      </c>
      <c r="L49" s="110">
        <v>4407.884</v>
      </c>
      <c r="M49" s="110">
        <v>4272.143</v>
      </c>
      <c r="N49" s="110">
        <v>4078.5749999999998</v>
      </c>
      <c r="O49" s="110">
        <v>3835.62</v>
      </c>
      <c r="P49" s="110">
        <v>3579.0219999999999</v>
      </c>
      <c r="Q49" s="110">
        <v>3310.8580000000002</v>
      </c>
      <c r="R49" s="110">
        <v>3102.93</v>
      </c>
      <c r="S49" s="110">
        <v>2777.3589999999999</v>
      </c>
      <c r="T49" s="110">
        <v>2355.6680000000001</v>
      </c>
      <c r="U49" s="110">
        <v>1883.8209999999999</v>
      </c>
      <c r="V49" s="110">
        <v>1537.9179999999999</v>
      </c>
      <c r="W49" s="110">
        <v>1188.241</v>
      </c>
      <c r="X49" s="110">
        <v>740.98299999999995</v>
      </c>
      <c r="Y49" s="110">
        <v>357.12200000000001</v>
      </c>
      <c r="Z49" s="110">
        <v>124.72199999999999</v>
      </c>
      <c r="AA49" s="110">
        <v>29.754999999999999</v>
      </c>
      <c r="AB49" s="110">
        <v>3.3780000000000001</v>
      </c>
      <c r="AC49" s="115">
        <f t="shared" si="1"/>
        <v>27991.845000000001</v>
      </c>
      <c r="AD49">
        <f t="shared" si="2"/>
        <v>1.0086996138834188</v>
      </c>
    </row>
    <row r="50" spans="1:30" x14ac:dyDescent="0.25">
      <c r="A50" s="104" t="str">
        <f t="shared" si="0"/>
        <v>Kenya2063</v>
      </c>
      <c r="C50" s="107" t="s">
        <v>257</v>
      </c>
      <c r="D50" s="108" t="s">
        <v>205</v>
      </c>
      <c r="E50" s="109"/>
      <c r="F50" s="109">
        <v>404</v>
      </c>
      <c r="G50" s="109">
        <v>2063</v>
      </c>
      <c r="H50" s="110">
        <v>4669.3389999999999</v>
      </c>
      <c r="I50" s="110">
        <v>4643.1909999999998</v>
      </c>
      <c r="J50" s="110">
        <v>4596.7619999999997</v>
      </c>
      <c r="K50" s="110">
        <v>4523.4489999999996</v>
      </c>
      <c r="L50" s="110">
        <v>4425.5069999999996</v>
      </c>
      <c r="M50" s="110">
        <v>4299.0050000000001</v>
      </c>
      <c r="N50" s="110">
        <v>4117.2719999999999</v>
      </c>
      <c r="O50" s="110">
        <v>3881.6979999999999</v>
      </c>
      <c r="P50" s="110">
        <v>3623.4279999999999</v>
      </c>
      <c r="Q50" s="110">
        <v>3358.2730000000001</v>
      </c>
      <c r="R50" s="110">
        <v>3127.2640000000001</v>
      </c>
      <c r="S50" s="110">
        <v>2850.7979999999998</v>
      </c>
      <c r="T50" s="110">
        <v>2419.922</v>
      </c>
      <c r="U50" s="110">
        <v>1961.329</v>
      </c>
      <c r="V50" s="110">
        <v>1553.855</v>
      </c>
      <c r="W50" s="110">
        <v>1229.019</v>
      </c>
      <c r="X50" s="110">
        <v>780.10699999999997</v>
      </c>
      <c r="Y50" s="110">
        <v>379.851</v>
      </c>
      <c r="Z50" s="110">
        <v>133.99199999999999</v>
      </c>
      <c r="AA50" s="110">
        <v>33.450000000000003</v>
      </c>
      <c r="AB50" s="110">
        <v>3.6869999999999998</v>
      </c>
      <c r="AC50" s="115">
        <f t="shared" si="1"/>
        <v>28228.632000000001</v>
      </c>
      <c r="AD50">
        <f t="shared" si="2"/>
        <v>1.0084591422966225</v>
      </c>
    </row>
    <row r="51" spans="1:30" x14ac:dyDescent="0.25">
      <c r="A51" s="104" t="str">
        <f t="shared" si="0"/>
        <v>Kenya2064</v>
      </c>
      <c r="C51" s="107" t="s">
        <v>257</v>
      </c>
      <c r="D51" s="108" t="s">
        <v>205</v>
      </c>
      <c r="E51" s="109"/>
      <c r="F51" s="109">
        <v>404</v>
      </c>
      <c r="G51" s="109">
        <v>2064</v>
      </c>
      <c r="H51" s="110">
        <v>4666.2650000000003</v>
      </c>
      <c r="I51" s="110">
        <v>4646.4840000000004</v>
      </c>
      <c r="J51" s="110">
        <v>4605.6279999999997</v>
      </c>
      <c r="K51" s="110">
        <v>4537.9139999999998</v>
      </c>
      <c r="L51" s="110">
        <v>4441.9809999999998</v>
      </c>
      <c r="M51" s="110">
        <v>4323.2489999999998</v>
      </c>
      <c r="N51" s="110">
        <v>4153.2160000000003</v>
      </c>
      <c r="O51" s="110">
        <v>3926.5259999999998</v>
      </c>
      <c r="P51" s="110">
        <v>3667.8890000000001</v>
      </c>
      <c r="Q51" s="110">
        <v>3406.2249999999999</v>
      </c>
      <c r="R51" s="110">
        <v>3152.933</v>
      </c>
      <c r="S51" s="110">
        <v>2916.373</v>
      </c>
      <c r="T51" s="110">
        <v>2486.5720000000001</v>
      </c>
      <c r="U51" s="110">
        <v>2040.807</v>
      </c>
      <c r="V51" s="110">
        <v>1581.1489999999999</v>
      </c>
      <c r="W51" s="110">
        <v>1267.2670000000001</v>
      </c>
      <c r="X51" s="110">
        <v>820.25300000000004</v>
      </c>
      <c r="Y51" s="110">
        <v>404.04399999999998</v>
      </c>
      <c r="Z51" s="110">
        <v>141.834</v>
      </c>
      <c r="AA51" s="110">
        <v>34.978999999999999</v>
      </c>
      <c r="AB51" s="110">
        <v>4.0199999999999996</v>
      </c>
      <c r="AC51" s="115">
        <f t="shared" si="1"/>
        <v>28456.999999999996</v>
      </c>
      <c r="AD51">
        <f t="shared" si="2"/>
        <v>1.0080899421551848</v>
      </c>
    </row>
    <row r="52" spans="1:30" x14ac:dyDescent="0.25">
      <c r="A52" s="104" t="str">
        <f t="shared" si="0"/>
        <v>Kenya2065</v>
      </c>
      <c r="C52" s="107" t="s">
        <v>257</v>
      </c>
      <c r="D52" s="108" t="s">
        <v>205</v>
      </c>
      <c r="E52" s="109"/>
      <c r="F52" s="109">
        <v>404</v>
      </c>
      <c r="G52" s="109">
        <v>2065</v>
      </c>
      <c r="H52" s="110">
        <v>4661.6090000000004</v>
      </c>
      <c r="I52" s="110">
        <v>4647.3339999999998</v>
      </c>
      <c r="J52" s="110">
        <v>4612.7550000000001</v>
      </c>
      <c r="K52" s="110">
        <v>4550.7250000000004</v>
      </c>
      <c r="L52" s="110">
        <v>4457.7380000000003</v>
      </c>
      <c r="M52" s="110">
        <v>4345.076</v>
      </c>
      <c r="N52" s="110">
        <v>4186.1890000000003</v>
      </c>
      <c r="O52" s="110">
        <v>3969.424</v>
      </c>
      <c r="P52" s="110">
        <v>3712.7779999999998</v>
      </c>
      <c r="Q52" s="110">
        <v>3452.373</v>
      </c>
      <c r="R52" s="110">
        <v>3184.8589999999999</v>
      </c>
      <c r="S52" s="110">
        <v>2970.2820000000002</v>
      </c>
      <c r="T52" s="110">
        <v>2557.1930000000002</v>
      </c>
      <c r="U52" s="110">
        <v>2117.0189999999998</v>
      </c>
      <c r="V52" s="110">
        <v>1625.1559999999999</v>
      </c>
      <c r="W52" s="110">
        <v>1301.4870000000001</v>
      </c>
      <c r="X52" s="110">
        <v>861.23199999999997</v>
      </c>
      <c r="Y52" s="110">
        <v>430.46100000000001</v>
      </c>
      <c r="Z52" s="110">
        <v>149.822</v>
      </c>
      <c r="AA52" s="110">
        <v>33.186999999999998</v>
      </c>
      <c r="AB52" s="110">
        <v>4.3810000000000002</v>
      </c>
      <c r="AC52" s="115">
        <f t="shared" si="1"/>
        <v>28674.303</v>
      </c>
      <c r="AD52">
        <f t="shared" si="2"/>
        <v>1.0076361879326705</v>
      </c>
    </row>
    <row r="53" spans="1:30" x14ac:dyDescent="0.25">
      <c r="A53" s="104" t="str">
        <f t="shared" si="0"/>
        <v>Kenya2066</v>
      </c>
      <c r="C53" s="107" t="s">
        <v>257</v>
      </c>
      <c r="D53" s="108" t="s">
        <v>205</v>
      </c>
      <c r="E53" s="109"/>
      <c r="F53" s="109">
        <v>404</v>
      </c>
      <c r="G53" s="109">
        <v>2066</v>
      </c>
      <c r="H53" s="110">
        <v>4659.7129999999997</v>
      </c>
      <c r="I53" s="110">
        <v>4651.1040000000003</v>
      </c>
      <c r="J53" s="110">
        <v>4621.1719999999996</v>
      </c>
      <c r="K53" s="110">
        <v>4564.0290000000005</v>
      </c>
      <c r="L53" s="110">
        <v>4475.0919999999996</v>
      </c>
      <c r="M53" s="110">
        <v>4367.3289999999997</v>
      </c>
      <c r="N53" s="110">
        <v>4219.0559999999996</v>
      </c>
      <c r="O53" s="110">
        <v>4012.3020000000001</v>
      </c>
      <c r="P53" s="110">
        <v>3759.3989999999999</v>
      </c>
      <c r="Q53" s="110">
        <v>3498.058</v>
      </c>
      <c r="R53" s="110">
        <v>3222.1080000000002</v>
      </c>
      <c r="S53" s="110">
        <v>3012.21</v>
      </c>
      <c r="T53" s="110">
        <v>2625.65</v>
      </c>
      <c r="U53" s="110">
        <v>2182.125</v>
      </c>
      <c r="V53" s="110">
        <v>1672.7280000000001</v>
      </c>
      <c r="W53" s="110">
        <v>1318.3879999999999</v>
      </c>
      <c r="X53" s="110">
        <v>894.32399999999996</v>
      </c>
      <c r="Y53" s="110">
        <v>461.28800000000001</v>
      </c>
      <c r="Z53" s="110">
        <v>168.626</v>
      </c>
      <c r="AA53" s="110">
        <v>37.880000000000003</v>
      </c>
      <c r="AB53" s="110">
        <v>4.7750000000000004</v>
      </c>
      <c r="AC53" s="115">
        <f t="shared" si="1"/>
        <v>28895.264999999999</v>
      </c>
      <c r="AD53">
        <f t="shared" si="2"/>
        <v>1.0077059240114747</v>
      </c>
    </row>
    <row r="54" spans="1:30" x14ac:dyDescent="0.25">
      <c r="A54" s="104" t="str">
        <f t="shared" si="0"/>
        <v>Kenya2067</v>
      </c>
      <c r="C54" s="107" t="s">
        <v>257</v>
      </c>
      <c r="D54" s="108" t="s">
        <v>205</v>
      </c>
      <c r="E54" s="109"/>
      <c r="F54" s="109">
        <v>404</v>
      </c>
      <c r="G54" s="109">
        <v>2067</v>
      </c>
      <c r="H54" s="110">
        <v>4655.1059999999998</v>
      </c>
      <c r="I54" s="110">
        <v>4653.0510000000004</v>
      </c>
      <c r="J54" s="110">
        <v>4628.2129999999997</v>
      </c>
      <c r="K54" s="110">
        <v>4575.92</v>
      </c>
      <c r="L54" s="110">
        <v>4491.8440000000001</v>
      </c>
      <c r="M54" s="110">
        <v>4387.1949999999997</v>
      </c>
      <c r="N54" s="110">
        <v>4249.0739999999996</v>
      </c>
      <c r="O54" s="110">
        <v>4053.3470000000002</v>
      </c>
      <c r="P54" s="110">
        <v>3806.152</v>
      </c>
      <c r="Q54" s="110">
        <v>3543.0329999999999</v>
      </c>
      <c r="R54" s="110">
        <v>3265.4749999999999</v>
      </c>
      <c r="S54" s="110">
        <v>3043.3919999999998</v>
      </c>
      <c r="T54" s="110">
        <v>2698.5059999999999</v>
      </c>
      <c r="U54" s="110">
        <v>2245.2910000000002</v>
      </c>
      <c r="V54" s="110">
        <v>1735.8889999999999</v>
      </c>
      <c r="W54" s="110">
        <v>1331.4480000000001</v>
      </c>
      <c r="X54" s="110">
        <v>928.49199999999996</v>
      </c>
      <c r="Y54" s="110">
        <v>489.87299999999999</v>
      </c>
      <c r="Z54" s="110">
        <v>182.869</v>
      </c>
      <c r="AA54" s="110">
        <v>44.679000000000002</v>
      </c>
      <c r="AB54" s="110">
        <v>5.2050000000000001</v>
      </c>
      <c r="AC54" s="115">
        <f t="shared" si="1"/>
        <v>29106.564999999999</v>
      </c>
      <c r="AD54">
        <f t="shared" si="2"/>
        <v>1.0073126167903288</v>
      </c>
    </row>
    <row r="55" spans="1:30" x14ac:dyDescent="0.25">
      <c r="A55" s="104" t="str">
        <f t="shared" si="0"/>
        <v>Kenya2068</v>
      </c>
      <c r="C55" s="107" t="s">
        <v>257</v>
      </c>
      <c r="D55" s="108" t="s">
        <v>205</v>
      </c>
      <c r="E55" s="109"/>
      <c r="F55" s="109">
        <v>404</v>
      </c>
      <c r="G55" s="109">
        <v>2068</v>
      </c>
      <c r="H55" s="110">
        <v>4648.03</v>
      </c>
      <c r="I55" s="110">
        <v>4652.9009999999998</v>
      </c>
      <c r="J55" s="110">
        <v>4633.7330000000002</v>
      </c>
      <c r="K55" s="110">
        <v>4586.393</v>
      </c>
      <c r="L55" s="110">
        <v>4507.7190000000001</v>
      </c>
      <c r="M55" s="110">
        <v>4405.0940000000001</v>
      </c>
      <c r="N55" s="110">
        <v>4276.223</v>
      </c>
      <c r="O55" s="110">
        <v>4092.2510000000002</v>
      </c>
      <c r="P55" s="110">
        <v>3852.3820000000001</v>
      </c>
      <c r="Q55" s="110">
        <v>3587.605</v>
      </c>
      <c r="R55" s="110">
        <v>3312.9940000000001</v>
      </c>
      <c r="S55" s="110">
        <v>3068.3339999999998</v>
      </c>
      <c r="T55" s="110">
        <v>2771.3040000000001</v>
      </c>
      <c r="U55" s="110">
        <v>2308.3910000000001</v>
      </c>
      <c r="V55" s="110">
        <v>1809.2439999999999</v>
      </c>
      <c r="W55" s="110">
        <v>1347.405</v>
      </c>
      <c r="X55" s="110">
        <v>963.14800000000002</v>
      </c>
      <c r="Y55" s="110">
        <v>515.66099999999994</v>
      </c>
      <c r="Z55" s="110">
        <v>195.512</v>
      </c>
      <c r="AA55" s="110">
        <v>50.558</v>
      </c>
      <c r="AB55" s="110">
        <v>5.681</v>
      </c>
      <c r="AC55" s="115">
        <f t="shared" si="1"/>
        <v>29307.667000000005</v>
      </c>
      <c r="AD55">
        <f t="shared" si="2"/>
        <v>1.0069091629328299</v>
      </c>
    </row>
    <row r="56" spans="1:30" x14ac:dyDescent="0.25">
      <c r="A56" s="104" t="str">
        <f t="shared" si="0"/>
        <v>Kenya2069</v>
      </c>
      <c r="C56" s="107" t="s">
        <v>257</v>
      </c>
      <c r="D56" s="108" t="s">
        <v>205</v>
      </c>
      <c r="E56" s="109"/>
      <c r="F56" s="109">
        <v>404</v>
      </c>
      <c r="G56" s="109">
        <v>2069</v>
      </c>
      <c r="H56" s="110">
        <v>4638.5889999999999</v>
      </c>
      <c r="I56" s="110">
        <v>4650.3900000000003</v>
      </c>
      <c r="J56" s="110">
        <v>4637.5240000000003</v>
      </c>
      <c r="K56" s="110">
        <v>4595.4390000000003</v>
      </c>
      <c r="L56" s="110">
        <v>4522.1989999999996</v>
      </c>
      <c r="M56" s="110">
        <v>4421.6540000000005</v>
      </c>
      <c r="N56" s="110">
        <v>4300.6469999999999</v>
      </c>
      <c r="O56" s="110">
        <v>4128.5950000000003</v>
      </c>
      <c r="P56" s="110">
        <v>3897.2629999999999</v>
      </c>
      <c r="Q56" s="110">
        <v>3632.43</v>
      </c>
      <c r="R56" s="110">
        <v>3361.0529999999999</v>
      </c>
      <c r="S56" s="110">
        <v>3094.6669999999999</v>
      </c>
      <c r="T56" s="110">
        <v>2837.3110000000001</v>
      </c>
      <c r="U56" s="110">
        <v>2374.7530000000002</v>
      </c>
      <c r="V56" s="110">
        <v>1885.1379999999999</v>
      </c>
      <c r="W56" s="110">
        <v>1375.231</v>
      </c>
      <c r="X56" s="110">
        <v>995.78800000000001</v>
      </c>
      <c r="Y56" s="110">
        <v>541.846</v>
      </c>
      <c r="Z56" s="110">
        <v>206.18799999999999</v>
      </c>
      <c r="AA56" s="110">
        <v>53.250999999999998</v>
      </c>
      <c r="AB56" s="110">
        <v>6.2169999999999996</v>
      </c>
      <c r="AC56" s="115">
        <f t="shared" si="1"/>
        <v>29498.226999999999</v>
      </c>
      <c r="AD56">
        <f t="shared" si="2"/>
        <v>1.0065020528587278</v>
      </c>
    </row>
    <row r="57" spans="1:30" x14ac:dyDescent="0.25">
      <c r="A57" s="104" t="str">
        <f t="shared" si="0"/>
        <v>Kenya2070</v>
      </c>
      <c r="C57" s="107" t="s">
        <v>257</v>
      </c>
      <c r="D57" s="108" t="s">
        <v>205</v>
      </c>
      <c r="E57" s="109"/>
      <c r="F57" s="109">
        <v>404</v>
      </c>
      <c r="G57" s="109">
        <v>2070</v>
      </c>
      <c r="H57" s="110">
        <v>4626.9889999999996</v>
      </c>
      <c r="I57" s="110">
        <v>4645.2709999999997</v>
      </c>
      <c r="J57" s="110">
        <v>4639.317</v>
      </c>
      <c r="K57" s="110">
        <v>4602.9610000000002</v>
      </c>
      <c r="L57" s="110">
        <v>4534.9430000000002</v>
      </c>
      <c r="M57" s="110">
        <v>4437.2839999999997</v>
      </c>
      <c r="N57" s="110">
        <v>4322.5079999999998</v>
      </c>
      <c r="O57" s="110">
        <v>4161.99</v>
      </c>
      <c r="P57" s="110">
        <v>3940.2260000000001</v>
      </c>
      <c r="Q57" s="110">
        <v>3677.7289999999998</v>
      </c>
      <c r="R57" s="110">
        <v>3407.373</v>
      </c>
      <c r="S57" s="110">
        <v>3127.2170000000001</v>
      </c>
      <c r="T57" s="110">
        <v>2892.47</v>
      </c>
      <c r="U57" s="110">
        <v>2445.779</v>
      </c>
      <c r="V57" s="110">
        <v>1959.201</v>
      </c>
      <c r="W57" s="110">
        <v>1419.38</v>
      </c>
      <c r="X57" s="110">
        <v>1025.309</v>
      </c>
      <c r="Y57" s="110">
        <v>569.04600000000005</v>
      </c>
      <c r="Z57" s="110">
        <v>217.244</v>
      </c>
      <c r="AA57" s="110">
        <v>51.301000000000002</v>
      </c>
      <c r="AB57" s="110">
        <v>6.8209999999999997</v>
      </c>
      <c r="AC57" s="115">
        <f t="shared" si="1"/>
        <v>29677.641</v>
      </c>
      <c r="AD57">
        <f t="shared" si="2"/>
        <v>1.0060821960587665</v>
      </c>
    </row>
    <row r="58" spans="1:30" x14ac:dyDescent="0.25">
      <c r="A58" s="104" t="str">
        <f t="shared" si="0"/>
        <v>Kenya2071</v>
      </c>
      <c r="C58" s="107" t="s">
        <v>257</v>
      </c>
      <c r="D58" s="108" t="s">
        <v>205</v>
      </c>
      <c r="E58" s="109"/>
      <c r="F58" s="109">
        <v>404</v>
      </c>
      <c r="G58" s="109">
        <v>2071</v>
      </c>
      <c r="H58" s="110">
        <v>4618.09</v>
      </c>
      <c r="I58" s="110">
        <v>4643.027</v>
      </c>
      <c r="J58" s="110">
        <v>4642.4480000000003</v>
      </c>
      <c r="K58" s="110">
        <v>4611.3270000000002</v>
      </c>
      <c r="L58" s="110">
        <v>4548.6660000000002</v>
      </c>
      <c r="M58" s="110">
        <v>4455.1019999999999</v>
      </c>
      <c r="N58" s="110">
        <v>4345</v>
      </c>
      <c r="O58" s="110">
        <v>4194.692</v>
      </c>
      <c r="P58" s="110">
        <v>3983.194</v>
      </c>
      <c r="Q58" s="110">
        <v>3724.0129999999999</v>
      </c>
      <c r="R58" s="110">
        <v>3452.826</v>
      </c>
      <c r="S58" s="110">
        <v>3164.0839999999998</v>
      </c>
      <c r="T58" s="110">
        <v>2932.152</v>
      </c>
      <c r="U58" s="110">
        <v>2510.7020000000002</v>
      </c>
      <c r="V58" s="110">
        <v>2018.588</v>
      </c>
      <c r="W58" s="110">
        <v>1462.277</v>
      </c>
      <c r="X58" s="110">
        <v>1040.462</v>
      </c>
      <c r="Y58" s="110">
        <v>598.952</v>
      </c>
      <c r="Z58" s="110">
        <v>241.358</v>
      </c>
      <c r="AA58" s="110">
        <v>58.3</v>
      </c>
      <c r="AB58" s="110">
        <v>7.5039999999999996</v>
      </c>
      <c r="AC58" s="115">
        <f t="shared" si="1"/>
        <v>29861.993999999999</v>
      </c>
      <c r="AD58">
        <f t="shared" si="2"/>
        <v>1.0062118481721642</v>
      </c>
    </row>
    <row r="59" spans="1:30" x14ac:dyDescent="0.25">
      <c r="A59" s="104" t="str">
        <f t="shared" si="0"/>
        <v>Kenya2072</v>
      </c>
      <c r="C59" s="107" t="s">
        <v>257</v>
      </c>
      <c r="D59" s="108" t="s">
        <v>205</v>
      </c>
      <c r="E59" s="109"/>
      <c r="F59" s="109">
        <v>404</v>
      </c>
      <c r="G59" s="109">
        <v>2072</v>
      </c>
      <c r="H59" s="110">
        <v>4605.8909999999996</v>
      </c>
      <c r="I59" s="110">
        <v>4638.8230000000003</v>
      </c>
      <c r="J59" s="110">
        <v>4644.0439999999999</v>
      </c>
      <c r="K59" s="110">
        <v>4618.3370000000004</v>
      </c>
      <c r="L59" s="110">
        <v>4560.8429999999998</v>
      </c>
      <c r="M59" s="110">
        <v>4472.2280000000001</v>
      </c>
      <c r="N59" s="110">
        <v>4365.1790000000001</v>
      </c>
      <c r="O59" s="110">
        <v>4224.6909999999998</v>
      </c>
      <c r="P59" s="110">
        <v>4024.444</v>
      </c>
      <c r="Q59" s="110">
        <v>3770.6019999999999</v>
      </c>
      <c r="R59" s="110">
        <v>3497.7640000000001</v>
      </c>
      <c r="S59" s="110">
        <v>3207.4430000000002</v>
      </c>
      <c r="T59" s="110">
        <v>2962.46</v>
      </c>
      <c r="U59" s="110">
        <v>2580.9830000000002</v>
      </c>
      <c r="V59" s="110">
        <v>2077.5740000000001</v>
      </c>
      <c r="W59" s="110">
        <v>1518.836</v>
      </c>
      <c r="X59" s="110">
        <v>1051.7139999999999</v>
      </c>
      <c r="Y59" s="110">
        <v>626.69399999999996</v>
      </c>
      <c r="Z59" s="110">
        <v>258.48599999999999</v>
      </c>
      <c r="AA59" s="110">
        <v>68.003</v>
      </c>
      <c r="AB59" s="110">
        <v>8.2639999999999993</v>
      </c>
      <c r="AC59" s="115">
        <f t="shared" si="1"/>
        <v>30036.323999999997</v>
      </c>
      <c r="AD59">
        <f t="shared" si="2"/>
        <v>1.00583785530196</v>
      </c>
    </row>
    <row r="60" spans="1:30" x14ac:dyDescent="0.25">
      <c r="A60" s="104" t="str">
        <f t="shared" si="0"/>
        <v>Kenya2073</v>
      </c>
      <c r="C60" s="107" t="s">
        <v>257</v>
      </c>
      <c r="D60" s="108" t="s">
        <v>205</v>
      </c>
      <c r="E60" s="109"/>
      <c r="F60" s="109">
        <v>404</v>
      </c>
      <c r="G60" s="109">
        <v>2073</v>
      </c>
      <c r="H60" s="110">
        <v>4591.1239999999998</v>
      </c>
      <c r="I60" s="110">
        <v>4632.3789999999999</v>
      </c>
      <c r="J60" s="110">
        <v>4643.9440000000004</v>
      </c>
      <c r="K60" s="110">
        <v>4623.9129999999996</v>
      </c>
      <c r="L60" s="110">
        <v>4571.46</v>
      </c>
      <c r="M60" s="110">
        <v>4488.3389999999999</v>
      </c>
      <c r="N60" s="110">
        <v>4383.3559999999998</v>
      </c>
      <c r="O60" s="110">
        <v>4252.0559999999996</v>
      </c>
      <c r="P60" s="110">
        <v>4063.5160000000001</v>
      </c>
      <c r="Q60" s="110">
        <v>3816.922</v>
      </c>
      <c r="R60" s="110">
        <v>3542.4270000000001</v>
      </c>
      <c r="S60" s="110">
        <v>3254.99</v>
      </c>
      <c r="T60" s="110">
        <v>2987.9119999999998</v>
      </c>
      <c r="U60" s="110">
        <v>2652.1849999999999</v>
      </c>
      <c r="V60" s="110">
        <v>2137.9850000000001</v>
      </c>
      <c r="W60" s="110">
        <v>1584.76</v>
      </c>
      <c r="X60" s="110">
        <v>1066.127</v>
      </c>
      <c r="Y60" s="110">
        <v>650.48800000000006</v>
      </c>
      <c r="Z60" s="110">
        <v>272.714</v>
      </c>
      <c r="AA60" s="110">
        <v>76.245000000000005</v>
      </c>
      <c r="AB60" s="110">
        <v>9.1059999999999999</v>
      </c>
      <c r="AC60" s="115">
        <f t="shared" si="1"/>
        <v>30199.561999999998</v>
      </c>
      <c r="AD60">
        <f t="shared" si="2"/>
        <v>1.005434686348436</v>
      </c>
    </row>
    <row r="61" spans="1:30" x14ac:dyDescent="0.25">
      <c r="A61" s="104" t="str">
        <f t="shared" si="0"/>
        <v>Kenya2074</v>
      </c>
      <c r="C61" s="107" t="s">
        <v>257</v>
      </c>
      <c r="D61" s="108" t="s">
        <v>205</v>
      </c>
      <c r="E61" s="109"/>
      <c r="F61" s="109">
        <v>404</v>
      </c>
      <c r="G61" s="109">
        <v>2074</v>
      </c>
      <c r="H61" s="110">
        <v>4574.8029999999999</v>
      </c>
      <c r="I61" s="110">
        <v>4623.4210000000003</v>
      </c>
      <c r="J61" s="110">
        <v>4641.9250000000002</v>
      </c>
      <c r="K61" s="110">
        <v>4627.884</v>
      </c>
      <c r="L61" s="110">
        <v>4580.5119999999997</v>
      </c>
      <c r="M61" s="110">
        <v>4502.875</v>
      </c>
      <c r="N61" s="110">
        <v>4400.09</v>
      </c>
      <c r="O61" s="110">
        <v>4276.8819999999996</v>
      </c>
      <c r="P61" s="110">
        <v>4099.9390000000003</v>
      </c>
      <c r="Q61" s="110">
        <v>3862.1129999999998</v>
      </c>
      <c r="R61" s="110">
        <v>3587.384</v>
      </c>
      <c r="S61" s="110">
        <v>3303.0830000000001</v>
      </c>
      <c r="T61" s="110">
        <v>3015.78</v>
      </c>
      <c r="U61" s="110">
        <v>2717.73</v>
      </c>
      <c r="V61" s="110">
        <v>2202.817</v>
      </c>
      <c r="W61" s="110">
        <v>1654.0119999999999</v>
      </c>
      <c r="X61" s="110">
        <v>1091.615</v>
      </c>
      <c r="Y61" s="110">
        <v>671.774</v>
      </c>
      <c r="Z61" s="110">
        <v>284.12400000000002</v>
      </c>
      <c r="AA61" s="110">
        <v>80.016000000000005</v>
      </c>
      <c r="AB61" s="110">
        <v>10.036</v>
      </c>
      <c r="AC61" s="115">
        <f t="shared" si="1"/>
        <v>30350.295000000002</v>
      </c>
      <c r="AD61">
        <f t="shared" si="2"/>
        <v>1.0049912313297791</v>
      </c>
    </row>
    <row r="62" spans="1:30" x14ac:dyDescent="0.25">
      <c r="A62" s="104" t="str">
        <f t="shared" si="0"/>
        <v>Kenya2075</v>
      </c>
      <c r="C62" s="107" t="s">
        <v>257</v>
      </c>
      <c r="D62" s="108" t="s">
        <v>205</v>
      </c>
      <c r="E62" s="109"/>
      <c r="F62" s="109">
        <v>404</v>
      </c>
      <c r="G62" s="109">
        <v>2075</v>
      </c>
      <c r="H62" s="110">
        <v>4557.7139999999999</v>
      </c>
      <c r="I62" s="110">
        <v>4611.6930000000002</v>
      </c>
      <c r="J62" s="110">
        <v>4637.6989999999996</v>
      </c>
      <c r="K62" s="110">
        <v>4630.0529999999999</v>
      </c>
      <c r="L62" s="110">
        <v>4587.9709999999995</v>
      </c>
      <c r="M62" s="110">
        <v>4515.4740000000002</v>
      </c>
      <c r="N62" s="110">
        <v>4415.7430000000004</v>
      </c>
      <c r="O62" s="110">
        <v>4299.1660000000002</v>
      </c>
      <c r="P62" s="110">
        <v>4133.4229999999998</v>
      </c>
      <c r="Q62" s="110">
        <v>3905.45</v>
      </c>
      <c r="R62" s="110">
        <v>3632.8359999999998</v>
      </c>
      <c r="S62" s="110">
        <v>3349.5619999999999</v>
      </c>
      <c r="T62" s="110">
        <v>3050.3220000000001</v>
      </c>
      <c r="U62" s="110">
        <v>2773.76</v>
      </c>
      <c r="V62" s="110">
        <v>2273.23</v>
      </c>
      <c r="W62" s="110">
        <v>1723.307</v>
      </c>
      <c r="X62" s="110">
        <v>1131.644</v>
      </c>
      <c r="Y62" s="110">
        <v>690.76900000000001</v>
      </c>
      <c r="Z62" s="110">
        <v>295.637</v>
      </c>
      <c r="AA62" s="110">
        <v>77.47</v>
      </c>
      <c r="AB62" s="110">
        <v>11.058999999999999</v>
      </c>
      <c r="AC62" s="115">
        <f t="shared" si="1"/>
        <v>30487.280000000002</v>
      </c>
      <c r="AD62">
        <f t="shared" si="2"/>
        <v>1.0045134651903713</v>
      </c>
    </row>
    <row r="63" spans="1:30" x14ac:dyDescent="0.25">
      <c r="A63" s="104" t="str">
        <f t="shared" si="0"/>
        <v>Kenya2076</v>
      </c>
      <c r="C63" s="107" t="s">
        <v>257</v>
      </c>
      <c r="D63" s="108" t="s">
        <v>205</v>
      </c>
      <c r="E63" s="109"/>
      <c r="F63" s="109">
        <v>404</v>
      </c>
      <c r="G63" s="109">
        <v>2076</v>
      </c>
      <c r="H63" s="110">
        <v>4543.1139999999996</v>
      </c>
      <c r="I63" s="110">
        <v>4602.7510000000002</v>
      </c>
      <c r="J63" s="110">
        <v>4634.9620000000004</v>
      </c>
      <c r="K63" s="110">
        <v>4633.2359999999999</v>
      </c>
      <c r="L63" s="110">
        <v>4596.835</v>
      </c>
      <c r="M63" s="110">
        <v>4529.7209999999995</v>
      </c>
      <c r="N63" s="110">
        <v>4433.875</v>
      </c>
      <c r="O63" s="110">
        <v>4321.6000000000004</v>
      </c>
      <c r="P63" s="110">
        <v>4166.33</v>
      </c>
      <c r="Q63" s="110">
        <v>3948.18</v>
      </c>
      <c r="R63" s="110">
        <v>3678.9659999999999</v>
      </c>
      <c r="S63" s="110">
        <v>3394.4459999999999</v>
      </c>
      <c r="T63" s="110">
        <v>3085.444</v>
      </c>
      <c r="U63" s="110">
        <v>2810.7330000000002</v>
      </c>
      <c r="V63" s="110">
        <v>2333.134</v>
      </c>
      <c r="W63" s="110">
        <v>1774.9939999999999</v>
      </c>
      <c r="X63" s="110">
        <v>1169.921</v>
      </c>
      <c r="Y63" s="110">
        <v>708.11400000000003</v>
      </c>
      <c r="Z63" s="110">
        <v>322.13900000000001</v>
      </c>
      <c r="AA63" s="110">
        <v>86.614000000000004</v>
      </c>
      <c r="AB63" s="110">
        <v>12.185</v>
      </c>
      <c r="AC63" s="115">
        <f t="shared" si="1"/>
        <v>30629.777000000002</v>
      </c>
      <c r="AD63">
        <f t="shared" si="2"/>
        <v>1.0046739820672752</v>
      </c>
    </row>
    <row r="64" spans="1:30" x14ac:dyDescent="0.25">
      <c r="A64" s="104" t="str">
        <f t="shared" si="0"/>
        <v>Kenya2077</v>
      </c>
      <c r="C64" s="107" t="s">
        <v>257</v>
      </c>
      <c r="D64" s="108" t="s">
        <v>205</v>
      </c>
      <c r="E64" s="109"/>
      <c r="F64" s="109">
        <v>404</v>
      </c>
      <c r="G64" s="109">
        <v>2077</v>
      </c>
      <c r="H64" s="110">
        <v>4528.1629999999996</v>
      </c>
      <c r="I64" s="110">
        <v>4591.3649999999998</v>
      </c>
      <c r="J64" s="110">
        <v>4630.5079999999998</v>
      </c>
      <c r="K64" s="110">
        <v>4634.7969999999996</v>
      </c>
      <c r="L64" s="110">
        <v>4604.12</v>
      </c>
      <c r="M64" s="110">
        <v>4542.241</v>
      </c>
      <c r="N64" s="110">
        <v>4451.2830000000004</v>
      </c>
      <c r="O64" s="110">
        <v>4341.7650000000003</v>
      </c>
      <c r="P64" s="110">
        <v>4196.5460000000003</v>
      </c>
      <c r="Q64" s="110">
        <v>3989.2910000000002</v>
      </c>
      <c r="R64" s="110">
        <v>3725.491</v>
      </c>
      <c r="S64" s="110">
        <v>3439.308</v>
      </c>
      <c r="T64" s="110">
        <v>3127.8040000000001</v>
      </c>
      <c r="U64" s="110">
        <v>2839.9920000000002</v>
      </c>
      <c r="V64" s="110">
        <v>2399.326</v>
      </c>
      <c r="W64" s="110">
        <v>1827.4449999999999</v>
      </c>
      <c r="X64" s="110">
        <v>1217.5119999999999</v>
      </c>
      <c r="Y64" s="110">
        <v>719.58100000000002</v>
      </c>
      <c r="Z64" s="110">
        <v>339.774</v>
      </c>
      <c r="AA64" s="110">
        <v>98.915000000000006</v>
      </c>
      <c r="AB64" s="110">
        <v>13.404999999999999</v>
      </c>
      <c r="AC64" s="115">
        <f t="shared" si="1"/>
        <v>30760.043000000001</v>
      </c>
      <c r="AD64">
        <f t="shared" si="2"/>
        <v>1.00425292028734</v>
      </c>
    </row>
    <row r="65" spans="1:30" x14ac:dyDescent="0.25">
      <c r="A65" s="104" t="str">
        <f t="shared" si="0"/>
        <v>Kenya2078</v>
      </c>
      <c r="C65" s="107" t="s">
        <v>257</v>
      </c>
      <c r="D65" s="108" t="s">
        <v>205</v>
      </c>
      <c r="E65" s="109"/>
      <c r="F65" s="109">
        <v>404</v>
      </c>
      <c r="G65" s="109">
        <v>2078</v>
      </c>
      <c r="H65" s="110">
        <v>4512.7719999999999</v>
      </c>
      <c r="I65" s="110">
        <v>4577.4480000000003</v>
      </c>
      <c r="J65" s="110">
        <v>4624.223</v>
      </c>
      <c r="K65" s="110">
        <v>4634.6890000000003</v>
      </c>
      <c r="L65" s="110">
        <v>4609.7830000000004</v>
      </c>
      <c r="M65" s="110">
        <v>4553.0240000000003</v>
      </c>
      <c r="N65" s="110">
        <v>4467.5889999999999</v>
      </c>
      <c r="O65" s="110">
        <v>4360.1130000000003</v>
      </c>
      <c r="P65" s="110">
        <v>4224.0389999999998</v>
      </c>
      <c r="Q65" s="110">
        <v>4028.4459999999999</v>
      </c>
      <c r="R65" s="110">
        <v>3771.819</v>
      </c>
      <c r="S65" s="110">
        <v>3484.0639999999999</v>
      </c>
      <c r="T65" s="110">
        <v>3175.2130000000002</v>
      </c>
      <c r="U65" s="110">
        <v>2865.8690000000001</v>
      </c>
      <c r="V65" s="110">
        <v>2467.5619999999999</v>
      </c>
      <c r="W65" s="110">
        <v>1882.952</v>
      </c>
      <c r="X65" s="110">
        <v>1272.077</v>
      </c>
      <c r="Y65" s="110">
        <v>729.84799999999996</v>
      </c>
      <c r="Z65" s="110">
        <v>352.79</v>
      </c>
      <c r="AA65" s="110">
        <v>109.04900000000001</v>
      </c>
      <c r="AB65" s="110">
        <v>14.715999999999999</v>
      </c>
      <c r="AC65" s="115">
        <f t="shared" si="1"/>
        <v>30877.683000000005</v>
      </c>
      <c r="AD65">
        <f t="shared" si="2"/>
        <v>1.0038244419879387</v>
      </c>
    </row>
    <row r="66" spans="1:30" x14ac:dyDescent="0.25">
      <c r="A66" s="104" t="str">
        <f t="shared" si="0"/>
        <v>Kenya2079</v>
      </c>
      <c r="C66" s="107" t="s">
        <v>257</v>
      </c>
      <c r="D66" s="108" t="s">
        <v>205</v>
      </c>
      <c r="E66" s="109"/>
      <c r="F66" s="109">
        <v>404</v>
      </c>
      <c r="G66" s="109">
        <v>2079</v>
      </c>
      <c r="H66" s="110">
        <v>4496.6559999999999</v>
      </c>
      <c r="I66" s="110">
        <v>4561.299</v>
      </c>
      <c r="J66" s="110">
        <v>4615.7619999999997</v>
      </c>
      <c r="K66" s="110">
        <v>4632.8109999999997</v>
      </c>
      <c r="L66" s="110">
        <v>4613.7449999999999</v>
      </c>
      <c r="M66" s="110">
        <v>4562.1099999999997</v>
      </c>
      <c r="N66" s="110">
        <v>4482.25</v>
      </c>
      <c r="O66" s="110">
        <v>4377.2290000000003</v>
      </c>
      <c r="P66" s="110">
        <v>4248.9399999999996</v>
      </c>
      <c r="Q66" s="110">
        <v>4065.203</v>
      </c>
      <c r="R66" s="110">
        <v>3817.0929999999998</v>
      </c>
      <c r="S66" s="110">
        <v>3529.1770000000001</v>
      </c>
      <c r="T66" s="110">
        <v>3224.1030000000001</v>
      </c>
      <c r="U66" s="110">
        <v>2895.279</v>
      </c>
      <c r="V66" s="110">
        <v>2531.692</v>
      </c>
      <c r="W66" s="110">
        <v>1944.3330000000001</v>
      </c>
      <c r="X66" s="110">
        <v>1329.829</v>
      </c>
      <c r="Y66" s="110">
        <v>747.12599999999998</v>
      </c>
      <c r="Z66" s="110">
        <v>361.81</v>
      </c>
      <c r="AA66" s="110">
        <v>113.283</v>
      </c>
      <c r="AB66" s="110">
        <v>16.111999999999998</v>
      </c>
      <c r="AC66" s="115">
        <f t="shared" si="1"/>
        <v>30982.288</v>
      </c>
      <c r="AD66">
        <f t="shared" si="2"/>
        <v>1.0033877218054217</v>
      </c>
    </row>
    <row r="67" spans="1:30" x14ac:dyDescent="0.25">
      <c r="A67" s="104" t="str">
        <f t="shared" ref="A67:A130" si="3">D67&amp;G67</f>
        <v>Kenya2080</v>
      </c>
      <c r="C67" s="107" t="s">
        <v>257</v>
      </c>
      <c r="D67" s="108" t="s">
        <v>205</v>
      </c>
      <c r="E67" s="109"/>
      <c r="F67" s="109">
        <v>404</v>
      </c>
      <c r="G67" s="109">
        <v>2080</v>
      </c>
      <c r="H67" s="110">
        <v>4479.7190000000001</v>
      </c>
      <c r="I67" s="110">
        <v>4543.4579999999996</v>
      </c>
      <c r="J67" s="110">
        <v>4604.6139999999996</v>
      </c>
      <c r="K67" s="110">
        <v>4628.9740000000002</v>
      </c>
      <c r="L67" s="110">
        <v>4615.893</v>
      </c>
      <c r="M67" s="110">
        <v>4569.4709999999995</v>
      </c>
      <c r="N67" s="110">
        <v>4494.8879999999999</v>
      </c>
      <c r="O67" s="110">
        <v>4393.33</v>
      </c>
      <c r="P67" s="110">
        <v>4271.3590000000004</v>
      </c>
      <c r="Q67" s="110">
        <v>4099.1350000000002</v>
      </c>
      <c r="R67" s="110">
        <v>3860.61</v>
      </c>
      <c r="S67" s="110">
        <v>3574.8710000000001</v>
      </c>
      <c r="T67" s="110">
        <v>3272.0790000000002</v>
      </c>
      <c r="U67" s="110">
        <v>2932.1930000000002</v>
      </c>
      <c r="V67" s="110">
        <v>2588.183</v>
      </c>
      <c r="W67" s="110">
        <v>2012.4259999999999</v>
      </c>
      <c r="X67" s="110">
        <v>1389.0119999999999</v>
      </c>
      <c r="Y67" s="110">
        <v>776.125</v>
      </c>
      <c r="Z67" s="110">
        <v>368.589</v>
      </c>
      <c r="AA67" s="110">
        <v>109.447</v>
      </c>
      <c r="AB67" s="110">
        <v>17.587</v>
      </c>
      <c r="AC67" s="115">
        <f t="shared" ref="AC67:AC130" si="4">SUM(K67:Q67)</f>
        <v>31073.049999999996</v>
      </c>
      <c r="AD67">
        <f t="shared" ref="AD67:AD130" si="5">IF(D67=D66,AC67/AC66,"")</f>
        <v>1.0029294802243138</v>
      </c>
    </row>
    <row r="68" spans="1:30" x14ac:dyDescent="0.25">
      <c r="A68" s="104" t="str">
        <f t="shared" si="3"/>
        <v>Kenya2081</v>
      </c>
      <c r="C68" s="107" t="s">
        <v>257</v>
      </c>
      <c r="D68" s="108" t="s">
        <v>205</v>
      </c>
      <c r="E68" s="109"/>
      <c r="F68" s="109">
        <v>404</v>
      </c>
      <c r="G68" s="109">
        <v>2081</v>
      </c>
      <c r="H68" s="110">
        <v>4467.375</v>
      </c>
      <c r="I68" s="110">
        <v>4529.8900000000003</v>
      </c>
      <c r="J68" s="110">
        <v>4594.643</v>
      </c>
      <c r="K68" s="110">
        <v>4626.2139999999999</v>
      </c>
      <c r="L68" s="110">
        <v>4619.451</v>
      </c>
      <c r="M68" s="110">
        <v>4578.7619999999997</v>
      </c>
      <c r="N68" s="110">
        <v>4509.3729999999996</v>
      </c>
      <c r="O68" s="110">
        <v>4411.3729999999996</v>
      </c>
      <c r="P68" s="110">
        <v>4294.0039999999999</v>
      </c>
      <c r="Q68" s="110">
        <v>4131.8190000000004</v>
      </c>
      <c r="R68" s="110">
        <v>3903.1729999999998</v>
      </c>
      <c r="S68" s="110">
        <v>3620.4110000000001</v>
      </c>
      <c r="T68" s="110">
        <v>3314.759</v>
      </c>
      <c r="U68" s="110">
        <v>2965.2640000000001</v>
      </c>
      <c r="V68" s="110">
        <v>2621.3420000000001</v>
      </c>
      <c r="W68" s="110">
        <v>2065.4580000000001</v>
      </c>
      <c r="X68" s="110">
        <v>1432.76</v>
      </c>
      <c r="Y68" s="110">
        <v>812.14599999999996</v>
      </c>
      <c r="Z68" s="110">
        <v>389.22800000000001</v>
      </c>
      <c r="AA68" s="110">
        <v>119.887</v>
      </c>
      <c r="AB68" s="110">
        <v>19.152000000000001</v>
      </c>
      <c r="AC68" s="115">
        <f t="shared" si="4"/>
        <v>31170.995999999999</v>
      </c>
      <c r="AD68">
        <f t="shared" si="5"/>
        <v>1.0031521205675016</v>
      </c>
    </row>
    <row r="69" spans="1:30" x14ac:dyDescent="0.25">
      <c r="A69" s="104" t="str">
        <f t="shared" si="3"/>
        <v>Kenya2082</v>
      </c>
      <c r="C69" s="107" t="s">
        <v>257</v>
      </c>
      <c r="D69" s="108" t="s">
        <v>205</v>
      </c>
      <c r="E69" s="109"/>
      <c r="F69" s="109">
        <v>404</v>
      </c>
      <c r="G69" s="109">
        <v>2082</v>
      </c>
      <c r="H69" s="110">
        <v>4453.6120000000001</v>
      </c>
      <c r="I69" s="110">
        <v>4515.6170000000002</v>
      </c>
      <c r="J69" s="110">
        <v>4582.6850000000004</v>
      </c>
      <c r="K69" s="110">
        <v>4621.8879999999999</v>
      </c>
      <c r="L69" s="110">
        <v>4621.3310000000001</v>
      </c>
      <c r="M69" s="110">
        <v>4586.46</v>
      </c>
      <c r="N69" s="110">
        <v>4522.2579999999998</v>
      </c>
      <c r="O69" s="110">
        <v>4428.875</v>
      </c>
      <c r="P69" s="110">
        <v>4314.5529999999999</v>
      </c>
      <c r="Q69" s="110">
        <v>4162.0609999999997</v>
      </c>
      <c r="R69" s="110">
        <v>3944.3820000000001</v>
      </c>
      <c r="S69" s="110">
        <v>3666.951</v>
      </c>
      <c r="T69" s="110">
        <v>3358.6039999999998</v>
      </c>
      <c r="U69" s="110">
        <v>3006.4760000000001</v>
      </c>
      <c r="V69" s="110">
        <v>2648.9850000000001</v>
      </c>
      <c r="W69" s="110">
        <v>2125.1950000000002</v>
      </c>
      <c r="X69" s="110">
        <v>1476.729</v>
      </c>
      <c r="Y69" s="110">
        <v>849.78700000000003</v>
      </c>
      <c r="Z69" s="110">
        <v>398.536</v>
      </c>
      <c r="AA69" s="110">
        <v>133.51300000000001</v>
      </c>
      <c r="AB69" s="110">
        <v>20.789000000000001</v>
      </c>
      <c r="AC69" s="115">
        <f t="shared" si="4"/>
        <v>31257.425999999999</v>
      </c>
      <c r="AD69">
        <f t="shared" si="5"/>
        <v>1.0027727699172655</v>
      </c>
    </row>
    <row r="70" spans="1:30" x14ac:dyDescent="0.25">
      <c r="A70" s="104" t="str">
        <f t="shared" si="3"/>
        <v>Kenya2083</v>
      </c>
      <c r="C70" s="107" t="s">
        <v>257</v>
      </c>
      <c r="D70" s="108" t="s">
        <v>205</v>
      </c>
      <c r="E70" s="109"/>
      <c r="F70" s="109">
        <v>404</v>
      </c>
      <c r="G70" s="109">
        <v>2083</v>
      </c>
      <c r="H70" s="110">
        <v>4438.4830000000002</v>
      </c>
      <c r="I70" s="110">
        <v>4500.518</v>
      </c>
      <c r="J70" s="110">
        <v>4568.8850000000002</v>
      </c>
      <c r="K70" s="110">
        <v>4615.7449999999999</v>
      </c>
      <c r="L70" s="110">
        <v>4621.4229999999998</v>
      </c>
      <c r="M70" s="110">
        <v>4592.4279999999999</v>
      </c>
      <c r="N70" s="110">
        <v>4533.3860000000004</v>
      </c>
      <c r="O70" s="110">
        <v>4445.4939999999997</v>
      </c>
      <c r="P70" s="110">
        <v>4333.25</v>
      </c>
      <c r="Q70" s="110">
        <v>4189.8649999999998</v>
      </c>
      <c r="R70" s="110">
        <v>3983.7829999999999</v>
      </c>
      <c r="S70" s="110">
        <v>3713.4920000000002</v>
      </c>
      <c r="T70" s="110">
        <v>3403.5430000000001</v>
      </c>
      <c r="U70" s="110">
        <v>3053.5070000000001</v>
      </c>
      <c r="V70" s="110">
        <v>2675.2179999999998</v>
      </c>
      <c r="W70" s="110">
        <v>2188.25</v>
      </c>
      <c r="X70" s="110">
        <v>1524.1559999999999</v>
      </c>
      <c r="Y70" s="110">
        <v>887.09799999999996</v>
      </c>
      <c r="Z70" s="110">
        <v>404.99799999999999</v>
      </c>
      <c r="AA70" s="110">
        <v>144.10300000000001</v>
      </c>
      <c r="AB70" s="110">
        <v>22.491</v>
      </c>
      <c r="AC70" s="115">
        <f t="shared" si="4"/>
        <v>31331.591</v>
      </c>
      <c r="AD70">
        <f t="shared" si="5"/>
        <v>1.002372716166712</v>
      </c>
    </row>
    <row r="71" spans="1:30" x14ac:dyDescent="0.25">
      <c r="A71" s="104" t="str">
        <f t="shared" si="3"/>
        <v>Kenya2084</v>
      </c>
      <c r="C71" s="107" t="s">
        <v>257</v>
      </c>
      <c r="D71" s="108" t="s">
        <v>205</v>
      </c>
      <c r="E71" s="109"/>
      <c r="F71" s="109">
        <v>404</v>
      </c>
      <c r="G71" s="109">
        <v>2084</v>
      </c>
      <c r="H71" s="110">
        <v>4422.067</v>
      </c>
      <c r="I71" s="110">
        <v>4484.2820000000002</v>
      </c>
      <c r="J71" s="110">
        <v>4553.55</v>
      </c>
      <c r="K71" s="110">
        <v>4607.366</v>
      </c>
      <c r="L71" s="110">
        <v>4619.5720000000001</v>
      </c>
      <c r="M71" s="110">
        <v>4596.482</v>
      </c>
      <c r="N71" s="110">
        <v>4542.67</v>
      </c>
      <c r="O71" s="110">
        <v>4460.5919999999996</v>
      </c>
      <c r="P71" s="110">
        <v>4350.5770000000002</v>
      </c>
      <c r="Q71" s="110">
        <v>4215.2579999999998</v>
      </c>
      <c r="R71" s="110">
        <v>4020.808</v>
      </c>
      <c r="S71" s="110">
        <v>3758.9870000000001</v>
      </c>
      <c r="T71" s="110">
        <v>3449.7919999999999</v>
      </c>
      <c r="U71" s="110">
        <v>3102.9180000000001</v>
      </c>
      <c r="V71" s="110">
        <v>2706.4349999999999</v>
      </c>
      <c r="W71" s="110">
        <v>2249.25</v>
      </c>
      <c r="X71" s="110">
        <v>1577.819</v>
      </c>
      <c r="Y71" s="110">
        <v>926.72799999999995</v>
      </c>
      <c r="Z71" s="110">
        <v>411.73599999999999</v>
      </c>
      <c r="AA71" s="110">
        <v>147.49199999999999</v>
      </c>
      <c r="AB71" s="110">
        <v>24.248000000000001</v>
      </c>
      <c r="AC71" s="115">
        <f t="shared" si="4"/>
        <v>31392.517</v>
      </c>
      <c r="AD71">
        <f t="shared" si="5"/>
        <v>1.0019445549381771</v>
      </c>
    </row>
    <row r="72" spans="1:30" x14ac:dyDescent="0.25">
      <c r="A72" s="104" t="str">
        <f t="shared" si="3"/>
        <v>Kenya2085</v>
      </c>
      <c r="C72" s="107" t="s">
        <v>257</v>
      </c>
      <c r="D72" s="108" t="s">
        <v>205</v>
      </c>
      <c r="E72" s="109"/>
      <c r="F72" s="109">
        <v>404</v>
      </c>
      <c r="G72" s="109">
        <v>2085</v>
      </c>
      <c r="H72" s="110">
        <v>4404.5320000000002</v>
      </c>
      <c r="I72" s="110">
        <v>4466.4570000000003</v>
      </c>
      <c r="J72" s="110">
        <v>4536.866</v>
      </c>
      <c r="K72" s="110">
        <v>4596.4269999999997</v>
      </c>
      <c r="L72" s="110">
        <v>4615.6239999999998</v>
      </c>
      <c r="M72" s="110">
        <v>4598.4620000000004</v>
      </c>
      <c r="N72" s="110">
        <v>4550.0190000000002</v>
      </c>
      <c r="O72" s="110">
        <v>4473.6130000000003</v>
      </c>
      <c r="P72" s="110">
        <v>4366.817</v>
      </c>
      <c r="Q72" s="110">
        <v>4238.1769999999997</v>
      </c>
      <c r="R72" s="110">
        <v>4054.9920000000002</v>
      </c>
      <c r="S72" s="110">
        <v>3802.7530000000002</v>
      </c>
      <c r="T72" s="110">
        <v>3497.1329999999998</v>
      </c>
      <c r="U72" s="110">
        <v>3152.5129999999999</v>
      </c>
      <c r="V72" s="110">
        <v>2746.1410000000001</v>
      </c>
      <c r="W72" s="110">
        <v>2305.0479999999998</v>
      </c>
      <c r="X72" s="110">
        <v>1638.4939999999999</v>
      </c>
      <c r="Y72" s="110">
        <v>968.47699999999998</v>
      </c>
      <c r="Z72" s="110">
        <v>424.52199999999999</v>
      </c>
      <c r="AA72" s="110">
        <v>141.46700000000001</v>
      </c>
      <c r="AB72" s="110">
        <v>26.052</v>
      </c>
      <c r="AC72" s="115">
        <f t="shared" si="4"/>
        <v>31439.138999999999</v>
      </c>
      <c r="AD72">
        <f t="shared" si="5"/>
        <v>1.0014851309947526</v>
      </c>
    </row>
    <row r="73" spans="1:30" x14ac:dyDescent="0.25">
      <c r="A73" s="104" t="str">
        <f t="shared" si="3"/>
        <v>Kenya2086</v>
      </c>
      <c r="C73" s="107" t="s">
        <v>257</v>
      </c>
      <c r="D73" s="108" t="s">
        <v>205</v>
      </c>
      <c r="E73" s="109"/>
      <c r="F73" s="109">
        <v>404</v>
      </c>
      <c r="G73" s="109">
        <v>2086</v>
      </c>
      <c r="H73" s="110">
        <v>4392.1149999999998</v>
      </c>
      <c r="I73" s="110">
        <v>4453.1260000000002</v>
      </c>
      <c r="J73" s="110">
        <v>4523.1469999999999</v>
      </c>
      <c r="K73" s="110">
        <v>4586.5789999999997</v>
      </c>
      <c r="L73" s="110">
        <v>4613.4089999999997</v>
      </c>
      <c r="M73" s="110">
        <v>4602.57</v>
      </c>
      <c r="N73" s="110">
        <v>4559.6589999999997</v>
      </c>
      <c r="O73" s="110">
        <v>4488.1120000000001</v>
      </c>
      <c r="P73" s="110">
        <v>4385.1840000000002</v>
      </c>
      <c r="Q73" s="110">
        <v>4260.8140000000003</v>
      </c>
      <c r="R73" s="110">
        <v>4087.748</v>
      </c>
      <c r="S73" s="110">
        <v>3844.9270000000001</v>
      </c>
      <c r="T73" s="110">
        <v>3540.6329999999998</v>
      </c>
      <c r="U73" s="110">
        <v>3192.64</v>
      </c>
      <c r="V73" s="110">
        <v>2776.5859999999998</v>
      </c>
      <c r="W73" s="110">
        <v>2333.4589999999998</v>
      </c>
      <c r="X73" s="110">
        <v>1684.6210000000001</v>
      </c>
      <c r="Y73" s="110">
        <v>1008.421</v>
      </c>
      <c r="Z73" s="110">
        <v>457.2</v>
      </c>
      <c r="AA73" s="110">
        <v>149.01400000000001</v>
      </c>
      <c r="AB73" s="110">
        <v>27.942</v>
      </c>
      <c r="AC73" s="115">
        <f t="shared" si="4"/>
        <v>31496.326999999997</v>
      </c>
      <c r="AD73">
        <f t="shared" si="5"/>
        <v>1.0018190065573995</v>
      </c>
    </row>
    <row r="74" spans="1:30" x14ac:dyDescent="0.25">
      <c r="A74" s="104" t="str">
        <f t="shared" si="3"/>
        <v>Kenya2087</v>
      </c>
      <c r="C74" s="107" t="s">
        <v>257</v>
      </c>
      <c r="D74" s="108" t="s">
        <v>205</v>
      </c>
      <c r="E74" s="109"/>
      <c r="F74" s="109">
        <v>404</v>
      </c>
      <c r="G74" s="109">
        <v>2087</v>
      </c>
      <c r="H74" s="110">
        <v>4376.7849999999999</v>
      </c>
      <c r="I74" s="110">
        <v>4439.4840000000004</v>
      </c>
      <c r="J74" s="110">
        <v>4508.7740000000003</v>
      </c>
      <c r="K74" s="110">
        <v>4574.6790000000001</v>
      </c>
      <c r="L74" s="110">
        <v>4609.4809999999998</v>
      </c>
      <c r="M74" s="110">
        <v>4604.8990000000003</v>
      </c>
      <c r="N74" s="110">
        <v>4567.7359999999999</v>
      </c>
      <c r="O74" s="110">
        <v>4501.098</v>
      </c>
      <c r="P74" s="110">
        <v>4403.0569999999998</v>
      </c>
      <c r="Q74" s="110">
        <v>4281.4859999999999</v>
      </c>
      <c r="R74" s="110">
        <v>4118.2330000000002</v>
      </c>
      <c r="S74" s="110">
        <v>3886.3009999999999</v>
      </c>
      <c r="T74" s="110">
        <v>3586.2240000000002</v>
      </c>
      <c r="U74" s="110">
        <v>3235.2779999999998</v>
      </c>
      <c r="V74" s="110">
        <v>2815.9659999999999</v>
      </c>
      <c r="W74" s="110">
        <v>2358.415</v>
      </c>
      <c r="X74" s="110">
        <v>1735.6759999999999</v>
      </c>
      <c r="Y74" s="110">
        <v>1044.241</v>
      </c>
      <c r="Z74" s="110">
        <v>481.44799999999998</v>
      </c>
      <c r="AA74" s="110">
        <v>159.46700000000001</v>
      </c>
      <c r="AB74" s="110">
        <v>29.891999999999999</v>
      </c>
      <c r="AC74" s="115">
        <f t="shared" si="4"/>
        <v>31542.436000000005</v>
      </c>
      <c r="AD74">
        <f t="shared" si="5"/>
        <v>1.0014639484788181</v>
      </c>
    </row>
    <row r="75" spans="1:30" x14ac:dyDescent="0.25">
      <c r="A75" s="104" t="str">
        <f t="shared" si="3"/>
        <v>Kenya2088</v>
      </c>
      <c r="C75" s="107" t="s">
        <v>257</v>
      </c>
      <c r="D75" s="108" t="s">
        <v>205</v>
      </c>
      <c r="E75" s="109"/>
      <c r="F75" s="109">
        <v>404</v>
      </c>
      <c r="G75" s="109">
        <v>2088</v>
      </c>
      <c r="H75" s="110">
        <v>4359.2070000000003</v>
      </c>
      <c r="I75" s="110">
        <v>4425.1809999999996</v>
      </c>
      <c r="J75" s="110">
        <v>4493.5529999999999</v>
      </c>
      <c r="K75" s="110">
        <v>4560.9189999999999</v>
      </c>
      <c r="L75" s="110">
        <v>4603.4970000000003</v>
      </c>
      <c r="M75" s="110">
        <v>4605.2240000000002</v>
      </c>
      <c r="N75" s="110">
        <v>4573.9380000000001</v>
      </c>
      <c r="O75" s="110">
        <v>4512.4189999999999</v>
      </c>
      <c r="P75" s="110">
        <v>4419.8810000000003</v>
      </c>
      <c r="Q75" s="110">
        <v>4300.442</v>
      </c>
      <c r="R75" s="110">
        <v>4146.3140000000003</v>
      </c>
      <c r="S75" s="110">
        <v>3925.973</v>
      </c>
      <c r="T75" s="110">
        <v>3632.8939999999998</v>
      </c>
      <c r="U75" s="110">
        <v>3280.13</v>
      </c>
      <c r="V75" s="110">
        <v>2861.933</v>
      </c>
      <c r="W75" s="110">
        <v>2384.337</v>
      </c>
      <c r="X75" s="110">
        <v>1790.0930000000001</v>
      </c>
      <c r="Y75" s="110">
        <v>1077.4459999999999</v>
      </c>
      <c r="Z75" s="110">
        <v>502.85700000000003</v>
      </c>
      <c r="AA75" s="110">
        <v>168.68199999999999</v>
      </c>
      <c r="AB75" s="110">
        <v>31.85</v>
      </c>
      <c r="AC75" s="115">
        <f t="shared" si="4"/>
        <v>31576.320000000003</v>
      </c>
      <c r="AD75">
        <f t="shared" si="5"/>
        <v>1.0010742353570916</v>
      </c>
    </row>
    <row r="76" spans="1:30" x14ac:dyDescent="0.25">
      <c r="A76" s="104" t="str">
        <f t="shared" si="3"/>
        <v>Kenya2089</v>
      </c>
      <c r="C76" s="107" t="s">
        <v>257</v>
      </c>
      <c r="D76" s="108" t="s">
        <v>205</v>
      </c>
      <c r="E76" s="109"/>
      <c r="F76" s="109">
        <v>404</v>
      </c>
      <c r="G76" s="109">
        <v>2089</v>
      </c>
      <c r="H76" s="110">
        <v>4340.3490000000002</v>
      </c>
      <c r="I76" s="110">
        <v>4409.6509999999998</v>
      </c>
      <c r="J76" s="110">
        <v>4477.3950000000004</v>
      </c>
      <c r="K76" s="110">
        <v>4545.6909999999998</v>
      </c>
      <c r="L76" s="110">
        <v>4595.0619999999999</v>
      </c>
      <c r="M76" s="110">
        <v>4603.3729999999996</v>
      </c>
      <c r="N76" s="110">
        <v>4578.0510000000004</v>
      </c>
      <c r="O76" s="110">
        <v>4521.9709999999995</v>
      </c>
      <c r="P76" s="110">
        <v>4434.9989999999998</v>
      </c>
      <c r="Q76" s="110">
        <v>4318.134</v>
      </c>
      <c r="R76" s="110">
        <v>4171.9589999999998</v>
      </c>
      <c r="S76" s="110">
        <v>3963.2339999999999</v>
      </c>
      <c r="T76" s="110">
        <v>3679.4580000000001</v>
      </c>
      <c r="U76" s="110">
        <v>3327.2809999999999</v>
      </c>
      <c r="V76" s="110">
        <v>2911.4740000000002</v>
      </c>
      <c r="W76" s="110">
        <v>2417.1509999999998</v>
      </c>
      <c r="X76" s="110">
        <v>1843.838</v>
      </c>
      <c r="Y76" s="110">
        <v>1115.212</v>
      </c>
      <c r="Z76" s="110">
        <v>521.69799999999998</v>
      </c>
      <c r="AA76" s="110">
        <v>172.67500000000001</v>
      </c>
      <c r="AB76" s="110">
        <v>33.75</v>
      </c>
      <c r="AC76" s="115">
        <f t="shared" si="4"/>
        <v>31597.281000000003</v>
      </c>
      <c r="AD76">
        <f t="shared" si="5"/>
        <v>1.000663820229843</v>
      </c>
    </row>
    <row r="77" spans="1:30" x14ac:dyDescent="0.25">
      <c r="A77" s="104" t="str">
        <f t="shared" si="3"/>
        <v>Kenya2090</v>
      </c>
      <c r="C77" s="107" t="s">
        <v>257</v>
      </c>
      <c r="D77" s="108" t="s">
        <v>205</v>
      </c>
      <c r="E77" s="109"/>
      <c r="F77" s="109">
        <v>404</v>
      </c>
      <c r="G77" s="109">
        <v>2090</v>
      </c>
      <c r="H77" s="110">
        <v>4321.0320000000002</v>
      </c>
      <c r="I77" s="110">
        <v>4392.1869999999999</v>
      </c>
      <c r="J77" s="110">
        <v>4460.3090000000002</v>
      </c>
      <c r="K77" s="110">
        <v>4529.2640000000001</v>
      </c>
      <c r="L77" s="110">
        <v>4584.0069999999996</v>
      </c>
      <c r="M77" s="110">
        <v>4599.2690000000002</v>
      </c>
      <c r="N77" s="110">
        <v>4579.9840000000004</v>
      </c>
      <c r="O77" s="110">
        <v>4529.616</v>
      </c>
      <c r="P77" s="110">
        <v>4448.0510000000004</v>
      </c>
      <c r="Q77" s="110">
        <v>4334.79</v>
      </c>
      <c r="R77" s="110">
        <v>4195.1679999999997</v>
      </c>
      <c r="S77" s="110">
        <v>3997.7429999999999</v>
      </c>
      <c r="T77" s="110">
        <v>3724.9119999999998</v>
      </c>
      <c r="U77" s="110">
        <v>3376.5279999999998</v>
      </c>
      <c r="V77" s="110">
        <v>2962.8</v>
      </c>
      <c r="W77" s="110">
        <v>2459.7089999999998</v>
      </c>
      <c r="X77" s="110">
        <v>1894.59</v>
      </c>
      <c r="Y77" s="110">
        <v>1160.0920000000001</v>
      </c>
      <c r="Z77" s="110">
        <v>542.13900000000001</v>
      </c>
      <c r="AA77" s="110">
        <v>167.84299999999999</v>
      </c>
      <c r="AB77" s="110">
        <v>35.552999999999997</v>
      </c>
      <c r="AC77" s="115">
        <f t="shared" si="4"/>
        <v>31604.981</v>
      </c>
      <c r="AD77">
        <f t="shared" si="5"/>
        <v>1.0002436918543718</v>
      </c>
    </row>
    <row r="78" spans="1:30" x14ac:dyDescent="0.25">
      <c r="A78" s="104" t="str">
        <f t="shared" si="3"/>
        <v>Kenya2091</v>
      </c>
      <c r="C78" s="107" t="s">
        <v>257</v>
      </c>
      <c r="D78" s="108" t="s">
        <v>205</v>
      </c>
      <c r="E78" s="109"/>
      <c r="F78" s="109">
        <v>404</v>
      </c>
      <c r="G78" s="109">
        <v>2091</v>
      </c>
      <c r="H78" s="110">
        <v>4305.4359999999997</v>
      </c>
      <c r="I78" s="110">
        <v>4378.6329999999998</v>
      </c>
      <c r="J78" s="110">
        <v>4446.87</v>
      </c>
      <c r="K78" s="110">
        <v>4515.5209999999997</v>
      </c>
      <c r="L78" s="110">
        <v>4574.5540000000001</v>
      </c>
      <c r="M78" s="110">
        <v>4597.5</v>
      </c>
      <c r="N78" s="110">
        <v>4584.3990000000003</v>
      </c>
      <c r="O78" s="110">
        <v>4539.2619999999997</v>
      </c>
      <c r="P78" s="110">
        <v>4462.83</v>
      </c>
      <c r="Q78" s="110">
        <v>4353.12</v>
      </c>
      <c r="R78" s="110">
        <v>4217.9120000000003</v>
      </c>
      <c r="S78" s="110">
        <v>4030.2159999999999</v>
      </c>
      <c r="T78" s="110">
        <v>3765.0459999999998</v>
      </c>
      <c r="U78" s="110">
        <v>3417.444</v>
      </c>
      <c r="V78" s="110">
        <v>2999.3319999999999</v>
      </c>
      <c r="W78" s="110">
        <v>2486.7660000000001</v>
      </c>
      <c r="X78" s="110">
        <v>1919.059</v>
      </c>
      <c r="Y78" s="110">
        <v>1203.807</v>
      </c>
      <c r="Z78" s="110">
        <v>579.78700000000003</v>
      </c>
      <c r="AA78" s="110">
        <v>181.55199999999999</v>
      </c>
      <c r="AB78" s="110">
        <v>37.302999999999997</v>
      </c>
      <c r="AC78" s="115">
        <f t="shared" si="4"/>
        <v>31627.185999999998</v>
      </c>
      <c r="AD78">
        <f t="shared" si="5"/>
        <v>1.0007025791282709</v>
      </c>
    </row>
    <row r="79" spans="1:30" x14ac:dyDescent="0.25">
      <c r="A79" s="104" t="str">
        <f t="shared" si="3"/>
        <v>Kenya2092</v>
      </c>
      <c r="C79" s="107" t="s">
        <v>257</v>
      </c>
      <c r="D79" s="108" t="s">
        <v>205</v>
      </c>
      <c r="E79" s="109"/>
      <c r="F79" s="109">
        <v>404</v>
      </c>
      <c r="G79" s="109">
        <v>2092</v>
      </c>
      <c r="H79" s="110">
        <v>4289.2430000000004</v>
      </c>
      <c r="I79" s="110">
        <v>4363.6869999999999</v>
      </c>
      <c r="J79" s="110">
        <v>4433.1319999999996</v>
      </c>
      <c r="K79" s="110">
        <v>4500.96</v>
      </c>
      <c r="L79" s="110">
        <v>4562.8220000000001</v>
      </c>
      <c r="M79" s="110">
        <v>4593.826</v>
      </c>
      <c r="N79" s="110">
        <v>4586.9690000000001</v>
      </c>
      <c r="O79" s="110">
        <v>4547.3370000000004</v>
      </c>
      <c r="P79" s="110">
        <v>4476.0730000000003</v>
      </c>
      <c r="Q79" s="110">
        <v>4370.9949999999999</v>
      </c>
      <c r="R79" s="110">
        <v>4238.7730000000001</v>
      </c>
      <c r="S79" s="110">
        <v>4060.9079999999999</v>
      </c>
      <c r="T79" s="110">
        <v>3805.4769999999999</v>
      </c>
      <c r="U79" s="110">
        <v>3461.7269999999999</v>
      </c>
      <c r="V79" s="110">
        <v>3039.895</v>
      </c>
      <c r="W79" s="110">
        <v>2522.83</v>
      </c>
      <c r="X79" s="110">
        <v>1940.479</v>
      </c>
      <c r="Y79" s="110">
        <v>1246.1099999999999</v>
      </c>
      <c r="Z79" s="110">
        <v>603.09799999999996</v>
      </c>
      <c r="AA79" s="110">
        <v>201.37899999999999</v>
      </c>
      <c r="AB79" s="110">
        <v>39.01</v>
      </c>
      <c r="AC79" s="115">
        <f t="shared" si="4"/>
        <v>31638.982</v>
      </c>
      <c r="AD79">
        <f t="shared" si="5"/>
        <v>1.0003729702667825</v>
      </c>
    </row>
    <row r="80" spans="1:30" x14ac:dyDescent="0.25">
      <c r="A80" s="104" t="str">
        <f t="shared" si="3"/>
        <v>Kenya2093</v>
      </c>
      <c r="C80" s="107" t="s">
        <v>257</v>
      </c>
      <c r="D80" s="108" t="s">
        <v>205</v>
      </c>
      <c r="E80" s="109"/>
      <c r="F80" s="109">
        <v>404</v>
      </c>
      <c r="G80" s="109">
        <v>2093</v>
      </c>
      <c r="H80" s="110">
        <v>4272.4229999999998</v>
      </c>
      <c r="I80" s="110">
        <v>4347.1750000000002</v>
      </c>
      <c r="J80" s="110">
        <v>4418.8580000000002</v>
      </c>
      <c r="K80" s="110">
        <v>4485.72</v>
      </c>
      <c r="L80" s="110">
        <v>4549.1660000000002</v>
      </c>
      <c r="M80" s="110">
        <v>4588.0389999999998</v>
      </c>
      <c r="N80" s="110">
        <v>4587.5469999999996</v>
      </c>
      <c r="O80" s="110">
        <v>4553.7820000000002</v>
      </c>
      <c r="P80" s="110">
        <v>4487.665</v>
      </c>
      <c r="Q80" s="110">
        <v>4388.098</v>
      </c>
      <c r="R80" s="110">
        <v>4258.1000000000004</v>
      </c>
      <c r="S80" s="110">
        <v>4089.44</v>
      </c>
      <c r="T80" s="110">
        <v>3845.4850000000001</v>
      </c>
      <c r="U80" s="110">
        <v>3508.3389999999999</v>
      </c>
      <c r="V80" s="110">
        <v>3084.1869999999999</v>
      </c>
      <c r="W80" s="110">
        <v>2566.404</v>
      </c>
      <c r="X80" s="110">
        <v>1964.617</v>
      </c>
      <c r="Y80" s="110">
        <v>1284.6400000000001</v>
      </c>
      <c r="Z80" s="110">
        <v>622.26</v>
      </c>
      <c r="AA80" s="110">
        <v>218.05799999999999</v>
      </c>
      <c r="AB80" s="110">
        <v>40.744</v>
      </c>
      <c r="AC80" s="115">
        <f t="shared" si="4"/>
        <v>31640.017</v>
      </c>
      <c r="AD80">
        <f t="shared" si="5"/>
        <v>1.0000327128097863</v>
      </c>
    </row>
    <row r="81" spans="1:30" x14ac:dyDescent="0.25">
      <c r="A81" s="104" t="str">
        <f t="shared" si="3"/>
        <v>Kenya2094</v>
      </c>
      <c r="C81" s="107" t="s">
        <v>257</v>
      </c>
      <c r="D81" s="108" t="s">
        <v>205</v>
      </c>
      <c r="E81" s="109"/>
      <c r="F81" s="109">
        <v>404</v>
      </c>
      <c r="G81" s="109">
        <v>2094</v>
      </c>
      <c r="H81" s="110">
        <v>4254.5780000000004</v>
      </c>
      <c r="I81" s="110">
        <v>4329.1130000000003</v>
      </c>
      <c r="J81" s="110">
        <v>4403.509</v>
      </c>
      <c r="K81" s="110">
        <v>4469.8559999999998</v>
      </c>
      <c r="L81" s="110">
        <v>4534.0609999999997</v>
      </c>
      <c r="M81" s="110">
        <v>4579.7920000000004</v>
      </c>
      <c r="N81" s="110">
        <v>4585.9870000000001</v>
      </c>
      <c r="O81" s="110">
        <v>4558.4219999999996</v>
      </c>
      <c r="P81" s="110">
        <v>4497.5320000000002</v>
      </c>
      <c r="Q81" s="110">
        <v>4403.817</v>
      </c>
      <c r="R81" s="110">
        <v>4276.3389999999999</v>
      </c>
      <c r="S81" s="110">
        <v>4115.6869999999999</v>
      </c>
      <c r="T81" s="110">
        <v>3884.2469999999998</v>
      </c>
      <c r="U81" s="110">
        <v>3556.0680000000002</v>
      </c>
      <c r="V81" s="110">
        <v>3132.306</v>
      </c>
      <c r="W81" s="110">
        <v>2615.3910000000001</v>
      </c>
      <c r="X81" s="110">
        <v>1996.9849999999999</v>
      </c>
      <c r="Y81" s="110">
        <v>1322.6410000000001</v>
      </c>
      <c r="Z81" s="110">
        <v>640.09199999999998</v>
      </c>
      <c r="AA81" s="110">
        <v>225.42699999999999</v>
      </c>
      <c r="AB81" s="110">
        <v>42.585000000000001</v>
      </c>
      <c r="AC81" s="115">
        <f t="shared" si="4"/>
        <v>31629.466999999997</v>
      </c>
      <c r="AD81">
        <f t="shared" si="5"/>
        <v>0.99966656149394606</v>
      </c>
    </row>
    <row r="82" spans="1:30" x14ac:dyDescent="0.25">
      <c r="A82" s="104" t="str">
        <f t="shared" si="3"/>
        <v>Kenya2095</v>
      </c>
      <c r="C82" s="107" t="s">
        <v>257</v>
      </c>
      <c r="D82" s="108" t="s">
        <v>205</v>
      </c>
      <c r="E82" s="109"/>
      <c r="F82" s="109">
        <v>404</v>
      </c>
      <c r="G82" s="109">
        <v>2095</v>
      </c>
      <c r="H82" s="110">
        <v>4235.3280000000004</v>
      </c>
      <c r="I82" s="110">
        <v>4309.6049999999996</v>
      </c>
      <c r="J82" s="110">
        <v>4386.4679999999998</v>
      </c>
      <c r="K82" s="110">
        <v>4453.2470000000003</v>
      </c>
      <c r="L82" s="110">
        <v>4517.7489999999998</v>
      </c>
      <c r="M82" s="110">
        <v>4568.817</v>
      </c>
      <c r="N82" s="110">
        <v>4582.1019999999999</v>
      </c>
      <c r="O82" s="110">
        <v>4560.9440000000004</v>
      </c>
      <c r="P82" s="110">
        <v>4505.5420000000004</v>
      </c>
      <c r="Q82" s="110">
        <v>4417.5770000000002</v>
      </c>
      <c r="R82" s="110">
        <v>4293.6139999999996</v>
      </c>
      <c r="S82" s="110">
        <v>4139.6170000000002</v>
      </c>
      <c r="T82" s="110">
        <v>3920.9290000000001</v>
      </c>
      <c r="U82" s="110">
        <v>3603.84</v>
      </c>
      <c r="V82" s="110">
        <v>3183.9769999999999</v>
      </c>
      <c r="W82" s="110">
        <v>2668.3829999999998</v>
      </c>
      <c r="X82" s="110">
        <v>2039.57</v>
      </c>
      <c r="Y82" s="110">
        <v>1360.211</v>
      </c>
      <c r="Z82" s="110">
        <v>663.20899999999995</v>
      </c>
      <c r="AA82" s="110">
        <v>220.53</v>
      </c>
      <c r="AB82" s="110">
        <v>44.609000000000002</v>
      </c>
      <c r="AC82" s="115">
        <f t="shared" si="4"/>
        <v>31605.977999999999</v>
      </c>
      <c r="AD82">
        <f t="shared" si="5"/>
        <v>0.999257369717928</v>
      </c>
    </row>
    <row r="83" spans="1:30" x14ac:dyDescent="0.25">
      <c r="A83" s="104" t="str">
        <f t="shared" si="3"/>
        <v>Kenya2096</v>
      </c>
      <c r="C83" s="107" t="s">
        <v>257</v>
      </c>
      <c r="D83" s="108" t="s">
        <v>205</v>
      </c>
      <c r="E83" s="109"/>
      <c r="F83" s="109">
        <v>404</v>
      </c>
      <c r="G83" s="109">
        <v>2096</v>
      </c>
      <c r="H83" s="110">
        <v>4220.4369999999999</v>
      </c>
      <c r="I83" s="110">
        <v>4294.5600000000004</v>
      </c>
      <c r="J83" s="110">
        <v>4372.1469999999999</v>
      </c>
      <c r="K83" s="110">
        <v>4439.7470000000003</v>
      </c>
      <c r="L83" s="110">
        <v>4504.2860000000001</v>
      </c>
      <c r="M83" s="110">
        <v>4559.6949999999997</v>
      </c>
      <c r="N83" s="110">
        <v>4580.5370000000003</v>
      </c>
      <c r="O83" s="110">
        <v>4565.2950000000001</v>
      </c>
      <c r="P83" s="110">
        <v>4515.4070000000002</v>
      </c>
      <c r="Q83" s="110">
        <v>4432.277</v>
      </c>
      <c r="R83" s="110">
        <v>4312.018</v>
      </c>
      <c r="S83" s="110">
        <v>4162.17</v>
      </c>
      <c r="T83" s="110">
        <v>3951.527</v>
      </c>
      <c r="U83" s="110">
        <v>3641.42</v>
      </c>
      <c r="V83" s="110">
        <v>3221.3029999999999</v>
      </c>
      <c r="W83" s="110">
        <v>2700.0949999999998</v>
      </c>
      <c r="X83" s="110">
        <v>2064.2869999999998</v>
      </c>
      <c r="Y83" s="110">
        <v>1387.789</v>
      </c>
      <c r="Z83" s="110">
        <v>706.31799999999998</v>
      </c>
      <c r="AA83" s="110">
        <v>236.89099999999999</v>
      </c>
      <c r="AB83" s="110">
        <v>46.936</v>
      </c>
      <c r="AC83" s="115">
        <f t="shared" si="4"/>
        <v>31597.243999999999</v>
      </c>
      <c r="AD83">
        <f t="shared" si="5"/>
        <v>0.99972365987219247</v>
      </c>
    </row>
    <row r="84" spans="1:30" x14ac:dyDescent="0.25">
      <c r="A84" s="104" t="str">
        <f t="shared" si="3"/>
        <v>Kenya2097</v>
      </c>
      <c r="C84" s="107" t="s">
        <v>257</v>
      </c>
      <c r="D84" s="108" t="s">
        <v>205</v>
      </c>
      <c r="E84" s="109"/>
      <c r="F84" s="109">
        <v>404</v>
      </c>
      <c r="G84" s="109">
        <v>2097</v>
      </c>
      <c r="H84" s="110">
        <v>4203.652</v>
      </c>
      <c r="I84" s="110">
        <v>4278.9160000000002</v>
      </c>
      <c r="J84" s="110">
        <v>4356.866</v>
      </c>
      <c r="K84" s="110">
        <v>4426.1629999999996</v>
      </c>
      <c r="L84" s="110">
        <v>4490.0690000000004</v>
      </c>
      <c r="M84" s="110">
        <v>4548.3999999999996</v>
      </c>
      <c r="N84" s="110">
        <v>4577.2820000000002</v>
      </c>
      <c r="O84" s="110">
        <v>4568.0749999999998</v>
      </c>
      <c r="P84" s="110">
        <v>4523.9549999999999</v>
      </c>
      <c r="Q84" s="110">
        <v>4445.7629999999999</v>
      </c>
      <c r="R84" s="110">
        <v>4330.2960000000003</v>
      </c>
      <c r="S84" s="110">
        <v>4183.5709999999999</v>
      </c>
      <c r="T84" s="110">
        <v>3981.7089999999998</v>
      </c>
      <c r="U84" s="110">
        <v>3680.942</v>
      </c>
      <c r="V84" s="110">
        <v>3263.7440000000001</v>
      </c>
      <c r="W84" s="110">
        <v>2737.2510000000002</v>
      </c>
      <c r="X84" s="110">
        <v>2095.6909999999998</v>
      </c>
      <c r="Y84" s="110">
        <v>1408.729</v>
      </c>
      <c r="Z84" s="110">
        <v>733.99800000000005</v>
      </c>
      <c r="AA84" s="110">
        <v>257.72500000000002</v>
      </c>
      <c r="AB84" s="110">
        <v>49.59</v>
      </c>
      <c r="AC84" s="115">
        <f t="shared" si="4"/>
        <v>31579.707000000002</v>
      </c>
      <c r="AD84">
        <f t="shared" si="5"/>
        <v>0.99944498323967756</v>
      </c>
    </row>
    <row r="85" spans="1:30" x14ac:dyDescent="0.25">
      <c r="A85" s="104" t="str">
        <f t="shared" si="3"/>
        <v>Kenya2098</v>
      </c>
      <c r="C85" s="107" t="s">
        <v>257</v>
      </c>
      <c r="D85" s="108" t="s">
        <v>205</v>
      </c>
      <c r="E85" s="109"/>
      <c r="F85" s="109">
        <v>404</v>
      </c>
      <c r="G85" s="109">
        <v>2098</v>
      </c>
      <c r="H85" s="110">
        <v>4184.9399999999996</v>
      </c>
      <c r="I85" s="110">
        <v>4262.3729999999996</v>
      </c>
      <c r="J85" s="110">
        <v>4340.5050000000001</v>
      </c>
      <c r="K85" s="110">
        <v>4412.0820000000003</v>
      </c>
      <c r="L85" s="110">
        <v>4475.0910000000003</v>
      </c>
      <c r="M85" s="110">
        <v>4535.1099999999997</v>
      </c>
      <c r="N85" s="110">
        <v>4571.9070000000002</v>
      </c>
      <c r="O85" s="110">
        <v>4569.0709999999999</v>
      </c>
      <c r="P85" s="110">
        <v>4530.8599999999997</v>
      </c>
      <c r="Q85" s="110">
        <v>4457.8509999999997</v>
      </c>
      <c r="R85" s="110">
        <v>4347.9530000000004</v>
      </c>
      <c r="S85" s="110">
        <v>4203.634</v>
      </c>
      <c r="T85" s="110">
        <v>4010.9839999999999</v>
      </c>
      <c r="U85" s="110">
        <v>3721.3980000000001</v>
      </c>
      <c r="V85" s="110">
        <v>3310.0169999999998</v>
      </c>
      <c r="W85" s="110">
        <v>2779.99</v>
      </c>
      <c r="X85" s="110">
        <v>2134.451</v>
      </c>
      <c r="Y85" s="110">
        <v>1426.3489999999999</v>
      </c>
      <c r="Z85" s="110">
        <v>755.76</v>
      </c>
      <c r="AA85" s="110">
        <v>274.83600000000001</v>
      </c>
      <c r="AB85" s="110">
        <v>52.624000000000002</v>
      </c>
      <c r="AC85" s="115">
        <f t="shared" si="4"/>
        <v>31551.971999999998</v>
      </c>
      <c r="AD85">
        <f t="shared" si="5"/>
        <v>0.99912174612639681</v>
      </c>
    </row>
    <row r="86" spans="1:30" x14ac:dyDescent="0.25">
      <c r="A86" s="104" t="str">
        <f t="shared" si="3"/>
        <v>Kenya2099</v>
      </c>
      <c r="C86" s="107" t="s">
        <v>257</v>
      </c>
      <c r="D86" s="108" t="s">
        <v>205</v>
      </c>
      <c r="E86" s="109"/>
      <c r="F86" s="109">
        <v>404</v>
      </c>
      <c r="G86" s="109">
        <v>2099</v>
      </c>
      <c r="H86" s="110">
        <v>4164.7910000000002</v>
      </c>
      <c r="I86" s="110">
        <v>4244.4920000000002</v>
      </c>
      <c r="J86" s="110">
        <v>4323.0240000000003</v>
      </c>
      <c r="K86" s="110">
        <v>4396.8590000000004</v>
      </c>
      <c r="L86" s="110">
        <v>4459.2969999999996</v>
      </c>
      <c r="M86" s="110">
        <v>4520.1490000000003</v>
      </c>
      <c r="N86" s="110">
        <v>4563.8950000000004</v>
      </c>
      <c r="O86" s="110">
        <v>4567.9799999999996</v>
      </c>
      <c r="P86" s="110">
        <v>4535.7870000000003</v>
      </c>
      <c r="Q86" s="110">
        <v>4468.3119999999999</v>
      </c>
      <c r="R86" s="110">
        <v>4364.1940000000004</v>
      </c>
      <c r="S86" s="110">
        <v>4222.5280000000002</v>
      </c>
      <c r="T86" s="110">
        <v>4038.9319999999998</v>
      </c>
      <c r="U86" s="110">
        <v>3761.72</v>
      </c>
      <c r="V86" s="110">
        <v>3358.8620000000001</v>
      </c>
      <c r="W86" s="110">
        <v>2828.5830000000001</v>
      </c>
      <c r="X86" s="110">
        <v>2179.895</v>
      </c>
      <c r="Y86" s="110">
        <v>1449.681</v>
      </c>
      <c r="Z86" s="110">
        <v>773.95799999999997</v>
      </c>
      <c r="AA86" s="110">
        <v>282.512</v>
      </c>
      <c r="AB86" s="110">
        <v>56.08</v>
      </c>
      <c r="AC86" s="115">
        <f t="shared" si="4"/>
        <v>31512.279000000002</v>
      </c>
      <c r="AD86">
        <f t="shared" si="5"/>
        <v>0.99874198037447559</v>
      </c>
    </row>
    <row r="87" spans="1:30" x14ac:dyDescent="0.25">
      <c r="A87" s="104" t="str">
        <f t="shared" si="3"/>
        <v>Kenya2100</v>
      </c>
      <c r="C87" s="107" t="s">
        <v>257</v>
      </c>
      <c r="D87" s="108" t="s">
        <v>205</v>
      </c>
      <c r="E87" s="109"/>
      <c r="F87" s="109">
        <v>404</v>
      </c>
      <c r="G87" s="109">
        <v>2100</v>
      </c>
      <c r="H87" s="110">
        <v>4143.9690000000001</v>
      </c>
      <c r="I87" s="110">
        <v>4224.7560000000003</v>
      </c>
      <c r="J87" s="110">
        <v>4304.3149999999996</v>
      </c>
      <c r="K87" s="110">
        <v>4379.9759999999997</v>
      </c>
      <c r="L87" s="110">
        <v>4442.5910000000003</v>
      </c>
      <c r="M87" s="110">
        <v>4503.7110000000002</v>
      </c>
      <c r="N87" s="110">
        <v>4552.9189999999999</v>
      </c>
      <c r="O87" s="110">
        <v>4564.451</v>
      </c>
      <c r="P87" s="110">
        <v>4538.473</v>
      </c>
      <c r="Q87" s="110">
        <v>4476.8469999999998</v>
      </c>
      <c r="R87" s="110">
        <v>4378.3900000000003</v>
      </c>
      <c r="S87" s="110">
        <v>4240.3900000000003</v>
      </c>
      <c r="T87" s="110">
        <v>4065.0619999999999</v>
      </c>
      <c r="U87" s="110">
        <v>3800.9870000000001</v>
      </c>
      <c r="V87" s="110">
        <v>3409.2570000000001</v>
      </c>
      <c r="W87" s="110">
        <v>2882.68</v>
      </c>
      <c r="X87" s="110">
        <v>2231.15</v>
      </c>
      <c r="Y87" s="110">
        <v>1483.635</v>
      </c>
      <c r="Z87" s="110">
        <v>793.23099999999999</v>
      </c>
      <c r="AA87" s="110">
        <v>277.101</v>
      </c>
      <c r="AB87" s="110">
        <v>59.988</v>
      </c>
      <c r="AC87" s="115">
        <f t="shared" si="4"/>
        <v>31458.968000000001</v>
      </c>
      <c r="AD87">
        <f t="shared" si="5"/>
        <v>0.99830824676311092</v>
      </c>
    </row>
    <row r="88" spans="1:30" x14ac:dyDescent="0.25">
      <c r="A88" s="104" t="str">
        <f t="shared" si="3"/>
        <v>Uganda2015</v>
      </c>
      <c r="C88" s="107" t="s">
        <v>257</v>
      </c>
      <c r="D88" s="108" t="s">
        <v>154</v>
      </c>
      <c r="E88" s="109"/>
      <c r="F88" s="109">
        <v>800</v>
      </c>
      <c r="G88" s="109">
        <v>2015</v>
      </c>
      <c r="H88" s="110">
        <v>3719.931</v>
      </c>
      <c r="I88" s="110">
        <v>3182.1610000000001</v>
      </c>
      <c r="J88" s="110">
        <v>2700.4839999999999</v>
      </c>
      <c r="K88" s="110">
        <v>2235.7820000000002</v>
      </c>
      <c r="L88" s="110">
        <v>1849.001</v>
      </c>
      <c r="M88" s="110">
        <v>1494.6659999999999</v>
      </c>
      <c r="N88" s="110">
        <v>1210.875</v>
      </c>
      <c r="O88" s="110">
        <v>966.73400000000004</v>
      </c>
      <c r="P88" s="110">
        <v>744.928</v>
      </c>
      <c r="Q88" s="110">
        <v>557.24599999999998</v>
      </c>
      <c r="R88" s="110">
        <v>418.67700000000002</v>
      </c>
      <c r="S88" s="110">
        <v>332.28399999999999</v>
      </c>
      <c r="T88" s="110">
        <v>269.42200000000003</v>
      </c>
      <c r="U88" s="110">
        <v>198.51900000000001</v>
      </c>
      <c r="V88" s="110">
        <v>141.68100000000001</v>
      </c>
      <c r="W88" s="110">
        <v>82.855999999999995</v>
      </c>
      <c r="X88" s="110">
        <v>51.741</v>
      </c>
      <c r="Y88" s="110">
        <v>19.983000000000001</v>
      </c>
      <c r="Z88" s="110">
        <v>5.0339999999999998</v>
      </c>
      <c r="AA88" s="110">
        <v>0.71799999999999997</v>
      </c>
      <c r="AB88" s="110">
        <v>5.8000000000000003E-2</v>
      </c>
      <c r="AC88" s="115">
        <f t="shared" si="4"/>
        <v>9059.232</v>
      </c>
      <c r="AD88" t="str">
        <f t="shared" si="5"/>
        <v/>
      </c>
    </row>
    <row r="89" spans="1:30" x14ac:dyDescent="0.25">
      <c r="A89" s="104" t="str">
        <f t="shared" si="3"/>
        <v>Uganda2016</v>
      </c>
      <c r="C89" s="107" t="s">
        <v>257</v>
      </c>
      <c r="D89" s="108" t="s">
        <v>154</v>
      </c>
      <c r="E89" s="109"/>
      <c r="F89" s="109">
        <v>800</v>
      </c>
      <c r="G89" s="109">
        <v>2016</v>
      </c>
      <c r="H89" s="110">
        <v>3813.17</v>
      </c>
      <c r="I89" s="110">
        <v>3272.893</v>
      </c>
      <c r="J89" s="110">
        <v>2787.7860000000001</v>
      </c>
      <c r="K89" s="110">
        <v>2315.4380000000001</v>
      </c>
      <c r="L89" s="110">
        <v>1914.7349999999999</v>
      </c>
      <c r="M89" s="110">
        <v>1551.662</v>
      </c>
      <c r="N89" s="110">
        <v>1254.991</v>
      </c>
      <c r="O89" s="110">
        <v>1005.5359999999999</v>
      </c>
      <c r="P89" s="110">
        <v>780.14700000000005</v>
      </c>
      <c r="Q89" s="110">
        <v>585.33399999999995</v>
      </c>
      <c r="R89" s="110">
        <v>436.74400000000003</v>
      </c>
      <c r="S89" s="110">
        <v>341.60399999999998</v>
      </c>
      <c r="T89" s="110">
        <v>276.44499999999999</v>
      </c>
      <c r="U89" s="110">
        <v>205.267</v>
      </c>
      <c r="V89" s="110">
        <v>145.89699999999999</v>
      </c>
      <c r="W89" s="110">
        <v>86.150999999999996</v>
      </c>
      <c r="X89" s="110">
        <v>51.746000000000002</v>
      </c>
      <c r="Y89" s="110">
        <v>22.02</v>
      </c>
      <c r="Z89" s="110">
        <v>5.8330000000000002</v>
      </c>
      <c r="AA89" s="110">
        <v>0.85399999999999998</v>
      </c>
      <c r="AB89" s="110">
        <v>6.2E-2</v>
      </c>
      <c r="AC89" s="115">
        <f t="shared" si="4"/>
        <v>9407.8430000000008</v>
      </c>
      <c r="AD89">
        <f t="shared" si="5"/>
        <v>1.0384812973108537</v>
      </c>
    </row>
    <row r="90" spans="1:30" x14ac:dyDescent="0.25">
      <c r="A90" s="104" t="str">
        <f t="shared" si="3"/>
        <v>Uganda2017</v>
      </c>
      <c r="C90" s="107" t="s">
        <v>257</v>
      </c>
      <c r="D90" s="108" t="s">
        <v>154</v>
      </c>
      <c r="E90" s="109"/>
      <c r="F90" s="109">
        <v>800</v>
      </c>
      <c r="G90" s="109">
        <v>2017</v>
      </c>
      <c r="H90" s="110">
        <v>3905.08</v>
      </c>
      <c r="I90" s="110">
        <v>3362.5210000000002</v>
      </c>
      <c r="J90" s="110">
        <v>2875.4169999999999</v>
      </c>
      <c r="K90" s="110">
        <v>2399.8910000000001</v>
      </c>
      <c r="L90" s="110">
        <v>1981.2619999999999</v>
      </c>
      <c r="M90" s="110">
        <v>1612.6020000000001</v>
      </c>
      <c r="N90" s="110">
        <v>1300.5609999999999</v>
      </c>
      <c r="O90" s="110">
        <v>1045.0070000000001</v>
      </c>
      <c r="P90" s="110">
        <v>816.327</v>
      </c>
      <c r="Q90" s="110">
        <v>615.178</v>
      </c>
      <c r="R90" s="110">
        <v>457.03399999999999</v>
      </c>
      <c r="S90" s="110">
        <v>352.13900000000001</v>
      </c>
      <c r="T90" s="110">
        <v>283.22899999999998</v>
      </c>
      <c r="U90" s="110">
        <v>213.387</v>
      </c>
      <c r="V90" s="110">
        <v>149.67099999999999</v>
      </c>
      <c r="W90" s="110">
        <v>90.72</v>
      </c>
      <c r="X90" s="110">
        <v>50.831000000000003</v>
      </c>
      <c r="Y90" s="110">
        <v>23.777000000000001</v>
      </c>
      <c r="Z90" s="110">
        <v>6.33</v>
      </c>
      <c r="AA90" s="110">
        <v>1.085</v>
      </c>
      <c r="AB90" s="110">
        <v>6.5000000000000002E-2</v>
      </c>
      <c r="AC90" s="115">
        <f t="shared" si="4"/>
        <v>9770.8279999999995</v>
      </c>
      <c r="AD90">
        <f t="shared" si="5"/>
        <v>1.0385832331598219</v>
      </c>
    </row>
    <row r="91" spans="1:30" x14ac:dyDescent="0.25">
      <c r="A91" s="104" t="str">
        <f t="shared" si="3"/>
        <v>Uganda2018</v>
      </c>
      <c r="C91" s="107" t="s">
        <v>257</v>
      </c>
      <c r="D91" s="108" t="s">
        <v>154</v>
      </c>
      <c r="E91" s="109"/>
      <c r="F91" s="109">
        <v>800</v>
      </c>
      <c r="G91" s="109">
        <v>2018</v>
      </c>
      <c r="H91" s="110">
        <v>3996.49</v>
      </c>
      <c r="I91" s="110">
        <v>3450.2170000000001</v>
      </c>
      <c r="J91" s="110">
        <v>2963.6019999999999</v>
      </c>
      <c r="K91" s="110">
        <v>2487.7640000000001</v>
      </c>
      <c r="L91" s="110">
        <v>2049.8159999999998</v>
      </c>
      <c r="M91" s="110">
        <v>1676.6410000000001</v>
      </c>
      <c r="N91" s="110">
        <v>1348.2729999999999</v>
      </c>
      <c r="O91" s="110">
        <v>1085.4380000000001</v>
      </c>
      <c r="P91" s="110">
        <v>853.25</v>
      </c>
      <c r="Q91" s="110">
        <v>646.596</v>
      </c>
      <c r="R91" s="110">
        <v>479.41899999999998</v>
      </c>
      <c r="S91" s="110">
        <v>364.149</v>
      </c>
      <c r="T91" s="110">
        <v>290.21100000000001</v>
      </c>
      <c r="U91" s="110">
        <v>222.31399999999999</v>
      </c>
      <c r="V91" s="110">
        <v>153.65299999999999</v>
      </c>
      <c r="W91" s="110">
        <v>95.891999999999996</v>
      </c>
      <c r="X91" s="110">
        <v>49.908000000000001</v>
      </c>
      <c r="Y91" s="110">
        <v>24.800999999999998</v>
      </c>
      <c r="Z91" s="110">
        <v>6.6379999999999999</v>
      </c>
      <c r="AA91" s="110">
        <v>1.26</v>
      </c>
      <c r="AB91" s="110">
        <v>6.9000000000000006E-2</v>
      </c>
      <c r="AC91" s="115">
        <f t="shared" si="4"/>
        <v>10147.778</v>
      </c>
      <c r="AD91">
        <f t="shared" si="5"/>
        <v>1.0385791255357275</v>
      </c>
    </row>
    <row r="92" spans="1:30" x14ac:dyDescent="0.25">
      <c r="A92" s="104" t="str">
        <f t="shared" si="3"/>
        <v>Uganda2019</v>
      </c>
      <c r="C92" s="107" t="s">
        <v>257</v>
      </c>
      <c r="D92" s="108" t="s">
        <v>154</v>
      </c>
      <c r="E92" s="109"/>
      <c r="F92" s="109">
        <v>800</v>
      </c>
      <c r="G92" s="109">
        <v>2019</v>
      </c>
      <c r="H92" s="110">
        <v>4088.3270000000002</v>
      </c>
      <c r="I92" s="110">
        <v>3535.8820000000001</v>
      </c>
      <c r="J92" s="110">
        <v>3052.105</v>
      </c>
      <c r="K92" s="110">
        <v>2577.0079999999998</v>
      </c>
      <c r="L92" s="110">
        <v>2122.3220000000001</v>
      </c>
      <c r="M92" s="110">
        <v>1742.3969999999999</v>
      </c>
      <c r="N92" s="110">
        <v>1399.1020000000001</v>
      </c>
      <c r="O92" s="110">
        <v>1127.162</v>
      </c>
      <c r="P92" s="110">
        <v>890.73599999999999</v>
      </c>
      <c r="Q92" s="110">
        <v>679.28800000000001</v>
      </c>
      <c r="R92" s="110">
        <v>503.69299999999998</v>
      </c>
      <c r="S92" s="110">
        <v>378.01799999999997</v>
      </c>
      <c r="T92" s="110">
        <v>298.00900000000001</v>
      </c>
      <c r="U92" s="110">
        <v>231.203</v>
      </c>
      <c r="V92" s="110">
        <v>158.65199999999999</v>
      </c>
      <c r="W92" s="110">
        <v>100.848</v>
      </c>
      <c r="X92" s="110">
        <v>49.932000000000002</v>
      </c>
      <c r="Y92" s="110">
        <v>24.902999999999999</v>
      </c>
      <c r="Z92" s="110">
        <v>6.6289999999999996</v>
      </c>
      <c r="AA92" s="110">
        <v>1.25</v>
      </c>
      <c r="AB92" s="110">
        <v>7.2999999999999995E-2</v>
      </c>
      <c r="AC92" s="115">
        <f t="shared" si="4"/>
        <v>10538.015000000001</v>
      </c>
      <c r="AD92">
        <f t="shared" si="5"/>
        <v>1.0384554135890636</v>
      </c>
    </row>
    <row r="93" spans="1:30" x14ac:dyDescent="0.25">
      <c r="A93" s="104" t="str">
        <f t="shared" si="3"/>
        <v>Uganda2020</v>
      </c>
      <c r="C93" s="107" t="s">
        <v>257</v>
      </c>
      <c r="D93" s="108" t="s">
        <v>154</v>
      </c>
      <c r="E93" s="109"/>
      <c r="F93" s="109">
        <v>800</v>
      </c>
      <c r="G93" s="109">
        <v>2020</v>
      </c>
      <c r="H93" s="110">
        <v>4182.165</v>
      </c>
      <c r="I93" s="110">
        <v>3619.748</v>
      </c>
      <c r="J93" s="110">
        <v>3139.7629999999999</v>
      </c>
      <c r="K93" s="110">
        <v>2666.2730000000001</v>
      </c>
      <c r="L93" s="110">
        <v>2199.799</v>
      </c>
      <c r="M93" s="110">
        <v>1809.0619999999999</v>
      </c>
      <c r="N93" s="110">
        <v>1453.6</v>
      </c>
      <c r="O93" s="110">
        <v>1170.3979999999999</v>
      </c>
      <c r="P93" s="110">
        <v>928.75400000000002</v>
      </c>
      <c r="Q93" s="110">
        <v>712.97299999999996</v>
      </c>
      <c r="R93" s="110">
        <v>529.69500000000005</v>
      </c>
      <c r="S93" s="110">
        <v>393.98500000000001</v>
      </c>
      <c r="T93" s="110">
        <v>306.98500000000001</v>
      </c>
      <c r="U93" s="110">
        <v>239.60900000000001</v>
      </c>
      <c r="V93" s="110">
        <v>165.035</v>
      </c>
      <c r="W93" s="110">
        <v>105.31100000000001</v>
      </c>
      <c r="X93" s="110">
        <v>51.258000000000003</v>
      </c>
      <c r="Y93" s="110">
        <v>24.079000000000001</v>
      </c>
      <c r="Z93" s="110">
        <v>6.29</v>
      </c>
      <c r="AA93" s="110">
        <v>0.95799999999999996</v>
      </c>
      <c r="AB93" s="110">
        <v>7.8E-2</v>
      </c>
      <c r="AC93" s="115">
        <f t="shared" si="4"/>
        <v>10940.859</v>
      </c>
      <c r="AD93">
        <f t="shared" si="5"/>
        <v>1.0382276927865446</v>
      </c>
    </row>
    <row r="94" spans="1:30" x14ac:dyDescent="0.25">
      <c r="A94" s="104" t="str">
        <f t="shared" si="3"/>
        <v>Uganda2021</v>
      </c>
      <c r="C94" s="107" t="s">
        <v>257</v>
      </c>
      <c r="D94" s="108" t="s">
        <v>154</v>
      </c>
      <c r="E94" s="109"/>
      <c r="F94" s="109">
        <v>800</v>
      </c>
      <c r="G94" s="109">
        <v>2021</v>
      </c>
      <c r="H94" s="110">
        <v>4284.1109999999999</v>
      </c>
      <c r="I94" s="110">
        <v>3713.0079999999998</v>
      </c>
      <c r="J94" s="110">
        <v>3225.8180000000002</v>
      </c>
      <c r="K94" s="110">
        <v>2753.0340000000001</v>
      </c>
      <c r="L94" s="110">
        <v>2278.7570000000001</v>
      </c>
      <c r="M94" s="110">
        <v>1874.171</v>
      </c>
      <c r="N94" s="110">
        <v>1509.569</v>
      </c>
      <c r="O94" s="110">
        <v>1213.3800000000001</v>
      </c>
      <c r="P94" s="110">
        <v>966.61599999999999</v>
      </c>
      <c r="Q94" s="110">
        <v>746.72400000000005</v>
      </c>
      <c r="R94" s="110">
        <v>556.53899999999999</v>
      </c>
      <c r="S94" s="110">
        <v>410.97500000000002</v>
      </c>
      <c r="T94" s="110">
        <v>315.44400000000002</v>
      </c>
      <c r="U94" s="110">
        <v>245.786</v>
      </c>
      <c r="V94" s="110">
        <v>170.93</v>
      </c>
      <c r="W94" s="110">
        <v>108.741</v>
      </c>
      <c r="X94" s="110">
        <v>54.234000000000002</v>
      </c>
      <c r="Y94" s="110">
        <v>24.707000000000001</v>
      </c>
      <c r="Z94" s="110">
        <v>7.4509999999999996</v>
      </c>
      <c r="AA94" s="110">
        <v>1.109</v>
      </c>
      <c r="AB94" s="110">
        <v>8.3000000000000004E-2</v>
      </c>
      <c r="AC94" s="115">
        <f t="shared" si="4"/>
        <v>11342.251</v>
      </c>
      <c r="AD94">
        <f t="shared" si="5"/>
        <v>1.036687430118604</v>
      </c>
    </row>
    <row r="95" spans="1:30" x14ac:dyDescent="0.25">
      <c r="A95" s="104" t="str">
        <f t="shared" si="3"/>
        <v>Uganda2022</v>
      </c>
      <c r="C95" s="107" t="s">
        <v>257</v>
      </c>
      <c r="D95" s="108" t="s">
        <v>154</v>
      </c>
      <c r="E95" s="109"/>
      <c r="F95" s="109">
        <v>800</v>
      </c>
      <c r="G95" s="109">
        <v>2022</v>
      </c>
      <c r="H95" s="110">
        <v>4379.4539999999997</v>
      </c>
      <c r="I95" s="110">
        <v>3808.6039999999998</v>
      </c>
      <c r="J95" s="110">
        <v>3312.788</v>
      </c>
      <c r="K95" s="110">
        <v>2840.7649999999999</v>
      </c>
      <c r="L95" s="110">
        <v>2362.7710000000002</v>
      </c>
      <c r="M95" s="110">
        <v>1940.3610000000001</v>
      </c>
      <c r="N95" s="110">
        <v>1569.684</v>
      </c>
      <c r="O95" s="110">
        <v>1257.924</v>
      </c>
      <c r="P95" s="110">
        <v>1005.196</v>
      </c>
      <c r="Q95" s="110">
        <v>781.62800000000004</v>
      </c>
      <c r="R95" s="110">
        <v>585.24199999999996</v>
      </c>
      <c r="S95" s="110">
        <v>430.255</v>
      </c>
      <c r="T95" s="110">
        <v>325.22800000000001</v>
      </c>
      <c r="U95" s="110">
        <v>251.923</v>
      </c>
      <c r="V95" s="110">
        <v>177.96700000000001</v>
      </c>
      <c r="W95" s="110">
        <v>111.767</v>
      </c>
      <c r="X95" s="110">
        <v>57.607999999999997</v>
      </c>
      <c r="Y95" s="110">
        <v>24.617000000000001</v>
      </c>
      <c r="Z95" s="110">
        <v>8.3089999999999993</v>
      </c>
      <c r="AA95" s="110">
        <v>1.375</v>
      </c>
      <c r="AB95" s="110">
        <v>8.7999999999999995E-2</v>
      </c>
      <c r="AC95" s="115">
        <f t="shared" si="4"/>
        <v>11758.329000000002</v>
      </c>
      <c r="AD95">
        <f t="shared" si="5"/>
        <v>1.0366838998713748</v>
      </c>
    </row>
    <row r="96" spans="1:30" x14ac:dyDescent="0.25">
      <c r="A96" s="104" t="str">
        <f t="shared" si="3"/>
        <v>Uganda2023</v>
      </c>
      <c r="C96" s="107" t="s">
        <v>257</v>
      </c>
      <c r="D96" s="108" t="s">
        <v>154</v>
      </c>
      <c r="E96" s="109"/>
      <c r="F96" s="109">
        <v>800</v>
      </c>
      <c r="G96" s="109">
        <v>2023</v>
      </c>
      <c r="H96" s="110">
        <v>4470.9459999999999</v>
      </c>
      <c r="I96" s="110">
        <v>3905.2420000000002</v>
      </c>
      <c r="J96" s="110">
        <v>3400.806</v>
      </c>
      <c r="K96" s="110">
        <v>2928.973</v>
      </c>
      <c r="L96" s="110">
        <v>2450.433</v>
      </c>
      <c r="M96" s="110">
        <v>2008.616</v>
      </c>
      <c r="N96" s="110">
        <v>1632.9749999999999</v>
      </c>
      <c r="O96" s="110">
        <v>1304.664</v>
      </c>
      <c r="P96" s="110">
        <v>1044.518</v>
      </c>
      <c r="Q96" s="110">
        <v>817.47699999999998</v>
      </c>
      <c r="R96" s="110">
        <v>615.51900000000001</v>
      </c>
      <c r="S96" s="110">
        <v>451.62599999999998</v>
      </c>
      <c r="T96" s="110">
        <v>336.589</v>
      </c>
      <c r="U96" s="110">
        <v>258.42399999999998</v>
      </c>
      <c r="V96" s="110">
        <v>185.68799999999999</v>
      </c>
      <c r="W96" s="110">
        <v>114.97499999999999</v>
      </c>
      <c r="X96" s="110">
        <v>60.948</v>
      </c>
      <c r="Y96" s="110">
        <v>24.222999999999999</v>
      </c>
      <c r="Z96" s="110">
        <v>8.7620000000000005</v>
      </c>
      <c r="AA96" s="110">
        <v>1.5780000000000001</v>
      </c>
      <c r="AB96" s="110">
        <v>9.4E-2</v>
      </c>
      <c r="AC96" s="115">
        <f t="shared" si="4"/>
        <v>12187.656000000001</v>
      </c>
      <c r="AD96">
        <f t="shared" si="5"/>
        <v>1.0365125860996065</v>
      </c>
    </row>
    <row r="97" spans="1:30" x14ac:dyDescent="0.25">
      <c r="A97" s="104" t="str">
        <f t="shared" si="3"/>
        <v>Uganda2024</v>
      </c>
      <c r="C97" s="107" t="s">
        <v>257</v>
      </c>
      <c r="D97" s="108" t="s">
        <v>154</v>
      </c>
      <c r="E97" s="109"/>
      <c r="F97" s="109">
        <v>800</v>
      </c>
      <c r="G97" s="109">
        <v>2024</v>
      </c>
      <c r="H97" s="110">
        <v>4562.1480000000001</v>
      </c>
      <c r="I97" s="110">
        <v>4001.011</v>
      </c>
      <c r="J97" s="110">
        <v>3490.1190000000001</v>
      </c>
      <c r="K97" s="110">
        <v>3017.3339999999998</v>
      </c>
      <c r="L97" s="110">
        <v>2539.5630000000001</v>
      </c>
      <c r="M97" s="110">
        <v>2080.6289999999999</v>
      </c>
      <c r="N97" s="110">
        <v>1697.9069999999999</v>
      </c>
      <c r="O97" s="110">
        <v>1354.4290000000001</v>
      </c>
      <c r="P97" s="110">
        <v>1084.787</v>
      </c>
      <c r="Q97" s="110">
        <v>853.94899999999996</v>
      </c>
      <c r="R97" s="110">
        <v>646.99800000000005</v>
      </c>
      <c r="S97" s="110">
        <v>474.84699999999998</v>
      </c>
      <c r="T97" s="110">
        <v>349.86</v>
      </c>
      <c r="U97" s="110">
        <v>265.81</v>
      </c>
      <c r="V97" s="110">
        <v>193.41</v>
      </c>
      <c r="W97" s="110">
        <v>118.99299999999999</v>
      </c>
      <c r="X97" s="110">
        <v>63.817999999999998</v>
      </c>
      <c r="Y97" s="110">
        <v>24.044</v>
      </c>
      <c r="Z97" s="110">
        <v>8.6120000000000001</v>
      </c>
      <c r="AA97" s="110">
        <v>1.5660000000000001</v>
      </c>
      <c r="AB97" s="110">
        <v>9.9000000000000005E-2</v>
      </c>
      <c r="AC97" s="115">
        <f t="shared" si="4"/>
        <v>12628.598</v>
      </c>
      <c r="AD97">
        <f t="shared" si="5"/>
        <v>1.036179393314022</v>
      </c>
    </row>
    <row r="98" spans="1:30" x14ac:dyDescent="0.25">
      <c r="A98" s="104" t="str">
        <f t="shared" si="3"/>
        <v>Uganda2025</v>
      </c>
      <c r="C98" s="107" t="s">
        <v>257</v>
      </c>
      <c r="D98" s="108" t="s">
        <v>154</v>
      </c>
      <c r="E98" s="109"/>
      <c r="F98" s="109">
        <v>800</v>
      </c>
      <c r="G98" s="109">
        <v>2025</v>
      </c>
      <c r="H98" s="110">
        <v>4656.3119999999999</v>
      </c>
      <c r="I98" s="110">
        <v>4093.654</v>
      </c>
      <c r="J98" s="110">
        <v>3580.6120000000001</v>
      </c>
      <c r="K98" s="110">
        <v>3105.7750000000001</v>
      </c>
      <c r="L98" s="110">
        <v>2628.7379999999998</v>
      </c>
      <c r="M98" s="110">
        <v>2157.3969999999999</v>
      </c>
      <c r="N98" s="110">
        <v>1763.607</v>
      </c>
      <c r="O98" s="110">
        <v>1407.6859999999999</v>
      </c>
      <c r="P98" s="110">
        <v>1126.3230000000001</v>
      </c>
      <c r="Q98" s="110">
        <v>890.80899999999997</v>
      </c>
      <c r="R98" s="110">
        <v>679.428</v>
      </c>
      <c r="S98" s="110">
        <v>499.75599999999997</v>
      </c>
      <c r="T98" s="110">
        <v>365.22800000000001</v>
      </c>
      <c r="U98" s="110">
        <v>274.40100000000001</v>
      </c>
      <c r="V98" s="110">
        <v>200.81800000000001</v>
      </c>
      <c r="W98" s="110">
        <v>124.1</v>
      </c>
      <c r="X98" s="110">
        <v>66.204999999999998</v>
      </c>
      <c r="Y98" s="110">
        <v>24.314</v>
      </c>
      <c r="Z98" s="110">
        <v>7.7380000000000004</v>
      </c>
      <c r="AA98" s="110">
        <v>1.2190000000000001</v>
      </c>
      <c r="AB98" s="110">
        <v>0.105</v>
      </c>
      <c r="AC98" s="115">
        <f t="shared" si="4"/>
        <v>13080.334999999999</v>
      </c>
      <c r="AD98">
        <f t="shared" si="5"/>
        <v>1.0357709541470874</v>
      </c>
    </row>
    <row r="99" spans="1:30" x14ac:dyDescent="0.25">
      <c r="A99" s="104" t="str">
        <f t="shared" si="3"/>
        <v>Uganda2026</v>
      </c>
      <c r="C99" s="107" t="s">
        <v>257</v>
      </c>
      <c r="D99" s="108" t="s">
        <v>154</v>
      </c>
      <c r="E99" s="109"/>
      <c r="F99" s="109">
        <v>800</v>
      </c>
      <c r="G99" s="109">
        <v>2026</v>
      </c>
      <c r="H99" s="110">
        <v>4755.357</v>
      </c>
      <c r="I99" s="110">
        <v>4192.8770000000004</v>
      </c>
      <c r="J99" s="110">
        <v>3672.5419999999999</v>
      </c>
      <c r="K99" s="110">
        <v>3192.3240000000001</v>
      </c>
      <c r="L99" s="110">
        <v>2715.721</v>
      </c>
      <c r="M99" s="110">
        <v>2236.6660000000002</v>
      </c>
      <c r="N99" s="110">
        <v>1828.7570000000001</v>
      </c>
      <c r="O99" s="110">
        <v>1463.395</v>
      </c>
      <c r="P99" s="110">
        <v>1169.1089999999999</v>
      </c>
      <c r="Q99" s="110">
        <v>927.61300000000006</v>
      </c>
      <c r="R99" s="110">
        <v>712.12900000000002</v>
      </c>
      <c r="S99" s="110">
        <v>525.34199999999998</v>
      </c>
      <c r="T99" s="110">
        <v>380.94600000000003</v>
      </c>
      <c r="U99" s="110">
        <v>282.053</v>
      </c>
      <c r="V99" s="110">
        <v>206.12799999999999</v>
      </c>
      <c r="W99" s="110">
        <v>129.12200000000001</v>
      </c>
      <c r="X99" s="110">
        <v>69.087999999999994</v>
      </c>
      <c r="Y99" s="110">
        <v>26.742999999999999</v>
      </c>
      <c r="Z99" s="110">
        <v>8.3870000000000005</v>
      </c>
      <c r="AA99" s="110">
        <v>1.45</v>
      </c>
      <c r="AB99" s="110">
        <v>0.111</v>
      </c>
      <c r="AC99" s="115">
        <f t="shared" si="4"/>
        <v>13533.585000000001</v>
      </c>
      <c r="AD99">
        <f t="shared" si="5"/>
        <v>1.0346512531980261</v>
      </c>
    </row>
    <row r="100" spans="1:30" x14ac:dyDescent="0.25">
      <c r="A100" s="104" t="str">
        <f t="shared" si="3"/>
        <v>Uganda2027</v>
      </c>
      <c r="C100" s="107" t="s">
        <v>257</v>
      </c>
      <c r="D100" s="108" t="s">
        <v>154</v>
      </c>
      <c r="E100" s="109"/>
      <c r="F100" s="109">
        <v>800</v>
      </c>
      <c r="G100" s="109">
        <v>2027</v>
      </c>
      <c r="H100" s="110">
        <v>4851.4480000000003</v>
      </c>
      <c r="I100" s="110">
        <v>4291.6949999999997</v>
      </c>
      <c r="J100" s="110">
        <v>3767.0369999999998</v>
      </c>
      <c r="K100" s="110">
        <v>3279.2860000000001</v>
      </c>
      <c r="L100" s="110">
        <v>2803.1309999999999</v>
      </c>
      <c r="M100" s="110">
        <v>2320.453</v>
      </c>
      <c r="N100" s="110">
        <v>1894.652</v>
      </c>
      <c r="O100" s="110">
        <v>1522.8869999999999</v>
      </c>
      <c r="P100" s="110">
        <v>1213.194</v>
      </c>
      <c r="Q100" s="110">
        <v>965.11800000000005</v>
      </c>
      <c r="R100" s="110">
        <v>745.952</v>
      </c>
      <c r="S100" s="110">
        <v>552.80200000000002</v>
      </c>
      <c r="T100" s="110">
        <v>398.93900000000002</v>
      </c>
      <c r="U100" s="110">
        <v>290.94099999999997</v>
      </c>
      <c r="V100" s="110">
        <v>211.44300000000001</v>
      </c>
      <c r="W100" s="110">
        <v>134.80500000000001</v>
      </c>
      <c r="X100" s="110">
        <v>71.403000000000006</v>
      </c>
      <c r="Y100" s="110">
        <v>28.905999999999999</v>
      </c>
      <c r="Z100" s="110">
        <v>8.6039999999999992</v>
      </c>
      <c r="AA100" s="110">
        <v>1.825</v>
      </c>
      <c r="AB100" s="110">
        <v>0.11700000000000001</v>
      </c>
      <c r="AC100" s="115">
        <f t="shared" si="4"/>
        <v>13998.721</v>
      </c>
      <c r="AD100">
        <f t="shared" si="5"/>
        <v>1.0343690160441597</v>
      </c>
    </row>
    <row r="101" spans="1:30" x14ac:dyDescent="0.25">
      <c r="A101" s="104" t="str">
        <f t="shared" si="3"/>
        <v>Uganda2028</v>
      </c>
      <c r="C101" s="107" t="s">
        <v>257</v>
      </c>
      <c r="D101" s="108" t="s">
        <v>154</v>
      </c>
      <c r="E101" s="109"/>
      <c r="F101" s="109">
        <v>800</v>
      </c>
      <c r="G101" s="109">
        <v>2028</v>
      </c>
      <c r="H101" s="110">
        <v>4945.7659999999996</v>
      </c>
      <c r="I101" s="110">
        <v>4389.0709999999999</v>
      </c>
      <c r="J101" s="110">
        <v>3863.5830000000001</v>
      </c>
      <c r="K101" s="110">
        <v>3367.1320000000001</v>
      </c>
      <c r="L101" s="110">
        <v>2890.8850000000002</v>
      </c>
      <c r="M101" s="110">
        <v>2407.498</v>
      </c>
      <c r="N101" s="110">
        <v>1962.4069999999999</v>
      </c>
      <c r="O101" s="110">
        <v>1585.3879999999999</v>
      </c>
      <c r="P101" s="110">
        <v>1259.095</v>
      </c>
      <c r="Q101" s="110">
        <v>1003.529</v>
      </c>
      <c r="R101" s="110">
        <v>780.68100000000004</v>
      </c>
      <c r="S101" s="110">
        <v>581.85400000000004</v>
      </c>
      <c r="T101" s="110">
        <v>419.10899999999998</v>
      </c>
      <c r="U101" s="110">
        <v>301.35899999999998</v>
      </c>
      <c r="V101" s="110">
        <v>217.19499999999999</v>
      </c>
      <c r="W101" s="110">
        <v>140.87</v>
      </c>
      <c r="X101" s="110">
        <v>73.578000000000003</v>
      </c>
      <c r="Y101" s="110">
        <v>30.486999999999998</v>
      </c>
      <c r="Z101" s="110">
        <v>8.6310000000000002</v>
      </c>
      <c r="AA101" s="110">
        <v>2.0830000000000002</v>
      </c>
      <c r="AB101" s="110">
        <v>0.123</v>
      </c>
      <c r="AC101" s="115">
        <f t="shared" si="4"/>
        <v>14475.933999999997</v>
      </c>
      <c r="AD101">
        <f t="shared" si="5"/>
        <v>1.0340897571999612</v>
      </c>
    </row>
    <row r="102" spans="1:30" x14ac:dyDescent="0.25">
      <c r="A102" s="104" t="str">
        <f t="shared" si="3"/>
        <v>Uganda2029</v>
      </c>
      <c r="C102" s="107" t="s">
        <v>257</v>
      </c>
      <c r="D102" s="108" t="s">
        <v>154</v>
      </c>
      <c r="E102" s="109"/>
      <c r="F102" s="109">
        <v>800</v>
      </c>
      <c r="G102" s="109">
        <v>2029</v>
      </c>
      <c r="H102" s="110">
        <v>5038.9830000000002</v>
      </c>
      <c r="I102" s="110">
        <v>4484.4380000000001</v>
      </c>
      <c r="J102" s="110">
        <v>3961.0210000000002</v>
      </c>
      <c r="K102" s="110">
        <v>3456.76</v>
      </c>
      <c r="L102" s="110">
        <v>2979.0970000000002</v>
      </c>
      <c r="M102" s="110">
        <v>2495.933</v>
      </c>
      <c r="N102" s="110">
        <v>2033.867</v>
      </c>
      <c r="O102" s="110">
        <v>1649.5519999999999</v>
      </c>
      <c r="P102" s="110">
        <v>1307.74</v>
      </c>
      <c r="Q102" s="110">
        <v>1043.105</v>
      </c>
      <c r="R102" s="110">
        <v>816.06100000000004</v>
      </c>
      <c r="S102" s="110">
        <v>612.18899999999996</v>
      </c>
      <c r="T102" s="110">
        <v>441.28500000000003</v>
      </c>
      <c r="U102" s="110">
        <v>313.70699999999999</v>
      </c>
      <c r="V102" s="110">
        <v>223.86600000000001</v>
      </c>
      <c r="W102" s="110">
        <v>146.87</v>
      </c>
      <c r="X102" s="110">
        <v>76.076999999999998</v>
      </c>
      <c r="Y102" s="110">
        <v>31.501000000000001</v>
      </c>
      <c r="Z102" s="110">
        <v>8.4090000000000007</v>
      </c>
      <c r="AA102" s="110">
        <v>2.0289999999999999</v>
      </c>
      <c r="AB102" s="110">
        <v>0.129</v>
      </c>
      <c r="AC102" s="115">
        <f t="shared" si="4"/>
        <v>14966.054</v>
      </c>
      <c r="AD102">
        <f t="shared" si="5"/>
        <v>1.0338575735424052</v>
      </c>
    </row>
    <row r="103" spans="1:30" x14ac:dyDescent="0.25">
      <c r="A103" s="104" t="str">
        <f t="shared" si="3"/>
        <v>Uganda2030</v>
      </c>
      <c r="C103" s="107" t="s">
        <v>257</v>
      </c>
      <c r="D103" s="108" t="s">
        <v>154</v>
      </c>
      <c r="E103" s="109"/>
      <c r="F103" s="109">
        <v>800</v>
      </c>
      <c r="G103" s="109">
        <v>2030</v>
      </c>
      <c r="H103" s="110">
        <v>5132.2740000000003</v>
      </c>
      <c r="I103" s="110">
        <v>4577.3810000000003</v>
      </c>
      <c r="J103" s="110">
        <v>4057.9</v>
      </c>
      <c r="K103" s="110">
        <v>3548.6779999999999</v>
      </c>
      <c r="L103" s="110">
        <v>3067.8380000000002</v>
      </c>
      <c r="M103" s="110">
        <v>2584.5360000000001</v>
      </c>
      <c r="N103" s="110">
        <v>2110.0590000000002</v>
      </c>
      <c r="O103" s="110">
        <v>1714.5319999999999</v>
      </c>
      <c r="P103" s="110">
        <v>1359.7850000000001</v>
      </c>
      <c r="Q103" s="110">
        <v>1083.999</v>
      </c>
      <c r="R103" s="110">
        <v>851.96500000000003</v>
      </c>
      <c r="S103" s="110">
        <v>643.58000000000004</v>
      </c>
      <c r="T103" s="110">
        <v>465.29500000000002</v>
      </c>
      <c r="U103" s="110">
        <v>328.238</v>
      </c>
      <c r="V103" s="110">
        <v>231.73099999999999</v>
      </c>
      <c r="W103" s="110">
        <v>152.66300000000001</v>
      </c>
      <c r="X103" s="110">
        <v>79.161000000000001</v>
      </c>
      <c r="Y103" s="110">
        <v>31.966999999999999</v>
      </c>
      <c r="Z103" s="110">
        <v>7.9569999999999999</v>
      </c>
      <c r="AA103" s="110">
        <v>1.5269999999999999</v>
      </c>
      <c r="AB103" s="110">
        <v>0.13600000000000001</v>
      </c>
      <c r="AC103" s="115">
        <f t="shared" si="4"/>
        <v>15469.427</v>
      </c>
      <c r="AD103">
        <f t="shared" si="5"/>
        <v>1.033634316700982</v>
      </c>
    </row>
    <row r="104" spans="1:30" x14ac:dyDescent="0.25">
      <c r="A104" s="104" t="str">
        <f t="shared" si="3"/>
        <v>Uganda2031</v>
      </c>
      <c r="C104" s="107" t="s">
        <v>257</v>
      </c>
      <c r="D104" s="108" t="s">
        <v>154</v>
      </c>
      <c r="E104" s="109"/>
      <c r="F104" s="109">
        <v>800</v>
      </c>
      <c r="G104" s="109">
        <v>2031</v>
      </c>
      <c r="H104" s="110">
        <v>5230.0450000000001</v>
      </c>
      <c r="I104" s="110">
        <v>4676.6909999999998</v>
      </c>
      <c r="J104" s="110">
        <v>4154.1639999999998</v>
      </c>
      <c r="K104" s="110">
        <v>3640.5830000000001</v>
      </c>
      <c r="L104" s="110">
        <v>3154.5120000000002</v>
      </c>
      <c r="M104" s="110">
        <v>2671.6729999999998</v>
      </c>
      <c r="N104" s="110">
        <v>2189.3359999999998</v>
      </c>
      <c r="O104" s="110">
        <v>1779.5530000000001</v>
      </c>
      <c r="P104" s="110">
        <v>1415.308</v>
      </c>
      <c r="Q104" s="110">
        <v>1125.713</v>
      </c>
      <c r="R104" s="110">
        <v>887.69299999999998</v>
      </c>
      <c r="S104" s="110">
        <v>674.80100000000004</v>
      </c>
      <c r="T104" s="110">
        <v>488.99200000000002</v>
      </c>
      <c r="U104" s="110">
        <v>342.42399999999998</v>
      </c>
      <c r="V104" s="110">
        <v>238.38499999999999</v>
      </c>
      <c r="W104" s="110">
        <v>157.078</v>
      </c>
      <c r="X104" s="110">
        <v>83.397000000000006</v>
      </c>
      <c r="Y104" s="110">
        <v>34.377000000000002</v>
      </c>
      <c r="Z104" s="110">
        <v>9.3219999999999992</v>
      </c>
      <c r="AA104" s="110">
        <v>1.643</v>
      </c>
      <c r="AB104" s="110">
        <v>0.14399999999999999</v>
      </c>
      <c r="AC104" s="115">
        <f t="shared" si="4"/>
        <v>15976.678</v>
      </c>
      <c r="AD104">
        <f t="shared" si="5"/>
        <v>1.0327905487384892</v>
      </c>
    </row>
    <row r="105" spans="1:30" x14ac:dyDescent="0.25">
      <c r="A105" s="104" t="str">
        <f t="shared" si="3"/>
        <v>Uganda2032</v>
      </c>
      <c r="C105" s="107" t="s">
        <v>257</v>
      </c>
      <c r="D105" s="108" t="s">
        <v>154</v>
      </c>
      <c r="E105" s="109"/>
      <c r="F105" s="109">
        <v>800</v>
      </c>
      <c r="G105" s="109">
        <v>2032</v>
      </c>
      <c r="H105" s="110">
        <v>5321.8040000000001</v>
      </c>
      <c r="I105" s="110">
        <v>4776.1469999999999</v>
      </c>
      <c r="J105" s="110">
        <v>4251.268</v>
      </c>
      <c r="K105" s="110">
        <v>3735.306</v>
      </c>
      <c r="L105" s="110">
        <v>3241.5970000000002</v>
      </c>
      <c r="M105" s="110">
        <v>2759.2040000000002</v>
      </c>
      <c r="N105" s="110">
        <v>2273.0680000000002</v>
      </c>
      <c r="O105" s="110">
        <v>1845.373</v>
      </c>
      <c r="P105" s="110">
        <v>1474.614</v>
      </c>
      <c r="Q105" s="110">
        <v>1168.944</v>
      </c>
      <c r="R105" s="110">
        <v>924.29899999999998</v>
      </c>
      <c r="S105" s="110">
        <v>707.36400000000003</v>
      </c>
      <c r="T105" s="110">
        <v>514.77700000000004</v>
      </c>
      <c r="U105" s="110">
        <v>358.82</v>
      </c>
      <c r="V105" s="110">
        <v>246.09399999999999</v>
      </c>
      <c r="W105" s="110">
        <v>161.404</v>
      </c>
      <c r="X105" s="110">
        <v>87.653999999999996</v>
      </c>
      <c r="Y105" s="110">
        <v>36.055</v>
      </c>
      <c r="Z105" s="110">
        <v>10.378</v>
      </c>
      <c r="AA105" s="110">
        <v>1.883</v>
      </c>
      <c r="AB105" s="110">
        <v>0.152</v>
      </c>
      <c r="AC105" s="115">
        <f t="shared" si="4"/>
        <v>16498.106</v>
      </c>
      <c r="AD105">
        <f t="shared" si="5"/>
        <v>1.0326368222480293</v>
      </c>
    </row>
    <row r="106" spans="1:30" x14ac:dyDescent="0.25">
      <c r="A106" s="104" t="str">
        <f t="shared" si="3"/>
        <v>Uganda2033</v>
      </c>
      <c r="C106" s="107" t="s">
        <v>257</v>
      </c>
      <c r="D106" s="108" t="s">
        <v>154</v>
      </c>
      <c r="E106" s="109"/>
      <c r="F106" s="109">
        <v>800</v>
      </c>
      <c r="G106" s="109">
        <v>2033</v>
      </c>
      <c r="H106" s="110">
        <v>5409.2439999999997</v>
      </c>
      <c r="I106" s="110">
        <v>4874.6189999999997</v>
      </c>
      <c r="J106" s="110">
        <v>4348.95</v>
      </c>
      <c r="K106" s="110">
        <v>3832.0659999999998</v>
      </c>
      <c r="L106" s="110">
        <v>3329.6190000000001</v>
      </c>
      <c r="M106" s="110">
        <v>2846.9589999999998</v>
      </c>
      <c r="N106" s="110">
        <v>2359.9690000000001</v>
      </c>
      <c r="O106" s="110">
        <v>1913.1089999999999</v>
      </c>
      <c r="P106" s="110">
        <v>1536.6980000000001</v>
      </c>
      <c r="Q106" s="110">
        <v>1214.2940000000001</v>
      </c>
      <c r="R106" s="110">
        <v>961.89</v>
      </c>
      <c r="S106" s="110">
        <v>740.98699999999997</v>
      </c>
      <c r="T106" s="110">
        <v>542.44000000000005</v>
      </c>
      <c r="U106" s="110">
        <v>377.35899999999998</v>
      </c>
      <c r="V106" s="110">
        <v>255.21199999999999</v>
      </c>
      <c r="W106" s="110">
        <v>166.10400000000001</v>
      </c>
      <c r="X106" s="110">
        <v>91.741</v>
      </c>
      <c r="Y106" s="110">
        <v>37.104999999999997</v>
      </c>
      <c r="Z106" s="110">
        <v>11.1</v>
      </c>
      <c r="AA106" s="110">
        <v>2.0710000000000002</v>
      </c>
      <c r="AB106" s="110">
        <v>0.16</v>
      </c>
      <c r="AC106" s="115">
        <f t="shared" si="4"/>
        <v>17032.714000000004</v>
      </c>
      <c r="AD106">
        <f t="shared" si="5"/>
        <v>1.0324042044583788</v>
      </c>
    </row>
    <row r="107" spans="1:30" x14ac:dyDescent="0.25">
      <c r="A107" s="104" t="str">
        <f t="shared" si="3"/>
        <v>Uganda2034</v>
      </c>
      <c r="C107" s="107" t="s">
        <v>257</v>
      </c>
      <c r="D107" s="108" t="s">
        <v>154</v>
      </c>
      <c r="E107" s="109"/>
      <c r="F107" s="109">
        <v>800</v>
      </c>
      <c r="G107" s="109">
        <v>2034</v>
      </c>
      <c r="H107" s="110">
        <v>5494.3810000000003</v>
      </c>
      <c r="I107" s="110">
        <v>4970.7700000000004</v>
      </c>
      <c r="J107" s="110">
        <v>4446.9189999999999</v>
      </c>
      <c r="K107" s="110">
        <v>3929.7339999999999</v>
      </c>
      <c r="L107" s="110">
        <v>3419.422</v>
      </c>
      <c r="M107" s="110">
        <v>2934.9470000000001</v>
      </c>
      <c r="N107" s="110">
        <v>2448.0819999999999</v>
      </c>
      <c r="O107" s="110">
        <v>1984.454</v>
      </c>
      <c r="P107" s="110">
        <v>1600.1420000000001</v>
      </c>
      <c r="Q107" s="110">
        <v>1262.5889999999999</v>
      </c>
      <c r="R107" s="110">
        <v>1000.658</v>
      </c>
      <c r="S107" s="110">
        <v>775.37400000000002</v>
      </c>
      <c r="T107" s="110">
        <v>571.64300000000003</v>
      </c>
      <c r="U107" s="110">
        <v>397.94799999999998</v>
      </c>
      <c r="V107" s="110">
        <v>266.185</v>
      </c>
      <c r="W107" s="110">
        <v>171.56700000000001</v>
      </c>
      <c r="X107" s="110">
        <v>95.41</v>
      </c>
      <c r="Y107" s="110">
        <v>37.97</v>
      </c>
      <c r="Z107" s="110">
        <v>11.22</v>
      </c>
      <c r="AA107" s="110">
        <v>2.0310000000000001</v>
      </c>
      <c r="AB107" s="110">
        <v>0.16700000000000001</v>
      </c>
      <c r="AC107" s="115">
        <f t="shared" si="4"/>
        <v>17579.37</v>
      </c>
      <c r="AD107">
        <f t="shared" si="5"/>
        <v>1.0320944741982985</v>
      </c>
    </row>
    <row r="108" spans="1:30" x14ac:dyDescent="0.25">
      <c r="A108" s="104" t="str">
        <f t="shared" si="3"/>
        <v>Uganda2035</v>
      </c>
      <c r="C108" s="107" t="s">
        <v>257</v>
      </c>
      <c r="D108" s="108" t="s">
        <v>154</v>
      </c>
      <c r="E108" s="109"/>
      <c r="F108" s="109">
        <v>800</v>
      </c>
      <c r="G108" s="109">
        <v>2035</v>
      </c>
      <c r="H108" s="110">
        <v>5579.1080000000002</v>
      </c>
      <c r="I108" s="110">
        <v>5063.1710000000003</v>
      </c>
      <c r="J108" s="110">
        <v>4544.643</v>
      </c>
      <c r="K108" s="110">
        <v>4027.5749999999998</v>
      </c>
      <c r="L108" s="110">
        <v>3511.5210000000002</v>
      </c>
      <c r="M108" s="110">
        <v>3023.2739999999999</v>
      </c>
      <c r="N108" s="110">
        <v>2536.1559999999999</v>
      </c>
      <c r="O108" s="110">
        <v>2060.2930000000001</v>
      </c>
      <c r="P108" s="110">
        <v>1664.2529999999999</v>
      </c>
      <c r="Q108" s="110">
        <v>1314.2439999999999</v>
      </c>
      <c r="R108" s="110">
        <v>1040.8140000000001</v>
      </c>
      <c r="S108" s="110">
        <v>810.38</v>
      </c>
      <c r="T108" s="110">
        <v>602.09199999999998</v>
      </c>
      <c r="U108" s="110">
        <v>420.53</v>
      </c>
      <c r="V108" s="110">
        <v>279.29000000000002</v>
      </c>
      <c r="W108" s="110">
        <v>178.00899999999999</v>
      </c>
      <c r="X108" s="110">
        <v>98.733000000000004</v>
      </c>
      <c r="Y108" s="110">
        <v>38.847000000000001</v>
      </c>
      <c r="Z108" s="110">
        <v>10.643000000000001</v>
      </c>
      <c r="AA108" s="110">
        <v>1.595</v>
      </c>
      <c r="AB108" s="110">
        <v>0.17199999999999999</v>
      </c>
      <c r="AC108" s="115">
        <f t="shared" si="4"/>
        <v>18137.315999999995</v>
      </c>
      <c r="AD108">
        <f t="shared" si="5"/>
        <v>1.0317386800550872</v>
      </c>
    </row>
    <row r="109" spans="1:30" x14ac:dyDescent="0.25">
      <c r="A109" s="104" t="str">
        <f t="shared" si="3"/>
        <v>Uganda2036</v>
      </c>
      <c r="C109" s="107" t="s">
        <v>257</v>
      </c>
      <c r="D109" s="108" t="s">
        <v>154</v>
      </c>
      <c r="E109" s="109"/>
      <c r="F109" s="109">
        <v>800</v>
      </c>
      <c r="G109" s="109">
        <v>2036</v>
      </c>
      <c r="H109" s="110">
        <v>5665.8149999999996</v>
      </c>
      <c r="I109" s="110">
        <v>5159.3969999999999</v>
      </c>
      <c r="J109" s="110">
        <v>4642.3370000000004</v>
      </c>
      <c r="K109" s="110">
        <v>4123.9880000000003</v>
      </c>
      <c r="L109" s="110">
        <v>3604.0050000000001</v>
      </c>
      <c r="M109" s="110">
        <v>3110.701</v>
      </c>
      <c r="N109" s="110">
        <v>2623.701</v>
      </c>
      <c r="O109" s="110">
        <v>2139.701</v>
      </c>
      <c r="P109" s="110">
        <v>1729.473</v>
      </c>
      <c r="Q109" s="110">
        <v>1368.8589999999999</v>
      </c>
      <c r="R109" s="110">
        <v>1081.665</v>
      </c>
      <c r="S109" s="110">
        <v>844.77599999999995</v>
      </c>
      <c r="T109" s="110">
        <v>631.26700000000005</v>
      </c>
      <c r="U109" s="110">
        <v>442.149</v>
      </c>
      <c r="V109" s="110">
        <v>291.75599999999997</v>
      </c>
      <c r="W109" s="110">
        <v>183.703</v>
      </c>
      <c r="X109" s="110">
        <v>102.6</v>
      </c>
      <c r="Y109" s="110">
        <v>42.347999999999999</v>
      </c>
      <c r="Z109" s="110">
        <v>12.146000000000001</v>
      </c>
      <c r="AA109" s="110">
        <v>1.8819999999999999</v>
      </c>
      <c r="AB109" s="110">
        <v>0.17499999999999999</v>
      </c>
      <c r="AC109" s="115">
        <f t="shared" si="4"/>
        <v>18700.428000000004</v>
      </c>
      <c r="AD109">
        <f t="shared" si="5"/>
        <v>1.0310471516292714</v>
      </c>
    </row>
    <row r="110" spans="1:30" x14ac:dyDescent="0.25">
      <c r="A110" s="104" t="str">
        <f t="shared" si="3"/>
        <v>Uganda2037</v>
      </c>
      <c r="C110" s="107" t="s">
        <v>257</v>
      </c>
      <c r="D110" s="108" t="s">
        <v>154</v>
      </c>
      <c r="E110" s="109"/>
      <c r="F110" s="109">
        <v>800</v>
      </c>
      <c r="G110" s="109">
        <v>2037</v>
      </c>
      <c r="H110" s="110">
        <v>5747.8689999999997</v>
      </c>
      <c r="I110" s="110">
        <v>5253.4870000000001</v>
      </c>
      <c r="J110" s="110">
        <v>4740.6409999999996</v>
      </c>
      <c r="K110" s="110">
        <v>4220.9170000000004</v>
      </c>
      <c r="L110" s="110">
        <v>3698.808</v>
      </c>
      <c r="M110" s="110">
        <v>3198.145</v>
      </c>
      <c r="N110" s="110">
        <v>2711.3850000000002</v>
      </c>
      <c r="O110" s="110">
        <v>2223.317</v>
      </c>
      <c r="P110" s="110">
        <v>1795.412</v>
      </c>
      <c r="Q110" s="110">
        <v>1427.3019999999999</v>
      </c>
      <c r="R110" s="110">
        <v>1124.0899999999999</v>
      </c>
      <c r="S110" s="110">
        <v>880.23099999999999</v>
      </c>
      <c r="T110" s="110">
        <v>662.04100000000005</v>
      </c>
      <c r="U110" s="110">
        <v>465.87</v>
      </c>
      <c r="V110" s="110">
        <v>306.11700000000002</v>
      </c>
      <c r="W110" s="110">
        <v>190.01599999999999</v>
      </c>
      <c r="X110" s="110">
        <v>106.018</v>
      </c>
      <c r="Y110" s="110">
        <v>45.267000000000003</v>
      </c>
      <c r="Z110" s="110">
        <v>13.102</v>
      </c>
      <c r="AA110" s="110">
        <v>2.3919999999999999</v>
      </c>
      <c r="AB110" s="110">
        <v>0.17699999999999999</v>
      </c>
      <c r="AC110" s="115">
        <f t="shared" si="4"/>
        <v>19275.286</v>
      </c>
      <c r="AD110">
        <f t="shared" si="5"/>
        <v>1.0307403659424264</v>
      </c>
    </row>
    <row r="111" spans="1:30" x14ac:dyDescent="0.25">
      <c r="A111" s="104" t="str">
        <f t="shared" si="3"/>
        <v>Uganda2038</v>
      </c>
      <c r="C111" s="107" t="s">
        <v>257</v>
      </c>
      <c r="D111" s="108" t="s">
        <v>154</v>
      </c>
      <c r="E111" s="109"/>
      <c r="F111" s="109">
        <v>800</v>
      </c>
      <c r="G111" s="109">
        <v>2038</v>
      </c>
      <c r="H111" s="110">
        <v>5826.6440000000002</v>
      </c>
      <c r="I111" s="110">
        <v>5344.5460000000003</v>
      </c>
      <c r="J111" s="110">
        <v>4839.05</v>
      </c>
      <c r="K111" s="110">
        <v>4318.3379999999997</v>
      </c>
      <c r="L111" s="110">
        <v>3795.3989999999999</v>
      </c>
      <c r="M111" s="110">
        <v>3286.194</v>
      </c>
      <c r="N111" s="110">
        <v>2799.1120000000001</v>
      </c>
      <c r="O111" s="110">
        <v>2310.0410000000002</v>
      </c>
      <c r="P111" s="110">
        <v>1862.9960000000001</v>
      </c>
      <c r="Q111" s="110">
        <v>1488.761</v>
      </c>
      <c r="R111" s="110">
        <v>1168.652</v>
      </c>
      <c r="S111" s="110">
        <v>916.803</v>
      </c>
      <c r="T111" s="110">
        <v>694.25199999999995</v>
      </c>
      <c r="U111" s="110">
        <v>491.536</v>
      </c>
      <c r="V111" s="110">
        <v>322.42200000000003</v>
      </c>
      <c r="W111" s="110">
        <v>197.44800000000001</v>
      </c>
      <c r="X111" s="110">
        <v>109.35599999999999</v>
      </c>
      <c r="Y111" s="110">
        <v>47.317</v>
      </c>
      <c r="Z111" s="110">
        <v>13.702</v>
      </c>
      <c r="AA111" s="110">
        <v>2.7789999999999999</v>
      </c>
      <c r="AB111" s="110">
        <v>0.17799999999999999</v>
      </c>
      <c r="AC111" s="115">
        <f t="shared" si="4"/>
        <v>19860.840999999997</v>
      </c>
      <c r="AD111">
        <f t="shared" si="5"/>
        <v>1.0303785375739689</v>
      </c>
    </row>
    <row r="112" spans="1:30" x14ac:dyDescent="0.25">
      <c r="A112" s="104" t="str">
        <f t="shared" si="3"/>
        <v>Uganda2039</v>
      </c>
      <c r="C112" s="107" t="s">
        <v>257</v>
      </c>
      <c r="D112" s="108" t="s">
        <v>154</v>
      </c>
      <c r="E112" s="109"/>
      <c r="F112" s="109">
        <v>800</v>
      </c>
      <c r="G112" s="109">
        <v>2039</v>
      </c>
      <c r="H112" s="110">
        <v>5903.58</v>
      </c>
      <c r="I112" s="110">
        <v>5432.0559999999996</v>
      </c>
      <c r="J112" s="110">
        <v>4936.5789999999997</v>
      </c>
      <c r="K112" s="110">
        <v>4416.37</v>
      </c>
      <c r="L112" s="110">
        <v>3892.9059999999999</v>
      </c>
      <c r="M112" s="110">
        <v>3375.808</v>
      </c>
      <c r="N112" s="110">
        <v>2886.9740000000002</v>
      </c>
      <c r="O112" s="110">
        <v>2398.0120000000002</v>
      </c>
      <c r="P112" s="110">
        <v>1933.8979999999999</v>
      </c>
      <c r="Q112" s="110">
        <v>1551.8810000000001</v>
      </c>
      <c r="R112" s="110">
        <v>1216.1849999999999</v>
      </c>
      <c r="S112" s="110">
        <v>954.69500000000005</v>
      </c>
      <c r="T112" s="110">
        <v>727.62099999999998</v>
      </c>
      <c r="U112" s="110">
        <v>518.899</v>
      </c>
      <c r="V112" s="110">
        <v>340.726</v>
      </c>
      <c r="W112" s="110">
        <v>206.483</v>
      </c>
      <c r="X112" s="110">
        <v>112.91</v>
      </c>
      <c r="Y112" s="110">
        <v>48.673999999999999</v>
      </c>
      <c r="Z112" s="110">
        <v>13.749000000000001</v>
      </c>
      <c r="AA112" s="110">
        <v>2.7730000000000001</v>
      </c>
      <c r="AB112" s="110">
        <v>0.18099999999999999</v>
      </c>
      <c r="AC112" s="115">
        <f t="shared" si="4"/>
        <v>20455.849000000002</v>
      </c>
      <c r="AD112">
        <f t="shared" si="5"/>
        <v>1.0299588521956349</v>
      </c>
    </row>
    <row r="113" spans="1:30" x14ac:dyDescent="0.25">
      <c r="A113" s="104" t="str">
        <f t="shared" si="3"/>
        <v>Uganda2040</v>
      </c>
      <c r="C113" s="107" t="s">
        <v>257</v>
      </c>
      <c r="D113" s="108" t="s">
        <v>154</v>
      </c>
      <c r="E113" s="109"/>
      <c r="F113" s="109">
        <v>800</v>
      </c>
      <c r="G113" s="109">
        <v>2040</v>
      </c>
      <c r="H113" s="110">
        <v>5980.134</v>
      </c>
      <c r="I113" s="110">
        <v>5515.75</v>
      </c>
      <c r="J113" s="110">
        <v>5031.9949999999999</v>
      </c>
      <c r="K113" s="110">
        <v>4514.9669999999996</v>
      </c>
      <c r="L113" s="110">
        <v>3990.741</v>
      </c>
      <c r="M113" s="110">
        <v>3467.5819999999999</v>
      </c>
      <c r="N113" s="110">
        <v>2975.0770000000002</v>
      </c>
      <c r="O113" s="110">
        <v>2485.9259999999999</v>
      </c>
      <c r="P113" s="110">
        <v>2009.154</v>
      </c>
      <c r="Q113" s="110">
        <v>1615.796</v>
      </c>
      <c r="R113" s="110">
        <v>1267.183</v>
      </c>
      <c r="S113" s="110">
        <v>994.12199999999996</v>
      </c>
      <c r="T113" s="110">
        <v>761.89800000000002</v>
      </c>
      <c r="U113" s="110">
        <v>547.78</v>
      </c>
      <c r="V113" s="110">
        <v>361.096</v>
      </c>
      <c r="W113" s="110">
        <v>217.39599999999999</v>
      </c>
      <c r="X113" s="110">
        <v>116.943</v>
      </c>
      <c r="Y113" s="110">
        <v>49.442999999999998</v>
      </c>
      <c r="Z113" s="110">
        <v>13.247999999999999</v>
      </c>
      <c r="AA113" s="110">
        <v>2.1880000000000002</v>
      </c>
      <c r="AB113" s="110">
        <v>0.187</v>
      </c>
      <c r="AC113" s="115">
        <f t="shared" si="4"/>
        <v>21059.242999999995</v>
      </c>
      <c r="AD113">
        <f t="shared" si="5"/>
        <v>1.0294973823868172</v>
      </c>
    </row>
    <row r="114" spans="1:30" x14ac:dyDescent="0.25">
      <c r="A114" s="104" t="str">
        <f t="shared" si="3"/>
        <v>Uganda2041</v>
      </c>
      <c r="C114" s="107" t="s">
        <v>257</v>
      </c>
      <c r="D114" s="108" t="s">
        <v>154</v>
      </c>
      <c r="E114" s="109"/>
      <c r="F114" s="109">
        <v>800</v>
      </c>
      <c r="G114" s="109">
        <v>2041</v>
      </c>
      <c r="H114" s="110">
        <v>6058.7020000000002</v>
      </c>
      <c r="I114" s="110">
        <v>5603.1610000000001</v>
      </c>
      <c r="J114" s="110">
        <v>5125.9679999999998</v>
      </c>
      <c r="K114" s="110">
        <v>4612.6859999999997</v>
      </c>
      <c r="L114" s="110">
        <v>4087.6190000000001</v>
      </c>
      <c r="M114" s="110">
        <v>3560.8090000000002</v>
      </c>
      <c r="N114" s="110">
        <v>3063.1080000000002</v>
      </c>
      <c r="O114" s="110">
        <v>2573.6039999999998</v>
      </c>
      <c r="P114" s="110">
        <v>2088.6970000000001</v>
      </c>
      <c r="Q114" s="110">
        <v>1680.1510000000001</v>
      </c>
      <c r="R114" s="110">
        <v>1320.7909999999999</v>
      </c>
      <c r="S114" s="110">
        <v>1033.5940000000001</v>
      </c>
      <c r="T114" s="110">
        <v>794.10799999999995</v>
      </c>
      <c r="U114" s="110">
        <v>574.48599999999999</v>
      </c>
      <c r="V114" s="110">
        <v>379.99099999999999</v>
      </c>
      <c r="W114" s="110">
        <v>227.702</v>
      </c>
      <c r="X114" s="110">
        <v>121.914</v>
      </c>
      <c r="Y114" s="110">
        <v>52.905999999999999</v>
      </c>
      <c r="Z114" s="110">
        <v>15.372</v>
      </c>
      <c r="AA114" s="110">
        <v>2.5110000000000001</v>
      </c>
      <c r="AB114" s="110">
        <v>0.19700000000000001</v>
      </c>
      <c r="AC114" s="115">
        <f t="shared" si="4"/>
        <v>21666.674000000003</v>
      </c>
      <c r="AD114">
        <f t="shared" si="5"/>
        <v>1.0288439142850485</v>
      </c>
    </row>
    <row r="115" spans="1:30" x14ac:dyDescent="0.25">
      <c r="A115" s="104" t="str">
        <f t="shared" si="3"/>
        <v>Uganda2042</v>
      </c>
      <c r="C115" s="107" t="s">
        <v>257</v>
      </c>
      <c r="D115" s="108" t="s">
        <v>154</v>
      </c>
      <c r="E115" s="109"/>
      <c r="F115" s="109">
        <v>800</v>
      </c>
      <c r="G115" s="109">
        <v>2042</v>
      </c>
      <c r="H115" s="110">
        <v>6134.3130000000001</v>
      </c>
      <c r="I115" s="110">
        <v>5687.8680000000004</v>
      </c>
      <c r="J115" s="110">
        <v>5218.6400000000003</v>
      </c>
      <c r="K115" s="110">
        <v>4710.942</v>
      </c>
      <c r="L115" s="110">
        <v>4184.6279999999997</v>
      </c>
      <c r="M115" s="110">
        <v>3655.9879999999998</v>
      </c>
      <c r="N115" s="110">
        <v>3150.9969999999998</v>
      </c>
      <c r="O115" s="110">
        <v>2661.3739999999998</v>
      </c>
      <c r="P115" s="110">
        <v>2172.3710000000001</v>
      </c>
      <c r="Q115" s="110">
        <v>1745.41</v>
      </c>
      <c r="R115" s="110">
        <v>1378.2840000000001</v>
      </c>
      <c r="S115" s="110">
        <v>1074.8610000000001</v>
      </c>
      <c r="T115" s="110">
        <v>827.73500000000001</v>
      </c>
      <c r="U115" s="110">
        <v>602.95399999999995</v>
      </c>
      <c r="V115" s="110">
        <v>400.85500000000002</v>
      </c>
      <c r="W115" s="110">
        <v>239.28700000000001</v>
      </c>
      <c r="X115" s="110">
        <v>126.735</v>
      </c>
      <c r="Y115" s="110">
        <v>55.533000000000001</v>
      </c>
      <c r="Z115" s="110">
        <v>16.896999999999998</v>
      </c>
      <c r="AA115" s="110">
        <v>3.06</v>
      </c>
      <c r="AB115" s="110">
        <v>0.20899999999999999</v>
      </c>
      <c r="AC115" s="115">
        <f t="shared" si="4"/>
        <v>22281.709999999995</v>
      </c>
      <c r="AD115">
        <f t="shared" si="5"/>
        <v>1.0283862673154169</v>
      </c>
    </row>
    <row r="116" spans="1:30" x14ac:dyDescent="0.25">
      <c r="A116" s="104" t="str">
        <f t="shared" si="3"/>
        <v>Uganda2043</v>
      </c>
      <c r="C116" s="107" t="s">
        <v>257</v>
      </c>
      <c r="D116" s="108" t="s">
        <v>154</v>
      </c>
      <c r="E116" s="109"/>
      <c r="F116" s="109">
        <v>800</v>
      </c>
      <c r="G116" s="109">
        <v>2043</v>
      </c>
      <c r="H116" s="110">
        <v>6207.5959999999995</v>
      </c>
      <c r="I116" s="110">
        <v>5769.3149999999996</v>
      </c>
      <c r="J116" s="110">
        <v>5309.8990000000003</v>
      </c>
      <c r="K116" s="110">
        <v>4809.232</v>
      </c>
      <c r="L116" s="110">
        <v>4281.9170000000004</v>
      </c>
      <c r="M116" s="110">
        <v>3752.63</v>
      </c>
      <c r="N116" s="110">
        <v>3239.3209999999999</v>
      </c>
      <c r="O116" s="110">
        <v>2749.2890000000002</v>
      </c>
      <c r="P116" s="110">
        <v>2258.9119999999998</v>
      </c>
      <c r="Q116" s="110">
        <v>1812.635</v>
      </c>
      <c r="R116" s="110">
        <v>1438.84</v>
      </c>
      <c r="S116" s="110">
        <v>1118.394</v>
      </c>
      <c r="T116" s="110">
        <v>862.96500000000003</v>
      </c>
      <c r="U116" s="110">
        <v>633.06399999999996</v>
      </c>
      <c r="V116" s="110">
        <v>423.64600000000002</v>
      </c>
      <c r="W116" s="110">
        <v>252.44200000000001</v>
      </c>
      <c r="X116" s="110">
        <v>131.86799999999999</v>
      </c>
      <c r="Y116" s="110">
        <v>57.298999999999999</v>
      </c>
      <c r="Z116" s="110">
        <v>17.885000000000002</v>
      </c>
      <c r="AA116" s="110">
        <v>3.48</v>
      </c>
      <c r="AB116" s="110">
        <v>0.22500000000000001</v>
      </c>
      <c r="AC116" s="115">
        <f t="shared" si="4"/>
        <v>22903.936000000002</v>
      </c>
      <c r="AD116">
        <f t="shared" si="5"/>
        <v>1.0279254150601549</v>
      </c>
    </row>
    <row r="117" spans="1:30" x14ac:dyDescent="0.25">
      <c r="A117" s="104" t="str">
        <f t="shared" si="3"/>
        <v>Uganda2044</v>
      </c>
      <c r="C117" s="107" t="s">
        <v>257</v>
      </c>
      <c r="D117" s="108" t="s">
        <v>154</v>
      </c>
      <c r="E117" s="109"/>
      <c r="F117" s="109">
        <v>800</v>
      </c>
      <c r="G117" s="109">
        <v>2044</v>
      </c>
      <c r="H117" s="110">
        <v>6279.067</v>
      </c>
      <c r="I117" s="110">
        <v>5847.4160000000002</v>
      </c>
      <c r="J117" s="110">
        <v>5399.3689999999997</v>
      </c>
      <c r="K117" s="110">
        <v>4906.8109999999997</v>
      </c>
      <c r="L117" s="110">
        <v>4379.8100000000004</v>
      </c>
      <c r="M117" s="110">
        <v>3849.9609999999998</v>
      </c>
      <c r="N117" s="110">
        <v>3329.0630000000001</v>
      </c>
      <c r="O117" s="110">
        <v>2837.4580000000001</v>
      </c>
      <c r="P117" s="110">
        <v>2346.509</v>
      </c>
      <c r="Q117" s="110">
        <v>1883.463</v>
      </c>
      <c r="R117" s="110">
        <v>1501.1479999999999</v>
      </c>
      <c r="S117" s="110">
        <v>1165.0119999999999</v>
      </c>
      <c r="T117" s="110">
        <v>899.98299999999995</v>
      </c>
      <c r="U117" s="110">
        <v>664.58900000000006</v>
      </c>
      <c r="V117" s="110">
        <v>448.23099999999999</v>
      </c>
      <c r="W117" s="110">
        <v>267.404</v>
      </c>
      <c r="X117" s="110">
        <v>137.81200000000001</v>
      </c>
      <c r="Y117" s="110">
        <v>58.615000000000002</v>
      </c>
      <c r="Z117" s="110">
        <v>18.024999999999999</v>
      </c>
      <c r="AA117" s="110">
        <v>3.4750000000000001</v>
      </c>
      <c r="AB117" s="110">
        <v>0.24099999999999999</v>
      </c>
      <c r="AC117" s="115">
        <f t="shared" si="4"/>
        <v>23533.074999999993</v>
      </c>
      <c r="AD117">
        <f t="shared" si="5"/>
        <v>1.0274685975371216</v>
      </c>
    </row>
    <row r="118" spans="1:30" x14ac:dyDescent="0.25">
      <c r="A118" s="104" t="str">
        <f t="shared" si="3"/>
        <v>Uganda2045</v>
      </c>
      <c r="C118" s="107" t="s">
        <v>257</v>
      </c>
      <c r="D118" s="108" t="s">
        <v>154</v>
      </c>
      <c r="E118" s="109"/>
      <c r="F118" s="109">
        <v>800</v>
      </c>
      <c r="G118" s="109">
        <v>2045</v>
      </c>
      <c r="H118" s="110">
        <v>6349.5060000000003</v>
      </c>
      <c r="I118" s="110">
        <v>5922.32</v>
      </c>
      <c r="J118" s="110">
        <v>5486.2740000000003</v>
      </c>
      <c r="K118" s="110">
        <v>5003.0910000000003</v>
      </c>
      <c r="L118" s="110">
        <v>4478.4269999999997</v>
      </c>
      <c r="M118" s="110">
        <v>3947.4850000000001</v>
      </c>
      <c r="N118" s="110">
        <v>3420.8139999999999</v>
      </c>
      <c r="O118" s="110">
        <v>2925.8739999999998</v>
      </c>
      <c r="P118" s="110">
        <v>2434.0619999999999</v>
      </c>
      <c r="Q118" s="110">
        <v>1958.7239999999999</v>
      </c>
      <c r="R118" s="110">
        <v>1564.4590000000001</v>
      </c>
      <c r="S118" s="110">
        <v>1215.23</v>
      </c>
      <c r="T118" s="110">
        <v>938.86099999999999</v>
      </c>
      <c r="U118" s="110">
        <v>697.40300000000002</v>
      </c>
      <c r="V118" s="110">
        <v>474.53399999999999</v>
      </c>
      <c r="W118" s="110">
        <v>284.33600000000001</v>
      </c>
      <c r="X118" s="110">
        <v>144.95500000000001</v>
      </c>
      <c r="Y118" s="110">
        <v>59.723999999999997</v>
      </c>
      <c r="Z118" s="110">
        <v>17.266999999999999</v>
      </c>
      <c r="AA118" s="110">
        <v>2.7949999999999999</v>
      </c>
      <c r="AB118" s="110">
        <v>0.25700000000000001</v>
      </c>
      <c r="AC118" s="115">
        <f t="shared" si="4"/>
        <v>24168.476999999995</v>
      </c>
      <c r="AD118">
        <f t="shared" si="5"/>
        <v>1.0270003813781243</v>
      </c>
    </row>
    <row r="119" spans="1:30" x14ac:dyDescent="0.25">
      <c r="A119" s="104" t="str">
        <f t="shared" si="3"/>
        <v>Uganda2046</v>
      </c>
      <c r="C119" s="107" t="s">
        <v>257</v>
      </c>
      <c r="D119" s="108" t="s">
        <v>154</v>
      </c>
      <c r="E119" s="109"/>
      <c r="F119" s="109">
        <v>800</v>
      </c>
      <c r="G119" s="109">
        <v>2046</v>
      </c>
      <c r="H119" s="110">
        <v>6423.5410000000002</v>
      </c>
      <c r="I119" s="110">
        <v>6001.4089999999997</v>
      </c>
      <c r="J119" s="110">
        <v>5571.3639999999996</v>
      </c>
      <c r="K119" s="110">
        <v>5096.9369999999999</v>
      </c>
      <c r="L119" s="110">
        <v>4576.5389999999998</v>
      </c>
      <c r="M119" s="110">
        <v>4044.9679999999998</v>
      </c>
      <c r="N119" s="110">
        <v>3514.5659999999998</v>
      </c>
      <c r="O119" s="110">
        <v>3014.0509999999999</v>
      </c>
      <c r="P119" s="110">
        <v>2521.797</v>
      </c>
      <c r="Q119" s="110">
        <v>2037.27</v>
      </c>
      <c r="R119" s="110">
        <v>1627.713</v>
      </c>
      <c r="S119" s="110">
        <v>1267.183</v>
      </c>
      <c r="T119" s="110">
        <v>975.92</v>
      </c>
      <c r="U119" s="110">
        <v>726.928</v>
      </c>
      <c r="V119" s="110">
        <v>497.99799999999999</v>
      </c>
      <c r="W119" s="110">
        <v>300.10000000000002</v>
      </c>
      <c r="X119" s="110">
        <v>153.596</v>
      </c>
      <c r="Y119" s="110">
        <v>64.149000000000001</v>
      </c>
      <c r="Z119" s="110">
        <v>19.631</v>
      </c>
      <c r="AA119" s="110">
        <v>3.2749999999999999</v>
      </c>
      <c r="AB119" s="110">
        <v>0.27300000000000002</v>
      </c>
      <c r="AC119" s="115">
        <f t="shared" si="4"/>
        <v>24806.127999999997</v>
      </c>
      <c r="AD119">
        <f t="shared" si="5"/>
        <v>1.0263835822174481</v>
      </c>
    </row>
    <row r="120" spans="1:30" x14ac:dyDescent="0.25">
      <c r="A120" s="104" t="str">
        <f t="shared" si="3"/>
        <v>Uganda2047</v>
      </c>
      <c r="C120" s="107" t="s">
        <v>257</v>
      </c>
      <c r="D120" s="108" t="s">
        <v>154</v>
      </c>
      <c r="E120" s="109"/>
      <c r="F120" s="109">
        <v>800</v>
      </c>
      <c r="G120" s="109">
        <v>2047</v>
      </c>
      <c r="H120" s="110">
        <v>6492.6019999999999</v>
      </c>
      <c r="I120" s="110">
        <v>6079.1570000000002</v>
      </c>
      <c r="J120" s="110">
        <v>5654.77</v>
      </c>
      <c r="K120" s="110">
        <v>5189.7160000000003</v>
      </c>
      <c r="L120" s="110">
        <v>4675.0619999999999</v>
      </c>
      <c r="M120" s="110">
        <v>4142.4620000000004</v>
      </c>
      <c r="N120" s="110">
        <v>3610.2939999999999</v>
      </c>
      <c r="O120" s="110">
        <v>3102.26</v>
      </c>
      <c r="P120" s="110">
        <v>2609.8139999999999</v>
      </c>
      <c r="Q120" s="110">
        <v>2120.1640000000002</v>
      </c>
      <c r="R120" s="110">
        <v>1692.1369999999999</v>
      </c>
      <c r="S120" s="110">
        <v>1323.2940000000001</v>
      </c>
      <c r="T120" s="110">
        <v>1015.223</v>
      </c>
      <c r="U120" s="110">
        <v>758.173</v>
      </c>
      <c r="V120" s="110">
        <v>523.21799999999996</v>
      </c>
      <c r="W120" s="110">
        <v>317.274</v>
      </c>
      <c r="X120" s="110">
        <v>162.453</v>
      </c>
      <c r="Y120" s="110">
        <v>67.739000000000004</v>
      </c>
      <c r="Z120" s="110">
        <v>21.234000000000002</v>
      </c>
      <c r="AA120" s="110">
        <v>4.0759999999999996</v>
      </c>
      <c r="AB120" s="110">
        <v>0.28899999999999998</v>
      </c>
      <c r="AC120" s="115">
        <f t="shared" si="4"/>
        <v>25449.772000000001</v>
      </c>
      <c r="AD120">
        <f t="shared" si="5"/>
        <v>1.025946975682783</v>
      </c>
    </row>
    <row r="121" spans="1:30" x14ac:dyDescent="0.25">
      <c r="A121" s="104" t="str">
        <f t="shared" si="3"/>
        <v>Uganda2048</v>
      </c>
      <c r="C121" s="107" t="s">
        <v>257</v>
      </c>
      <c r="D121" s="108" t="s">
        <v>154</v>
      </c>
      <c r="E121" s="109"/>
      <c r="F121" s="109">
        <v>800</v>
      </c>
      <c r="G121" s="109">
        <v>2048</v>
      </c>
      <c r="H121" s="110">
        <v>6557.982</v>
      </c>
      <c r="I121" s="110">
        <v>6154.951</v>
      </c>
      <c r="J121" s="110">
        <v>5736.5010000000002</v>
      </c>
      <c r="K121" s="110">
        <v>5281.1289999999999</v>
      </c>
      <c r="L121" s="110">
        <v>4773.482</v>
      </c>
      <c r="M121" s="110">
        <v>4240.01</v>
      </c>
      <c r="N121" s="110">
        <v>3707.3649999999998</v>
      </c>
      <c r="O121" s="110">
        <v>3191.13</v>
      </c>
      <c r="P121" s="110">
        <v>2697.9059999999999</v>
      </c>
      <c r="Q121" s="110">
        <v>2206.2600000000002</v>
      </c>
      <c r="R121" s="110">
        <v>1758.671</v>
      </c>
      <c r="S121" s="110">
        <v>1382.615</v>
      </c>
      <c r="T121" s="110">
        <v>1057.335</v>
      </c>
      <c r="U121" s="110">
        <v>791.32600000000002</v>
      </c>
      <c r="V121" s="110">
        <v>550.19200000000001</v>
      </c>
      <c r="W121" s="110">
        <v>336.06099999999998</v>
      </c>
      <c r="X121" s="110">
        <v>171.839</v>
      </c>
      <c r="Y121" s="110">
        <v>70.600999999999999</v>
      </c>
      <c r="Z121" s="110">
        <v>22.266999999999999</v>
      </c>
      <c r="AA121" s="110">
        <v>4.6849999999999996</v>
      </c>
      <c r="AB121" s="110">
        <v>0.30599999999999999</v>
      </c>
      <c r="AC121" s="115">
        <f t="shared" si="4"/>
        <v>26097.281999999999</v>
      </c>
      <c r="AD121">
        <f t="shared" si="5"/>
        <v>1.0254426640835916</v>
      </c>
    </row>
    <row r="122" spans="1:30" x14ac:dyDescent="0.25">
      <c r="A122" s="104" t="str">
        <f t="shared" si="3"/>
        <v>Uganda2049</v>
      </c>
      <c r="C122" s="107" t="s">
        <v>257</v>
      </c>
      <c r="D122" s="108" t="s">
        <v>154</v>
      </c>
      <c r="E122" s="109"/>
      <c r="F122" s="109">
        <v>800</v>
      </c>
      <c r="G122" s="109">
        <v>2049</v>
      </c>
      <c r="H122" s="110">
        <v>6621.3969999999999</v>
      </c>
      <c r="I122" s="110">
        <v>6228.0129999999999</v>
      </c>
      <c r="J122" s="110">
        <v>5816.6049999999996</v>
      </c>
      <c r="K122" s="110">
        <v>5370.8069999999998</v>
      </c>
      <c r="L122" s="110">
        <v>4871.0460000000003</v>
      </c>
      <c r="M122" s="110">
        <v>4337.848</v>
      </c>
      <c r="N122" s="110">
        <v>3804.8919999999998</v>
      </c>
      <c r="O122" s="110">
        <v>3281.4960000000001</v>
      </c>
      <c r="P122" s="110">
        <v>2786.0720000000001</v>
      </c>
      <c r="Q122" s="110">
        <v>2293.7139999999999</v>
      </c>
      <c r="R122" s="110">
        <v>1828.847</v>
      </c>
      <c r="S122" s="110">
        <v>1443.817</v>
      </c>
      <c r="T122" s="110">
        <v>1103.0139999999999</v>
      </c>
      <c r="U122" s="110">
        <v>826.57899999999995</v>
      </c>
      <c r="V122" s="110">
        <v>578.78800000000001</v>
      </c>
      <c r="W122" s="110">
        <v>356.49</v>
      </c>
      <c r="X122" s="110">
        <v>182.12299999999999</v>
      </c>
      <c r="Y122" s="110">
        <v>73.379000000000005</v>
      </c>
      <c r="Z122" s="110">
        <v>22.454000000000001</v>
      </c>
      <c r="AA122" s="110">
        <v>4.7039999999999997</v>
      </c>
      <c r="AB122" s="110">
        <v>0.32600000000000001</v>
      </c>
      <c r="AC122" s="115">
        <f t="shared" si="4"/>
        <v>26745.875</v>
      </c>
      <c r="AD122">
        <f t="shared" si="5"/>
        <v>1.0248528946424382</v>
      </c>
    </row>
    <row r="123" spans="1:30" x14ac:dyDescent="0.25">
      <c r="A123" s="104" t="str">
        <f t="shared" si="3"/>
        <v>Uganda2050</v>
      </c>
      <c r="C123" s="107" t="s">
        <v>257</v>
      </c>
      <c r="D123" s="108" t="s">
        <v>154</v>
      </c>
      <c r="E123" s="109"/>
      <c r="F123" s="109">
        <v>800</v>
      </c>
      <c r="G123" s="109">
        <v>2050</v>
      </c>
      <c r="H123" s="110">
        <v>6684.4769999999999</v>
      </c>
      <c r="I123" s="110">
        <v>6297.4679999999998</v>
      </c>
      <c r="J123" s="110">
        <v>5894.8950000000004</v>
      </c>
      <c r="K123" s="110">
        <v>5458.4620000000004</v>
      </c>
      <c r="L123" s="110">
        <v>4967.2349999999997</v>
      </c>
      <c r="M123" s="110">
        <v>4436.08</v>
      </c>
      <c r="N123" s="110">
        <v>3902.3119999999999</v>
      </c>
      <c r="O123" s="110">
        <v>3373.7339999999999</v>
      </c>
      <c r="P123" s="110">
        <v>2874.424</v>
      </c>
      <c r="Q123" s="110">
        <v>2381.2469999999998</v>
      </c>
      <c r="R123" s="110">
        <v>1903.5039999999999</v>
      </c>
      <c r="S123" s="110">
        <v>1506.192</v>
      </c>
      <c r="T123" s="110">
        <v>1152.5840000000001</v>
      </c>
      <c r="U123" s="110">
        <v>864.077</v>
      </c>
      <c r="V123" s="110">
        <v>608.95399999999995</v>
      </c>
      <c r="W123" s="110">
        <v>378.59899999999999</v>
      </c>
      <c r="X123" s="110">
        <v>193.709</v>
      </c>
      <c r="Y123" s="110">
        <v>76.409000000000006</v>
      </c>
      <c r="Z123" s="110">
        <v>21.773</v>
      </c>
      <c r="AA123" s="110">
        <v>3.8410000000000002</v>
      </c>
      <c r="AB123" s="110">
        <v>0.34799999999999998</v>
      </c>
      <c r="AC123" s="115">
        <f t="shared" si="4"/>
        <v>27393.493999999999</v>
      </c>
      <c r="AD123">
        <f t="shared" si="5"/>
        <v>1.024213789976959</v>
      </c>
    </row>
    <row r="124" spans="1:30" x14ac:dyDescent="0.25">
      <c r="A124" s="104" t="str">
        <f t="shared" si="3"/>
        <v>Uganda2051</v>
      </c>
      <c r="C124" s="107" t="s">
        <v>257</v>
      </c>
      <c r="D124" s="108" t="s">
        <v>154</v>
      </c>
      <c r="E124" s="109"/>
      <c r="F124" s="109">
        <v>800</v>
      </c>
      <c r="G124" s="109">
        <v>2051</v>
      </c>
      <c r="H124" s="110">
        <v>6751.0349999999999</v>
      </c>
      <c r="I124" s="110">
        <v>6370.7629999999999</v>
      </c>
      <c r="J124" s="110">
        <v>5973.1629999999996</v>
      </c>
      <c r="K124" s="110">
        <v>5543.94</v>
      </c>
      <c r="L124" s="110">
        <v>5061.9709999999995</v>
      </c>
      <c r="M124" s="110">
        <v>4535.0929999999998</v>
      </c>
      <c r="N124" s="110">
        <v>4000.37</v>
      </c>
      <c r="O124" s="110">
        <v>3467.55</v>
      </c>
      <c r="P124" s="110">
        <v>2962.7939999999999</v>
      </c>
      <c r="Q124" s="110">
        <v>2468.0259999999998</v>
      </c>
      <c r="R124" s="110">
        <v>1980.896</v>
      </c>
      <c r="S124" s="110">
        <v>1567.7360000000001</v>
      </c>
      <c r="T124" s="110">
        <v>1201.702</v>
      </c>
      <c r="U124" s="110">
        <v>898.255</v>
      </c>
      <c r="V124" s="110">
        <v>634.98800000000006</v>
      </c>
      <c r="W124" s="110">
        <v>398.19900000000001</v>
      </c>
      <c r="X124" s="110">
        <v>206.53899999999999</v>
      </c>
      <c r="Y124" s="110">
        <v>83.343000000000004</v>
      </c>
      <c r="Z124" s="110">
        <v>24.718</v>
      </c>
      <c r="AA124" s="110">
        <v>4.4119999999999999</v>
      </c>
      <c r="AB124" s="110">
        <v>0.374</v>
      </c>
      <c r="AC124" s="115">
        <f t="shared" si="4"/>
        <v>28039.743999999999</v>
      </c>
      <c r="AD124">
        <f t="shared" si="5"/>
        <v>1.0235913680817788</v>
      </c>
    </row>
    <row r="125" spans="1:30" x14ac:dyDescent="0.25">
      <c r="A125" s="104" t="str">
        <f t="shared" si="3"/>
        <v>Uganda2052</v>
      </c>
      <c r="C125" s="107" t="s">
        <v>257</v>
      </c>
      <c r="D125" s="108" t="s">
        <v>154</v>
      </c>
      <c r="E125" s="109"/>
      <c r="F125" s="109">
        <v>800</v>
      </c>
      <c r="G125" s="109">
        <v>2052</v>
      </c>
      <c r="H125" s="110">
        <v>6814.076</v>
      </c>
      <c r="I125" s="110">
        <v>6441.9849999999997</v>
      </c>
      <c r="J125" s="110">
        <v>6050.4120000000003</v>
      </c>
      <c r="K125" s="110">
        <v>5627.48</v>
      </c>
      <c r="L125" s="110">
        <v>5155.1940000000004</v>
      </c>
      <c r="M125" s="110">
        <v>4634.1390000000001</v>
      </c>
      <c r="N125" s="110">
        <v>4098.2790000000005</v>
      </c>
      <c r="O125" s="110">
        <v>3563.2919999999999</v>
      </c>
      <c r="P125" s="110">
        <v>3051.1770000000001</v>
      </c>
      <c r="Q125" s="110">
        <v>2555.2330000000002</v>
      </c>
      <c r="R125" s="110">
        <v>2062.652</v>
      </c>
      <c r="S125" s="110">
        <v>1630.7660000000001</v>
      </c>
      <c r="T125" s="110">
        <v>1255.365</v>
      </c>
      <c r="U125" s="110">
        <v>934.91700000000003</v>
      </c>
      <c r="V125" s="110">
        <v>662.803</v>
      </c>
      <c r="W125" s="110">
        <v>419.053</v>
      </c>
      <c r="X125" s="110">
        <v>219.64599999999999</v>
      </c>
      <c r="Y125" s="110">
        <v>89.378</v>
      </c>
      <c r="Z125" s="110">
        <v>26.837</v>
      </c>
      <c r="AA125" s="110">
        <v>5.3419999999999996</v>
      </c>
      <c r="AB125" s="110">
        <v>0.40300000000000002</v>
      </c>
      <c r="AC125" s="115">
        <f t="shared" si="4"/>
        <v>28684.793999999998</v>
      </c>
      <c r="AD125">
        <f t="shared" si="5"/>
        <v>1.0230048462639316</v>
      </c>
    </row>
    <row r="126" spans="1:30" x14ac:dyDescent="0.25">
      <c r="A126" s="104" t="str">
        <f t="shared" si="3"/>
        <v>Uganda2053</v>
      </c>
      <c r="C126" s="107" t="s">
        <v>257</v>
      </c>
      <c r="D126" s="108" t="s">
        <v>154</v>
      </c>
      <c r="E126" s="109"/>
      <c r="F126" s="109">
        <v>800</v>
      </c>
      <c r="G126" s="109">
        <v>2053</v>
      </c>
      <c r="H126" s="110">
        <v>6874.2719999999999</v>
      </c>
      <c r="I126" s="110">
        <v>6510.6</v>
      </c>
      <c r="J126" s="110">
        <v>6126.4080000000004</v>
      </c>
      <c r="K126" s="110">
        <v>5709.2870000000003</v>
      </c>
      <c r="L126" s="110">
        <v>5246.7120000000004</v>
      </c>
      <c r="M126" s="110">
        <v>4732.7060000000001</v>
      </c>
      <c r="N126" s="110">
        <v>4196.0249999999996</v>
      </c>
      <c r="O126" s="110">
        <v>3660.5120000000002</v>
      </c>
      <c r="P126" s="110">
        <v>3140.009</v>
      </c>
      <c r="Q126" s="110">
        <v>2642.8049999999998</v>
      </c>
      <c r="R126" s="110">
        <v>2147.5949999999998</v>
      </c>
      <c r="S126" s="110">
        <v>1696.0509999999999</v>
      </c>
      <c r="T126" s="110">
        <v>1312.7950000000001</v>
      </c>
      <c r="U126" s="110">
        <v>974.63800000000003</v>
      </c>
      <c r="V126" s="110">
        <v>692.71500000000003</v>
      </c>
      <c r="W126" s="110">
        <v>441.45800000000003</v>
      </c>
      <c r="X126" s="110">
        <v>233.262</v>
      </c>
      <c r="Y126" s="110">
        <v>94.536000000000001</v>
      </c>
      <c r="Z126" s="110">
        <v>28.43</v>
      </c>
      <c r="AA126" s="110">
        <v>6.0620000000000003</v>
      </c>
      <c r="AB126" s="110">
        <v>0.435</v>
      </c>
      <c r="AC126" s="115">
        <f t="shared" si="4"/>
        <v>29328.055999999997</v>
      </c>
      <c r="AD126">
        <f t="shared" si="5"/>
        <v>1.0224251915492228</v>
      </c>
    </row>
    <row r="127" spans="1:30" x14ac:dyDescent="0.25">
      <c r="A127" s="104" t="str">
        <f t="shared" si="3"/>
        <v>Uganda2054</v>
      </c>
      <c r="C127" s="107" t="s">
        <v>257</v>
      </c>
      <c r="D127" s="108" t="s">
        <v>154</v>
      </c>
      <c r="E127" s="109"/>
      <c r="F127" s="109">
        <v>800</v>
      </c>
      <c r="G127" s="109">
        <v>2054</v>
      </c>
      <c r="H127" s="110">
        <v>6932.058</v>
      </c>
      <c r="I127" s="110">
        <v>6576.2489999999998</v>
      </c>
      <c r="J127" s="110">
        <v>6200.6890000000003</v>
      </c>
      <c r="K127" s="110">
        <v>5789.71</v>
      </c>
      <c r="L127" s="110">
        <v>5336.3410000000003</v>
      </c>
      <c r="M127" s="110">
        <v>4830.1310000000003</v>
      </c>
      <c r="N127" s="110">
        <v>4293.8770000000004</v>
      </c>
      <c r="O127" s="110">
        <v>3758.3589999999999</v>
      </c>
      <c r="P127" s="110">
        <v>3230.152</v>
      </c>
      <c r="Q127" s="110">
        <v>2730.7629999999999</v>
      </c>
      <c r="R127" s="110">
        <v>2233.9540000000002</v>
      </c>
      <c r="S127" s="110">
        <v>1765.0530000000001</v>
      </c>
      <c r="T127" s="110">
        <v>1372.7149999999999</v>
      </c>
      <c r="U127" s="110">
        <v>1018.234</v>
      </c>
      <c r="V127" s="110">
        <v>724.99900000000002</v>
      </c>
      <c r="W127" s="110">
        <v>465.45499999999998</v>
      </c>
      <c r="X127" s="110">
        <v>247.596</v>
      </c>
      <c r="Y127" s="110">
        <v>99.671999999999997</v>
      </c>
      <c r="Z127" s="110">
        <v>29.134</v>
      </c>
      <c r="AA127" s="110">
        <v>6.1059999999999999</v>
      </c>
      <c r="AB127" s="110">
        <v>0.46800000000000003</v>
      </c>
      <c r="AC127" s="115">
        <f t="shared" si="4"/>
        <v>29969.332999999999</v>
      </c>
      <c r="AD127">
        <f t="shared" si="5"/>
        <v>1.0218656497382574</v>
      </c>
    </row>
    <row r="128" spans="1:30" x14ac:dyDescent="0.25">
      <c r="A128" s="104" t="str">
        <f t="shared" si="3"/>
        <v>Uganda2055</v>
      </c>
      <c r="C128" s="107" t="s">
        <v>257</v>
      </c>
      <c r="D128" s="108" t="s">
        <v>154</v>
      </c>
      <c r="E128" s="109"/>
      <c r="F128" s="109">
        <v>800</v>
      </c>
      <c r="G128" s="109">
        <v>2055</v>
      </c>
      <c r="H128" s="110">
        <v>6988.0910000000003</v>
      </c>
      <c r="I128" s="110">
        <v>6638.6350000000002</v>
      </c>
      <c r="J128" s="110">
        <v>6272.6480000000001</v>
      </c>
      <c r="K128" s="110">
        <v>5868.8909999999996</v>
      </c>
      <c r="L128" s="110">
        <v>5423.9780000000001</v>
      </c>
      <c r="M128" s="110">
        <v>4925.9769999999999</v>
      </c>
      <c r="N128" s="110">
        <v>4391.9610000000002</v>
      </c>
      <c r="O128" s="110">
        <v>3856.1350000000002</v>
      </c>
      <c r="P128" s="110">
        <v>3322.1779999999999</v>
      </c>
      <c r="Q128" s="110">
        <v>2819.05</v>
      </c>
      <c r="R128" s="110">
        <v>2320.5790000000002</v>
      </c>
      <c r="S128" s="110">
        <v>1838.6210000000001</v>
      </c>
      <c r="T128" s="110">
        <v>1434.2639999999999</v>
      </c>
      <c r="U128" s="110">
        <v>1066.152</v>
      </c>
      <c r="V128" s="110">
        <v>759.84900000000005</v>
      </c>
      <c r="W128" s="110">
        <v>491.10500000000002</v>
      </c>
      <c r="X128" s="110">
        <v>262.99599999999998</v>
      </c>
      <c r="Y128" s="110">
        <v>105.169</v>
      </c>
      <c r="Z128" s="110">
        <v>29.004999999999999</v>
      </c>
      <c r="AA128" s="110">
        <v>5.0949999999999998</v>
      </c>
      <c r="AB128" s="110">
        <v>0.502</v>
      </c>
      <c r="AC128" s="115">
        <f t="shared" si="4"/>
        <v>30608.169999999995</v>
      </c>
      <c r="AD128">
        <f t="shared" si="5"/>
        <v>1.0213163569572936</v>
      </c>
    </row>
    <row r="129" spans="1:30" x14ac:dyDescent="0.25">
      <c r="A129" s="104" t="str">
        <f t="shared" si="3"/>
        <v>Uganda2056</v>
      </c>
      <c r="C129" s="107" t="s">
        <v>257</v>
      </c>
      <c r="D129" s="108" t="s">
        <v>154</v>
      </c>
      <c r="E129" s="109"/>
      <c r="F129" s="109">
        <v>800</v>
      </c>
      <c r="G129" s="109">
        <v>2056</v>
      </c>
      <c r="H129" s="110">
        <v>7047.8190000000004</v>
      </c>
      <c r="I129" s="110">
        <v>6705.1620000000003</v>
      </c>
      <c r="J129" s="110">
        <v>6344.6030000000001</v>
      </c>
      <c r="K129" s="110">
        <v>5947.2569999999996</v>
      </c>
      <c r="L129" s="110">
        <v>5510.04</v>
      </c>
      <c r="M129" s="110">
        <v>5021.2049999999999</v>
      </c>
      <c r="N129" s="110">
        <v>4490.9989999999998</v>
      </c>
      <c r="O129" s="110">
        <v>3953.623</v>
      </c>
      <c r="P129" s="110">
        <v>3415.7759999999998</v>
      </c>
      <c r="Q129" s="110">
        <v>2906.3229999999999</v>
      </c>
      <c r="R129" s="110">
        <v>2405.9690000000001</v>
      </c>
      <c r="S129" s="110">
        <v>1913.9590000000001</v>
      </c>
      <c r="T129" s="110">
        <v>1492.4839999999999</v>
      </c>
      <c r="U129" s="110">
        <v>1111.74</v>
      </c>
      <c r="V129" s="110">
        <v>790.20799999999997</v>
      </c>
      <c r="W129" s="110">
        <v>513.07799999999997</v>
      </c>
      <c r="X129" s="110">
        <v>278.95600000000002</v>
      </c>
      <c r="Y129" s="110">
        <v>115.25</v>
      </c>
      <c r="Z129" s="110">
        <v>33.362000000000002</v>
      </c>
      <c r="AA129" s="110">
        <v>5.8570000000000002</v>
      </c>
      <c r="AB129" s="110">
        <v>0.53700000000000003</v>
      </c>
      <c r="AC129" s="115">
        <f t="shared" si="4"/>
        <v>31245.223000000002</v>
      </c>
      <c r="AD129">
        <f t="shared" si="5"/>
        <v>1.020813168510238</v>
      </c>
    </row>
    <row r="130" spans="1:30" x14ac:dyDescent="0.25">
      <c r="A130" s="104" t="str">
        <f t="shared" si="3"/>
        <v>Uganda2057</v>
      </c>
      <c r="C130" s="107" t="s">
        <v>257</v>
      </c>
      <c r="D130" s="108" t="s">
        <v>154</v>
      </c>
      <c r="E130" s="109"/>
      <c r="F130" s="109">
        <v>800</v>
      </c>
      <c r="G130" s="109">
        <v>2057</v>
      </c>
      <c r="H130" s="110">
        <v>7102.5349999999999</v>
      </c>
      <c r="I130" s="110">
        <v>6769.8149999999996</v>
      </c>
      <c r="J130" s="110">
        <v>6415.05</v>
      </c>
      <c r="K130" s="110">
        <v>6024.6059999999998</v>
      </c>
      <c r="L130" s="110">
        <v>5593.9520000000002</v>
      </c>
      <c r="M130" s="110">
        <v>5114.7809999999999</v>
      </c>
      <c r="N130" s="110">
        <v>4590.1310000000003</v>
      </c>
      <c r="O130" s="110">
        <v>4051.087</v>
      </c>
      <c r="P130" s="110">
        <v>3511.326</v>
      </c>
      <c r="Q130" s="110">
        <v>2993.8249999999998</v>
      </c>
      <c r="R130" s="110">
        <v>2491.9839999999999</v>
      </c>
      <c r="S130" s="110">
        <v>1993.952</v>
      </c>
      <c r="T130" s="110">
        <v>1552.875</v>
      </c>
      <c r="U130" s="110">
        <v>1162.0989999999999</v>
      </c>
      <c r="V130" s="110">
        <v>823.07</v>
      </c>
      <c r="W130" s="110">
        <v>536.37699999999995</v>
      </c>
      <c r="X130" s="110">
        <v>295.05900000000003</v>
      </c>
      <c r="Y130" s="110">
        <v>124.199</v>
      </c>
      <c r="Z130" s="110">
        <v>36.677999999999997</v>
      </c>
      <c r="AA130" s="110">
        <v>7.1189999999999998</v>
      </c>
      <c r="AB130" s="110">
        <v>0.57499999999999996</v>
      </c>
      <c r="AC130" s="115">
        <f t="shared" si="4"/>
        <v>31879.708000000002</v>
      </c>
      <c r="AD130">
        <f t="shared" si="5"/>
        <v>1.0203066241517944</v>
      </c>
    </row>
    <row r="131" spans="1:30" x14ac:dyDescent="0.25">
      <c r="A131" s="104" t="str">
        <f t="shared" ref="A131:A280" si="6">D131&amp;G131</f>
        <v>Uganda2058</v>
      </c>
      <c r="C131" s="107" t="s">
        <v>257</v>
      </c>
      <c r="D131" s="108" t="s">
        <v>154</v>
      </c>
      <c r="E131" s="109"/>
      <c r="F131" s="109">
        <v>800</v>
      </c>
      <c r="G131" s="109">
        <v>2058</v>
      </c>
      <c r="H131" s="110">
        <v>7153.1369999999997</v>
      </c>
      <c r="I131" s="110">
        <v>6832.0280000000002</v>
      </c>
      <c r="J131" s="110">
        <v>6483.8379999999997</v>
      </c>
      <c r="K131" s="110">
        <v>6100.7380000000003</v>
      </c>
      <c r="L131" s="110">
        <v>5675.942</v>
      </c>
      <c r="M131" s="110">
        <v>5206.4530000000004</v>
      </c>
      <c r="N131" s="110">
        <v>4688.7250000000004</v>
      </c>
      <c r="O131" s="110">
        <v>4148.6819999999998</v>
      </c>
      <c r="P131" s="110">
        <v>3608.1610000000001</v>
      </c>
      <c r="Q131" s="110">
        <v>3082.1030000000001</v>
      </c>
      <c r="R131" s="110">
        <v>2578.4740000000002</v>
      </c>
      <c r="S131" s="110">
        <v>2077.25</v>
      </c>
      <c r="T131" s="110">
        <v>1616.338</v>
      </c>
      <c r="U131" s="110">
        <v>1216.498</v>
      </c>
      <c r="V131" s="110">
        <v>859.16700000000003</v>
      </c>
      <c r="W131" s="110">
        <v>561.62300000000005</v>
      </c>
      <c r="X131" s="110">
        <v>311.66300000000001</v>
      </c>
      <c r="Y131" s="110">
        <v>131.86799999999999</v>
      </c>
      <c r="Z131" s="110">
        <v>39.377000000000002</v>
      </c>
      <c r="AA131" s="110">
        <v>8.14</v>
      </c>
      <c r="AB131" s="110">
        <v>0.61499999999999999</v>
      </c>
      <c r="AC131" s="115">
        <f t="shared" ref="AC131:AC280" si="7">SUM(K131:Q131)</f>
        <v>32510.804</v>
      </c>
      <c r="AD131">
        <f t="shared" ref="AD131:AD280" si="8">IF(D131=D130,AC131/AC130,"")</f>
        <v>1.0197961662635053</v>
      </c>
    </row>
    <row r="132" spans="1:30" x14ac:dyDescent="0.25">
      <c r="A132" s="104" t="str">
        <f t="shared" si="6"/>
        <v>Uganda2059</v>
      </c>
      <c r="C132" s="107" t="s">
        <v>257</v>
      </c>
      <c r="D132" s="108" t="s">
        <v>154</v>
      </c>
      <c r="E132" s="109"/>
      <c r="F132" s="109">
        <v>800</v>
      </c>
      <c r="G132" s="109">
        <v>2059</v>
      </c>
      <c r="H132" s="110">
        <v>7200.6660000000002</v>
      </c>
      <c r="I132" s="110">
        <v>6891.13</v>
      </c>
      <c r="J132" s="110">
        <v>6550.8040000000001</v>
      </c>
      <c r="K132" s="110">
        <v>6175.2920000000004</v>
      </c>
      <c r="L132" s="110">
        <v>5756.3940000000002</v>
      </c>
      <c r="M132" s="110">
        <v>5295.9960000000001</v>
      </c>
      <c r="N132" s="110">
        <v>4786.0609999999997</v>
      </c>
      <c r="O132" s="110">
        <v>4246.63</v>
      </c>
      <c r="P132" s="110">
        <v>3705.4160000000002</v>
      </c>
      <c r="Q132" s="110">
        <v>3171.9560000000001</v>
      </c>
      <c r="R132" s="110">
        <v>2665.4110000000001</v>
      </c>
      <c r="S132" s="110">
        <v>2162.0680000000002</v>
      </c>
      <c r="T132" s="110">
        <v>1684.2049999999999</v>
      </c>
      <c r="U132" s="110">
        <v>1273.8050000000001</v>
      </c>
      <c r="V132" s="110">
        <v>899.4</v>
      </c>
      <c r="W132" s="110">
        <v>589.20899999999995</v>
      </c>
      <c r="X132" s="110">
        <v>328.95800000000003</v>
      </c>
      <c r="Y132" s="110">
        <v>139.31899999999999</v>
      </c>
      <c r="Z132" s="110">
        <v>40.944000000000003</v>
      </c>
      <c r="AA132" s="110">
        <v>8.31</v>
      </c>
      <c r="AB132" s="110">
        <v>0.65900000000000003</v>
      </c>
      <c r="AC132" s="115">
        <f t="shared" si="7"/>
        <v>33137.745000000003</v>
      </c>
      <c r="AD132">
        <f t="shared" si="8"/>
        <v>1.0192840816855837</v>
      </c>
    </row>
    <row r="133" spans="1:30" x14ac:dyDescent="0.25">
      <c r="A133" s="104" t="str">
        <f t="shared" si="6"/>
        <v>Uganda2060</v>
      </c>
      <c r="C133" s="107" t="s">
        <v>257</v>
      </c>
      <c r="D133" s="108" t="s">
        <v>154</v>
      </c>
      <c r="E133" s="109"/>
      <c r="F133" s="109">
        <v>800</v>
      </c>
      <c r="G133" s="109">
        <v>2060</v>
      </c>
      <c r="H133" s="110">
        <v>7246.1130000000003</v>
      </c>
      <c r="I133" s="110">
        <v>6946.393</v>
      </c>
      <c r="J133" s="110">
        <v>6615.6639999999998</v>
      </c>
      <c r="K133" s="110">
        <v>6247.9979999999996</v>
      </c>
      <c r="L133" s="110">
        <v>5835.5690000000004</v>
      </c>
      <c r="M133" s="110">
        <v>5383.3270000000002</v>
      </c>
      <c r="N133" s="110">
        <v>4881.6750000000002</v>
      </c>
      <c r="O133" s="110">
        <v>4344.8639999999996</v>
      </c>
      <c r="P133" s="110">
        <v>3802.6089999999999</v>
      </c>
      <c r="Q133" s="110">
        <v>3263.7449999999999</v>
      </c>
      <c r="R133" s="110">
        <v>2752.8029999999999</v>
      </c>
      <c r="S133" s="110">
        <v>2247.335</v>
      </c>
      <c r="T133" s="110">
        <v>1757.009</v>
      </c>
      <c r="U133" s="110">
        <v>1333.386</v>
      </c>
      <c r="V133" s="110">
        <v>944.26499999999999</v>
      </c>
      <c r="W133" s="110">
        <v>619.39800000000002</v>
      </c>
      <c r="X133" s="110">
        <v>347.30700000000002</v>
      </c>
      <c r="Y133" s="110">
        <v>146.965</v>
      </c>
      <c r="Z133" s="110">
        <v>41.564999999999998</v>
      </c>
      <c r="AA133" s="110">
        <v>7.1459999999999999</v>
      </c>
      <c r="AB133" s="110">
        <v>0.70699999999999996</v>
      </c>
      <c r="AC133" s="115">
        <f t="shared" si="7"/>
        <v>33759.786999999997</v>
      </c>
      <c r="AD133">
        <f t="shared" si="8"/>
        <v>1.0187714040288498</v>
      </c>
    </row>
    <row r="134" spans="1:30" x14ac:dyDescent="0.25">
      <c r="A134" s="104" t="str">
        <f t="shared" si="6"/>
        <v>Uganda2061</v>
      </c>
      <c r="C134" s="107" t="s">
        <v>257</v>
      </c>
      <c r="D134" s="108" t="s">
        <v>154</v>
      </c>
      <c r="E134" s="109"/>
      <c r="F134" s="109">
        <v>800</v>
      </c>
      <c r="G134" s="109">
        <v>2061</v>
      </c>
      <c r="H134" s="110">
        <v>7294.3109999999997</v>
      </c>
      <c r="I134" s="110">
        <v>7004.9960000000001</v>
      </c>
      <c r="J134" s="110">
        <v>6681.17</v>
      </c>
      <c r="K134" s="110">
        <v>6319.93</v>
      </c>
      <c r="L134" s="110">
        <v>5914.43</v>
      </c>
      <c r="M134" s="110">
        <v>5469.8389999999999</v>
      </c>
      <c r="N134" s="110">
        <v>4976.9070000000002</v>
      </c>
      <c r="O134" s="110">
        <v>4443.2700000000004</v>
      </c>
      <c r="P134" s="110">
        <v>3899.835</v>
      </c>
      <c r="Q134" s="110">
        <v>3356.2539999999999</v>
      </c>
      <c r="R134" s="110">
        <v>2838.9050000000002</v>
      </c>
      <c r="S134" s="110">
        <v>2330.5709999999999</v>
      </c>
      <c r="T134" s="110">
        <v>1828.6130000000001</v>
      </c>
      <c r="U134" s="110">
        <v>1387.5719999999999</v>
      </c>
      <c r="V134" s="110">
        <v>985.21400000000006</v>
      </c>
      <c r="W134" s="110">
        <v>645.42100000000005</v>
      </c>
      <c r="X134" s="110">
        <v>365.58300000000003</v>
      </c>
      <c r="Y134" s="110">
        <v>159.84899999999999</v>
      </c>
      <c r="Z134" s="110">
        <v>47.999000000000002</v>
      </c>
      <c r="AA134" s="110">
        <v>8.3559999999999999</v>
      </c>
      <c r="AB134" s="110">
        <v>0.76100000000000001</v>
      </c>
      <c r="AC134" s="115">
        <f t="shared" si="7"/>
        <v>34380.464999999997</v>
      </c>
      <c r="AD134">
        <f t="shared" si="8"/>
        <v>1.0183851278445566</v>
      </c>
    </row>
    <row r="135" spans="1:30" x14ac:dyDescent="0.25">
      <c r="A135" s="104" t="str">
        <f t="shared" si="6"/>
        <v>Uganda2062</v>
      </c>
      <c r="C135" s="107" t="s">
        <v>257</v>
      </c>
      <c r="D135" s="108" t="s">
        <v>154</v>
      </c>
      <c r="E135" s="109"/>
      <c r="F135" s="109">
        <v>800</v>
      </c>
      <c r="G135" s="109">
        <v>2062</v>
      </c>
      <c r="H135" s="110">
        <v>7338.0190000000002</v>
      </c>
      <c r="I135" s="110">
        <v>7060.6670000000004</v>
      </c>
      <c r="J135" s="110">
        <v>6745.1729999999998</v>
      </c>
      <c r="K135" s="110">
        <v>6390.2380000000003</v>
      </c>
      <c r="L135" s="110">
        <v>5991.9840000000004</v>
      </c>
      <c r="M135" s="110">
        <v>5553.9949999999999</v>
      </c>
      <c r="N135" s="110">
        <v>5070.4870000000001</v>
      </c>
      <c r="O135" s="110">
        <v>4541.8360000000002</v>
      </c>
      <c r="P135" s="110">
        <v>3997.0309999999999</v>
      </c>
      <c r="Q135" s="110">
        <v>3450.8319999999999</v>
      </c>
      <c r="R135" s="110">
        <v>2925.3989999999999</v>
      </c>
      <c r="S135" s="110">
        <v>2414.9070000000002</v>
      </c>
      <c r="T135" s="110">
        <v>1905.479</v>
      </c>
      <c r="U135" s="110">
        <v>1444.47</v>
      </c>
      <c r="V135" s="110">
        <v>1030.8030000000001</v>
      </c>
      <c r="W135" s="110">
        <v>673.31700000000001</v>
      </c>
      <c r="X135" s="110">
        <v>383.97199999999998</v>
      </c>
      <c r="Y135" s="110">
        <v>171.267</v>
      </c>
      <c r="Z135" s="110">
        <v>52.890999999999998</v>
      </c>
      <c r="AA135" s="110">
        <v>10.287000000000001</v>
      </c>
      <c r="AB135" s="110">
        <v>0.82099999999999995</v>
      </c>
      <c r="AC135" s="115">
        <f t="shared" si="7"/>
        <v>34996.402999999998</v>
      </c>
      <c r="AD135">
        <f t="shared" si="8"/>
        <v>1.0179153481490144</v>
      </c>
    </row>
    <row r="136" spans="1:30" x14ac:dyDescent="0.25">
      <c r="A136" s="104" t="str">
        <f t="shared" si="6"/>
        <v>Uganda2063</v>
      </c>
      <c r="C136" s="107" t="s">
        <v>257</v>
      </c>
      <c r="D136" s="108" t="s">
        <v>154</v>
      </c>
      <c r="E136" s="109"/>
      <c r="F136" s="109">
        <v>800</v>
      </c>
      <c r="G136" s="109">
        <v>2063</v>
      </c>
      <c r="H136" s="110">
        <v>7378.0119999999997</v>
      </c>
      <c r="I136" s="110">
        <v>7112.8940000000002</v>
      </c>
      <c r="J136" s="110">
        <v>6807.3969999999999</v>
      </c>
      <c r="K136" s="110">
        <v>6458.96</v>
      </c>
      <c r="L136" s="110">
        <v>6068.1170000000002</v>
      </c>
      <c r="M136" s="110">
        <v>5636.0190000000002</v>
      </c>
      <c r="N136" s="110">
        <v>5162.0919999999996</v>
      </c>
      <c r="O136" s="110">
        <v>4640.1750000000002</v>
      </c>
      <c r="P136" s="110">
        <v>4094.1550000000002</v>
      </c>
      <c r="Q136" s="110">
        <v>3546.9989999999998</v>
      </c>
      <c r="R136" s="110">
        <v>3012.7469999999998</v>
      </c>
      <c r="S136" s="110">
        <v>2499.9749999999999</v>
      </c>
      <c r="T136" s="110">
        <v>1986.4939999999999</v>
      </c>
      <c r="U136" s="110">
        <v>1504.9659999999999</v>
      </c>
      <c r="V136" s="110">
        <v>1080.57</v>
      </c>
      <c r="W136" s="110">
        <v>704.16399999999999</v>
      </c>
      <c r="X136" s="110">
        <v>403.21600000000001</v>
      </c>
      <c r="Y136" s="110">
        <v>181.00899999999999</v>
      </c>
      <c r="Z136" s="110">
        <v>56.872999999999998</v>
      </c>
      <c r="AA136" s="110">
        <v>11.871</v>
      </c>
      <c r="AB136" s="110">
        <v>0.88900000000000001</v>
      </c>
      <c r="AC136" s="115">
        <f t="shared" si="7"/>
        <v>35606.517</v>
      </c>
      <c r="AD136">
        <f t="shared" si="8"/>
        <v>1.0174336202494869</v>
      </c>
    </row>
    <row r="137" spans="1:30" x14ac:dyDescent="0.25">
      <c r="A137" s="104" t="str">
        <f t="shared" si="6"/>
        <v>Uganda2064</v>
      </c>
      <c r="C137" s="107" t="s">
        <v>257</v>
      </c>
      <c r="D137" s="108" t="s">
        <v>154</v>
      </c>
      <c r="E137" s="109"/>
      <c r="F137" s="109">
        <v>800</v>
      </c>
      <c r="G137" s="109">
        <v>2064</v>
      </c>
      <c r="H137" s="110">
        <v>7415.1270000000004</v>
      </c>
      <c r="I137" s="110">
        <v>7161.357</v>
      </c>
      <c r="J137" s="110">
        <v>6867.3050000000003</v>
      </c>
      <c r="K137" s="110">
        <v>6526.1450000000004</v>
      </c>
      <c r="L137" s="110">
        <v>6142.5969999999998</v>
      </c>
      <c r="M137" s="110">
        <v>5716.3270000000002</v>
      </c>
      <c r="N137" s="110">
        <v>5251.5029999999997</v>
      </c>
      <c r="O137" s="110">
        <v>4737.5739999999996</v>
      </c>
      <c r="P137" s="110">
        <v>4191.46</v>
      </c>
      <c r="Q137" s="110">
        <v>3643.8980000000001</v>
      </c>
      <c r="R137" s="110">
        <v>3101.7179999999998</v>
      </c>
      <c r="S137" s="110">
        <v>2585.6790000000001</v>
      </c>
      <c r="T137" s="110">
        <v>2069.9189999999999</v>
      </c>
      <c r="U137" s="110">
        <v>1570.3810000000001</v>
      </c>
      <c r="V137" s="110">
        <v>1133.6759999999999</v>
      </c>
      <c r="W137" s="110">
        <v>739.02599999999995</v>
      </c>
      <c r="X137" s="110">
        <v>423.79199999999997</v>
      </c>
      <c r="Y137" s="110">
        <v>190.39400000000001</v>
      </c>
      <c r="Z137" s="110">
        <v>59.325000000000003</v>
      </c>
      <c r="AA137" s="110">
        <v>12.262</v>
      </c>
      <c r="AB137" s="110">
        <v>0.96599999999999997</v>
      </c>
      <c r="AC137" s="115">
        <f t="shared" si="7"/>
        <v>36209.504000000001</v>
      </c>
      <c r="AD137">
        <f t="shared" si="8"/>
        <v>1.0169347369752566</v>
      </c>
    </row>
    <row r="138" spans="1:30" x14ac:dyDescent="0.25">
      <c r="A138" s="104" t="str">
        <f t="shared" si="6"/>
        <v>Uganda2065</v>
      </c>
      <c r="C138" s="107" t="s">
        <v>257</v>
      </c>
      <c r="D138" s="108" t="s">
        <v>154</v>
      </c>
      <c r="E138" s="109"/>
      <c r="F138" s="109">
        <v>800</v>
      </c>
      <c r="G138" s="109">
        <v>2065</v>
      </c>
      <c r="H138" s="110">
        <v>7450.2240000000002</v>
      </c>
      <c r="I138" s="110">
        <v>7205.85</v>
      </c>
      <c r="J138" s="110">
        <v>6924.2420000000002</v>
      </c>
      <c r="K138" s="110">
        <v>6591.7250000000004</v>
      </c>
      <c r="L138" s="110">
        <v>6215.2759999999998</v>
      </c>
      <c r="M138" s="110">
        <v>5795.2129999999997</v>
      </c>
      <c r="N138" s="110">
        <v>5338.6239999999998</v>
      </c>
      <c r="O138" s="110">
        <v>4833.3829999999998</v>
      </c>
      <c r="P138" s="110">
        <v>4289.1139999999996</v>
      </c>
      <c r="Q138" s="110">
        <v>3740.8629999999998</v>
      </c>
      <c r="R138" s="110">
        <v>3192.7429999999999</v>
      </c>
      <c r="S138" s="110">
        <v>2672.0459999999998</v>
      </c>
      <c r="T138" s="110">
        <v>2154.44</v>
      </c>
      <c r="U138" s="110">
        <v>1641.345</v>
      </c>
      <c r="V138" s="110">
        <v>1189.69</v>
      </c>
      <c r="W138" s="110">
        <v>778.48099999999999</v>
      </c>
      <c r="X138" s="110">
        <v>446.19799999999998</v>
      </c>
      <c r="Y138" s="110">
        <v>199.92500000000001</v>
      </c>
      <c r="Z138" s="110">
        <v>60.612000000000002</v>
      </c>
      <c r="AA138" s="110">
        <v>10.831</v>
      </c>
      <c r="AB138" s="110">
        <v>1.0529999999999999</v>
      </c>
      <c r="AC138" s="115">
        <f t="shared" si="7"/>
        <v>36804.197999999997</v>
      </c>
      <c r="AD138">
        <f t="shared" si="8"/>
        <v>1.0164236991481572</v>
      </c>
    </row>
    <row r="139" spans="1:30" x14ac:dyDescent="0.25">
      <c r="A139" s="104" t="str">
        <f t="shared" si="6"/>
        <v>Uganda2066</v>
      </c>
      <c r="C139" s="107" t="s">
        <v>257</v>
      </c>
      <c r="D139" s="108" t="s">
        <v>154</v>
      </c>
      <c r="E139" s="109"/>
      <c r="F139" s="109">
        <v>800</v>
      </c>
      <c r="G139" s="109">
        <v>2066</v>
      </c>
      <c r="H139" s="110">
        <v>7488.3389999999999</v>
      </c>
      <c r="I139" s="110">
        <v>7254.0330000000004</v>
      </c>
      <c r="J139" s="110">
        <v>6981.4620000000004</v>
      </c>
      <c r="K139" s="110">
        <v>6657.1869999999999</v>
      </c>
      <c r="L139" s="110">
        <v>6287.6750000000002</v>
      </c>
      <c r="M139" s="110">
        <v>5874.5360000000001</v>
      </c>
      <c r="N139" s="110">
        <v>5425.2120000000004</v>
      </c>
      <c r="O139" s="110">
        <v>4928.0249999999996</v>
      </c>
      <c r="P139" s="110">
        <v>4387.3339999999998</v>
      </c>
      <c r="Q139" s="110">
        <v>3836.9830000000002</v>
      </c>
      <c r="R139" s="110">
        <v>3284.1469999999999</v>
      </c>
      <c r="S139" s="110">
        <v>2756.1759999999999</v>
      </c>
      <c r="T139" s="110">
        <v>2233.547</v>
      </c>
      <c r="U139" s="110">
        <v>1708.3140000000001</v>
      </c>
      <c r="V139" s="110">
        <v>1238.357</v>
      </c>
      <c r="W139" s="110">
        <v>813.76800000000003</v>
      </c>
      <c r="X139" s="110">
        <v>467.94299999999998</v>
      </c>
      <c r="Y139" s="110">
        <v>215.14699999999999</v>
      </c>
      <c r="Z139" s="110">
        <v>69.313000000000002</v>
      </c>
      <c r="AA139" s="110">
        <v>12.701000000000001</v>
      </c>
      <c r="AB139" s="110">
        <v>1.1519999999999999</v>
      </c>
      <c r="AC139" s="115">
        <f t="shared" si="7"/>
        <v>37396.952000000005</v>
      </c>
      <c r="AD139">
        <f t="shared" si="8"/>
        <v>1.0161056083873912</v>
      </c>
    </row>
    <row r="140" spans="1:30" x14ac:dyDescent="0.25">
      <c r="A140" s="104" t="str">
        <f t="shared" si="6"/>
        <v>Uganda2067</v>
      </c>
      <c r="C140" s="107" t="s">
        <v>257</v>
      </c>
      <c r="D140" s="108" t="s">
        <v>154</v>
      </c>
      <c r="E140" s="109"/>
      <c r="F140" s="109">
        <v>800</v>
      </c>
      <c r="G140" s="109">
        <v>2067</v>
      </c>
      <c r="H140" s="110">
        <v>7522.7939999999999</v>
      </c>
      <c r="I140" s="110">
        <v>7298.9620000000004</v>
      </c>
      <c r="J140" s="110">
        <v>7036.32</v>
      </c>
      <c r="K140" s="110">
        <v>6721.1440000000002</v>
      </c>
      <c r="L140" s="110">
        <v>6358.2139999999999</v>
      </c>
      <c r="M140" s="110">
        <v>5952.3850000000002</v>
      </c>
      <c r="N140" s="110">
        <v>5509.49</v>
      </c>
      <c r="O140" s="110">
        <v>5021.1390000000001</v>
      </c>
      <c r="P140" s="110">
        <v>4485.7460000000001</v>
      </c>
      <c r="Q140" s="110">
        <v>3933.27</v>
      </c>
      <c r="R140" s="110">
        <v>3377.768</v>
      </c>
      <c r="S140" s="110">
        <v>2841.2640000000001</v>
      </c>
      <c r="T140" s="110">
        <v>2314.7359999999999</v>
      </c>
      <c r="U140" s="110">
        <v>1781.008</v>
      </c>
      <c r="V140" s="110">
        <v>1290.0519999999999</v>
      </c>
      <c r="W140" s="110">
        <v>852.80600000000004</v>
      </c>
      <c r="X140" s="110">
        <v>490.01900000000001</v>
      </c>
      <c r="Y140" s="110">
        <v>228.56800000000001</v>
      </c>
      <c r="Z140" s="110">
        <v>75.724999999999994</v>
      </c>
      <c r="AA140" s="110">
        <v>15.555</v>
      </c>
      <c r="AB140" s="110">
        <v>1.264</v>
      </c>
      <c r="AC140" s="115">
        <f t="shared" si="7"/>
        <v>37981.387999999999</v>
      </c>
      <c r="AD140">
        <f t="shared" si="8"/>
        <v>1.0156279046484857</v>
      </c>
    </row>
    <row r="141" spans="1:30" x14ac:dyDescent="0.25">
      <c r="A141" s="104" t="str">
        <f t="shared" si="6"/>
        <v>Uganda2068</v>
      </c>
      <c r="C141" s="107" t="s">
        <v>257</v>
      </c>
      <c r="D141" s="108" t="s">
        <v>154</v>
      </c>
      <c r="E141" s="109"/>
      <c r="F141" s="109">
        <v>800</v>
      </c>
      <c r="G141" s="109">
        <v>2068</v>
      </c>
      <c r="H141" s="110">
        <v>7554.0230000000001</v>
      </c>
      <c r="I141" s="110">
        <v>7340.2520000000004</v>
      </c>
      <c r="J141" s="110">
        <v>7088.701</v>
      </c>
      <c r="K141" s="110">
        <v>6783.3680000000004</v>
      </c>
      <c r="L141" s="110">
        <v>6426.9920000000002</v>
      </c>
      <c r="M141" s="110">
        <v>6028.6279999999997</v>
      </c>
      <c r="N141" s="110">
        <v>5591.58</v>
      </c>
      <c r="O141" s="110">
        <v>5112.6270000000004</v>
      </c>
      <c r="P141" s="110">
        <v>4583.7290000000003</v>
      </c>
      <c r="Q141" s="110">
        <v>4029.8609999999999</v>
      </c>
      <c r="R141" s="110">
        <v>3473.0390000000002</v>
      </c>
      <c r="S141" s="110">
        <v>2927.4690000000001</v>
      </c>
      <c r="T141" s="110">
        <v>2397.8490000000002</v>
      </c>
      <c r="U141" s="110">
        <v>1858.3679999999999</v>
      </c>
      <c r="V141" s="110">
        <v>1345.8510000000001</v>
      </c>
      <c r="W141" s="110">
        <v>895.63599999999997</v>
      </c>
      <c r="X141" s="110">
        <v>513.73500000000001</v>
      </c>
      <c r="Y141" s="110">
        <v>240.14099999999999</v>
      </c>
      <c r="Z141" s="110">
        <v>80.802000000000007</v>
      </c>
      <c r="AA141" s="110">
        <v>17.887</v>
      </c>
      <c r="AB141" s="110">
        <v>1.389</v>
      </c>
      <c r="AC141" s="115">
        <f t="shared" si="7"/>
        <v>38556.784999999996</v>
      </c>
      <c r="AD141">
        <f t="shared" si="8"/>
        <v>1.0151494463551463</v>
      </c>
    </row>
    <row r="142" spans="1:30" x14ac:dyDescent="0.25">
      <c r="A142" s="104" t="str">
        <f t="shared" si="6"/>
        <v>Uganda2069</v>
      </c>
      <c r="C142" s="107" t="s">
        <v>257</v>
      </c>
      <c r="D142" s="108" t="s">
        <v>154</v>
      </c>
      <c r="E142" s="109"/>
      <c r="F142" s="109">
        <v>800</v>
      </c>
      <c r="G142" s="109">
        <v>2069</v>
      </c>
      <c r="H142" s="110">
        <v>7582.4520000000002</v>
      </c>
      <c r="I142" s="110">
        <v>7377.777</v>
      </c>
      <c r="J142" s="110">
        <v>7138.3140000000003</v>
      </c>
      <c r="K142" s="110">
        <v>6843.47</v>
      </c>
      <c r="L142" s="110">
        <v>6494.1509999999998</v>
      </c>
      <c r="M142" s="110">
        <v>6103.0429999999997</v>
      </c>
      <c r="N142" s="110">
        <v>5671.875</v>
      </c>
      <c r="O142" s="110">
        <v>5202.2619999999997</v>
      </c>
      <c r="P142" s="110">
        <v>4680.5959999999995</v>
      </c>
      <c r="Q142" s="110">
        <v>4126.9880000000003</v>
      </c>
      <c r="R142" s="110">
        <v>3569.1</v>
      </c>
      <c r="S142" s="110">
        <v>3015.4589999999998</v>
      </c>
      <c r="T142" s="110">
        <v>2482.7049999999999</v>
      </c>
      <c r="U142" s="110">
        <v>1938.845</v>
      </c>
      <c r="V142" s="110">
        <v>1407.123</v>
      </c>
      <c r="W142" s="110">
        <v>941.86900000000003</v>
      </c>
      <c r="X142" s="110">
        <v>540.26199999999994</v>
      </c>
      <c r="Y142" s="110">
        <v>251.625</v>
      </c>
      <c r="Z142" s="110">
        <v>83.92</v>
      </c>
      <c r="AA142" s="110">
        <v>18.515000000000001</v>
      </c>
      <c r="AB142" s="110">
        <v>1.528</v>
      </c>
      <c r="AC142" s="115">
        <f t="shared" si="7"/>
        <v>39122.384999999995</v>
      </c>
      <c r="AD142">
        <f t="shared" si="8"/>
        <v>1.0146692728659819</v>
      </c>
    </row>
    <row r="143" spans="1:30" x14ac:dyDescent="0.25">
      <c r="A143" s="104" t="str">
        <f t="shared" si="6"/>
        <v>Uganda2070</v>
      </c>
      <c r="C143" s="107" t="s">
        <v>257</v>
      </c>
      <c r="D143" s="108" t="s">
        <v>154</v>
      </c>
      <c r="E143" s="109"/>
      <c r="F143" s="109">
        <v>800</v>
      </c>
      <c r="G143" s="109">
        <v>2070</v>
      </c>
      <c r="H143" s="110">
        <v>7608.6360000000004</v>
      </c>
      <c r="I143" s="110">
        <v>7411.5519999999997</v>
      </c>
      <c r="J143" s="110">
        <v>7184.6480000000001</v>
      </c>
      <c r="K143" s="110">
        <v>6901.1019999999999</v>
      </c>
      <c r="L143" s="110">
        <v>6559.7470000000003</v>
      </c>
      <c r="M143" s="110">
        <v>6175.4989999999998</v>
      </c>
      <c r="N143" s="110">
        <v>5750.6549999999997</v>
      </c>
      <c r="O143" s="110">
        <v>5289.74</v>
      </c>
      <c r="P143" s="110">
        <v>4775.9380000000001</v>
      </c>
      <c r="Q143" s="110">
        <v>4224.5879999999997</v>
      </c>
      <c r="R143" s="110">
        <v>3665.3710000000001</v>
      </c>
      <c r="S143" s="110">
        <v>3105.6909999999998</v>
      </c>
      <c r="T143" s="110">
        <v>2568.9450000000002</v>
      </c>
      <c r="U143" s="110">
        <v>2021.41</v>
      </c>
      <c r="V143" s="110">
        <v>1474.501</v>
      </c>
      <c r="W143" s="110">
        <v>991.38800000000003</v>
      </c>
      <c r="X143" s="110">
        <v>570.39</v>
      </c>
      <c r="Y143" s="110">
        <v>263.745</v>
      </c>
      <c r="Z143" s="110">
        <v>85.658000000000001</v>
      </c>
      <c r="AA143" s="110">
        <v>16.609000000000002</v>
      </c>
      <c r="AB143" s="110">
        <v>1.6830000000000001</v>
      </c>
      <c r="AC143" s="115">
        <f t="shared" si="7"/>
        <v>39677.269</v>
      </c>
      <c r="AD143">
        <f t="shared" si="8"/>
        <v>1.0141832866273364</v>
      </c>
    </row>
    <row r="144" spans="1:30" x14ac:dyDescent="0.25">
      <c r="A144" s="104" t="str">
        <f t="shared" si="6"/>
        <v>Uganda2071</v>
      </c>
      <c r="C144" s="107" t="s">
        <v>257</v>
      </c>
      <c r="D144" s="108" t="s">
        <v>154</v>
      </c>
      <c r="E144" s="109"/>
      <c r="F144" s="109">
        <v>800</v>
      </c>
      <c r="G144" s="109">
        <v>2071</v>
      </c>
      <c r="H144" s="110">
        <v>7638.9780000000001</v>
      </c>
      <c r="I144" s="110">
        <v>7449.6809999999996</v>
      </c>
      <c r="J144" s="110">
        <v>7231.3389999999999</v>
      </c>
      <c r="K144" s="110">
        <v>6958.259</v>
      </c>
      <c r="L144" s="110">
        <v>6625.6530000000002</v>
      </c>
      <c r="M144" s="110">
        <v>6248.3530000000001</v>
      </c>
      <c r="N144" s="110">
        <v>5830.1049999999996</v>
      </c>
      <c r="O144" s="110">
        <v>5375.817</v>
      </c>
      <c r="P144" s="110">
        <v>4870.4849999999997</v>
      </c>
      <c r="Q144" s="110">
        <v>4321.7389999999996</v>
      </c>
      <c r="R144" s="110">
        <v>3760.4</v>
      </c>
      <c r="S144" s="110">
        <v>3195.14</v>
      </c>
      <c r="T144" s="110">
        <v>2649.0070000000001</v>
      </c>
      <c r="U144" s="110">
        <v>2095.3789999999999</v>
      </c>
      <c r="V144" s="110">
        <v>1535.068</v>
      </c>
      <c r="W144" s="110">
        <v>1033.2159999999999</v>
      </c>
      <c r="X144" s="110">
        <v>599.76599999999996</v>
      </c>
      <c r="Y144" s="110">
        <v>282.13099999999997</v>
      </c>
      <c r="Z144" s="110">
        <v>96.620999999999995</v>
      </c>
      <c r="AA144" s="110">
        <v>19.218</v>
      </c>
      <c r="AB144" s="110">
        <v>1.855</v>
      </c>
      <c r="AC144" s="115">
        <f t="shared" si="7"/>
        <v>40230.411</v>
      </c>
      <c r="AD144">
        <f t="shared" si="8"/>
        <v>1.0139410300643423</v>
      </c>
    </row>
    <row r="145" spans="1:30" x14ac:dyDescent="0.25">
      <c r="A145" s="104" t="str">
        <f t="shared" si="6"/>
        <v>Uganda2072</v>
      </c>
      <c r="C145" s="107" t="s">
        <v>257</v>
      </c>
      <c r="D145" s="108" t="s">
        <v>154</v>
      </c>
      <c r="E145" s="109"/>
      <c r="F145" s="109">
        <v>800</v>
      </c>
      <c r="G145" s="109">
        <v>2072</v>
      </c>
      <c r="H145" s="110">
        <v>7664.8029999999999</v>
      </c>
      <c r="I145" s="110">
        <v>7485.1660000000002</v>
      </c>
      <c r="J145" s="110">
        <v>7275.4009999999998</v>
      </c>
      <c r="K145" s="110">
        <v>7013.1540000000005</v>
      </c>
      <c r="L145" s="110">
        <v>6689.9170000000004</v>
      </c>
      <c r="M145" s="110">
        <v>6319.2669999999998</v>
      </c>
      <c r="N145" s="110">
        <v>5908.2020000000002</v>
      </c>
      <c r="O145" s="110">
        <v>5459.7879999999996</v>
      </c>
      <c r="P145" s="110">
        <v>4963.6229999999996</v>
      </c>
      <c r="Q145" s="110">
        <v>4419.3450000000003</v>
      </c>
      <c r="R145" s="110">
        <v>3855.8560000000002</v>
      </c>
      <c r="S145" s="110">
        <v>3287.4189999999999</v>
      </c>
      <c r="T145" s="110">
        <v>2731.16</v>
      </c>
      <c r="U145" s="110">
        <v>2172.3989999999999</v>
      </c>
      <c r="V145" s="110">
        <v>1601.5119999999999</v>
      </c>
      <c r="W145" s="110">
        <v>1077.6759999999999</v>
      </c>
      <c r="X145" s="110">
        <v>630.77</v>
      </c>
      <c r="Y145" s="110">
        <v>298.34100000000001</v>
      </c>
      <c r="Z145" s="110">
        <v>104.46</v>
      </c>
      <c r="AA145" s="110">
        <v>23.111999999999998</v>
      </c>
      <c r="AB145" s="110">
        <v>2.044</v>
      </c>
      <c r="AC145" s="115">
        <f t="shared" si="7"/>
        <v>40773.296000000002</v>
      </c>
      <c r="AD145">
        <f t="shared" si="8"/>
        <v>1.0134943935820095</v>
      </c>
    </row>
    <row r="146" spans="1:30" x14ac:dyDescent="0.25">
      <c r="A146" s="104" t="str">
        <f t="shared" si="6"/>
        <v>Uganda2073</v>
      </c>
      <c r="C146" s="107" t="s">
        <v>257</v>
      </c>
      <c r="D146" s="108" t="s">
        <v>154</v>
      </c>
      <c r="E146" s="109"/>
      <c r="F146" s="109">
        <v>800</v>
      </c>
      <c r="G146" s="109">
        <v>2073</v>
      </c>
      <c r="H146" s="110">
        <v>7686.7709999999997</v>
      </c>
      <c r="I146" s="110">
        <v>7517.6109999999999</v>
      </c>
      <c r="J146" s="110">
        <v>7316.8010000000004</v>
      </c>
      <c r="K146" s="110">
        <v>7065.6270000000004</v>
      </c>
      <c r="L146" s="110">
        <v>6752.2979999999998</v>
      </c>
      <c r="M146" s="110">
        <v>6388.2579999999998</v>
      </c>
      <c r="N146" s="110">
        <v>5984.6440000000002</v>
      </c>
      <c r="O146" s="110">
        <v>5541.9489999999996</v>
      </c>
      <c r="P146" s="110">
        <v>5054.9679999999998</v>
      </c>
      <c r="Q146" s="110">
        <v>4516.9440000000004</v>
      </c>
      <c r="R146" s="110">
        <v>3951.7440000000001</v>
      </c>
      <c r="S146" s="110">
        <v>3381.5990000000002</v>
      </c>
      <c r="T146" s="110">
        <v>2815.7429999999999</v>
      </c>
      <c r="U146" s="110">
        <v>2252.2950000000001</v>
      </c>
      <c r="V146" s="110">
        <v>1673.097</v>
      </c>
      <c r="W146" s="110">
        <v>1126.2670000000001</v>
      </c>
      <c r="X146" s="110">
        <v>663.98199999999997</v>
      </c>
      <c r="Y146" s="110">
        <v>312.75200000000001</v>
      </c>
      <c r="Z146" s="110">
        <v>110.596</v>
      </c>
      <c r="AA146" s="110">
        <v>26.265000000000001</v>
      </c>
      <c r="AB146" s="110">
        <v>2.25</v>
      </c>
      <c r="AC146" s="115">
        <f t="shared" si="7"/>
        <v>41304.688000000002</v>
      </c>
      <c r="AD146">
        <f t="shared" si="8"/>
        <v>1.0130328438495626</v>
      </c>
    </row>
    <row r="147" spans="1:30" x14ac:dyDescent="0.25">
      <c r="A147" s="104" t="str">
        <f t="shared" si="6"/>
        <v>Uganda2074</v>
      </c>
      <c r="C147" s="107" t="s">
        <v>257</v>
      </c>
      <c r="D147" s="108" t="s">
        <v>154</v>
      </c>
      <c r="E147" s="109"/>
      <c r="F147" s="109">
        <v>800</v>
      </c>
      <c r="G147" s="109">
        <v>2074</v>
      </c>
      <c r="H147" s="110">
        <v>7705.6629999999996</v>
      </c>
      <c r="I147" s="110">
        <v>7546.5860000000002</v>
      </c>
      <c r="J147" s="110">
        <v>7355.4949999999999</v>
      </c>
      <c r="K147" s="110">
        <v>7115.4489999999996</v>
      </c>
      <c r="L147" s="110">
        <v>6812.44</v>
      </c>
      <c r="M147" s="110">
        <v>6455.4279999999999</v>
      </c>
      <c r="N147" s="110">
        <v>6059.1289999999999</v>
      </c>
      <c r="O147" s="110">
        <v>5622.6329999999998</v>
      </c>
      <c r="P147" s="110">
        <v>5144.2489999999998</v>
      </c>
      <c r="Q147" s="110">
        <v>4613.7910000000002</v>
      </c>
      <c r="R147" s="110">
        <v>4048.2150000000001</v>
      </c>
      <c r="S147" s="110">
        <v>3476.723</v>
      </c>
      <c r="T147" s="110">
        <v>2903.2860000000001</v>
      </c>
      <c r="U147" s="110">
        <v>2334.8809999999999</v>
      </c>
      <c r="V147" s="110">
        <v>1748.6189999999999</v>
      </c>
      <c r="W147" s="110">
        <v>1180.48</v>
      </c>
      <c r="X147" s="110">
        <v>699.52099999999996</v>
      </c>
      <c r="Y147" s="110">
        <v>328.03699999999998</v>
      </c>
      <c r="Z147" s="110">
        <v>114.468</v>
      </c>
      <c r="AA147" s="110">
        <v>27.116</v>
      </c>
      <c r="AB147" s="110">
        <v>2.476</v>
      </c>
      <c r="AC147" s="115">
        <f t="shared" si="7"/>
        <v>41823.118999999992</v>
      </c>
      <c r="AD147">
        <f t="shared" si="8"/>
        <v>1.0125513839978646</v>
      </c>
    </row>
    <row r="148" spans="1:30" x14ac:dyDescent="0.25">
      <c r="A148" s="104" t="str">
        <f t="shared" si="6"/>
        <v>Uganda2075</v>
      </c>
      <c r="C148" s="107" t="s">
        <v>257</v>
      </c>
      <c r="D148" s="108" t="s">
        <v>154</v>
      </c>
      <c r="E148" s="109"/>
      <c r="F148" s="109">
        <v>800</v>
      </c>
      <c r="G148" s="109">
        <v>2075</v>
      </c>
      <c r="H148" s="110">
        <v>7722.3010000000004</v>
      </c>
      <c r="I148" s="110">
        <v>7571.6270000000004</v>
      </c>
      <c r="J148" s="110">
        <v>7391.2759999999998</v>
      </c>
      <c r="K148" s="110">
        <v>7162.4089999999997</v>
      </c>
      <c r="L148" s="110">
        <v>6870.0839999999998</v>
      </c>
      <c r="M148" s="110">
        <v>6520.8230000000003</v>
      </c>
      <c r="N148" s="110">
        <v>6131.5129999999999</v>
      </c>
      <c r="O148" s="110">
        <v>5701.8810000000003</v>
      </c>
      <c r="P148" s="110">
        <v>5231.3980000000001</v>
      </c>
      <c r="Q148" s="110">
        <v>4709.2309999999998</v>
      </c>
      <c r="R148" s="110">
        <v>4145.2709999999997</v>
      </c>
      <c r="S148" s="110">
        <v>3572.2669999999998</v>
      </c>
      <c r="T148" s="110">
        <v>2993.8090000000002</v>
      </c>
      <c r="U148" s="110">
        <v>2419.9250000000002</v>
      </c>
      <c r="V148" s="110">
        <v>1827.2919999999999</v>
      </c>
      <c r="W148" s="110">
        <v>1241.011</v>
      </c>
      <c r="X148" s="110">
        <v>737.78099999999995</v>
      </c>
      <c r="Y148" s="110">
        <v>345.28800000000001</v>
      </c>
      <c r="Z148" s="110">
        <v>116.96299999999999</v>
      </c>
      <c r="AA148" s="110">
        <v>24.568000000000001</v>
      </c>
      <c r="AB148" s="110">
        <v>2.72</v>
      </c>
      <c r="AC148" s="115">
        <f t="shared" si="7"/>
        <v>42327.339</v>
      </c>
      <c r="AD148">
        <f t="shared" si="8"/>
        <v>1.0120560114132093</v>
      </c>
    </row>
    <row r="149" spans="1:30" x14ac:dyDescent="0.25">
      <c r="A149" s="104" t="str">
        <f t="shared" si="6"/>
        <v>Uganda2076</v>
      </c>
      <c r="C149" s="107" t="s">
        <v>257</v>
      </c>
      <c r="D149" s="108" t="s">
        <v>154</v>
      </c>
      <c r="E149" s="109"/>
      <c r="F149" s="109">
        <v>800</v>
      </c>
      <c r="G149" s="109">
        <v>2076</v>
      </c>
      <c r="H149" s="110">
        <v>7743.3109999999997</v>
      </c>
      <c r="I149" s="110">
        <v>7601.13</v>
      </c>
      <c r="J149" s="110">
        <v>7428.3990000000003</v>
      </c>
      <c r="K149" s="110">
        <v>7209.1090000000004</v>
      </c>
      <c r="L149" s="110">
        <v>6927.7839999999997</v>
      </c>
      <c r="M149" s="110">
        <v>6587.3040000000001</v>
      </c>
      <c r="N149" s="110">
        <v>6204.6279999999997</v>
      </c>
      <c r="O149" s="110">
        <v>5780.9849999999997</v>
      </c>
      <c r="P149" s="110">
        <v>5317.6180000000004</v>
      </c>
      <c r="Q149" s="110">
        <v>4802.8810000000003</v>
      </c>
      <c r="R149" s="110">
        <v>4241.4970000000003</v>
      </c>
      <c r="S149" s="110">
        <v>3665.4119999999998</v>
      </c>
      <c r="T149" s="110">
        <v>3079.1129999999998</v>
      </c>
      <c r="U149" s="110">
        <v>2495.0010000000002</v>
      </c>
      <c r="V149" s="110">
        <v>1894.1949999999999</v>
      </c>
      <c r="W149" s="110">
        <v>1293.491</v>
      </c>
      <c r="X149" s="110">
        <v>772.54700000000003</v>
      </c>
      <c r="Y149" s="110">
        <v>370.00799999999998</v>
      </c>
      <c r="Z149" s="110">
        <v>130.74299999999999</v>
      </c>
      <c r="AA149" s="110">
        <v>27.974</v>
      </c>
      <c r="AB149" s="110">
        <v>2.9860000000000002</v>
      </c>
      <c r="AC149" s="115">
        <f t="shared" si="7"/>
        <v>42830.309000000001</v>
      </c>
      <c r="AD149">
        <f t="shared" si="8"/>
        <v>1.0118828636971486</v>
      </c>
    </row>
    <row r="150" spans="1:30" x14ac:dyDescent="0.25">
      <c r="A150" s="104" t="str">
        <f t="shared" si="6"/>
        <v>Uganda2077</v>
      </c>
      <c r="C150" s="107" t="s">
        <v>257</v>
      </c>
      <c r="D150" s="108" t="s">
        <v>154</v>
      </c>
      <c r="E150" s="109"/>
      <c r="F150" s="109">
        <v>800</v>
      </c>
      <c r="G150" s="109">
        <v>2077</v>
      </c>
      <c r="H150" s="110">
        <v>7759.6970000000001</v>
      </c>
      <c r="I150" s="110">
        <v>7627.8339999999998</v>
      </c>
      <c r="J150" s="110">
        <v>7463.299</v>
      </c>
      <c r="K150" s="110">
        <v>7253.1559999999999</v>
      </c>
      <c r="L150" s="110">
        <v>6983.0110000000004</v>
      </c>
      <c r="M150" s="110">
        <v>6651.9880000000003</v>
      </c>
      <c r="N150" s="110">
        <v>6275.857</v>
      </c>
      <c r="O150" s="110">
        <v>5858.86</v>
      </c>
      <c r="P150" s="110">
        <v>5401.799</v>
      </c>
      <c r="Q150" s="110">
        <v>4895.3789999999999</v>
      </c>
      <c r="R150" s="110">
        <v>4338.4089999999997</v>
      </c>
      <c r="S150" s="110">
        <v>3759.683</v>
      </c>
      <c r="T150" s="110">
        <v>3168.4079999999999</v>
      </c>
      <c r="U150" s="110">
        <v>2573.25</v>
      </c>
      <c r="V150" s="110">
        <v>1964.9059999999999</v>
      </c>
      <c r="W150" s="110">
        <v>1351.069</v>
      </c>
      <c r="X150" s="110">
        <v>808.06600000000003</v>
      </c>
      <c r="Y150" s="110">
        <v>392.745</v>
      </c>
      <c r="Z150" s="110">
        <v>140.44999999999999</v>
      </c>
      <c r="AA150" s="110">
        <v>33.026000000000003</v>
      </c>
      <c r="AB150" s="110">
        <v>3.2749999999999999</v>
      </c>
      <c r="AC150" s="115">
        <f t="shared" si="7"/>
        <v>43320.05</v>
      </c>
      <c r="AD150">
        <f t="shared" si="8"/>
        <v>1.0114344493755578</v>
      </c>
    </row>
    <row r="151" spans="1:30" x14ac:dyDescent="0.25">
      <c r="A151" s="104" t="str">
        <f t="shared" si="6"/>
        <v>Uganda2078</v>
      </c>
      <c r="C151" s="107" t="s">
        <v>257</v>
      </c>
      <c r="D151" s="108" t="s">
        <v>154</v>
      </c>
      <c r="E151" s="109"/>
      <c r="F151" s="109">
        <v>800</v>
      </c>
      <c r="G151" s="109">
        <v>2078</v>
      </c>
      <c r="H151" s="110">
        <v>7772.25</v>
      </c>
      <c r="I151" s="110">
        <v>7651.3090000000002</v>
      </c>
      <c r="J151" s="110">
        <v>7495.808</v>
      </c>
      <c r="K151" s="110">
        <v>7294.6139999999996</v>
      </c>
      <c r="L151" s="110">
        <v>7035.625</v>
      </c>
      <c r="M151" s="110">
        <v>6714.5950000000003</v>
      </c>
      <c r="N151" s="110">
        <v>6345.0810000000001</v>
      </c>
      <c r="O151" s="110">
        <v>5935.42</v>
      </c>
      <c r="P151" s="110">
        <v>5483.9589999999998</v>
      </c>
      <c r="Q151" s="110">
        <v>4986.5150000000003</v>
      </c>
      <c r="R151" s="110">
        <v>4435.4170000000004</v>
      </c>
      <c r="S151" s="110">
        <v>3854.6860000000001</v>
      </c>
      <c r="T151" s="110">
        <v>3260.9850000000001</v>
      </c>
      <c r="U151" s="110">
        <v>2654.9639999999999</v>
      </c>
      <c r="V151" s="110">
        <v>2039.5129999999999</v>
      </c>
      <c r="W151" s="110">
        <v>1413.732</v>
      </c>
      <c r="X151" s="110">
        <v>846.31100000000004</v>
      </c>
      <c r="Y151" s="110">
        <v>413.27</v>
      </c>
      <c r="Z151" s="110">
        <v>148.262</v>
      </c>
      <c r="AA151" s="110">
        <v>37.137</v>
      </c>
      <c r="AB151" s="110">
        <v>3.5840000000000001</v>
      </c>
      <c r="AC151" s="115">
        <f t="shared" si="7"/>
        <v>43795.809000000001</v>
      </c>
      <c r="AD151">
        <f t="shared" si="8"/>
        <v>1.0109824203804012</v>
      </c>
    </row>
    <row r="152" spans="1:30" x14ac:dyDescent="0.25">
      <c r="A152" s="104" t="str">
        <f t="shared" si="6"/>
        <v>Uganda2079</v>
      </c>
      <c r="C152" s="107" t="s">
        <v>257</v>
      </c>
      <c r="D152" s="108" t="s">
        <v>154</v>
      </c>
      <c r="E152" s="109"/>
      <c r="F152" s="109">
        <v>800</v>
      </c>
      <c r="G152" s="109">
        <v>2079</v>
      </c>
      <c r="H152" s="110">
        <v>7781.8710000000001</v>
      </c>
      <c r="I152" s="110">
        <v>7671.1549999999997</v>
      </c>
      <c r="J152" s="110">
        <v>7525.6289999999999</v>
      </c>
      <c r="K152" s="110">
        <v>7333.576</v>
      </c>
      <c r="L152" s="110">
        <v>7085.4719999999998</v>
      </c>
      <c r="M152" s="110">
        <v>6774.7529999999997</v>
      </c>
      <c r="N152" s="110">
        <v>6412.3490000000002</v>
      </c>
      <c r="O152" s="110">
        <v>6010.34</v>
      </c>
      <c r="P152" s="110">
        <v>5564.4080000000004</v>
      </c>
      <c r="Q152" s="110">
        <v>5075.9870000000001</v>
      </c>
      <c r="R152" s="110">
        <v>4531.7359999999999</v>
      </c>
      <c r="S152" s="110">
        <v>3950.4380000000001</v>
      </c>
      <c r="T152" s="110">
        <v>3355.8090000000002</v>
      </c>
      <c r="U152" s="110">
        <v>2740.6880000000001</v>
      </c>
      <c r="V152" s="110">
        <v>2117.9589999999998</v>
      </c>
      <c r="W152" s="110">
        <v>1480.856</v>
      </c>
      <c r="X152" s="110">
        <v>888.95</v>
      </c>
      <c r="Y152" s="110">
        <v>434.30700000000002</v>
      </c>
      <c r="Z152" s="110">
        <v>153.69999999999999</v>
      </c>
      <c r="AA152" s="110">
        <v>38.301000000000002</v>
      </c>
      <c r="AB152" s="110">
        <v>3.9159999999999999</v>
      </c>
      <c r="AC152" s="115">
        <f t="shared" si="7"/>
        <v>44256.885000000009</v>
      </c>
      <c r="AD152">
        <f t="shared" si="8"/>
        <v>1.0105278566723133</v>
      </c>
    </row>
    <row r="153" spans="1:30" x14ac:dyDescent="0.25">
      <c r="A153" s="104" t="str">
        <f t="shared" si="6"/>
        <v>Uganda2080</v>
      </c>
      <c r="C153" s="107" t="s">
        <v>257</v>
      </c>
      <c r="D153" s="108" t="s">
        <v>154</v>
      </c>
      <c r="E153" s="109"/>
      <c r="F153" s="109">
        <v>800</v>
      </c>
      <c r="G153" s="109">
        <v>2080</v>
      </c>
      <c r="H153" s="110">
        <v>7789.4530000000004</v>
      </c>
      <c r="I153" s="110">
        <v>7686.9849999999997</v>
      </c>
      <c r="J153" s="110">
        <v>7552.36</v>
      </c>
      <c r="K153" s="110">
        <v>7370.03</v>
      </c>
      <c r="L153" s="110">
        <v>7132.4480000000003</v>
      </c>
      <c r="M153" s="110">
        <v>6832.2129999999997</v>
      </c>
      <c r="N153" s="110">
        <v>6477.7070000000003</v>
      </c>
      <c r="O153" s="110">
        <v>6083.25</v>
      </c>
      <c r="P153" s="110">
        <v>5643.4359999999997</v>
      </c>
      <c r="Q153" s="110">
        <v>5163.4520000000002</v>
      </c>
      <c r="R153" s="110">
        <v>4626.7929999999997</v>
      </c>
      <c r="S153" s="110">
        <v>4046.9769999999999</v>
      </c>
      <c r="T153" s="110">
        <v>3451.931</v>
      </c>
      <c r="U153" s="110">
        <v>2830.5720000000001</v>
      </c>
      <c r="V153" s="110">
        <v>2200.0729999999999</v>
      </c>
      <c r="W153" s="110">
        <v>1552.037</v>
      </c>
      <c r="X153" s="110">
        <v>936.96199999999999</v>
      </c>
      <c r="Y153" s="110">
        <v>456.79300000000001</v>
      </c>
      <c r="Z153" s="110">
        <v>158.28299999999999</v>
      </c>
      <c r="AA153" s="110">
        <v>35.098999999999997</v>
      </c>
      <c r="AB153" s="110">
        <v>4.2699999999999996</v>
      </c>
      <c r="AC153" s="115">
        <f t="shared" si="7"/>
        <v>44702.536</v>
      </c>
      <c r="AD153">
        <f t="shared" si="8"/>
        <v>1.0100696422714792</v>
      </c>
    </row>
    <row r="154" spans="1:30" x14ac:dyDescent="0.25">
      <c r="A154" s="104" t="str">
        <f t="shared" si="6"/>
        <v>Uganda2081</v>
      </c>
      <c r="C154" s="107" t="s">
        <v>257</v>
      </c>
      <c r="D154" s="108" t="s">
        <v>154</v>
      </c>
      <c r="E154" s="109"/>
      <c r="F154" s="109">
        <v>800</v>
      </c>
      <c r="G154" s="109">
        <v>2081</v>
      </c>
      <c r="H154" s="110">
        <v>7801.4840000000004</v>
      </c>
      <c r="I154" s="110">
        <v>7707.5569999999998</v>
      </c>
      <c r="J154" s="110">
        <v>7580.8710000000001</v>
      </c>
      <c r="K154" s="110">
        <v>7407.2209999999995</v>
      </c>
      <c r="L154" s="110">
        <v>7179.759</v>
      </c>
      <c r="M154" s="110">
        <v>6890.5479999999998</v>
      </c>
      <c r="N154" s="110">
        <v>6544.5259999999998</v>
      </c>
      <c r="O154" s="110">
        <v>6156.1310000000003</v>
      </c>
      <c r="P154" s="110">
        <v>5722.8469999999998</v>
      </c>
      <c r="Q154" s="110">
        <v>5248.9830000000002</v>
      </c>
      <c r="R154" s="110">
        <v>4719.7340000000004</v>
      </c>
      <c r="S154" s="110">
        <v>4141.4660000000003</v>
      </c>
      <c r="T154" s="110">
        <v>3540.817</v>
      </c>
      <c r="U154" s="110">
        <v>2910.8090000000002</v>
      </c>
      <c r="V154" s="110">
        <v>2268.2779999999998</v>
      </c>
      <c r="W154" s="110">
        <v>1609.9590000000001</v>
      </c>
      <c r="X154" s="110">
        <v>980.88400000000001</v>
      </c>
      <c r="Y154" s="110">
        <v>486.358</v>
      </c>
      <c r="Z154" s="110">
        <v>176.88300000000001</v>
      </c>
      <c r="AA154" s="110">
        <v>39.529000000000003</v>
      </c>
      <c r="AB154" s="110">
        <v>4.6509999999999998</v>
      </c>
      <c r="AC154" s="115">
        <f t="shared" si="7"/>
        <v>45150.014999999999</v>
      </c>
      <c r="AD154">
        <f t="shared" si="8"/>
        <v>1.0100101479701287</v>
      </c>
    </row>
    <row r="155" spans="1:30" x14ac:dyDescent="0.25">
      <c r="A155" s="104" t="str">
        <f t="shared" si="6"/>
        <v>Uganda2082</v>
      </c>
      <c r="C155" s="107" t="s">
        <v>257</v>
      </c>
      <c r="D155" s="108" t="s">
        <v>154</v>
      </c>
      <c r="E155" s="109"/>
      <c r="F155" s="109">
        <v>800</v>
      </c>
      <c r="G155" s="109">
        <v>2082</v>
      </c>
      <c r="H155" s="110">
        <v>7809.8190000000004</v>
      </c>
      <c r="I155" s="110">
        <v>7725.0169999999998</v>
      </c>
      <c r="J155" s="110">
        <v>7606.9859999999999</v>
      </c>
      <c r="K155" s="110">
        <v>7442.1239999999998</v>
      </c>
      <c r="L155" s="110">
        <v>7224.1679999999997</v>
      </c>
      <c r="M155" s="110">
        <v>6946.2240000000002</v>
      </c>
      <c r="N155" s="110">
        <v>6609.5630000000001</v>
      </c>
      <c r="O155" s="110">
        <v>6227.2070000000003</v>
      </c>
      <c r="P155" s="110">
        <v>5801.0590000000002</v>
      </c>
      <c r="Q155" s="110">
        <v>5332.7020000000002</v>
      </c>
      <c r="R155" s="110">
        <v>4811.7629999999999</v>
      </c>
      <c r="S155" s="110">
        <v>4237.366</v>
      </c>
      <c r="T155" s="110">
        <v>3632.1909999999998</v>
      </c>
      <c r="U155" s="110">
        <v>2996.1590000000001</v>
      </c>
      <c r="V155" s="110">
        <v>2340.5549999999998</v>
      </c>
      <c r="W155" s="110">
        <v>1671.623</v>
      </c>
      <c r="X155" s="110">
        <v>1027.239</v>
      </c>
      <c r="Y155" s="110">
        <v>512.81799999999998</v>
      </c>
      <c r="Z155" s="110">
        <v>190.36099999999999</v>
      </c>
      <c r="AA155" s="110">
        <v>46.107999999999997</v>
      </c>
      <c r="AB155" s="110">
        <v>5.0579999999999998</v>
      </c>
      <c r="AC155" s="115">
        <f t="shared" si="7"/>
        <v>45583.046999999999</v>
      </c>
      <c r="AD155">
        <f t="shared" si="8"/>
        <v>1.009590960268784</v>
      </c>
    </row>
    <row r="156" spans="1:30" x14ac:dyDescent="0.25">
      <c r="A156" s="104" t="str">
        <f t="shared" si="6"/>
        <v>Uganda2083</v>
      </c>
      <c r="C156" s="107" t="s">
        <v>257</v>
      </c>
      <c r="D156" s="108" t="s">
        <v>154</v>
      </c>
      <c r="E156" s="109"/>
      <c r="F156" s="109">
        <v>800</v>
      </c>
      <c r="G156" s="109">
        <v>2083</v>
      </c>
      <c r="H156" s="110">
        <v>7814.8549999999996</v>
      </c>
      <c r="I156" s="110">
        <v>7739.0129999999999</v>
      </c>
      <c r="J156" s="110">
        <v>7630.5630000000001</v>
      </c>
      <c r="K156" s="110">
        <v>7474.68</v>
      </c>
      <c r="L156" s="110">
        <v>7265.7860000000001</v>
      </c>
      <c r="M156" s="110">
        <v>6999.0910000000003</v>
      </c>
      <c r="N156" s="110">
        <v>6672.4260000000004</v>
      </c>
      <c r="O156" s="110">
        <v>6296.598</v>
      </c>
      <c r="P156" s="110">
        <v>5877.7169999999996</v>
      </c>
      <c r="Q156" s="110">
        <v>5414.8360000000002</v>
      </c>
      <c r="R156" s="110">
        <v>4902.5590000000002</v>
      </c>
      <c r="S156" s="110">
        <v>4333.6689999999999</v>
      </c>
      <c r="T156" s="110">
        <v>3725.8719999999998</v>
      </c>
      <c r="U156" s="110">
        <v>3085.8879999999999</v>
      </c>
      <c r="V156" s="110">
        <v>2417.433</v>
      </c>
      <c r="W156" s="110">
        <v>1737.84</v>
      </c>
      <c r="X156" s="110">
        <v>1076.9839999999999</v>
      </c>
      <c r="Y156" s="110">
        <v>536.81500000000005</v>
      </c>
      <c r="Z156" s="110">
        <v>201.345</v>
      </c>
      <c r="AA156" s="110">
        <v>51.554000000000002</v>
      </c>
      <c r="AB156" s="110">
        <v>5.4930000000000003</v>
      </c>
      <c r="AC156" s="115">
        <f t="shared" si="7"/>
        <v>46001.133999999998</v>
      </c>
      <c r="AD156">
        <f t="shared" si="8"/>
        <v>1.0091719844880049</v>
      </c>
    </row>
    <row r="157" spans="1:30" x14ac:dyDescent="0.25">
      <c r="A157" s="104" t="str">
        <f t="shared" si="6"/>
        <v>Uganda2084</v>
      </c>
      <c r="C157" s="107" t="s">
        <v>257</v>
      </c>
      <c r="D157" s="108" t="s">
        <v>154</v>
      </c>
      <c r="E157" s="109"/>
      <c r="F157" s="109">
        <v>800</v>
      </c>
      <c r="G157" s="109">
        <v>2084</v>
      </c>
      <c r="H157" s="110">
        <v>7816.8670000000002</v>
      </c>
      <c r="I157" s="110">
        <v>7749.3490000000002</v>
      </c>
      <c r="J157" s="110">
        <v>7651.2910000000002</v>
      </c>
      <c r="K157" s="110">
        <v>7504.7460000000001</v>
      </c>
      <c r="L157" s="110">
        <v>7304.8010000000004</v>
      </c>
      <c r="M157" s="110">
        <v>7049.0110000000004</v>
      </c>
      <c r="N157" s="110">
        <v>6732.7280000000001</v>
      </c>
      <c r="O157" s="110">
        <v>6364.3620000000001</v>
      </c>
      <c r="P157" s="110">
        <v>5952.51</v>
      </c>
      <c r="Q157" s="110">
        <v>5495.6819999999998</v>
      </c>
      <c r="R157" s="110">
        <v>4991.7700000000004</v>
      </c>
      <c r="S157" s="110">
        <v>4429.4769999999999</v>
      </c>
      <c r="T157" s="110">
        <v>3821.7559999999999</v>
      </c>
      <c r="U157" s="110">
        <v>3179.0659999999998</v>
      </c>
      <c r="V157" s="110">
        <v>2499.62</v>
      </c>
      <c r="W157" s="110">
        <v>1808.8720000000001</v>
      </c>
      <c r="X157" s="110">
        <v>1130.2819999999999</v>
      </c>
      <c r="Y157" s="110">
        <v>562.70500000000004</v>
      </c>
      <c r="Z157" s="110">
        <v>209.221</v>
      </c>
      <c r="AA157" s="110">
        <v>53.295000000000002</v>
      </c>
      <c r="AB157" s="110">
        <v>5.9589999999999996</v>
      </c>
      <c r="AC157" s="115">
        <f t="shared" si="7"/>
        <v>46403.840000000004</v>
      </c>
      <c r="AD157">
        <f t="shared" si="8"/>
        <v>1.0087542624492694</v>
      </c>
    </row>
    <row r="158" spans="1:30" x14ac:dyDescent="0.25">
      <c r="A158" s="104" t="str">
        <f t="shared" si="6"/>
        <v>Uganda2085</v>
      </c>
      <c r="C158" s="107" t="s">
        <v>257</v>
      </c>
      <c r="D158" s="108" t="s">
        <v>154</v>
      </c>
      <c r="E158" s="109"/>
      <c r="F158" s="109">
        <v>800</v>
      </c>
      <c r="G158" s="109">
        <v>2085</v>
      </c>
      <c r="H158" s="110">
        <v>7816.3050000000003</v>
      </c>
      <c r="I158" s="110">
        <v>7755.9160000000002</v>
      </c>
      <c r="J158" s="110">
        <v>7668.7190000000001</v>
      </c>
      <c r="K158" s="110">
        <v>7532.1480000000001</v>
      </c>
      <c r="L158" s="110">
        <v>7341.3209999999999</v>
      </c>
      <c r="M158" s="110">
        <v>7095.8950000000004</v>
      </c>
      <c r="N158" s="110">
        <v>6790.2340000000004</v>
      </c>
      <c r="O158" s="110">
        <v>6430.3280000000004</v>
      </c>
      <c r="P158" s="110">
        <v>6025.3220000000001</v>
      </c>
      <c r="Q158" s="110">
        <v>5575.2569999999996</v>
      </c>
      <c r="R158" s="110">
        <v>5079.1419999999998</v>
      </c>
      <c r="S158" s="110">
        <v>4524.2839999999997</v>
      </c>
      <c r="T158" s="110">
        <v>3919.3710000000001</v>
      </c>
      <c r="U158" s="110">
        <v>3274.9470000000001</v>
      </c>
      <c r="V158" s="110">
        <v>2587.3319999999999</v>
      </c>
      <c r="W158" s="110">
        <v>1884.6679999999999</v>
      </c>
      <c r="X158" s="110">
        <v>1187.4449999999999</v>
      </c>
      <c r="Y158" s="110">
        <v>592.14800000000002</v>
      </c>
      <c r="Z158" s="110">
        <v>215.84100000000001</v>
      </c>
      <c r="AA158" s="110">
        <v>49.511000000000003</v>
      </c>
      <c r="AB158" s="110">
        <v>6.4560000000000004</v>
      </c>
      <c r="AC158" s="115">
        <f t="shared" si="7"/>
        <v>46790.504999999997</v>
      </c>
      <c r="AD158">
        <f t="shared" si="8"/>
        <v>1.0083326078186632</v>
      </c>
    </row>
    <row r="159" spans="1:30" x14ac:dyDescent="0.25">
      <c r="A159" s="104" t="str">
        <f t="shared" si="6"/>
        <v>Uganda2086</v>
      </c>
      <c r="C159" s="107" t="s">
        <v>257</v>
      </c>
      <c r="D159" s="108" t="s">
        <v>154</v>
      </c>
      <c r="E159" s="109"/>
      <c r="F159" s="109">
        <v>800</v>
      </c>
      <c r="G159" s="109">
        <v>2086</v>
      </c>
      <c r="H159" s="110">
        <v>7820.8829999999998</v>
      </c>
      <c r="I159" s="110">
        <v>7767.7809999999999</v>
      </c>
      <c r="J159" s="110">
        <v>7688.0550000000003</v>
      </c>
      <c r="K159" s="110">
        <v>7560.6220000000003</v>
      </c>
      <c r="L159" s="110">
        <v>7378.9970000000003</v>
      </c>
      <c r="M159" s="110">
        <v>7143.7370000000001</v>
      </c>
      <c r="N159" s="110">
        <v>6848.857</v>
      </c>
      <c r="O159" s="110">
        <v>6496.8760000000002</v>
      </c>
      <c r="P159" s="110">
        <v>6098.4830000000002</v>
      </c>
      <c r="Q159" s="110">
        <v>5654.027</v>
      </c>
      <c r="R159" s="110">
        <v>5164.107</v>
      </c>
      <c r="S159" s="110">
        <v>4615.6099999999997</v>
      </c>
      <c r="T159" s="110">
        <v>4009.5430000000001</v>
      </c>
      <c r="U159" s="110">
        <v>3358.5309999999999</v>
      </c>
      <c r="V159" s="110">
        <v>2660.4989999999998</v>
      </c>
      <c r="W159" s="110">
        <v>1943.9690000000001</v>
      </c>
      <c r="X159" s="110">
        <v>1236.011</v>
      </c>
      <c r="Y159" s="110">
        <v>629.77800000000002</v>
      </c>
      <c r="Z159" s="110">
        <v>239.00700000000001</v>
      </c>
      <c r="AA159" s="110">
        <v>55.750999999999998</v>
      </c>
      <c r="AB159" s="110">
        <v>6.992</v>
      </c>
      <c r="AC159" s="115">
        <f t="shared" si="7"/>
        <v>47181.599000000002</v>
      </c>
      <c r="AD159">
        <f t="shared" si="8"/>
        <v>1.0083584051935324</v>
      </c>
    </row>
    <row r="160" spans="1:30" x14ac:dyDescent="0.25">
      <c r="A160" s="104" t="str">
        <f t="shared" si="6"/>
        <v>Uganda2087</v>
      </c>
      <c r="C160" s="107" t="s">
        <v>257</v>
      </c>
      <c r="D160" s="108" t="s">
        <v>154</v>
      </c>
      <c r="E160" s="109"/>
      <c r="F160" s="109">
        <v>800</v>
      </c>
      <c r="G160" s="109">
        <v>2087</v>
      </c>
      <c r="H160" s="110">
        <v>7820.7179999999998</v>
      </c>
      <c r="I160" s="110">
        <v>7777.0010000000002</v>
      </c>
      <c r="J160" s="110">
        <v>7704.8190000000004</v>
      </c>
      <c r="K160" s="110">
        <v>7586.7849999999999</v>
      </c>
      <c r="L160" s="110">
        <v>7414.2759999999998</v>
      </c>
      <c r="M160" s="110">
        <v>7188.6109999999999</v>
      </c>
      <c r="N160" s="110">
        <v>6904.9430000000002</v>
      </c>
      <c r="O160" s="110">
        <v>6561.835</v>
      </c>
      <c r="P160" s="110">
        <v>6169.9759999999997</v>
      </c>
      <c r="Q160" s="110">
        <v>5731.9040000000005</v>
      </c>
      <c r="R160" s="110">
        <v>5247.607</v>
      </c>
      <c r="S160" s="110">
        <v>4706.9160000000002</v>
      </c>
      <c r="T160" s="110">
        <v>4102.6790000000001</v>
      </c>
      <c r="U160" s="110">
        <v>3446.09</v>
      </c>
      <c r="V160" s="110">
        <v>2739.768</v>
      </c>
      <c r="W160" s="110">
        <v>2007.434</v>
      </c>
      <c r="X160" s="110">
        <v>1286.146</v>
      </c>
      <c r="Y160" s="110">
        <v>664.48599999999999</v>
      </c>
      <c r="Z160" s="110">
        <v>255.04300000000001</v>
      </c>
      <c r="AA160" s="110">
        <v>64.864000000000004</v>
      </c>
      <c r="AB160" s="110">
        <v>7.5650000000000004</v>
      </c>
      <c r="AC160" s="115">
        <f t="shared" si="7"/>
        <v>47558.33</v>
      </c>
      <c r="AD160">
        <f t="shared" si="8"/>
        <v>1.0079847018325936</v>
      </c>
    </row>
    <row r="161" spans="1:30" x14ac:dyDescent="0.25">
      <c r="A161" s="104" t="str">
        <f t="shared" si="6"/>
        <v>Uganda2088</v>
      </c>
      <c r="C161" s="107" t="s">
        <v>257</v>
      </c>
      <c r="D161" s="108" t="s">
        <v>154</v>
      </c>
      <c r="E161" s="109"/>
      <c r="F161" s="109">
        <v>800</v>
      </c>
      <c r="G161" s="109">
        <v>2088</v>
      </c>
      <c r="H161" s="110">
        <v>7816.6030000000001</v>
      </c>
      <c r="I161" s="110">
        <v>7783.1890000000003</v>
      </c>
      <c r="J161" s="110">
        <v>7718.942</v>
      </c>
      <c r="K161" s="110">
        <v>7610.4930000000004</v>
      </c>
      <c r="L161" s="110">
        <v>7447.0910000000003</v>
      </c>
      <c r="M161" s="110">
        <v>7230.5749999999998</v>
      </c>
      <c r="N161" s="110">
        <v>6958.1840000000002</v>
      </c>
      <c r="O161" s="110">
        <v>6625.01</v>
      </c>
      <c r="P161" s="110">
        <v>6239.6149999999998</v>
      </c>
      <c r="Q161" s="110">
        <v>5808.7139999999999</v>
      </c>
      <c r="R161" s="110">
        <v>5329.7120000000004</v>
      </c>
      <c r="S161" s="110">
        <v>4797.3720000000003</v>
      </c>
      <c r="T161" s="110">
        <v>4197.9560000000001</v>
      </c>
      <c r="U161" s="110">
        <v>3537.357</v>
      </c>
      <c r="V161" s="110">
        <v>2824.636</v>
      </c>
      <c r="W161" s="110">
        <v>2076.4299999999998</v>
      </c>
      <c r="X161" s="110">
        <v>1339.6969999999999</v>
      </c>
      <c r="Y161" s="110">
        <v>696.06899999999996</v>
      </c>
      <c r="Z161" s="110">
        <v>268.10500000000002</v>
      </c>
      <c r="AA161" s="110">
        <v>72.358999999999995</v>
      </c>
      <c r="AB161" s="110">
        <v>8.1829999999999998</v>
      </c>
      <c r="AC161" s="115">
        <f t="shared" si="7"/>
        <v>47919.682000000001</v>
      </c>
      <c r="AD161">
        <f t="shared" si="8"/>
        <v>1.0075980800839726</v>
      </c>
    </row>
    <row r="162" spans="1:30" x14ac:dyDescent="0.25">
      <c r="A162" s="104" t="str">
        <f t="shared" si="6"/>
        <v>Uganda2089</v>
      </c>
      <c r="C162" s="107" t="s">
        <v>257</v>
      </c>
      <c r="D162" s="108" t="s">
        <v>154</v>
      </c>
      <c r="E162" s="109"/>
      <c r="F162" s="109">
        <v>800</v>
      </c>
      <c r="G162" s="109">
        <v>2089</v>
      </c>
      <c r="H162" s="110">
        <v>7809.5720000000001</v>
      </c>
      <c r="I162" s="110">
        <v>7785.8890000000001</v>
      </c>
      <c r="J162" s="110">
        <v>7730.3180000000002</v>
      </c>
      <c r="K162" s="110">
        <v>7631.4930000000004</v>
      </c>
      <c r="L162" s="110">
        <v>7477.3109999999997</v>
      </c>
      <c r="M162" s="110">
        <v>7269.7619999999997</v>
      </c>
      <c r="N162" s="110">
        <v>7008.3490000000002</v>
      </c>
      <c r="O162" s="110">
        <v>6685.95</v>
      </c>
      <c r="P162" s="110">
        <v>6307.4030000000002</v>
      </c>
      <c r="Q162" s="110">
        <v>5884.0749999999998</v>
      </c>
      <c r="R162" s="110">
        <v>5410.6030000000001</v>
      </c>
      <c r="S162" s="110">
        <v>4886.442</v>
      </c>
      <c r="T162" s="110">
        <v>4294.3190000000004</v>
      </c>
      <c r="U162" s="110">
        <v>3632.203</v>
      </c>
      <c r="V162" s="110">
        <v>2914.4389999999999</v>
      </c>
      <c r="W162" s="110">
        <v>2151.9850000000001</v>
      </c>
      <c r="X162" s="110">
        <v>1397.443</v>
      </c>
      <c r="Y162" s="110">
        <v>729.01900000000001</v>
      </c>
      <c r="Z162" s="110">
        <v>277.99599999999998</v>
      </c>
      <c r="AA162" s="110">
        <v>74.867000000000004</v>
      </c>
      <c r="AB162" s="110">
        <v>8.8529999999999998</v>
      </c>
      <c r="AC162" s="115">
        <f t="shared" si="7"/>
        <v>48264.342999999993</v>
      </c>
      <c r="AD162">
        <f t="shared" si="8"/>
        <v>1.0071924726044716</v>
      </c>
    </row>
    <row r="163" spans="1:30" x14ac:dyDescent="0.25">
      <c r="A163" s="104" t="str">
        <f t="shared" si="6"/>
        <v>Uganda2090</v>
      </c>
      <c r="C163" s="107" t="s">
        <v>257</v>
      </c>
      <c r="D163" s="108" t="s">
        <v>154</v>
      </c>
      <c r="E163" s="109"/>
      <c r="F163" s="109">
        <v>800</v>
      </c>
      <c r="G163" s="109">
        <v>2090</v>
      </c>
      <c r="H163" s="110">
        <v>7800.5550000000003</v>
      </c>
      <c r="I163" s="110">
        <v>7784.5879999999997</v>
      </c>
      <c r="J163" s="110">
        <v>7738.7070000000003</v>
      </c>
      <c r="K163" s="110">
        <v>7649.558</v>
      </c>
      <c r="L163" s="110">
        <v>7504.8209999999999</v>
      </c>
      <c r="M163" s="110">
        <v>7306.2479999999996</v>
      </c>
      <c r="N163" s="110">
        <v>7055.33</v>
      </c>
      <c r="O163" s="110">
        <v>6744.1540000000005</v>
      </c>
      <c r="P163" s="110">
        <v>6373.3850000000002</v>
      </c>
      <c r="Q163" s="110">
        <v>5957.5709999999999</v>
      </c>
      <c r="R163" s="110">
        <v>5490.3329999999996</v>
      </c>
      <c r="S163" s="110">
        <v>4973.9059999999999</v>
      </c>
      <c r="T163" s="110">
        <v>4390.7030000000004</v>
      </c>
      <c r="U163" s="110">
        <v>3730.2689999999998</v>
      </c>
      <c r="V163" s="110">
        <v>3008.6219999999998</v>
      </c>
      <c r="W163" s="110">
        <v>2234.3519999999999</v>
      </c>
      <c r="X163" s="110">
        <v>1459.837</v>
      </c>
      <c r="Y163" s="110">
        <v>764.72299999999996</v>
      </c>
      <c r="Z163" s="110">
        <v>287.71300000000002</v>
      </c>
      <c r="AA163" s="110">
        <v>70.150000000000006</v>
      </c>
      <c r="AB163" s="110">
        <v>9.5809999999999995</v>
      </c>
      <c r="AC163" s="115">
        <f t="shared" si="7"/>
        <v>48591.06700000001</v>
      </c>
      <c r="AD163">
        <f t="shared" si="8"/>
        <v>1.0067694695440073</v>
      </c>
    </row>
    <row r="164" spans="1:30" x14ac:dyDescent="0.25">
      <c r="A164" s="104" t="str">
        <f t="shared" si="6"/>
        <v>Uganda2091</v>
      </c>
      <c r="C164" s="107" t="s">
        <v>257</v>
      </c>
      <c r="D164" s="108" t="s">
        <v>154</v>
      </c>
      <c r="E164" s="109"/>
      <c r="F164" s="109">
        <v>800</v>
      </c>
      <c r="G164" s="109">
        <v>2091</v>
      </c>
      <c r="H164" s="110">
        <v>7796.5069999999996</v>
      </c>
      <c r="I164" s="110">
        <v>7788.48</v>
      </c>
      <c r="J164" s="110">
        <v>7749.8180000000002</v>
      </c>
      <c r="K164" s="110">
        <v>7669.0150000000003</v>
      </c>
      <c r="L164" s="110">
        <v>7533.9380000000001</v>
      </c>
      <c r="M164" s="110">
        <v>7344.6639999999998</v>
      </c>
      <c r="N164" s="110">
        <v>7103.6559999999999</v>
      </c>
      <c r="O164" s="110">
        <v>6802.7089999999998</v>
      </c>
      <c r="P164" s="110">
        <v>6440.4390000000003</v>
      </c>
      <c r="Q164" s="110">
        <v>6030.3249999999998</v>
      </c>
      <c r="R164" s="110">
        <v>5568.84</v>
      </c>
      <c r="S164" s="110">
        <v>5057.6639999999998</v>
      </c>
      <c r="T164" s="110">
        <v>4477.9170000000004</v>
      </c>
      <c r="U164" s="110">
        <v>3815.277</v>
      </c>
      <c r="V164" s="110">
        <v>3084.9920000000002</v>
      </c>
      <c r="W164" s="110">
        <v>2298.2350000000001</v>
      </c>
      <c r="X164" s="110">
        <v>1510.1780000000001</v>
      </c>
      <c r="Y164" s="110">
        <v>807.399</v>
      </c>
      <c r="Z164" s="110">
        <v>317.71600000000001</v>
      </c>
      <c r="AA164" s="110">
        <v>78.126000000000005</v>
      </c>
      <c r="AB164" s="110">
        <v>10.378</v>
      </c>
      <c r="AC164" s="115">
        <f t="shared" si="7"/>
        <v>48924.745999999999</v>
      </c>
      <c r="AD164">
        <f t="shared" si="8"/>
        <v>1.0068670852607535</v>
      </c>
    </row>
    <row r="165" spans="1:30" x14ac:dyDescent="0.25">
      <c r="A165" s="104" t="str">
        <f t="shared" si="6"/>
        <v>Uganda2092</v>
      </c>
      <c r="C165" s="107" t="s">
        <v>257</v>
      </c>
      <c r="D165" s="108" t="s">
        <v>154</v>
      </c>
      <c r="E165" s="109"/>
      <c r="F165" s="109">
        <v>800</v>
      </c>
      <c r="G165" s="109">
        <v>2092</v>
      </c>
      <c r="H165" s="110">
        <v>7788.9920000000002</v>
      </c>
      <c r="I165" s="110">
        <v>7789.3249999999998</v>
      </c>
      <c r="J165" s="110">
        <v>7758.6329999999998</v>
      </c>
      <c r="K165" s="110">
        <v>7685.8459999999995</v>
      </c>
      <c r="L165" s="110">
        <v>7560.5209999999997</v>
      </c>
      <c r="M165" s="110">
        <v>7380.5079999999998</v>
      </c>
      <c r="N165" s="110">
        <v>7149.0529999999999</v>
      </c>
      <c r="O165" s="110">
        <v>6858.8180000000002</v>
      </c>
      <c r="P165" s="110">
        <v>6505.9579999999996</v>
      </c>
      <c r="Q165" s="110">
        <v>6101.6409999999996</v>
      </c>
      <c r="R165" s="110">
        <v>5646.7110000000002</v>
      </c>
      <c r="S165" s="110">
        <v>5140.8329999999996</v>
      </c>
      <c r="T165" s="110">
        <v>4566.777</v>
      </c>
      <c r="U165" s="110">
        <v>3904.8389999999999</v>
      </c>
      <c r="V165" s="110">
        <v>3166.7190000000001</v>
      </c>
      <c r="W165" s="110">
        <v>2368.2779999999998</v>
      </c>
      <c r="X165" s="110">
        <v>1562.24</v>
      </c>
      <c r="Y165" s="110">
        <v>845.98900000000003</v>
      </c>
      <c r="Z165" s="110">
        <v>338.72699999999998</v>
      </c>
      <c r="AA165" s="110">
        <v>89.585999999999999</v>
      </c>
      <c r="AB165" s="110">
        <v>11.24</v>
      </c>
      <c r="AC165" s="115">
        <f t="shared" si="7"/>
        <v>49242.345000000001</v>
      </c>
      <c r="AD165">
        <f t="shared" si="8"/>
        <v>1.006491581990022</v>
      </c>
    </row>
    <row r="166" spans="1:30" x14ac:dyDescent="0.25">
      <c r="A166" s="104" t="str">
        <f t="shared" si="6"/>
        <v>Uganda2093</v>
      </c>
      <c r="C166" s="107" t="s">
        <v>257</v>
      </c>
      <c r="D166" s="108" t="s">
        <v>154</v>
      </c>
      <c r="E166" s="109"/>
      <c r="F166" s="109">
        <v>800</v>
      </c>
      <c r="G166" s="109">
        <v>2093</v>
      </c>
      <c r="H166" s="110">
        <v>7778.3559999999998</v>
      </c>
      <c r="I166" s="110">
        <v>7786.759</v>
      </c>
      <c r="J166" s="110">
        <v>7764.9440000000004</v>
      </c>
      <c r="K166" s="110">
        <v>7700.0690000000004</v>
      </c>
      <c r="L166" s="110">
        <v>7584.4440000000004</v>
      </c>
      <c r="M166" s="110">
        <v>7413.6689999999999</v>
      </c>
      <c r="N166" s="110">
        <v>7191.43</v>
      </c>
      <c r="O166" s="110">
        <v>6912.3810000000003</v>
      </c>
      <c r="P166" s="110">
        <v>6569.4459999999999</v>
      </c>
      <c r="Q166" s="110">
        <v>6171.5249999999996</v>
      </c>
      <c r="R166" s="110">
        <v>5723.6260000000002</v>
      </c>
      <c r="S166" s="110">
        <v>5222.92</v>
      </c>
      <c r="T166" s="110">
        <v>4656.6350000000002</v>
      </c>
      <c r="U166" s="110">
        <v>3998.0479999999998</v>
      </c>
      <c r="V166" s="110">
        <v>3253.6640000000002</v>
      </c>
      <c r="W166" s="110">
        <v>2445.0259999999998</v>
      </c>
      <c r="X166" s="110">
        <v>1618.7539999999999</v>
      </c>
      <c r="Y166" s="110">
        <v>880.61400000000003</v>
      </c>
      <c r="Z166" s="110">
        <v>355.80700000000002</v>
      </c>
      <c r="AA166" s="110">
        <v>99.09</v>
      </c>
      <c r="AB166" s="110">
        <v>12.166</v>
      </c>
      <c r="AC166" s="115">
        <f t="shared" si="7"/>
        <v>49542.964</v>
      </c>
      <c r="AD166">
        <f t="shared" si="8"/>
        <v>1.0061048879780197</v>
      </c>
    </row>
    <row r="167" spans="1:30" x14ac:dyDescent="0.25">
      <c r="A167" s="104" t="str">
        <f t="shared" si="6"/>
        <v>Uganda2094</v>
      </c>
      <c r="C167" s="107" t="s">
        <v>257</v>
      </c>
      <c r="D167" s="108" t="s">
        <v>154</v>
      </c>
      <c r="E167" s="109"/>
      <c r="F167" s="109">
        <v>800</v>
      </c>
      <c r="G167" s="109">
        <v>2094</v>
      </c>
      <c r="H167" s="110">
        <v>7764.82</v>
      </c>
      <c r="I167" s="110">
        <v>7780.585</v>
      </c>
      <c r="J167" s="110">
        <v>7768.3689999999997</v>
      </c>
      <c r="K167" s="110">
        <v>7711.7089999999998</v>
      </c>
      <c r="L167" s="110">
        <v>7605.53</v>
      </c>
      <c r="M167" s="110">
        <v>7444.0150000000003</v>
      </c>
      <c r="N167" s="110">
        <v>7230.8770000000004</v>
      </c>
      <c r="O167" s="110">
        <v>6963.1639999999998</v>
      </c>
      <c r="P167" s="110">
        <v>6630.4380000000001</v>
      </c>
      <c r="Q167" s="110">
        <v>6239.951</v>
      </c>
      <c r="R167" s="110">
        <v>5799.1390000000001</v>
      </c>
      <c r="S167" s="110">
        <v>5303.9290000000001</v>
      </c>
      <c r="T167" s="110">
        <v>4746.7809999999999</v>
      </c>
      <c r="U167" s="110">
        <v>4093.8629999999998</v>
      </c>
      <c r="V167" s="110">
        <v>3345.8829999999998</v>
      </c>
      <c r="W167" s="110">
        <v>2528.3960000000002</v>
      </c>
      <c r="X167" s="110">
        <v>1681.354</v>
      </c>
      <c r="Y167" s="110">
        <v>916.85599999999999</v>
      </c>
      <c r="Z167" s="110">
        <v>368.78500000000003</v>
      </c>
      <c r="AA167" s="110">
        <v>102.473</v>
      </c>
      <c r="AB167" s="110">
        <v>13.154999999999999</v>
      </c>
      <c r="AC167" s="115">
        <f t="shared" si="7"/>
        <v>49825.684000000001</v>
      </c>
      <c r="AD167">
        <f t="shared" si="8"/>
        <v>1.0057065620861925</v>
      </c>
    </row>
    <row r="168" spans="1:30" x14ac:dyDescent="0.25">
      <c r="A168" s="104" t="str">
        <f t="shared" si="6"/>
        <v>Uganda2095</v>
      </c>
      <c r="C168" s="107" t="s">
        <v>257</v>
      </c>
      <c r="D168" s="108" t="s">
        <v>154</v>
      </c>
      <c r="E168" s="109"/>
      <c r="F168" s="109">
        <v>800</v>
      </c>
      <c r="G168" s="109">
        <v>2095</v>
      </c>
      <c r="H168" s="110">
        <v>7748.6930000000002</v>
      </c>
      <c r="I168" s="110">
        <v>7770.69</v>
      </c>
      <c r="J168" s="110">
        <v>7768.4009999999998</v>
      </c>
      <c r="K168" s="110">
        <v>7720.6840000000002</v>
      </c>
      <c r="L168" s="110">
        <v>7623.6360000000004</v>
      </c>
      <c r="M168" s="110">
        <v>7471.4390000000003</v>
      </c>
      <c r="N168" s="110">
        <v>7267.4679999999998</v>
      </c>
      <c r="O168" s="110">
        <v>7010.83</v>
      </c>
      <c r="P168" s="110">
        <v>6688.6719999999996</v>
      </c>
      <c r="Q168" s="110">
        <v>6306.683</v>
      </c>
      <c r="R168" s="110">
        <v>5872.89</v>
      </c>
      <c r="S168" s="110">
        <v>5383.9740000000002</v>
      </c>
      <c r="T168" s="110">
        <v>4836.3860000000004</v>
      </c>
      <c r="U168" s="110">
        <v>4191.3599999999997</v>
      </c>
      <c r="V168" s="110">
        <v>3443.1559999999999</v>
      </c>
      <c r="W168" s="110">
        <v>2617.9609999999998</v>
      </c>
      <c r="X168" s="110">
        <v>1750.7439999999999</v>
      </c>
      <c r="Y168" s="110">
        <v>956.64700000000005</v>
      </c>
      <c r="Z168" s="110">
        <v>381.29500000000002</v>
      </c>
      <c r="AA168" s="110">
        <v>96.893000000000001</v>
      </c>
      <c r="AB168" s="110">
        <v>14.207000000000001</v>
      </c>
      <c r="AC168" s="115">
        <f t="shared" si="7"/>
        <v>50089.411999999997</v>
      </c>
      <c r="AD168">
        <f t="shared" si="8"/>
        <v>1.0052930131375617</v>
      </c>
    </row>
    <row r="169" spans="1:30" x14ac:dyDescent="0.25">
      <c r="A169" s="104" t="str">
        <f t="shared" si="6"/>
        <v>Uganda2096</v>
      </c>
      <c r="C169" s="107" t="s">
        <v>257</v>
      </c>
      <c r="D169" s="108" t="s">
        <v>154</v>
      </c>
      <c r="E169" s="109"/>
      <c r="F169" s="109">
        <v>800</v>
      </c>
      <c r="G169" s="109">
        <v>2096</v>
      </c>
      <c r="H169" s="110">
        <v>7738.3389999999999</v>
      </c>
      <c r="I169" s="110">
        <v>7766.7129999999997</v>
      </c>
      <c r="J169" s="110">
        <v>7771.2780000000002</v>
      </c>
      <c r="K169" s="110">
        <v>7731.8670000000002</v>
      </c>
      <c r="L169" s="110">
        <v>7643.6610000000001</v>
      </c>
      <c r="M169" s="110">
        <v>7501.1880000000001</v>
      </c>
      <c r="N169" s="110">
        <v>7306.3019999999997</v>
      </c>
      <c r="O169" s="110">
        <v>7059.0789999999997</v>
      </c>
      <c r="P169" s="110">
        <v>6747.6559999999999</v>
      </c>
      <c r="Q169" s="110">
        <v>6373.2610000000004</v>
      </c>
      <c r="R169" s="110">
        <v>5945.3109999999997</v>
      </c>
      <c r="S169" s="110">
        <v>5461.2209999999995</v>
      </c>
      <c r="T169" s="110">
        <v>4915.8810000000003</v>
      </c>
      <c r="U169" s="110">
        <v>4273.0280000000002</v>
      </c>
      <c r="V169" s="110">
        <v>3520.2919999999999</v>
      </c>
      <c r="W169" s="110">
        <v>2683.9769999999999</v>
      </c>
      <c r="X169" s="110">
        <v>1805.229</v>
      </c>
      <c r="Y169" s="110">
        <v>1002.495</v>
      </c>
      <c r="Z169" s="110">
        <v>417.15100000000001</v>
      </c>
      <c r="AA169" s="110">
        <v>107.465</v>
      </c>
      <c r="AB169" s="110">
        <v>15.334</v>
      </c>
      <c r="AC169" s="115">
        <f t="shared" si="7"/>
        <v>50363.014000000003</v>
      </c>
      <c r="AD169">
        <f t="shared" si="8"/>
        <v>1.005462272146457</v>
      </c>
    </row>
    <row r="170" spans="1:30" x14ac:dyDescent="0.25">
      <c r="A170" s="104" t="str">
        <f t="shared" si="6"/>
        <v>Uganda2097</v>
      </c>
      <c r="C170" s="107" t="s">
        <v>257</v>
      </c>
      <c r="D170" s="108" t="s">
        <v>154</v>
      </c>
      <c r="E170" s="109"/>
      <c r="F170" s="109">
        <v>800</v>
      </c>
      <c r="G170" s="109">
        <v>2097</v>
      </c>
      <c r="H170" s="110">
        <v>7723.5879999999997</v>
      </c>
      <c r="I170" s="110">
        <v>7760.1319999999996</v>
      </c>
      <c r="J170" s="110">
        <v>7771.5410000000002</v>
      </c>
      <c r="K170" s="110">
        <v>7740.7860000000001</v>
      </c>
      <c r="L170" s="110">
        <v>7660.8969999999999</v>
      </c>
      <c r="M170" s="110">
        <v>7528.2920000000004</v>
      </c>
      <c r="N170" s="110">
        <v>7342.6319999999996</v>
      </c>
      <c r="O170" s="110">
        <v>7104.5370000000003</v>
      </c>
      <c r="P170" s="110">
        <v>6804.31</v>
      </c>
      <c r="Q170" s="110">
        <v>6438.5829999999996</v>
      </c>
      <c r="R170" s="110">
        <v>6016.6130000000003</v>
      </c>
      <c r="S170" s="110">
        <v>5538.7849999999999</v>
      </c>
      <c r="T170" s="110">
        <v>4996.6360000000004</v>
      </c>
      <c r="U170" s="110">
        <v>4358.2830000000004</v>
      </c>
      <c r="V170" s="110">
        <v>3603.6790000000001</v>
      </c>
      <c r="W170" s="110">
        <v>2755.819</v>
      </c>
      <c r="X170" s="110">
        <v>1862.819</v>
      </c>
      <c r="Y170" s="110">
        <v>1043.4970000000001</v>
      </c>
      <c r="Z170" s="110">
        <v>441.03</v>
      </c>
      <c r="AA170" s="110">
        <v>122.608</v>
      </c>
      <c r="AB170" s="110">
        <v>16.527999999999999</v>
      </c>
      <c r="AC170" s="115">
        <f t="shared" si="7"/>
        <v>50620.036999999997</v>
      </c>
      <c r="AD170">
        <f t="shared" si="8"/>
        <v>1.0051034078301984</v>
      </c>
    </row>
    <row r="171" spans="1:30" x14ac:dyDescent="0.25">
      <c r="A171" s="104" t="str">
        <f t="shared" si="6"/>
        <v>Uganda2098</v>
      </c>
      <c r="C171" s="107" t="s">
        <v>257</v>
      </c>
      <c r="D171" s="108" t="s">
        <v>154</v>
      </c>
      <c r="E171" s="109"/>
      <c r="F171" s="109">
        <v>800</v>
      </c>
      <c r="G171" s="109">
        <v>2098</v>
      </c>
      <c r="H171" s="110">
        <v>7704.893</v>
      </c>
      <c r="I171" s="110">
        <v>7750.5720000000001</v>
      </c>
      <c r="J171" s="110">
        <v>7769.0950000000003</v>
      </c>
      <c r="K171" s="110">
        <v>7747.2430000000004</v>
      </c>
      <c r="L171" s="110">
        <v>7675.366</v>
      </c>
      <c r="M171" s="110">
        <v>7552.576</v>
      </c>
      <c r="N171" s="110">
        <v>7376.2020000000002</v>
      </c>
      <c r="O171" s="110">
        <v>7147.3</v>
      </c>
      <c r="P171" s="110">
        <v>6858.2460000000001</v>
      </c>
      <c r="Q171" s="110">
        <v>6502.3389999999999</v>
      </c>
      <c r="R171" s="110">
        <v>6086.6570000000002</v>
      </c>
      <c r="S171" s="110">
        <v>5615.7479999999996</v>
      </c>
      <c r="T171" s="110">
        <v>5078.308</v>
      </c>
      <c r="U171" s="110">
        <v>4446.3329999999996</v>
      </c>
      <c r="V171" s="110">
        <v>3692.5059999999999</v>
      </c>
      <c r="W171" s="110">
        <v>2834.51</v>
      </c>
      <c r="X171" s="110">
        <v>1925.877</v>
      </c>
      <c r="Y171" s="110">
        <v>1080.377</v>
      </c>
      <c r="Z171" s="110">
        <v>459.77800000000002</v>
      </c>
      <c r="AA171" s="110">
        <v>135.10499999999999</v>
      </c>
      <c r="AB171" s="110">
        <v>17.792000000000002</v>
      </c>
      <c r="AC171" s="115">
        <f t="shared" si="7"/>
        <v>50859.272000000004</v>
      </c>
      <c r="AD171">
        <f t="shared" si="8"/>
        <v>1.0047260929501101</v>
      </c>
    </row>
    <row r="172" spans="1:30" x14ac:dyDescent="0.25">
      <c r="A172" s="104" t="str">
        <f t="shared" si="6"/>
        <v>Uganda2099</v>
      </c>
      <c r="C172" s="107" t="s">
        <v>257</v>
      </c>
      <c r="D172" s="108" t="s">
        <v>154</v>
      </c>
      <c r="E172" s="109"/>
      <c r="F172" s="109">
        <v>800</v>
      </c>
      <c r="G172" s="109">
        <v>2099</v>
      </c>
      <c r="H172" s="110">
        <v>7683.0129999999999</v>
      </c>
      <c r="I172" s="110">
        <v>7737.5739999999996</v>
      </c>
      <c r="J172" s="110">
        <v>7763.8289999999997</v>
      </c>
      <c r="K172" s="110">
        <v>7750.8959999999997</v>
      </c>
      <c r="L172" s="110">
        <v>7687.1090000000004</v>
      </c>
      <c r="M172" s="110">
        <v>7573.81</v>
      </c>
      <c r="N172" s="110">
        <v>7406.7969999999996</v>
      </c>
      <c r="O172" s="110">
        <v>7187.3950000000004</v>
      </c>
      <c r="P172" s="110">
        <v>6909.1580000000004</v>
      </c>
      <c r="Q172" s="110">
        <v>6563.991</v>
      </c>
      <c r="R172" s="110">
        <v>6155.2889999999998</v>
      </c>
      <c r="S172" s="110">
        <v>5691.4369999999999</v>
      </c>
      <c r="T172" s="110">
        <v>5160.6679999999997</v>
      </c>
      <c r="U172" s="110">
        <v>4536.3940000000002</v>
      </c>
      <c r="V172" s="110">
        <v>3785.9369999999999</v>
      </c>
      <c r="W172" s="110">
        <v>2920.6260000000002</v>
      </c>
      <c r="X172" s="110">
        <v>1995.3050000000001</v>
      </c>
      <c r="Y172" s="110">
        <v>1120.106</v>
      </c>
      <c r="Z172" s="110">
        <v>473.95600000000002</v>
      </c>
      <c r="AA172" s="110">
        <v>139.58099999999999</v>
      </c>
      <c r="AB172" s="110">
        <v>19.126999999999999</v>
      </c>
      <c r="AC172" s="115">
        <f t="shared" si="7"/>
        <v>51079.156000000003</v>
      </c>
      <c r="AD172">
        <f t="shared" si="8"/>
        <v>1.0043233807986869</v>
      </c>
    </row>
    <row r="173" spans="1:30" x14ac:dyDescent="0.25">
      <c r="A173" s="104" t="str">
        <f t="shared" si="6"/>
        <v>Uganda2100</v>
      </c>
      <c r="C173" s="107" t="s">
        <v>257</v>
      </c>
      <c r="D173" s="108" t="s">
        <v>154</v>
      </c>
      <c r="E173" s="109"/>
      <c r="F173" s="109">
        <v>800</v>
      </c>
      <c r="G173" s="109">
        <v>2100</v>
      </c>
      <c r="H173" s="110">
        <v>7658.8459999999995</v>
      </c>
      <c r="I173" s="110">
        <v>7720.5959999999995</v>
      </c>
      <c r="J173" s="110">
        <v>7755.4840000000004</v>
      </c>
      <c r="K173" s="110">
        <v>7751.415</v>
      </c>
      <c r="L173" s="110">
        <v>7696.0829999999996</v>
      </c>
      <c r="M173" s="110">
        <v>7591.8040000000001</v>
      </c>
      <c r="N173" s="110">
        <v>7434.2640000000001</v>
      </c>
      <c r="O173" s="110">
        <v>7224.625</v>
      </c>
      <c r="P173" s="110">
        <v>6956.8860000000004</v>
      </c>
      <c r="Q173" s="110">
        <v>6622.9660000000003</v>
      </c>
      <c r="R173" s="110">
        <v>6222.2839999999997</v>
      </c>
      <c r="S173" s="110">
        <v>5765.5309999999999</v>
      </c>
      <c r="T173" s="110">
        <v>5243.14</v>
      </c>
      <c r="U173" s="110">
        <v>4627.6869999999999</v>
      </c>
      <c r="V173" s="110">
        <v>3883.2080000000001</v>
      </c>
      <c r="W173" s="110">
        <v>3013.9560000000001</v>
      </c>
      <c r="X173" s="110">
        <v>2071.3490000000002</v>
      </c>
      <c r="Y173" s="110">
        <v>1165.261</v>
      </c>
      <c r="Z173" s="110">
        <v>488.16399999999999</v>
      </c>
      <c r="AA173" s="110">
        <v>132.60900000000001</v>
      </c>
      <c r="AB173" s="110">
        <v>20.538</v>
      </c>
      <c r="AC173" s="115">
        <f t="shared" si="7"/>
        <v>51278.042999999998</v>
      </c>
      <c r="AD173">
        <f t="shared" si="8"/>
        <v>1.0038937017675076</v>
      </c>
    </row>
    <row r="174" spans="1:30" x14ac:dyDescent="0.25">
      <c r="A174" s="104" t="str">
        <f t="shared" si="6"/>
        <v>Nepal2015</v>
      </c>
      <c r="C174" s="107" t="s">
        <v>257</v>
      </c>
      <c r="D174" s="108" t="s">
        <v>144</v>
      </c>
      <c r="F174" s="109">
        <v>524</v>
      </c>
      <c r="G174" s="109">
        <v>2015</v>
      </c>
      <c r="H174" s="110">
        <v>1362.2049999999999</v>
      </c>
      <c r="I174" s="110">
        <v>1538.768</v>
      </c>
      <c r="J174" s="110">
        <v>1642.704</v>
      </c>
      <c r="K174" s="110">
        <v>1606.7629999999999</v>
      </c>
      <c r="L174" s="110">
        <v>1427.5820000000001</v>
      </c>
      <c r="M174" s="110">
        <v>1272.4559999999999</v>
      </c>
      <c r="N174" s="110">
        <v>1114.0419999999999</v>
      </c>
      <c r="O174" s="110">
        <v>970.07500000000005</v>
      </c>
      <c r="P174" s="110">
        <v>812.81500000000005</v>
      </c>
      <c r="Q174" s="110">
        <v>678.66200000000003</v>
      </c>
      <c r="R174" s="110">
        <v>562.71600000000001</v>
      </c>
      <c r="S174" s="110">
        <v>460.041</v>
      </c>
      <c r="T174" s="110">
        <v>461.7</v>
      </c>
      <c r="U174" s="110">
        <v>352.09</v>
      </c>
      <c r="V174" s="110">
        <v>236.71100000000001</v>
      </c>
      <c r="W174" s="110">
        <v>143.857</v>
      </c>
      <c r="X174" s="110">
        <v>73.052999999999997</v>
      </c>
      <c r="Y174" s="110">
        <v>29.146000000000001</v>
      </c>
      <c r="Z174" s="110">
        <v>6.6589999999999998</v>
      </c>
      <c r="AA174" s="110">
        <v>0.81100000000000005</v>
      </c>
      <c r="AB174" s="110">
        <v>5.6000000000000001E-2</v>
      </c>
      <c r="AC174" s="115">
        <f t="shared" si="7"/>
        <v>7882.3950000000004</v>
      </c>
      <c r="AD174" t="str">
        <f t="shared" si="8"/>
        <v/>
      </c>
    </row>
    <row r="175" spans="1:30" x14ac:dyDescent="0.25">
      <c r="A175" s="104" t="str">
        <f t="shared" si="6"/>
        <v>Nepal2016</v>
      </c>
      <c r="C175" s="107" t="s">
        <v>257</v>
      </c>
      <c r="D175" s="108" t="s">
        <v>144</v>
      </c>
      <c r="F175" s="109">
        <v>524</v>
      </c>
      <c r="G175" s="109">
        <v>2016</v>
      </c>
      <c r="H175" s="110">
        <v>1335.299</v>
      </c>
      <c r="I175" s="110">
        <v>1507.8589999999999</v>
      </c>
      <c r="J175" s="110">
        <v>1624.585</v>
      </c>
      <c r="K175" s="110">
        <v>1614.7809999999999</v>
      </c>
      <c r="L175" s="110">
        <v>1458.779</v>
      </c>
      <c r="M175" s="110">
        <v>1301.3030000000001</v>
      </c>
      <c r="N175" s="110">
        <v>1143.693</v>
      </c>
      <c r="O175" s="110">
        <v>998.80200000000002</v>
      </c>
      <c r="P175" s="110">
        <v>841.65800000000002</v>
      </c>
      <c r="Q175" s="110">
        <v>701.54399999999998</v>
      </c>
      <c r="R175" s="110">
        <v>582.71799999999996</v>
      </c>
      <c r="S175" s="110">
        <v>467.19799999999998</v>
      </c>
      <c r="T175" s="110">
        <v>459.88200000000001</v>
      </c>
      <c r="U175" s="110">
        <v>367.66699999999997</v>
      </c>
      <c r="V175" s="110">
        <v>247.298</v>
      </c>
      <c r="W175" s="110">
        <v>149.63900000000001</v>
      </c>
      <c r="X175" s="110">
        <v>76.492999999999995</v>
      </c>
      <c r="Y175" s="110">
        <v>31.204000000000001</v>
      </c>
      <c r="Z175" s="110">
        <v>8.02</v>
      </c>
      <c r="AA175" s="110">
        <v>0.98899999999999999</v>
      </c>
      <c r="AB175" s="110">
        <v>5.8999999999999997E-2</v>
      </c>
      <c r="AC175" s="115">
        <f t="shared" si="7"/>
        <v>8060.56</v>
      </c>
      <c r="AD175">
        <f t="shared" si="8"/>
        <v>1.022602901783024</v>
      </c>
    </row>
    <row r="176" spans="1:30" x14ac:dyDescent="0.25">
      <c r="A176" s="104" t="str">
        <f t="shared" si="6"/>
        <v>Nepal2017</v>
      </c>
      <c r="C176" s="107" t="s">
        <v>257</v>
      </c>
      <c r="D176" s="108" t="s">
        <v>144</v>
      </c>
      <c r="F176" s="109">
        <v>524</v>
      </c>
      <c r="G176" s="109">
        <v>2017</v>
      </c>
      <c r="H176" s="110">
        <v>1329.7919999999999</v>
      </c>
      <c r="I176" s="110">
        <v>1471.201</v>
      </c>
      <c r="J176" s="110">
        <v>1603.3520000000001</v>
      </c>
      <c r="K176" s="110">
        <v>1613.6089999999999</v>
      </c>
      <c r="L176" s="110">
        <v>1486.65</v>
      </c>
      <c r="M176" s="110">
        <v>1326.37</v>
      </c>
      <c r="N176" s="110">
        <v>1172.682</v>
      </c>
      <c r="O176" s="110">
        <v>1024.9359999999999</v>
      </c>
      <c r="P176" s="110">
        <v>870.91899999999998</v>
      </c>
      <c r="Q176" s="110">
        <v>724.29899999999998</v>
      </c>
      <c r="R176" s="110">
        <v>601.73599999999999</v>
      </c>
      <c r="S176" s="110">
        <v>481.54899999999998</v>
      </c>
      <c r="T176" s="110">
        <v>451.00099999999998</v>
      </c>
      <c r="U176" s="110">
        <v>384.83199999999999</v>
      </c>
      <c r="V176" s="110">
        <v>258.45800000000003</v>
      </c>
      <c r="W176" s="110">
        <v>155.51499999999999</v>
      </c>
      <c r="X176" s="110">
        <v>79.661000000000001</v>
      </c>
      <c r="Y176" s="110">
        <v>32.450000000000003</v>
      </c>
      <c r="Z176" s="110">
        <v>9.0060000000000002</v>
      </c>
      <c r="AA176" s="110">
        <v>1.306</v>
      </c>
      <c r="AB176" s="110">
        <v>6.2E-2</v>
      </c>
      <c r="AC176" s="115">
        <f t="shared" si="7"/>
        <v>8219.4650000000001</v>
      </c>
      <c r="AD176">
        <f t="shared" si="8"/>
        <v>1.0197138908462935</v>
      </c>
    </row>
    <row r="177" spans="1:30" x14ac:dyDescent="0.25">
      <c r="A177" s="104" t="str">
        <f t="shared" si="6"/>
        <v>Nepal2018</v>
      </c>
      <c r="C177" s="107" t="s">
        <v>257</v>
      </c>
      <c r="D177" s="108" t="s">
        <v>144</v>
      </c>
      <c r="F177" s="109">
        <v>524</v>
      </c>
      <c r="G177" s="109">
        <v>2018</v>
      </c>
      <c r="H177" s="110">
        <v>1338.8520000000001</v>
      </c>
      <c r="I177" s="110">
        <v>1429.96</v>
      </c>
      <c r="J177" s="110">
        <v>1581.155</v>
      </c>
      <c r="K177" s="110">
        <v>1606.248</v>
      </c>
      <c r="L177" s="110">
        <v>1508.972</v>
      </c>
      <c r="M177" s="110">
        <v>1349.3679999999999</v>
      </c>
      <c r="N177" s="110">
        <v>1201.0239999999999</v>
      </c>
      <c r="O177" s="110">
        <v>1049.6420000000001</v>
      </c>
      <c r="P177" s="110">
        <v>900.29399999999998</v>
      </c>
      <c r="Q177" s="110">
        <v>747.54200000000003</v>
      </c>
      <c r="R177" s="110">
        <v>620.45899999999995</v>
      </c>
      <c r="S177" s="110">
        <v>500.90600000000001</v>
      </c>
      <c r="T177" s="110">
        <v>439.64499999999998</v>
      </c>
      <c r="U177" s="110">
        <v>401.28</v>
      </c>
      <c r="V177" s="110">
        <v>270.536</v>
      </c>
      <c r="W177" s="110">
        <v>162.02500000000001</v>
      </c>
      <c r="X177" s="110">
        <v>82.688999999999993</v>
      </c>
      <c r="Y177" s="110">
        <v>32.965000000000003</v>
      </c>
      <c r="Z177" s="110">
        <v>9.5709999999999997</v>
      </c>
      <c r="AA177" s="110">
        <v>1.544</v>
      </c>
      <c r="AB177" s="110">
        <v>6.5000000000000002E-2</v>
      </c>
      <c r="AC177" s="115">
        <f t="shared" si="7"/>
        <v>8363.0899999999983</v>
      </c>
      <c r="AD177">
        <f t="shared" si="8"/>
        <v>1.0174737650199859</v>
      </c>
    </row>
    <row r="178" spans="1:30" x14ac:dyDescent="0.25">
      <c r="A178" s="104" t="str">
        <f t="shared" si="6"/>
        <v>Nepal2019</v>
      </c>
      <c r="C178" s="107" t="s">
        <v>257</v>
      </c>
      <c r="D178" s="108" t="s">
        <v>144</v>
      </c>
      <c r="F178" s="109">
        <v>524</v>
      </c>
      <c r="G178" s="109">
        <v>2019</v>
      </c>
      <c r="H178" s="110">
        <v>1349.8789999999999</v>
      </c>
      <c r="I178" s="110">
        <v>1389.1769999999999</v>
      </c>
      <c r="J178" s="110">
        <v>1558.0530000000001</v>
      </c>
      <c r="K178" s="110">
        <v>1596.4079999999999</v>
      </c>
      <c r="L178" s="110">
        <v>1524.5650000000001</v>
      </c>
      <c r="M178" s="110">
        <v>1372.604</v>
      </c>
      <c r="N178" s="110">
        <v>1228.8820000000001</v>
      </c>
      <c r="O178" s="110">
        <v>1074.989</v>
      </c>
      <c r="P178" s="110">
        <v>929.49</v>
      </c>
      <c r="Q178" s="110">
        <v>772.33199999999999</v>
      </c>
      <c r="R178" s="110">
        <v>640.26400000000001</v>
      </c>
      <c r="S178" s="110">
        <v>521.779</v>
      </c>
      <c r="T178" s="110">
        <v>432.71100000000001</v>
      </c>
      <c r="U178" s="110">
        <v>413.57900000000001</v>
      </c>
      <c r="V178" s="110">
        <v>284.108</v>
      </c>
      <c r="W178" s="110">
        <v>169.78399999999999</v>
      </c>
      <c r="X178" s="110">
        <v>85.784000000000006</v>
      </c>
      <c r="Y178" s="110">
        <v>33.119</v>
      </c>
      <c r="Z178" s="110">
        <v>9.4589999999999996</v>
      </c>
      <c r="AA178" s="110">
        <v>1.528</v>
      </c>
      <c r="AB178" s="110">
        <v>6.9000000000000006E-2</v>
      </c>
      <c r="AC178" s="115">
        <f t="shared" si="7"/>
        <v>8499.27</v>
      </c>
      <c r="AD178">
        <f t="shared" si="8"/>
        <v>1.0162834550387478</v>
      </c>
    </row>
    <row r="179" spans="1:30" x14ac:dyDescent="0.25">
      <c r="A179" s="104" t="str">
        <f t="shared" si="6"/>
        <v>Nepal2020</v>
      </c>
      <c r="C179" s="107" t="s">
        <v>257</v>
      </c>
      <c r="D179" s="108" t="s">
        <v>144</v>
      </c>
      <c r="F179" s="109">
        <v>524</v>
      </c>
      <c r="G179" s="109">
        <v>2020</v>
      </c>
      <c r="H179" s="110">
        <v>1354.972</v>
      </c>
      <c r="I179" s="110">
        <v>1355.4590000000001</v>
      </c>
      <c r="J179" s="110">
        <v>1531.752</v>
      </c>
      <c r="K179" s="110">
        <v>1586.221</v>
      </c>
      <c r="L179" s="110">
        <v>1533.944</v>
      </c>
      <c r="M179" s="110">
        <v>1396.326</v>
      </c>
      <c r="N179" s="110">
        <v>1256.164</v>
      </c>
      <c r="O179" s="110">
        <v>1102.098</v>
      </c>
      <c r="P179" s="110">
        <v>958.24400000000003</v>
      </c>
      <c r="Q179" s="110">
        <v>799.19200000000001</v>
      </c>
      <c r="R179" s="110">
        <v>661.91899999999998</v>
      </c>
      <c r="S179" s="110">
        <v>542.06799999999998</v>
      </c>
      <c r="T179" s="110">
        <v>434.13499999999999</v>
      </c>
      <c r="U179" s="110">
        <v>419.93599999999998</v>
      </c>
      <c r="V179" s="110">
        <v>299.35599999999999</v>
      </c>
      <c r="W179" s="110">
        <v>179.125</v>
      </c>
      <c r="X179" s="110">
        <v>89.233999999999995</v>
      </c>
      <c r="Y179" s="110">
        <v>33.116</v>
      </c>
      <c r="Z179" s="110">
        <v>8.532</v>
      </c>
      <c r="AA179" s="110">
        <v>1.1180000000000001</v>
      </c>
      <c r="AB179" s="110">
        <v>7.3999999999999996E-2</v>
      </c>
      <c r="AC179" s="115">
        <f t="shared" si="7"/>
        <v>8632.1889999999985</v>
      </c>
      <c r="AD179">
        <f t="shared" si="8"/>
        <v>1.0156388725149335</v>
      </c>
    </row>
    <row r="180" spans="1:30" x14ac:dyDescent="0.25">
      <c r="A180" s="104" t="str">
        <f t="shared" si="6"/>
        <v>Nepal2021</v>
      </c>
      <c r="C180" s="107" t="s">
        <v>257</v>
      </c>
      <c r="D180" s="108" t="s">
        <v>144</v>
      </c>
      <c r="F180" s="109">
        <v>524</v>
      </c>
      <c r="G180" s="109">
        <v>2021</v>
      </c>
      <c r="H180" s="110">
        <v>1378.27</v>
      </c>
      <c r="I180" s="110">
        <v>1331.604</v>
      </c>
      <c r="J180" s="110">
        <v>1490.713</v>
      </c>
      <c r="K180" s="110">
        <v>1570.2149999999999</v>
      </c>
      <c r="L180" s="110">
        <v>1544.0840000000001</v>
      </c>
      <c r="M180" s="110">
        <v>1420.7049999999999</v>
      </c>
      <c r="N180" s="110">
        <v>1281.421</v>
      </c>
      <c r="O180" s="110">
        <v>1128.7139999999999</v>
      </c>
      <c r="P180" s="110">
        <v>984.31500000000005</v>
      </c>
      <c r="Q180" s="110">
        <v>825.74099999999999</v>
      </c>
      <c r="R180" s="110">
        <v>682.86300000000006</v>
      </c>
      <c r="S180" s="110">
        <v>560.19600000000003</v>
      </c>
      <c r="T180" s="110">
        <v>440.36900000000003</v>
      </c>
      <c r="U180" s="110">
        <v>417.23</v>
      </c>
      <c r="V180" s="110">
        <v>312.74</v>
      </c>
      <c r="W180" s="110">
        <v>187.86199999999999</v>
      </c>
      <c r="X180" s="110">
        <v>94.188999999999993</v>
      </c>
      <c r="Y180" s="110">
        <v>36.093000000000004</v>
      </c>
      <c r="Z180" s="110">
        <v>9.7949999999999999</v>
      </c>
      <c r="AA180" s="110">
        <v>1.367</v>
      </c>
      <c r="AB180" s="110">
        <v>7.9000000000000001E-2</v>
      </c>
      <c r="AC180" s="115">
        <f t="shared" si="7"/>
        <v>8755.1949999999997</v>
      </c>
      <c r="AD180">
        <f t="shared" si="8"/>
        <v>1.0142496879991856</v>
      </c>
    </row>
    <row r="181" spans="1:30" x14ac:dyDescent="0.25">
      <c r="A181" s="104" t="str">
        <f t="shared" si="6"/>
        <v>Nepal2022</v>
      </c>
      <c r="C181" s="107" t="s">
        <v>257</v>
      </c>
      <c r="D181" s="108" t="s">
        <v>144</v>
      </c>
      <c r="F181" s="109">
        <v>524</v>
      </c>
      <c r="G181" s="109">
        <v>2022</v>
      </c>
      <c r="H181" s="110">
        <v>1378.6189999999999</v>
      </c>
      <c r="I181" s="110">
        <v>1323.6849999999999</v>
      </c>
      <c r="J181" s="110">
        <v>1448.2750000000001</v>
      </c>
      <c r="K181" s="110">
        <v>1553.663</v>
      </c>
      <c r="L181" s="110">
        <v>1548.654</v>
      </c>
      <c r="M181" s="110">
        <v>1446.9580000000001</v>
      </c>
      <c r="N181" s="110">
        <v>1306.816</v>
      </c>
      <c r="O181" s="110">
        <v>1157.7560000000001</v>
      </c>
      <c r="P181" s="110">
        <v>1010.515</v>
      </c>
      <c r="Q181" s="110">
        <v>854.94500000000005</v>
      </c>
      <c r="R181" s="110">
        <v>705.56399999999996</v>
      </c>
      <c r="S181" s="110">
        <v>579.04300000000001</v>
      </c>
      <c r="T181" s="110">
        <v>454.601</v>
      </c>
      <c r="U181" s="110">
        <v>409.51799999999997</v>
      </c>
      <c r="V181" s="110">
        <v>328.54899999999998</v>
      </c>
      <c r="W181" s="110">
        <v>197.251</v>
      </c>
      <c r="X181" s="110">
        <v>98.944000000000003</v>
      </c>
      <c r="Y181" s="110">
        <v>38.491999999999997</v>
      </c>
      <c r="Z181" s="110">
        <v>10.632</v>
      </c>
      <c r="AA181" s="110">
        <v>1.788</v>
      </c>
      <c r="AB181" s="110">
        <v>8.5999999999999993E-2</v>
      </c>
      <c r="AC181" s="115">
        <f t="shared" si="7"/>
        <v>8879.3070000000007</v>
      </c>
      <c r="AD181">
        <f t="shared" si="8"/>
        <v>1.0141758121892204</v>
      </c>
    </row>
    <row r="182" spans="1:30" x14ac:dyDescent="0.25">
      <c r="A182" s="104" t="str">
        <f t="shared" si="6"/>
        <v>Nepal2023</v>
      </c>
      <c r="C182" s="107" t="s">
        <v>257</v>
      </c>
      <c r="D182" s="108" t="s">
        <v>144</v>
      </c>
      <c r="F182" s="109">
        <v>524</v>
      </c>
      <c r="G182" s="109">
        <v>2023</v>
      </c>
      <c r="H182" s="110">
        <v>1362.85</v>
      </c>
      <c r="I182" s="110">
        <v>1329.683</v>
      </c>
      <c r="J182" s="110">
        <v>1406.9929999999999</v>
      </c>
      <c r="K182" s="110">
        <v>1535.337</v>
      </c>
      <c r="L182" s="110">
        <v>1546.414</v>
      </c>
      <c r="M182" s="110">
        <v>1472.672</v>
      </c>
      <c r="N182" s="110">
        <v>1332.1210000000001</v>
      </c>
      <c r="O182" s="110">
        <v>1187.99</v>
      </c>
      <c r="P182" s="110">
        <v>1036.8889999999999</v>
      </c>
      <c r="Q182" s="110">
        <v>885.60599999999999</v>
      </c>
      <c r="R182" s="110">
        <v>729.84199999999998</v>
      </c>
      <c r="S182" s="110">
        <v>598.62199999999996</v>
      </c>
      <c r="T182" s="110">
        <v>474.21199999999999</v>
      </c>
      <c r="U182" s="110">
        <v>400.6</v>
      </c>
      <c r="V182" s="110">
        <v>344.36099999999999</v>
      </c>
      <c r="W182" s="110">
        <v>207.59899999999999</v>
      </c>
      <c r="X182" s="110">
        <v>103.798</v>
      </c>
      <c r="Y182" s="110">
        <v>40.213999999999999</v>
      </c>
      <c r="Z182" s="110">
        <v>11.131</v>
      </c>
      <c r="AA182" s="110">
        <v>2.101</v>
      </c>
      <c r="AB182" s="110">
        <v>9.2999999999999999E-2</v>
      </c>
      <c r="AC182" s="115">
        <f t="shared" si="7"/>
        <v>8997.0290000000005</v>
      </c>
      <c r="AD182">
        <f t="shared" si="8"/>
        <v>1.0132580166447673</v>
      </c>
    </row>
    <row r="183" spans="1:30" x14ac:dyDescent="0.25">
      <c r="A183" s="104" t="str">
        <f t="shared" si="6"/>
        <v>Nepal2024</v>
      </c>
      <c r="C183" s="107" t="s">
        <v>257</v>
      </c>
      <c r="D183" s="108" t="s">
        <v>144</v>
      </c>
      <c r="F183" s="109">
        <v>524</v>
      </c>
      <c r="G183" s="109">
        <v>2024</v>
      </c>
      <c r="H183" s="110">
        <v>1343.309</v>
      </c>
      <c r="I183" s="110">
        <v>1342.02</v>
      </c>
      <c r="J183" s="110">
        <v>1372.413</v>
      </c>
      <c r="K183" s="110">
        <v>1512.35</v>
      </c>
      <c r="L183" s="110">
        <v>1537.6410000000001</v>
      </c>
      <c r="M183" s="110">
        <v>1493.721</v>
      </c>
      <c r="N183" s="110">
        <v>1357.2280000000001</v>
      </c>
      <c r="O183" s="110">
        <v>1217.511</v>
      </c>
      <c r="P183" s="110">
        <v>1063.6389999999999</v>
      </c>
      <c r="Q183" s="110">
        <v>915.86400000000003</v>
      </c>
      <c r="R183" s="110">
        <v>755.44100000000003</v>
      </c>
      <c r="S183" s="110">
        <v>619.14</v>
      </c>
      <c r="T183" s="110">
        <v>495.19</v>
      </c>
      <c r="U183" s="110">
        <v>396.04700000000003</v>
      </c>
      <c r="V183" s="110">
        <v>356.42599999999999</v>
      </c>
      <c r="W183" s="110">
        <v>219.22399999999999</v>
      </c>
      <c r="X183" s="110">
        <v>109.125</v>
      </c>
      <c r="Y183" s="110">
        <v>41.514000000000003</v>
      </c>
      <c r="Z183" s="110">
        <v>11.067</v>
      </c>
      <c r="AA183" s="110">
        <v>2.077</v>
      </c>
      <c r="AB183" s="110">
        <v>0.10100000000000001</v>
      </c>
      <c r="AC183" s="115">
        <f t="shared" si="7"/>
        <v>9097.9539999999997</v>
      </c>
      <c r="AD183">
        <f t="shared" si="8"/>
        <v>1.0112175919406283</v>
      </c>
    </row>
    <row r="184" spans="1:30" x14ac:dyDescent="0.25">
      <c r="A184" s="104" t="str">
        <f t="shared" si="6"/>
        <v>Nepal2025</v>
      </c>
      <c r="C184" s="107" t="s">
        <v>257</v>
      </c>
      <c r="D184" s="108" t="s">
        <v>144</v>
      </c>
      <c r="F184" s="109">
        <v>524</v>
      </c>
      <c r="G184" s="109">
        <v>2025</v>
      </c>
      <c r="H184" s="110">
        <v>1329.116</v>
      </c>
      <c r="I184" s="110">
        <v>1349.6590000000001</v>
      </c>
      <c r="J184" s="110">
        <v>1349.9010000000001</v>
      </c>
      <c r="K184" s="110">
        <v>1483.771</v>
      </c>
      <c r="L184" s="110">
        <v>1524.1289999999999</v>
      </c>
      <c r="M184" s="110">
        <v>1507.0170000000001</v>
      </c>
      <c r="N184" s="110">
        <v>1382.037</v>
      </c>
      <c r="O184" s="110">
        <v>1245.28</v>
      </c>
      <c r="P184" s="110">
        <v>1090.98</v>
      </c>
      <c r="Q184" s="110">
        <v>944.66700000000003</v>
      </c>
      <c r="R184" s="110">
        <v>782.226</v>
      </c>
      <c r="S184" s="110">
        <v>640.75400000000002</v>
      </c>
      <c r="T184" s="110">
        <v>515.23</v>
      </c>
      <c r="U184" s="110">
        <v>399.00700000000001</v>
      </c>
      <c r="V184" s="110">
        <v>362.87700000000001</v>
      </c>
      <c r="W184" s="110">
        <v>232.21299999999999</v>
      </c>
      <c r="X184" s="110">
        <v>115.258</v>
      </c>
      <c r="Y184" s="110">
        <v>42.555</v>
      </c>
      <c r="Z184" s="110">
        <v>10.342000000000001</v>
      </c>
      <c r="AA184" s="110">
        <v>1.544</v>
      </c>
      <c r="AB184" s="110">
        <v>0.109</v>
      </c>
      <c r="AC184" s="115">
        <f t="shared" si="7"/>
        <v>9177.8809999999994</v>
      </c>
      <c r="AD184">
        <f t="shared" si="8"/>
        <v>1.0087851620265391</v>
      </c>
    </row>
    <row r="185" spans="1:30" x14ac:dyDescent="0.25">
      <c r="A185" s="104" t="str">
        <f t="shared" si="6"/>
        <v>Nepal2026</v>
      </c>
      <c r="C185" s="107" t="s">
        <v>257</v>
      </c>
      <c r="D185" s="108" t="s">
        <v>144</v>
      </c>
      <c r="F185" s="109">
        <v>524</v>
      </c>
      <c r="G185" s="109">
        <v>2026</v>
      </c>
      <c r="H185" s="110">
        <v>1312.4179999999999</v>
      </c>
      <c r="I185" s="110">
        <v>1351.9639999999999</v>
      </c>
      <c r="J185" s="110">
        <v>1332.0830000000001</v>
      </c>
      <c r="K185" s="110">
        <v>1448.15</v>
      </c>
      <c r="L185" s="110">
        <v>1515.405</v>
      </c>
      <c r="M185" s="110">
        <v>1516.9829999999999</v>
      </c>
      <c r="N185" s="110">
        <v>1408.578</v>
      </c>
      <c r="O185" s="110">
        <v>1272.6400000000001</v>
      </c>
      <c r="P185" s="110">
        <v>1119.454</v>
      </c>
      <c r="Q185" s="110">
        <v>972.30700000000002</v>
      </c>
      <c r="R185" s="110">
        <v>809.97500000000002</v>
      </c>
      <c r="S185" s="110">
        <v>662.51499999999999</v>
      </c>
      <c r="T185" s="110">
        <v>533.54200000000003</v>
      </c>
      <c r="U185" s="110">
        <v>406.154</v>
      </c>
      <c r="V185" s="110">
        <v>361.26400000000001</v>
      </c>
      <c r="W185" s="110">
        <v>244.43700000000001</v>
      </c>
      <c r="X185" s="110">
        <v>123.011</v>
      </c>
      <c r="Y185" s="110">
        <v>46.753999999999998</v>
      </c>
      <c r="Z185" s="110">
        <v>12.1</v>
      </c>
      <c r="AA185" s="110">
        <v>1.804</v>
      </c>
      <c r="AB185" s="110">
        <v>0.11799999999999999</v>
      </c>
      <c r="AC185" s="115">
        <f t="shared" si="7"/>
        <v>9253.5170000000016</v>
      </c>
      <c r="AD185">
        <f t="shared" si="8"/>
        <v>1.008241117966119</v>
      </c>
    </row>
    <row r="186" spans="1:30" x14ac:dyDescent="0.25">
      <c r="A186" s="104" t="str">
        <f t="shared" si="6"/>
        <v>Nepal2027</v>
      </c>
      <c r="C186" s="107" t="s">
        <v>257</v>
      </c>
      <c r="D186" s="108" t="s">
        <v>144</v>
      </c>
      <c r="F186" s="109">
        <v>524</v>
      </c>
      <c r="G186" s="109">
        <v>2027</v>
      </c>
      <c r="H186" s="110">
        <v>1299.28</v>
      </c>
      <c r="I186" s="110">
        <v>1350.921</v>
      </c>
      <c r="J186" s="110">
        <v>1326.289</v>
      </c>
      <c r="K186" s="110">
        <v>1405.5820000000001</v>
      </c>
      <c r="L186" s="110">
        <v>1502.4090000000001</v>
      </c>
      <c r="M186" s="110">
        <v>1519.9059999999999</v>
      </c>
      <c r="N186" s="110">
        <v>1435.0160000000001</v>
      </c>
      <c r="O186" s="110">
        <v>1298.0999999999999</v>
      </c>
      <c r="P186" s="110">
        <v>1148.5709999999999</v>
      </c>
      <c r="Q186" s="110">
        <v>998.55799999999999</v>
      </c>
      <c r="R186" s="110">
        <v>839.10400000000004</v>
      </c>
      <c r="S186" s="110">
        <v>685.05</v>
      </c>
      <c r="T186" s="110">
        <v>551.99400000000003</v>
      </c>
      <c r="U186" s="110">
        <v>419.98899999999998</v>
      </c>
      <c r="V186" s="110">
        <v>354.91199999999998</v>
      </c>
      <c r="W186" s="110">
        <v>258.21499999999997</v>
      </c>
      <c r="X186" s="110">
        <v>130.333</v>
      </c>
      <c r="Y186" s="110">
        <v>50.107999999999997</v>
      </c>
      <c r="Z186" s="110">
        <v>13.427</v>
      </c>
      <c r="AA186" s="110">
        <v>2.2549999999999999</v>
      </c>
      <c r="AB186" s="110">
        <v>0.129</v>
      </c>
      <c r="AC186" s="115">
        <f t="shared" si="7"/>
        <v>9308.1419999999998</v>
      </c>
      <c r="AD186">
        <f t="shared" si="8"/>
        <v>1.0059031609278934</v>
      </c>
    </row>
    <row r="187" spans="1:30" x14ac:dyDescent="0.25">
      <c r="A187" s="104" t="str">
        <f t="shared" si="6"/>
        <v>Nepal2028</v>
      </c>
      <c r="C187" s="107" t="s">
        <v>257</v>
      </c>
      <c r="D187" s="108" t="s">
        <v>144</v>
      </c>
      <c r="F187" s="109">
        <v>524</v>
      </c>
      <c r="G187" s="109">
        <v>2028</v>
      </c>
      <c r="H187" s="110">
        <v>1289.049</v>
      </c>
      <c r="I187" s="110">
        <v>1344.9010000000001</v>
      </c>
      <c r="J187" s="110">
        <v>1330.412</v>
      </c>
      <c r="K187" s="110">
        <v>1362.1220000000001</v>
      </c>
      <c r="L187" s="110">
        <v>1483.164</v>
      </c>
      <c r="M187" s="110">
        <v>1516.865</v>
      </c>
      <c r="N187" s="110">
        <v>1459.499</v>
      </c>
      <c r="O187" s="110">
        <v>1322.298</v>
      </c>
      <c r="P187" s="110">
        <v>1177.8230000000001</v>
      </c>
      <c r="Q187" s="110">
        <v>1024.08</v>
      </c>
      <c r="R187" s="110">
        <v>868.89099999999996</v>
      </c>
      <c r="S187" s="110">
        <v>708.55200000000002</v>
      </c>
      <c r="T187" s="110">
        <v>570.899</v>
      </c>
      <c r="U187" s="110">
        <v>438.35199999999998</v>
      </c>
      <c r="V187" s="110">
        <v>347.72199999999998</v>
      </c>
      <c r="W187" s="110">
        <v>271.69099999999997</v>
      </c>
      <c r="X187" s="110">
        <v>137.61699999999999</v>
      </c>
      <c r="Y187" s="110">
        <v>52.68</v>
      </c>
      <c r="Z187" s="110">
        <v>14.388999999999999</v>
      </c>
      <c r="AA187" s="110">
        <v>2.6019999999999999</v>
      </c>
      <c r="AB187" s="110">
        <v>0.13900000000000001</v>
      </c>
      <c r="AC187" s="115">
        <f t="shared" si="7"/>
        <v>9345.8509999999987</v>
      </c>
      <c r="AD187">
        <f t="shared" si="8"/>
        <v>1.0040511844361635</v>
      </c>
    </row>
    <row r="188" spans="1:30" x14ac:dyDescent="0.25">
      <c r="A188" s="104" t="str">
        <f t="shared" si="6"/>
        <v>Nepal2029</v>
      </c>
      <c r="C188" s="107" t="s">
        <v>257</v>
      </c>
      <c r="D188" s="108" t="s">
        <v>144</v>
      </c>
      <c r="F188" s="109">
        <v>524</v>
      </c>
      <c r="G188" s="109">
        <v>2029</v>
      </c>
      <c r="H188" s="110">
        <v>1277.479</v>
      </c>
      <c r="I188" s="110">
        <v>1335.192</v>
      </c>
      <c r="J188" s="110">
        <v>1338.46</v>
      </c>
      <c r="K188" s="110">
        <v>1326.136</v>
      </c>
      <c r="L188" s="110">
        <v>1456.319</v>
      </c>
      <c r="M188" s="110">
        <v>1509.5319999999999</v>
      </c>
      <c r="N188" s="110">
        <v>1479.5160000000001</v>
      </c>
      <c r="O188" s="110">
        <v>1346.624</v>
      </c>
      <c r="P188" s="110">
        <v>1206.6110000000001</v>
      </c>
      <c r="Q188" s="110">
        <v>1050.173</v>
      </c>
      <c r="R188" s="110">
        <v>898.41800000000001</v>
      </c>
      <c r="S188" s="110">
        <v>733.50699999999995</v>
      </c>
      <c r="T188" s="110">
        <v>590.976</v>
      </c>
      <c r="U188" s="110">
        <v>458.18900000000002</v>
      </c>
      <c r="V188" s="110">
        <v>345.012</v>
      </c>
      <c r="W188" s="110">
        <v>281.94900000000001</v>
      </c>
      <c r="X188" s="110">
        <v>145.50800000000001</v>
      </c>
      <c r="Y188" s="110">
        <v>55.094999999999999</v>
      </c>
      <c r="Z188" s="110">
        <v>14.664999999999999</v>
      </c>
      <c r="AA188" s="110">
        <v>2.5950000000000002</v>
      </c>
      <c r="AB188" s="110">
        <v>0.151</v>
      </c>
      <c r="AC188" s="115">
        <f t="shared" si="7"/>
        <v>9374.9110000000019</v>
      </c>
      <c r="AD188">
        <f t="shared" si="8"/>
        <v>1.0031094011663575</v>
      </c>
    </row>
    <row r="189" spans="1:30" x14ac:dyDescent="0.25">
      <c r="A189" s="104" t="str">
        <f t="shared" si="6"/>
        <v>Nepal2030</v>
      </c>
      <c r="C189" s="107" t="s">
        <v>257</v>
      </c>
      <c r="D189" s="108" t="s">
        <v>144</v>
      </c>
      <c r="F189" s="109">
        <v>524</v>
      </c>
      <c r="G189" s="109">
        <v>2030</v>
      </c>
      <c r="H189" s="110">
        <v>1261.941</v>
      </c>
      <c r="I189" s="110">
        <v>1324.729</v>
      </c>
      <c r="J189" s="110">
        <v>1344.46</v>
      </c>
      <c r="K189" s="110">
        <v>1302.7070000000001</v>
      </c>
      <c r="L189" s="110">
        <v>1422.6990000000001</v>
      </c>
      <c r="M189" s="110">
        <v>1498.191</v>
      </c>
      <c r="N189" s="110">
        <v>1493.338</v>
      </c>
      <c r="O189" s="110">
        <v>1371.6690000000001</v>
      </c>
      <c r="P189" s="110">
        <v>1234.4670000000001</v>
      </c>
      <c r="Q189" s="110">
        <v>1077.5329999999999</v>
      </c>
      <c r="R189" s="110">
        <v>927.08199999999999</v>
      </c>
      <c r="S189" s="110">
        <v>760.12599999999998</v>
      </c>
      <c r="T189" s="110">
        <v>612.56600000000003</v>
      </c>
      <c r="U189" s="110">
        <v>477.78899999999999</v>
      </c>
      <c r="V189" s="110">
        <v>349.524</v>
      </c>
      <c r="W189" s="110">
        <v>287.66399999999999</v>
      </c>
      <c r="X189" s="110">
        <v>154.46199999999999</v>
      </c>
      <c r="Y189" s="110">
        <v>57.648000000000003</v>
      </c>
      <c r="Z189" s="110">
        <v>14.156000000000001</v>
      </c>
      <c r="AA189" s="110">
        <v>2.0190000000000001</v>
      </c>
      <c r="AB189" s="110">
        <v>0.16200000000000001</v>
      </c>
      <c r="AC189" s="115">
        <f t="shared" si="7"/>
        <v>9400.6039999999994</v>
      </c>
      <c r="AD189">
        <f t="shared" si="8"/>
        <v>1.0027406126842162</v>
      </c>
    </row>
    <row r="190" spans="1:30" x14ac:dyDescent="0.25">
      <c r="A190" s="104" t="str">
        <f t="shared" si="6"/>
        <v>Nepal2031</v>
      </c>
      <c r="C190" s="107" t="s">
        <v>257</v>
      </c>
      <c r="D190" s="108" t="s">
        <v>144</v>
      </c>
      <c r="F190" s="109">
        <v>524</v>
      </c>
      <c r="G190" s="109">
        <v>2031</v>
      </c>
      <c r="H190" s="110">
        <v>1245.1859999999999</v>
      </c>
      <c r="I190" s="110">
        <v>1314.92</v>
      </c>
      <c r="J190" s="110">
        <v>1340.2470000000001</v>
      </c>
      <c r="K190" s="110">
        <v>1287.8589999999999</v>
      </c>
      <c r="L190" s="110">
        <v>1390.972</v>
      </c>
      <c r="M190" s="110">
        <v>1485.95</v>
      </c>
      <c r="N190" s="110">
        <v>1502.35</v>
      </c>
      <c r="O190" s="110">
        <v>1397.444</v>
      </c>
      <c r="P190" s="110">
        <v>1261.1400000000001</v>
      </c>
      <c r="Q190" s="110">
        <v>1105.393</v>
      </c>
      <c r="R190" s="110">
        <v>954.08500000000004</v>
      </c>
      <c r="S190" s="110">
        <v>787.07399999999996</v>
      </c>
      <c r="T190" s="110">
        <v>633.30399999999997</v>
      </c>
      <c r="U190" s="110">
        <v>494.65499999999997</v>
      </c>
      <c r="V190" s="110">
        <v>356.78199999999998</v>
      </c>
      <c r="W190" s="110">
        <v>286.62</v>
      </c>
      <c r="X190" s="110">
        <v>165.053</v>
      </c>
      <c r="Y190" s="110">
        <v>63.811</v>
      </c>
      <c r="Z190" s="110">
        <v>16.587</v>
      </c>
      <c r="AA190" s="110">
        <v>2.4180000000000001</v>
      </c>
      <c r="AB190" s="110">
        <v>0.17399999999999999</v>
      </c>
      <c r="AC190" s="115">
        <f t="shared" si="7"/>
        <v>9431.1079999999984</v>
      </c>
      <c r="AD190">
        <f t="shared" si="8"/>
        <v>1.0032448978810298</v>
      </c>
    </row>
    <row r="191" spans="1:30" x14ac:dyDescent="0.25">
      <c r="A191" s="104" t="str">
        <f t="shared" si="6"/>
        <v>Nepal2032</v>
      </c>
      <c r="C191" s="107" t="s">
        <v>257</v>
      </c>
      <c r="D191" s="108" t="s">
        <v>144</v>
      </c>
      <c r="F191" s="109">
        <v>524</v>
      </c>
      <c r="G191" s="109">
        <v>2032</v>
      </c>
      <c r="H191" s="110">
        <v>1225.944</v>
      </c>
      <c r="I191" s="110">
        <v>1304.0150000000001</v>
      </c>
      <c r="J191" s="110">
        <v>1334.7629999999999</v>
      </c>
      <c r="K191" s="110">
        <v>1283.9190000000001</v>
      </c>
      <c r="L191" s="110">
        <v>1351.7829999999999</v>
      </c>
      <c r="M191" s="110">
        <v>1471.087</v>
      </c>
      <c r="N191" s="110">
        <v>1505.2429999999999</v>
      </c>
      <c r="O191" s="110">
        <v>1423.673</v>
      </c>
      <c r="P191" s="110">
        <v>1286.443</v>
      </c>
      <c r="Q191" s="110">
        <v>1134.335</v>
      </c>
      <c r="R191" s="110">
        <v>980.149</v>
      </c>
      <c r="S191" s="110">
        <v>815.80200000000002</v>
      </c>
      <c r="T191" s="110">
        <v>655.27</v>
      </c>
      <c r="U191" s="110">
        <v>512.221</v>
      </c>
      <c r="V191" s="110">
        <v>369.82400000000001</v>
      </c>
      <c r="W191" s="110">
        <v>281.93400000000003</v>
      </c>
      <c r="X191" s="110">
        <v>176.39400000000001</v>
      </c>
      <c r="Y191" s="110">
        <v>68.78</v>
      </c>
      <c r="Z191" s="110">
        <v>18.408000000000001</v>
      </c>
      <c r="AA191" s="110">
        <v>3.0979999999999999</v>
      </c>
      <c r="AB191" s="110">
        <v>0.186</v>
      </c>
      <c r="AC191" s="115">
        <f t="shared" si="7"/>
        <v>9456.4830000000002</v>
      </c>
      <c r="AD191">
        <f t="shared" si="8"/>
        <v>1.0026905640355304</v>
      </c>
    </row>
    <row r="192" spans="1:30" x14ac:dyDescent="0.25">
      <c r="A192" s="104" t="str">
        <f t="shared" si="6"/>
        <v>Nepal2033</v>
      </c>
      <c r="C192" s="107" t="s">
        <v>257</v>
      </c>
      <c r="D192" s="108" t="s">
        <v>144</v>
      </c>
      <c r="F192" s="109">
        <v>524</v>
      </c>
      <c r="G192" s="109">
        <v>2033</v>
      </c>
      <c r="H192" s="110">
        <v>1204.5119999999999</v>
      </c>
      <c r="I192" s="110">
        <v>1291.0129999999999</v>
      </c>
      <c r="J192" s="110">
        <v>1329.212</v>
      </c>
      <c r="K192" s="110">
        <v>1287.999</v>
      </c>
      <c r="L192" s="110">
        <v>1309.136</v>
      </c>
      <c r="M192" s="110">
        <v>1452.7739999999999</v>
      </c>
      <c r="N192" s="110">
        <v>1502.66</v>
      </c>
      <c r="O192" s="110">
        <v>1448.4960000000001</v>
      </c>
      <c r="P192" s="110">
        <v>1310.9870000000001</v>
      </c>
      <c r="Q192" s="110">
        <v>1163.836</v>
      </c>
      <c r="R192" s="110">
        <v>1005.8819999999999</v>
      </c>
      <c r="S192" s="110">
        <v>845.53700000000003</v>
      </c>
      <c r="T192" s="110">
        <v>678.61500000000001</v>
      </c>
      <c r="U192" s="110">
        <v>530.80999999999995</v>
      </c>
      <c r="V192" s="110">
        <v>386.79500000000002</v>
      </c>
      <c r="W192" s="110">
        <v>277.26</v>
      </c>
      <c r="X192" s="110">
        <v>186.87100000000001</v>
      </c>
      <c r="Y192" s="110">
        <v>72.691000000000003</v>
      </c>
      <c r="Z192" s="110">
        <v>19.849</v>
      </c>
      <c r="AA192" s="110">
        <v>3.6389999999999998</v>
      </c>
      <c r="AB192" s="110">
        <v>0.2</v>
      </c>
      <c r="AC192" s="115">
        <f t="shared" si="7"/>
        <v>9475.887999999999</v>
      </c>
      <c r="AD192">
        <f t="shared" si="8"/>
        <v>1.0020520313947583</v>
      </c>
    </row>
    <row r="193" spans="1:30" x14ac:dyDescent="0.25">
      <c r="A193" s="104" t="str">
        <f t="shared" si="6"/>
        <v>Nepal2034</v>
      </c>
      <c r="C193" s="107" t="s">
        <v>257</v>
      </c>
      <c r="D193" s="108" t="s">
        <v>144</v>
      </c>
      <c r="F193" s="109">
        <v>524</v>
      </c>
      <c r="G193" s="109">
        <v>2034</v>
      </c>
      <c r="H193" s="110">
        <v>1182.671</v>
      </c>
      <c r="I193" s="110">
        <v>1275.646</v>
      </c>
      <c r="J193" s="110">
        <v>1324.4369999999999</v>
      </c>
      <c r="K193" s="110">
        <v>1293.8720000000001</v>
      </c>
      <c r="L193" s="110">
        <v>1270.7070000000001</v>
      </c>
      <c r="M193" s="110">
        <v>1428.827</v>
      </c>
      <c r="N193" s="110">
        <v>1495.7619999999999</v>
      </c>
      <c r="O193" s="110">
        <v>1469.01</v>
      </c>
      <c r="P193" s="110">
        <v>1335.7550000000001</v>
      </c>
      <c r="Q193" s="110">
        <v>1192.932</v>
      </c>
      <c r="R193" s="110">
        <v>1032.2270000000001</v>
      </c>
      <c r="S193" s="110">
        <v>875.09500000000003</v>
      </c>
      <c r="T193" s="110">
        <v>703.59199999999998</v>
      </c>
      <c r="U193" s="110">
        <v>550.85599999999999</v>
      </c>
      <c r="V193" s="110">
        <v>405.20800000000003</v>
      </c>
      <c r="W193" s="110">
        <v>276.87200000000001</v>
      </c>
      <c r="X193" s="110">
        <v>194.14599999999999</v>
      </c>
      <c r="Y193" s="110">
        <v>76.662999999999997</v>
      </c>
      <c r="Z193" s="110">
        <v>20.542000000000002</v>
      </c>
      <c r="AA193" s="110">
        <v>3.6960000000000002</v>
      </c>
      <c r="AB193" s="110">
        <v>0.215</v>
      </c>
      <c r="AC193" s="115">
        <f t="shared" si="7"/>
        <v>9486.8650000000016</v>
      </c>
      <c r="AD193">
        <f t="shared" si="8"/>
        <v>1.0011584138605272</v>
      </c>
    </row>
    <row r="194" spans="1:30" x14ac:dyDescent="0.25">
      <c r="A194" s="104" t="str">
        <f t="shared" si="6"/>
        <v>Nepal2035</v>
      </c>
      <c r="C194" s="107" t="s">
        <v>257</v>
      </c>
      <c r="D194" s="108" t="s">
        <v>144</v>
      </c>
      <c r="F194" s="109">
        <v>524</v>
      </c>
      <c r="G194" s="109">
        <v>2035</v>
      </c>
      <c r="H194" s="110">
        <v>1161.7380000000001</v>
      </c>
      <c r="I194" s="110">
        <v>1258.1949999999999</v>
      </c>
      <c r="J194" s="110">
        <v>1319.788</v>
      </c>
      <c r="K194" s="110">
        <v>1297.5419999999999</v>
      </c>
      <c r="L194" s="110">
        <v>1242.4870000000001</v>
      </c>
      <c r="M194" s="110">
        <v>1397.6780000000001</v>
      </c>
      <c r="N194" s="110">
        <v>1485.28</v>
      </c>
      <c r="O194" s="110">
        <v>1483.345</v>
      </c>
      <c r="P194" s="110">
        <v>1361.1389999999999</v>
      </c>
      <c r="Q194" s="110">
        <v>1220.999</v>
      </c>
      <c r="R194" s="110">
        <v>1059.72</v>
      </c>
      <c r="S194" s="110">
        <v>903.75800000000004</v>
      </c>
      <c r="T194" s="110">
        <v>730.26499999999999</v>
      </c>
      <c r="U194" s="110">
        <v>572.49699999999996</v>
      </c>
      <c r="V194" s="110">
        <v>423.83100000000002</v>
      </c>
      <c r="W194" s="110">
        <v>282.67500000000001</v>
      </c>
      <c r="X194" s="110">
        <v>197.577</v>
      </c>
      <c r="Y194" s="110">
        <v>81.084999999999994</v>
      </c>
      <c r="Z194" s="110">
        <v>20.507999999999999</v>
      </c>
      <c r="AA194" s="110">
        <v>3.0089999999999999</v>
      </c>
      <c r="AB194" s="110">
        <v>0.23300000000000001</v>
      </c>
      <c r="AC194" s="115">
        <f t="shared" si="7"/>
        <v>9488.4699999999993</v>
      </c>
      <c r="AD194">
        <f t="shared" si="8"/>
        <v>1.0001691812838063</v>
      </c>
    </row>
    <row r="195" spans="1:30" x14ac:dyDescent="0.25">
      <c r="A195" s="104" t="str">
        <f t="shared" si="6"/>
        <v>Nepal2036</v>
      </c>
      <c r="C195" s="107" t="s">
        <v>257</v>
      </c>
      <c r="D195" s="108" t="s">
        <v>144</v>
      </c>
      <c r="F195" s="109">
        <v>524</v>
      </c>
      <c r="G195" s="109">
        <v>2036</v>
      </c>
      <c r="H195" s="110">
        <v>1142.1469999999999</v>
      </c>
      <c r="I195" s="110">
        <v>1240.184</v>
      </c>
      <c r="J195" s="110">
        <v>1306.384</v>
      </c>
      <c r="K195" s="110">
        <v>1296.768</v>
      </c>
      <c r="L195" s="110">
        <v>1232.1980000000001</v>
      </c>
      <c r="M195" s="110">
        <v>1363.239</v>
      </c>
      <c r="N195" s="110">
        <v>1472.951</v>
      </c>
      <c r="O195" s="110">
        <v>1492.404</v>
      </c>
      <c r="P195" s="110">
        <v>1386.9269999999999</v>
      </c>
      <c r="Q195" s="110">
        <v>1247.673</v>
      </c>
      <c r="R195" s="110">
        <v>1087.5060000000001</v>
      </c>
      <c r="S195" s="110">
        <v>930.43100000000004</v>
      </c>
      <c r="T195" s="110">
        <v>756.38699999999994</v>
      </c>
      <c r="U195" s="110">
        <v>592.07100000000003</v>
      </c>
      <c r="V195" s="110">
        <v>439.17200000000003</v>
      </c>
      <c r="W195" s="110">
        <v>290.13600000000002</v>
      </c>
      <c r="X195" s="110">
        <v>198.08199999999999</v>
      </c>
      <c r="Y195" s="110">
        <v>89.912999999999997</v>
      </c>
      <c r="Z195" s="110">
        <v>24.15</v>
      </c>
      <c r="AA195" s="110">
        <v>3.61</v>
      </c>
      <c r="AB195" s="110">
        <v>0.254</v>
      </c>
      <c r="AC195" s="115">
        <f t="shared" si="7"/>
        <v>9492.1600000000017</v>
      </c>
      <c r="AD195">
        <f t="shared" si="8"/>
        <v>1.0003888930459812</v>
      </c>
    </row>
    <row r="196" spans="1:30" x14ac:dyDescent="0.25">
      <c r="A196" s="104" t="str">
        <f t="shared" si="6"/>
        <v>Nepal2037</v>
      </c>
      <c r="C196" s="107" t="s">
        <v>257</v>
      </c>
      <c r="D196" s="108" t="s">
        <v>144</v>
      </c>
      <c r="F196" s="109">
        <v>524</v>
      </c>
      <c r="G196" s="109">
        <v>2037</v>
      </c>
      <c r="H196" s="110">
        <v>1123.375</v>
      </c>
      <c r="I196" s="110">
        <v>1221.5050000000001</v>
      </c>
      <c r="J196" s="110">
        <v>1292.5329999999999</v>
      </c>
      <c r="K196" s="110">
        <v>1292.722</v>
      </c>
      <c r="L196" s="110">
        <v>1231.6130000000001</v>
      </c>
      <c r="M196" s="110">
        <v>1322.306</v>
      </c>
      <c r="N196" s="110">
        <v>1458.221</v>
      </c>
      <c r="O196" s="110">
        <v>1495.3019999999999</v>
      </c>
      <c r="P196" s="110">
        <v>1413.114</v>
      </c>
      <c r="Q196" s="110">
        <v>1272.9459999999999</v>
      </c>
      <c r="R196" s="110">
        <v>1116.3489999999999</v>
      </c>
      <c r="S196" s="110">
        <v>956.29200000000003</v>
      </c>
      <c r="T196" s="110">
        <v>784.47400000000005</v>
      </c>
      <c r="U196" s="110">
        <v>613.08100000000002</v>
      </c>
      <c r="V196" s="110">
        <v>455.45600000000002</v>
      </c>
      <c r="W196" s="110">
        <v>301.73899999999998</v>
      </c>
      <c r="X196" s="110">
        <v>195.66200000000001</v>
      </c>
      <c r="Y196" s="110">
        <v>98.218000000000004</v>
      </c>
      <c r="Z196" s="110">
        <v>26.73</v>
      </c>
      <c r="AA196" s="110">
        <v>4.5940000000000003</v>
      </c>
      <c r="AB196" s="110">
        <v>0.27800000000000002</v>
      </c>
      <c r="AC196" s="115">
        <f t="shared" si="7"/>
        <v>9486.2240000000002</v>
      </c>
      <c r="AD196">
        <f t="shared" si="8"/>
        <v>0.99937464180966173</v>
      </c>
    </row>
    <row r="197" spans="1:30" x14ac:dyDescent="0.25">
      <c r="A197" s="104" t="str">
        <f t="shared" si="6"/>
        <v>Nepal2038</v>
      </c>
      <c r="C197" s="107" t="s">
        <v>257</v>
      </c>
      <c r="D197" s="108" t="s">
        <v>144</v>
      </c>
      <c r="F197" s="109">
        <v>524</v>
      </c>
      <c r="G197" s="109">
        <v>2038</v>
      </c>
      <c r="H197" s="110">
        <v>1105.4870000000001</v>
      </c>
      <c r="I197" s="110">
        <v>1201.4590000000001</v>
      </c>
      <c r="J197" s="110">
        <v>1279.241</v>
      </c>
      <c r="K197" s="110">
        <v>1286.5940000000001</v>
      </c>
      <c r="L197" s="110">
        <v>1235.9390000000001</v>
      </c>
      <c r="M197" s="110">
        <v>1280.1510000000001</v>
      </c>
      <c r="N197" s="110">
        <v>1439.924</v>
      </c>
      <c r="O197" s="110">
        <v>1492.7270000000001</v>
      </c>
      <c r="P197" s="110">
        <v>1437.8820000000001</v>
      </c>
      <c r="Q197" s="110">
        <v>1297.4449999999999</v>
      </c>
      <c r="R197" s="110">
        <v>1145.72</v>
      </c>
      <c r="S197" s="110">
        <v>981.88599999999997</v>
      </c>
      <c r="T197" s="110">
        <v>813.74699999999996</v>
      </c>
      <c r="U197" s="110">
        <v>635.74300000000005</v>
      </c>
      <c r="V197" s="110">
        <v>473.01400000000001</v>
      </c>
      <c r="W197" s="110">
        <v>316.28399999999999</v>
      </c>
      <c r="X197" s="110">
        <v>193.345</v>
      </c>
      <c r="Y197" s="110">
        <v>104.37</v>
      </c>
      <c r="Z197" s="110">
        <v>28.797999999999998</v>
      </c>
      <c r="AA197" s="110">
        <v>5.3949999999999996</v>
      </c>
      <c r="AB197" s="110">
        <v>0.30599999999999999</v>
      </c>
      <c r="AC197" s="115">
        <f t="shared" si="7"/>
        <v>9470.6620000000003</v>
      </c>
      <c r="AD197">
        <f t="shared" si="8"/>
        <v>0.99835951586215965</v>
      </c>
    </row>
    <row r="198" spans="1:30" x14ac:dyDescent="0.25">
      <c r="A198" s="104" t="str">
        <f t="shared" si="6"/>
        <v>Nepal2039</v>
      </c>
      <c r="C198" s="107" t="s">
        <v>257</v>
      </c>
      <c r="D198" s="108" t="s">
        <v>144</v>
      </c>
      <c r="F198" s="109">
        <v>524</v>
      </c>
      <c r="G198" s="109">
        <v>2039</v>
      </c>
      <c r="H198" s="110">
        <v>1088.4670000000001</v>
      </c>
      <c r="I198" s="110">
        <v>1180.2429999999999</v>
      </c>
      <c r="J198" s="110">
        <v>1266.5830000000001</v>
      </c>
      <c r="K198" s="110">
        <v>1279.7739999999999</v>
      </c>
      <c r="L198" s="110">
        <v>1238.9000000000001</v>
      </c>
      <c r="M198" s="110">
        <v>1244.239</v>
      </c>
      <c r="N198" s="110">
        <v>1416.039</v>
      </c>
      <c r="O198" s="110">
        <v>1486.0540000000001</v>
      </c>
      <c r="P198" s="110">
        <v>1458.5039999999999</v>
      </c>
      <c r="Q198" s="110">
        <v>1322.2729999999999</v>
      </c>
      <c r="R198" s="110">
        <v>1174.7760000000001</v>
      </c>
      <c r="S198" s="110">
        <v>1008.204</v>
      </c>
      <c r="T198" s="110">
        <v>843.10900000000004</v>
      </c>
      <c r="U198" s="110">
        <v>660.37099999999998</v>
      </c>
      <c r="V198" s="110">
        <v>492.25400000000002</v>
      </c>
      <c r="W198" s="110">
        <v>332.20699999999999</v>
      </c>
      <c r="X198" s="110">
        <v>194.24700000000001</v>
      </c>
      <c r="Y198" s="110">
        <v>107.783</v>
      </c>
      <c r="Z198" s="110">
        <v>29.963999999999999</v>
      </c>
      <c r="AA198" s="110">
        <v>5.5490000000000004</v>
      </c>
      <c r="AB198" s="110">
        <v>0.33800000000000002</v>
      </c>
      <c r="AC198" s="115">
        <f t="shared" si="7"/>
        <v>9445.7829999999994</v>
      </c>
      <c r="AD198">
        <f t="shared" si="8"/>
        <v>0.99737304530559734</v>
      </c>
    </row>
    <row r="199" spans="1:30" x14ac:dyDescent="0.25">
      <c r="A199" s="104" t="str">
        <f t="shared" si="6"/>
        <v>Nepal2040</v>
      </c>
      <c r="C199" s="107" t="s">
        <v>257</v>
      </c>
      <c r="D199" s="108" t="s">
        <v>144</v>
      </c>
      <c r="F199" s="109">
        <v>524</v>
      </c>
      <c r="G199" s="109">
        <v>2040</v>
      </c>
      <c r="H199" s="110">
        <v>1072.6790000000001</v>
      </c>
      <c r="I199" s="110">
        <v>1158.5719999999999</v>
      </c>
      <c r="J199" s="110">
        <v>1253.4970000000001</v>
      </c>
      <c r="K199" s="110">
        <v>1273.116</v>
      </c>
      <c r="L199" s="110">
        <v>1237.6510000000001</v>
      </c>
      <c r="M199" s="110">
        <v>1218.402</v>
      </c>
      <c r="N199" s="110">
        <v>1385.72</v>
      </c>
      <c r="O199" s="110">
        <v>1476.124</v>
      </c>
      <c r="P199" s="110">
        <v>1473.183</v>
      </c>
      <c r="Q199" s="110">
        <v>1347.877</v>
      </c>
      <c r="R199" s="110">
        <v>1202.9459999999999</v>
      </c>
      <c r="S199" s="110">
        <v>1035.799</v>
      </c>
      <c r="T199" s="110">
        <v>871.85900000000004</v>
      </c>
      <c r="U199" s="110">
        <v>687.03099999999995</v>
      </c>
      <c r="V199" s="110">
        <v>513.33299999999997</v>
      </c>
      <c r="W199" s="110">
        <v>348.82299999999998</v>
      </c>
      <c r="X199" s="110">
        <v>199.613</v>
      </c>
      <c r="Y199" s="110">
        <v>108.229</v>
      </c>
      <c r="Z199" s="110">
        <v>30.611000000000001</v>
      </c>
      <c r="AA199" s="110">
        <v>4.7009999999999996</v>
      </c>
      <c r="AB199" s="110">
        <v>0.374</v>
      </c>
      <c r="AC199" s="115">
        <f t="shared" si="7"/>
        <v>9412.0730000000003</v>
      </c>
      <c r="AD199">
        <f t="shared" si="8"/>
        <v>0.99643121168462168</v>
      </c>
    </row>
    <row r="200" spans="1:30" x14ac:dyDescent="0.25">
      <c r="A200" s="104" t="str">
        <f t="shared" si="6"/>
        <v>Nepal2041</v>
      </c>
      <c r="C200" s="107" t="s">
        <v>257</v>
      </c>
      <c r="D200" s="108" t="s">
        <v>144</v>
      </c>
      <c r="F200" s="109">
        <v>524</v>
      </c>
      <c r="G200" s="109">
        <v>2041</v>
      </c>
      <c r="H200" s="110">
        <v>1061.347</v>
      </c>
      <c r="I200" s="110">
        <v>1138.21</v>
      </c>
      <c r="J200" s="110">
        <v>1231.5999999999999</v>
      </c>
      <c r="K200" s="110">
        <v>1262.931</v>
      </c>
      <c r="L200" s="110">
        <v>1241.1489999999999</v>
      </c>
      <c r="M200" s="110">
        <v>1205.08</v>
      </c>
      <c r="N200" s="110">
        <v>1350.9580000000001</v>
      </c>
      <c r="O200" s="110">
        <v>1463.6489999999999</v>
      </c>
      <c r="P200" s="110">
        <v>1482.0730000000001</v>
      </c>
      <c r="Q200" s="110">
        <v>1373.462</v>
      </c>
      <c r="R200" s="110">
        <v>1229.357</v>
      </c>
      <c r="S200" s="110">
        <v>1063.144</v>
      </c>
      <c r="T200" s="110">
        <v>897.57</v>
      </c>
      <c r="U200" s="110">
        <v>711.64700000000005</v>
      </c>
      <c r="V200" s="110">
        <v>531.30100000000004</v>
      </c>
      <c r="W200" s="110">
        <v>362.18400000000003</v>
      </c>
      <c r="X200" s="110">
        <v>207.423</v>
      </c>
      <c r="Y200" s="110">
        <v>110.86</v>
      </c>
      <c r="Z200" s="110">
        <v>36.381</v>
      </c>
      <c r="AA200" s="110">
        <v>5.6369999999999996</v>
      </c>
      <c r="AB200" s="110">
        <v>0.41399999999999998</v>
      </c>
      <c r="AC200" s="115">
        <f t="shared" si="7"/>
        <v>9379.3019999999997</v>
      </c>
      <c r="AD200">
        <f t="shared" si="8"/>
        <v>0.99651819530086516</v>
      </c>
    </row>
    <row r="201" spans="1:30" x14ac:dyDescent="0.25">
      <c r="A201" s="104" t="str">
        <f t="shared" si="6"/>
        <v>Nepal2042</v>
      </c>
      <c r="C201" s="107" t="s">
        <v>257</v>
      </c>
      <c r="D201" s="108" t="s">
        <v>144</v>
      </c>
      <c r="F201" s="109">
        <v>524</v>
      </c>
      <c r="G201" s="109">
        <v>2042</v>
      </c>
      <c r="H201" s="110">
        <v>1049.46</v>
      </c>
      <c r="I201" s="110">
        <v>1119.8820000000001</v>
      </c>
      <c r="J201" s="110">
        <v>1209.789</v>
      </c>
      <c r="K201" s="110">
        <v>1250.5429999999999</v>
      </c>
      <c r="L201" s="110">
        <v>1240.4459999999999</v>
      </c>
      <c r="M201" s="110">
        <v>1202.625</v>
      </c>
      <c r="N201" s="110">
        <v>1310.1949999999999</v>
      </c>
      <c r="O201" s="110">
        <v>1448.97</v>
      </c>
      <c r="P201" s="110">
        <v>1485.038</v>
      </c>
      <c r="Q201" s="110">
        <v>1399.6289999999999</v>
      </c>
      <c r="R201" s="110">
        <v>1254.587</v>
      </c>
      <c r="S201" s="110">
        <v>1091.8009999999999</v>
      </c>
      <c r="T201" s="110">
        <v>922.94200000000001</v>
      </c>
      <c r="U201" s="110">
        <v>738.59299999999996</v>
      </c>
      <c r="V201" s="110">
        <v>550.88300000000004</v>
      </c>
      <c r="W201" s="110">
        <v>376.471</v>
      </c>
      <c r="X201" s="110">
        <v>217.18799999999999</v>
      </c>
      <c r="Y201" s="110">
        <v>111.09</v>
      </c>
      <c r="Z201" s="110">
        <v>40.841000000000001</v>
      </c>
      <c r="AA201" s="110">
        <v>7.1219999999999999</v>
      </c>
      <c r="AB201" s="110">
        <v>0.46</v>
      </c>
      <c r="AC201" s="115">
        <f t="shared" si="7"/>
        <v>9337.4459999999999</v>
      </c>
      <c r="AD201">
        <f t="shared" si="8"/>
        <v>0.99553740779431132</v>
      </c>
    </row>
    <row r="202" spans="1:30" x14ac:dyDescent="0.25">
      <c r="A202" s="104" t="str">
        <f t="shared" si="6"/>
        <v>Nepal2043</v>
      </c>
      <c r="C202" s="107" t="s">
        <v>257</v>
      </c>
      <c r="D202" s="108" t="s">
        <v>144</v>
      </c>
      <c r="F202" s="109">
        <v>524</v>
      </c>
      <c r="G202" s="109">
        <v>2043</v>
      </c>
      <c r="H202" s="110">
        <v>1037.3109999999999</v>
      </c>
      <c r="I202" s="110">
        <v>1102.8150000000001</v>
      </c>
      <c r="J202" s="110">
        <v>1189.297</v>
      </c>
      <c r="K202" s="110">
        <v>1236.838</v>
      </c>
      <c r="L202" s="110">
        <v>1234.7280000000001</v>
      </c>
      <c r="M202" s="110">
        <v>1207.4480000000001</v>
      </c>
      <c r="N202" s="110">
        <v>1268.2439999999999</v>
      </c>
      <c r="O202" s="110">
        <v>1430.875</v>
      </c>
      <c r="P202" s="110">
        <v>1482.7070000000001</v>
      </c>
      <c r="Q202" s="110">
        <v>1424.5060000000001</v>
      </c>
      <c r="R202" s="110">
        <v>1279.182</v>
      </c>
      <c r="S202" s="110">
        <v>1121.117</v>
      </c>
      <c r="T202" s="110">
        <v>948.42899999999997</v>
      </c>
      <c r="U202" s="110">
        <v>767.13499999999999</v>
      </c>
      <c r="V202" s="110">
        <v>572.322</v>
      </c>
      <c r="W202" s="110">
        <v>392.21699999999998</v>
      </c>
      <c r="X202" s="110">
        <v>228.36799999999999</v>
      </c>
      <c r="Y202" s="110">
        <v>110.434</v>
      </c>
      <c r="Z202" s="110">
        <v>43.832999999999998</v>
      </c>
      <c r="AA202" s="110">
        <v>8.3450000000000006</v>
      </c>
      <c r="AB202" s="110">
        <v>0.51100000000000001</v>
      </c>
      <c r="AC202" s="115">
        <f t="shared" si="7"/>
        <v>9285.3459999999995</v>
      </c>
      <c r="AD202">
        <f t="shared" si="8"/>
        <v>0.994420315790849</v>
      </c>
    </row>
    <row r="203" spans="1:30" x14ac:dyDescent="0.25">
      <c r="A203" s="104" t="str">
        <f t="shared" si="6"/>
        <v>Nepal2044</v>
      </c>
      <c r="C203" s="107" t="s">
        <v>257</v>
      </c>
      <c r="D203" s="108" t="s">
        <v>144</v>
      </c>
      <c r="F203" s="109">
        <v>524</v>
      </c>
      <c r="G203" s="109">
        <v>2044</v>
      </c>
      <c r="H203" s="110">
        <v>1025.3710000000001</v>
      </c>
      <c r="I203" s="110">
        <v>1086.365</v>
      </c>
      <c r="J203" s="110">
        <v>1170.827</v>
      </c>
      <c r="K203" s="110">
        <v>1222.2090000000001</v>
      </c>
      <c r="L203" s="110">
        <v>1225.1010000000001</v>
      </c>
      <c r="M203" s="110">
        <v>1212.876</v>
      </c>
      <c r="N203" s="110">
        <v>1232.4770000000001</v>
      </c>
      <c r="O203" s="110">
        <v>1407.3219999999999</v>
      </c>
      <c r="P203" s="110">
        <v>1476.367</v>
      </c>
      <c r="Q203" s="110">
        <v>1445.297</v>
      </c>
      <c r="R203" s="110">
        <v>1304.1369999999999</v>
      </c>
      <c r="S203" s="110">
        <v>1150.1780000000001</v>
      </c>
      <c r="T203" s="110">
        <v>974.88400000000001</v>
      </c>
      <c r="U203" s="110">
        <v>796.178</v>
      </c>
      <c r="V203" s="110">
        <v>595.976</v>
      </c>
      <c r="W203" s="110">
        <v>409.78800000000001</v>
      </c>
      <c r="X203" s="110">
        <v>240.274</v>
      </c>
      <c r="Y203" s="110">
        <v>110.98699999999999</v>
      </c>
      <c r="Z203" s="110">
        <v>44.734999999999999</v>
      </c>
      <c r="AA203" s="110">
        <v>8.66</v>
      </c>
      <c r="AB203" s="110">
        <v>0.56999999999999995</v>
      </c>
      <c r="AC203" s="115">
        <f t="shared" si="7"/>
        <v>9221.6490000000013</v>
      </c>
      <c r="AD203">
        <f t="shared" si="8"/>
        <v>0.99314005100079217</v>
      </c>
    </row>
    <row r="204" spans="1:30" x14ac:dyDescent="0.25">
      <c r="A204" s="104" t="str">
        <f t="shared" si="6"/>
        <v>Nepal2045</v>
      </c>
      <c r="C204" s="107" t="s">
        <v>257</v>
      </c>
      <c r="D204" s="108" t="s">
        <v>144</v>
      </c>
      <c r="F204" s="109">
        <v>524</v>
      </c>
      <c r="G204" s="109">
        <v>2045</v>
      </c>
      <c r="H204" s="110">
        <v>1014.37</v>
      </c>
      <c r="I204" s="110">
        <v>1069.886</v>
      </c>
      <c r="J204" s="110">
        <v>1154.079</v>
      </c>
      <c r="K204" s="110">
        <v>1207.0450000000001</v>
      </c>
      <c r="L204" s="110">
        <v>1213.481</v>
      </c>
      <c r="M204" s="110">
        <v>1213.8599999999999</v>
      </c>
      <c r="N204" s="110">
        <v>1207.3610000000001</v>
      </c>
      <c r="O204" s="110">
        <v>1377.5060000000001</v>
      </c>
      <c r="P204" s="110">
        <v>1466.818</v>
      </c>
      <c r="Q204" s="110">
        <v>1460.1849999999999</v>
      </c>
      <c r="R204" s="110">
        <v>1329.856</v>
      </c>
      <c r="S204" s="110">
        <v>1178.403</v>
      </c>
      <c r="T204" s="110">
        <v>1002.748</v>
      </c>
      <c r="U204" s="110">
        <v>824.99400000000003</v>
      </c>
      <c r="V204" s="110">
        <v>621.97500000000002</v>
      </c>
      <c r="W204" s="110">
        <v>429.27199999999999</v>
      </c>
      <c r="X204" s="110">
        <v>252.85900000000001</v>
      </c>
      <c r="Y204" s="110">
        <v>113.919</v>
      </c>
      <c r="Z204" s="110">
        <v>43.378999999999998</v>
      </c>
      <c r="AA204" s="110">
        <v>7.6020000000000003</v>
      </c>
      <c r="AB204" s="110">
        <v>0.63800000000000001</v>
      </c>
      <c r="AC204" s="115">
        <f t="shared" si="7"/>
        <v>9146.2559999999994</v>
      </c>
      <c r="AD204">
        <f t="shared" si="8"/>
        <v>0.99182434725069213</v>
      </c>
    </row>
    <row r="205" spans="1:30" x14ac:dyDescent="0.25">
      <c r="A205" s="104" t="str">
        <f t="shared" si="6"/>
        <v>Nepal2046</v>
      </c>
      <c r="C205" s="107" t="s">
        <v>257</v>
      </c>
      <c r="D205" s="108" t="s">
        <v>144</v>
      </c>
      <c r="F205" s="109">
        <v>524</v>
      </c>
      <c r="G205" s="109">
        <v>2046</v>
      </c>
      <c r="H205" s="110">
        <v>1008.26</v>
      </c>
      <c r="I205" s="110">
        <v>1054.8989999999999</v>
      </c>
      <c r="J205" s="110">
        <v>1130.8610000000001</v>
      </c>
      <c r="K205" s="110">
        <v>1188.402</v>
      </c>
      <c r="L205" s="110">
        <v>1207.682</v>
      </c>
      <c r="M205" s="110">
        <v>1214.3689999999999</v>
      </c>
      <c r="N205" s="110">
        <v>1193.7560000000001</v>
      </c>
      <c r="O205" s="110">
        <v>1342.77</v>
      </c>
      <c r="P205" s="110">
        <v>1454.412</v>
      </c>
      <c r="Q205" s="110">
        <v>1469.0930000000001</v>
      </c>
      <c r="R205" s="110">
        <v>1355.3309999999999</v>
      </c>
      <c r="S205" s="110">
        <v>1204.49</v>
      </c>
      <c r="T205" s="110">
        <v>1029.2739999999999</v>
      </c>
      <c r="U205" s="110">
        <v>849.22400000000005</v>
      </c>
      <c r="V205" s="110">
        <v>644.678</v>
      </c>
      <c r="W205" s="110">
        <v>445.11099999999999</v>
      </c>
      <c r="X205" s="110">
        <v>264.529</v>
      </c>
      <c r="Y205" s="110">
        <v>121.74</v>
      </c>
      <c r="Z205" s="110">
        <v>46.811999999999998</v>
      </c>
      <c r="AA205" s="110">
        <v>9.2149999999999999</v>
      </c>
      <c r="AB205" s="110">
        <v>0.71399999999999997</v>
      </c>
      <c r="AC205" s="115">
        <f t="shared" si="7"/>
        <v>9070.4840000000004</v>
      </c>
      <c r="AD205">
        <f t="shared" si="8"/>
        <v>0.99171551725646001</v>
      </c>
    </row>
    <row r="206" spans="1:30" x14ac:dyDescent="0.25">
      <c r="A206" s="104" t="str">
        <f t="shared" si="6"/>
        <v>Nepal2047</v>
      </c>
      <c r="C206" s="107" t="s">
        <v>257</v>
      </c>
      <c r="D206" s="108" t="s">
        <v>144</v>
      </c>
      <c r="F206" s="109">
        <v>524</v>
      </c>
      <c r="G206" s="109">
        <v>2047</v>
      </c>
      <c r="H206" s="110">
        <v>999.524</v>
      </c>
      <c r="I206" s="110">
        <v>1042.701</v>
      </c>
      <c r="J206" s="110">
        <v>1109.951</v>
      </c>
      <c r="K206" s="110">
        <v>1167.866</v>
      </c>
      <c r="L206" s="110">
        <v>1198.6610000000001</v>
      </c>
      <c r="M206" s="110">
        <v>1211.807</v>
      </c>
      <c r="N206" s="110">
        <v>1191.364</v>
      </c>
      <c r="O206" s="110">
        <v>1302.136</v>
      </c>
      <c r="P206" s="110">
        <v>1439.91</v>
      </c>
      <c r="Q206" s="110">
        <v>1472.2380000000001</v>
      </c>
      <c r="R206" s="110">
        <v>1381.511</v>
      </c>
      <c r="S206" s="110">
        <v>1229.6590000000001</v>
      </c>
      <c r="T206" s="110">
        <v>1057.4770000000001</v>
      </c>
      <c r="U206" s="110">
        <v>873.66200000000003</v>
      </c>
      <c r="V206" s="110">
        <v>669.899</v>
      </c>
      <c r="W206" s="110">
        <v>462.351</v>
      </c>
      <c r="X206" s="110">
        <v>276.411</v>
      </c>
      <c r="Y206" s="110">
        <v>129.239</v>
      </c>
      <c r="Z206" s="110">
        <v>48.042000000000002</v>
      </c>
      <c r="AA206" s="110">
        <v>11.538</v>
      </c>
      <c r="AB206" s="110">
        <v>0.79800000000000004</v>
      </c>
      <c r="AC206" s="115">
        <f t="shared" si="7"/>
        <v>8983.982</v>
      </c>
      <c r="AD206">
        <f t="shared" si="8"/>
        <v>0.99046335344398373</v>
      </c>
    </row>
    <row r="207" spans="1:30" x14ac:dyDescent="0.25">
      <c r="A207" s="104" t="str">
        <f t="shared" si="6"/>
        <v>Nepal2048</v>
      </c>
      <c r="C207" s="107" t="s">
        <v>257</v>
      </c>
      <c r="D207" s="108" t="s">
        <v>144</v>
      </c>
      <c r="F207" s="109">
        <v>524</v>
      </c>
      <c r="G207" s="109">
        <v>2048</v>
      </c>
      <c r="H207" s="110">
        <v>989.12300000000005</v>
      </c>
      <c r="I207" s="110">
        <v>1032.221</v>
      </c>
      <c r="J207" s="110">
        <v>1092.1669999999999</v>
      </c>
      <c r="K207" s="110">
        <v>1146.8720000000001</v>
      </c>
      <c r="L207" s="110">
        <v>1185.3420000000001</v>
      </c>
      <c r="M207" s="110">
        <v>1206.5709999999999</v>
      </c>
      <c r="N207" s="110">
        <v>1196.203</v>
      </c>
      <c r="O207" s="110">
        <v>1260.396</v>
      </c>
      <c r="P207" s="110">
        <v>1422.0719999999999</v>
      </c>
      <c r="Q207" s="110">
        <v>1470.1980000000001</v>
      </c>
      <c r="R207" s="110">
        <v>1406.4770000000001</v>
      </c>
      <c r="S207" s="110">
        <v>1254.3219999999999</v>
      </c>
      <c r="T207" s="110">
        <v>1086.6300000000001</v>
      </c>
      <c r="U207" s="110">
        <v>898.77200000000005</v>
      </c>
      <c r="V207" s="110">
        <v>696.97299999999996</v>
      </c>
      <c r="W207" s="110">
        <v>481.56299999999999</v>
      </c>
      <c r="X207" s="110">
        <v>289.11399999999998</v>
      </c>
      <c r="Y207" s="110">
        <v>136.005</v>
      </c>
      <c r="Z207" s="110">
        <v>48.426000000000002</v>
      </c>
      <c r="AA207" s="110">
        <v>13.239000000000001</v>
      </c>
      <c r="AB207" s="110">
        <v>0.89300000000000002</v>
      </c>
      <c r="AC207" s="115">
        <f t="shared" si="7"/>
        <v>8887.6539999999986</v>
      </c>
      <c r="AD207">
        <f t="shared" si="8"/>
        <v>0.98927780576586177</v>
      </c>
    </row>
    <row r="208" spans="1:30" x14ac:dyDescent="0.25">
      <c r="A208" s="104" t="str">
        <f t="shared" si="6"/>
        <v>Nepal2049</v>
      </c>
      <c r="C208" s="107" t="s">
        <v>257</v>
      </c>
      <c r="D208" s="108" t="s">
        <v>144</v>
      </c>
      <c r="F208" s="109">
        <v>524</v>
      </c>
      <c r="G208" s="109">
        <v>2049</v>
      </c>
      <c r="H208" s="110">
        <v>978.28499999999997</v>
      </c>
      <c r="I208" s="110">
        <v>1022.347</v>
      </c>
      <c r="J208" s="110">
        <v>1077.5909999999999</v>
      </c>
      <c r="K208" s="110">
        <v>1126.577</v>
      </c>
      <c r="L208" s="110">
        <v>1167.8699999999999</v>
      </c>
      <c r="M208" s="110">
        <v>1199.395</v>
      </c>
      <c r="N208" s="110">
        <v>1201.5899999999999</v>
      </c>
      <c r="O208" s="110">
        <v>1224.9269999999999</v>
      </c>
      <c r="P208" s="110">
        <v>1398.836</v>
      </c>
      <c r="Q208" s="110">
        <v>1464.19</v>
      </c>
      <c r="R208" s="110">
        <v>1427.3969999999999</v>
      </c>
      <c r="S208" s="110">
        <v>1279.3889999999999</v>
      </c>
      <c r="T208" s="110">
        <v>1115.7729999999999</v>
      </c>
      <c r="U208" s="110">
        <v>925.31299999999999</v>
      </c>
      <c r="V208" s="110">
        <v>724.92700000000002</v>
      </c>
      <c r="W208" s="110">
        <v>503.22500000000002</v>
      </c>
      <c r="X208" s="110">
        <v>303.03800000000001</v>
      </c>
      <c r="Y208" s="110">
        <v>142.755</v>
      </c>
      <c r="Z208" s="110">
        <v>48.220999999999997</v>
      </c>
      <c r="AA208" s="110">
        <v>13.414</v>
      </c>
      <c r="AB208" s="110">
        <v>1</v>
      </c>
      <c r="AC208" s="115">
        <f t="shared" si="7"/>
        <v>8783.3850000000002</v>
      </c>
      <c r="AD208">
        <f t="shared" si="8"/>
        <v>0.98826810764685502</v>
      </c>
    </row>
    <row r="209" spans="1:30" x14ac:dyDescent="0.25">
      <c r="A209" s="104" t="str">
        <f t="shared" si="6"/>
        <v>Nepal2050</v>
      </c>
      <c r="C209" s="107" t="s">
        <v>257</v>
      </c>
      <c r="D209" s="108" t="s">
        <v>144</v>
      </c>
      <c r="F209" s="109">
        <v>524</v>
      </c>
      <c r="G209" s="109">
        <v>2050</v>
      </c>
      <c r="H209" s="110">
        <v>968.21299999999997</v>
      </c>
      <c r="I209" s="110">
        <v>1011.843</v>
      </c>
      <c r="J209" s="110">
        <v>1065.549</v>
      </c>
      <c r="K209" s="110">
        <v>1107.8599999999999</v>
      </c>
      <c r="L209" s="110">
        <v>1147.7170000000001</v>
      </c>
      <c r="M209" s="110">
        <v>1189.9870000000001</v>
      </c>
      <c r="N209" s="110">
        <v>1203.145</v>
      </c>
      <c r="O209" s="110">
        <v>1200.2339999999999</v>
      </c>
      <c r="P209" s="110">
        <v>1369.3879999999999</v>
      </c>
      <c r="Q209" s="110">
        <v>1454.971</v>
      </c>
      <c r="R209" s="110">
        <v>1442.4449999999999</v>
      </c>
      <c r="S209" s="110">
        <v>1305.222</v>
      </c>
      <c r="T209" s="110">
        <v>1144.2719999999999</v>
      </c>
      <c r="U209" s="110">
        <v>953.59400000000005</v>
      </c>
      <c r="V209" s="110">
        <v>753.17600000000004</v>
      </c>
      <c r="W209" s="110">
        <v>527.46299999999997</v>
      </c>
      <c r="X209" s="110">
        <v>318.47899999999998</v>
      </c>
      <c r="Y209" s="110">
        <v>149.69900000000001</v>
      </c>
      <c r="Z209" s="110">
        <v>48.174999999999997</v>
      </c>
      <c r="AA209" s="110">
        <v>11.581</v>
      </c>
      <c r="AB209" s="110">
        <v>1.1200000000000001</v>
      </c>
      <c r="AC209" s="115">
        <f t="shared" si="7"/>
        <v>8673.3020000000015</v>
      </c>
      <c r="AD209">
        <f t="shared" si="8"/>
        <v>0.98746690484363386</v>
      </c>
    </row>
    <row r="210" spans="1:30" x14ac:dyDescent="0.25">
      <c r="A210" s="104" t="str">
        <f t="shared" si="6"/>
        <v>Nepal2051</v>
      </c>
      <c r="C210" s="107" t="s">
        <v>257</v>
      </c>
      <c r="D210" s="108" t="s">
        <v>144</v>
      </c>
      <c r="F210" s="109">
        <v>524</v>
      </c>
      <c r="G210" s="109">
        <v>2051</v>
      </c>
      <c r="H210" s="110">
        <v>960.89700000000005</v>
      </c>
      <c r="I210" s="110">
        <v>1001.938</v>
      </c>
      <c r="J210" s="110">
        <v>1048.4480000000001</v>
      </c>
      <c r="K210" s="110">
        <v>1088.6030000000001</v>
      </c>
      <c r="L210" s="110">
        <v>1133.8820000000001</v>
      </c>
      <c r="M210" s="110">
        <v>1181.4580000000001</v>
      </c>
      <c r="N210" s="110">
        <v>1203.499</v>
      </c>
      <c r="O210" s="110">
        <v>1186.7449999999999</v>
      </c>
      <c r="P210" s="110">
        <v>1334.98</v>
      </c>
      <c r="Q210" s="110">
        <v>1442.941</v>
      </c>
      <c r="R210" s="110">
        <v>1451.595</v>
      </c>
      <c r="S210" s="110">
        <v>1330.6210000000001</v>
      </c>
      <c r="T210" s="110">
        <v>1169.704</v>
      </c>
      <c r="U210" s="110">
        <v>978.84</v>
      </c>
      <c r="V210" s="110">
        <v>775.553</v>
      </c>
      <c r="W210" s="110">
        <v>547.56899999999996</v>
      </c>
      <c r="X210" s="110">
        <v>332.41</v>
      </c>
      <c r="Y210" s="110">
        <v>160.14500000000001</v>
      </c>
      <c r="Z210" s="110">
        <v>54.186</v>
      </c>
      <c r="AA210" s="110">
        <v>12.503</v>
      </c>
      <c r="AB210" s="110">
        <v>1.258</v>
      </c>
      <c r="AC210" s="115">
        <f t="shared" si="7"/>
        <v>8572.1080000000002</v>
      </c>
      <c r="AD210">
        <f t="shared" si="8"/>
        <v>0.98833270189369615</v>
      </c>
    </row>
    <row r="211" spans="1:30" x14ac:dyDescent="0.25">
      <c r="A211" s="104" t="str">
        <f t="shared" si="6"/>
        <v>Nepal2052</v>
      </c>
      <c r="C211" s="107" t="s">
        <v>257</v>
      </c>
      <c r="D211" s="108" t="s">
        <v>144</v>
      </c>
      <c r="F211" s="109">
        <v>524</v>
      </c>
      <c r="G211" s="109">
        <v>2052</v>
      </c>
      <c r="H211" s="110">
        <v>952.26499999999999</v>
      </c>
      <c r="I211" s="110">
        <v>993.24300000000005</v>
      </c>
      <c r="J211" s="110">
        <v>1034.1179999999999</v>
      </c>
      <c r="K211" s="110">
        <v>1069.4929999999999</v>
      </c>
      <c r="L211" s="110">
        <v>1117.1579999999999</v>
      </c>
      <c r="M211" s="110">
        <v>1170.7090000000001</v>
      </c>
      <c r="N211" s="110">
        <v>1201.0340000000001</v>
      </c>
      <c r="O211" s="110">
        <v>1184.3579999999999</v>
      </c>
      <c r="P211" s="110">
        <v>1294.6089999999999</v>
      </c>
      <c r="Q211" s="110">
        <v>1428.7429999999999</v>
      </c>
      <c r="R211" s="110">
        <v>1455.01</v>
      </c>
      <c r="S211" s="110">
        <v>1356.8</v>
      </c>
      <c r="T211" s="110">
        <v>1194.5509999999999</v>
      </c>
      <c r="U211" s="110">
        <v>1006.114</v>
      </c>
      <c r="V211" s="110">
        <v>798.56399999999996</v>
      </c>
      <c r="W211" s="110">
        <v>569.92100000000005</v>
      </c>
      <c r="X211" s="110">
        <v>346.73</v>
      </c>
      <c r="Y211" s="110">
        <v>169.37299999999999</v>
      </c>
      <c r="Z211" s="110">
        <v>58.758000000000003</v>
      </c>
      <c r="AA211" s="110">
        <v>13.917999999999999</v>
      </c>
      <c r="AB211" s="110">
        <v>1.411</v>
      </c>
      <c r="AC211" s="115">
        <f t="shared" si="7"/>
        <v>8466.1040000000012</v>
      </c>
      <c r="AD211">
        <f t="shared" si="8"/>
        <v>0.98763384689040323</v>
      </c>
    </row>
    <row r="212" spans="1:30" x14ac:dyDescent="0.25">
      <c r="A212" s="104" t="str">
        <f t="shared" si="6"/>
        <v>Nepal2053</v>
      </c>
      <c r="C212" s="107" t="s">
        <v>257</v>
      </c>
      <c r="D212" s="108" t="s">
        <v>144</v>
      </c>
      <c r="F212" s="109">
        <v>524</v>
      </c>
      <c r="G212" s="109">
        <v>2053</v>
      </c>
      <c r="H212" s="110">
        <v>942.73199999999997</v>
      </c>
      <c r="I212" s="110">
        <v>984.68100000000004</v>
      </c>
      <c r="J212" s="110">
        <v>1023.04</v>
      </c>
      <c r="K212" s="110">
        <v>1051.6079999999999</v>
      </c>
      <c r="L212" s="110">
        <v>1097.1020000000001</v>
      </c>
      <c r="M212" s="110">
        <v>1157.96</v>
      </c>
      <c r="N212" s="110">
        <v>1195.826</v>
      </c>
      <c r="O212" s="110">
        <v>1189.173</v>
      </c>
      <c r="P212" s="110">
        <v>1253.1099999999999</v>
      </c>
      <c r="Q212" s="110">
        <v>1411.1759999999999</v>
      </c>
      <c r="R212" s="110">
        <v>1453.2729999999999</v>
      </c>
      <c r="S212" s="110">
        <v>1381.7850000000001</v>
      </c>
      <c r="T212" s="110">
        <v>1219.1859999999999</v>
      </c>
      <c r="U212" s="110">
        <v>1034.768</v>
      </c>
      <c r="V212" s="110">
        <v>822.69600000000003</v>
      </c>
      <c r="W212" s="110">
        <v>594.303</v>
      </c>
      <c r="X212" s="110">
        <v>362.28300000000002</v>
      </c>
      <c r="Y212" s="110">
        <v>177.43600000000001</v>
      </c>
      <c r="Z212" s="110">
        <v>62.466000000000001</v>
      </c>
      <c r="AA212" s="110">
        <v>15.096</v>
      </c>
      <c r="AB212" s="110">
        <v>1.569</v>
      </c>
      <c r="AC212" s="115">
        <f t="shared" si="7"/>
        <v>8355.9549999999999</v>
      </c>
      <c r="AD212">
        <f t="shared" si="8"/>
        <v>0.98698941094982995</v>
      </c>
    </row>
    <row r="213" spans="1:30" x14ac:dyDescent="0.25">
      <c r="A213" s="104" t="str">
        <f t="shared" si="6"/>
        <v>Nepal2054</v>
      </c>
      <c r="C213" s="107" t="s">
        <v>257</v>
      </c>
      <c r="D213" s="108" t="s">
        <v>144</v>
      </c>
      <c r="F213" s="109">
        <v>524</v>
      </c>
      <c r="G213" s="109">
        <v>2054</v>
      </c>
      <c r="H213" s="110">
        <v>932.61500000000001</v>
      </c>
      <c r="I213" s="110">
        <v>975.68299999999999</v>
      </c>
      <c r="J213" s="110">
        <v>1014.6950000000001</v>
      </c>
      <c r="K213" s="110">
        <v>1035.5509999999999</v>
      </c>
      <c r="L213" s="110">
        <v>1074.652</v>
      </c>
      <c r="M213" s="110">
        <v>1143.1320000000001</v>
      </c>
      <c r="N213" s="110">
        <v>1188.6679999999999</v>
      </c>
      <c r="O213" s="110">
        <v>1194.6489999999999</v>
      </c>
      <c r="P213" s="110">
        <v>1217.914</v>
      </c>
      <c r="Q213" s="110">
        <v>1388.2539999999999</v>
      </c>
      <c r="R213" s="110">
        <v>1447.6179999999999</v>
      </c>
      <c r="S213" s="110">
        <v>1402.8009999999999</v>
      </c>
      <c r="T213" s="110">
        <v>1244.4880000000001</v>
      </c>
      <c r="U213" s="110">
        <v>1063.921</v>
      </c>
      <c r="V213" s="110">
        <v>848.72699999999998</v>
      </c>
      <c r="W213" s="110">
        <v>620.04399999999998</v>
      </c>
      <c r="X213" s="110">
        <v>379.73</v>
      </c>
      <c r="Y213" s="110">
        <v>185.73400000000001</v>
      </c>
      <c r="Z213" s="110">
        <v>64.834000000000003</v>
      </c>
      <c r="AA213" s="110">
        <v>15.282</v>
      </c>
      <c r="AB213" s="110">
        <v>1.7190000000000001</v>
      </c>
      <c r="AC213" s="115">
        <f t="shared" si="7"/>
        <v>8242.82</v>
      </c>
      <c r="AD213">
        <f t="shared" si="8"/>
        <v>0.98646055417962397</v>
      </c>
    </row>
    <row r="214" spans="1:30" x14ac:dyDescent="0.25">
      <c r="A214" s="104" t="str">
        <f t="shared" si="6"/>
        <v>Nepal2055</v>
      </c>
      <c r="C214" s="107" t="s">
        <v>257</v>
      </c>
      <c r="D214" s="108" t="s">
        <v>144</v>
      </c>
      <c r="F214" s="109">
        <v>524</v>
      </c>
      <c r="G214" s="109">
        <v>2055</v>
      </c>
      <c r="H214" s="110">
        <v>922.42399999999998</v>
      </c>
      <c r="I214" s="110">
        <v>965.94</v>
      </c>
      <c r="J214" s="110">
        <v>1007.8</v>
      </c>
      <c r="K214" s="110">
        <v>1021.759</v>
      </c>
      <c r="L214" s="110">
        <v>1051.703</v>
      </c>
      <c r="M214" s="110">
        <v>1125.6020000000001</v>
      </c>
      <c r="N214" s="110">
        <v>1179.972</v>
      </c>
      <c r="O214" s="110">
        <v>1196.529</v>
      </c>
      <c r="P214" s="110">
        <v>1193.55</v>
      </c>
      <c r="Q214" s="110">
        <v>1359.203</v>
      </c>
      <c r="R214" s="110">
        <v>1438.8109999999999</v>
      </c>
      <c r="S214" s="110">
        <v>1418.09</v>
      </c>
      <c r="T214" s="110">
        <v>1270.771</v>
      </c>
      <c r="U214" s="110">
        <v>1092.934</v>
      </c>
      <c r="V214" s="110">
        <v>876.99699999999996</v>
      </c>
      <c r="W214" s="110">
        <v>646.66899999999998</v>
      </c>
      <c r="X214" s="110">
        <v>399.452</v>
      </c>
      <c r="Y214" s="110">
        <v>194.82</v>
      </c>
      <c r="Z214" s="110">
        <v>66.427000000000007</v>
      </c>
      <c r="AA214" s="110">
        <v>13.725</v>
      </c>
      <c r="AB214" s="110">
        <v>1.8520000000000001</v>
      </c>
      <c r="AC214" s="115">
        <f t="shared" si="7"/>
        <v>8128.3180000000011</v>
      </c>
      <c r="AD214">
        <f t="shared" si="8"/>
        <v>0.98610888021332521</v>
      </c>
    </row>
    <row r="215" spans="1:30" x14ac:dyDescent="0.25">
      <c r="A215" s="104" t="str">
        <f t="shared" si="6"/>
        <v>Nepal2056</v>
      </c>
      <c r="C215" s="107" t="s">
        <v>257</v>
      </c>
      <c r="D215" s="108" t="s">
        <v>144</v>
      </c>
      <c r="F215" s="109">
        <v>524</v>
      </c>
      <c r="G215" s="109">
        <v>2056</v>
      </c>
      <c r="H215" s="110">
        <v>914.44</v>
      </c>
      <c r="I215" s="110">
        <v>956.87699999999995</v>
      </c>
      <c r="J215" s="110">
        <v>995.16399999999999</v>
      </c>
      <c r="K215" s="110">
        <v>1008.384</v>
      </c>
      <c r="L215" s="110">
        <v>1036.902</v>
      </c>
      <c r="M215" s="110">
        <v>1109.067</v>
      </c>
      <c r="N215" s="110">
        <v>1171.1980000000001</v>
      </c>
      <c r="O215" s="110">
        <v>1196.8050000000001</v>
      </c>
      <c r="P215" s="110">
        <v>1180.163</v>
      </c>
      <c r="Q215" s="110">
        <v>1325.117</v>
      </c>
      <c r="R215" s="110">
        <v>1427.1030000000001</v>
      </c>
      <c r="S215" s="110">
        <v>1427.2619999999999</v>
      </c>
      <c r="T215" s="110">
        <v>1295.48</v>
      </c>
      <c r="U215" s="110">
        <v>1116.963</v>
      </c>
      <c r="V215" s="110">
        <v>900.42</v>
      </c>
      <c r="W215" s="110">
        <v>666.32600000000002</v>
      </c>
      <c r="X215" s="110">
        <v>417.00900000000001</v>
      </c>
      <c r="Y215" s="110">
        <v>207.41399999999999</v>
      </c>
      <c r="Z215" s="110">
        <v>74.504000000000005</v>
      </c>
      <c r="AA215" s="110">
        <v>15.590999999999999</v>
      </c>
      <c r="AB215" s="110">
        <v>1.9650000000000001</v>
      </c>
      <c r="AC215" s="115">
        <f t="shared" si="7"/>
        <v>8027.6360000000004</v>
      </c>
      <c r="AD215">
        <f t="shared" si="8"/>
        <v>0.98761342752584225</v>
      </c>
    </row>
    <row r="216" spans="1:30" x14ac:dyDescent="0.25">
      <c r="A216" s="104" t="str">
        <f t="shared" si="6"/>
        <v>Nepal2057</v>
      </c>
      <c r="C216" s="107" t="s">
        <v>257</v>
      </c>
      <c r="D216" s="108" t="s">
        <v>144</v>
      </c>
      <c r="F216" s="109">
        <v>524</v>
      </c>
      <c r="G216" s="109">
        <v>2057</v>
      </c>
      <c r="H216" s="110">
        <v>904.96600000000001</v>
      </c>
      <c r="I216" s="110">
        <v>948.52599999999995</v>
      </c>
      <c r="J216" s="110">
        <v>984.02700000000004</v>
      </c>
      <c r="K216" s="110">
        <v>995.90099999999995</v>
      </c>
      <c r="L216" s="110">
        <v>1021.397</v>
      </c>
      <c r="M216" s="110">
        <v>1090.681</v>
      </c>
      <c r="N216" s="110">
        <v>1160.5229999999999</v>
      </c>
      <c r="O216" s="110">
        <v>1194.296</v>
      </c>
      <c r="P216" s="110">
        <v>1177.8309999999999</v>
      </c>
      <c r="Q216" s="110">
        <v>1285.1089999999999</v>
      </c>
      <c r="R216" s="110">
        <v>1413.29</v>
      </c>
      <c r="S216" s="110">
        <v>1430.98</v>
      </c>
      <c r="T216" s="110">
        <v>1321.36</v>
      </c>
      <c r="U216" s="110">
        <v>1141.0139999999999</v>
      </c>
      <c r="V216" s="110">
        <v>926.23</v>
      </c>
      <c r="W216" s="110">
        <v>686.81200000000001</v>
      </c>
      <c r="X216" s="110">
        <v>435.66500000000002</v>
      </c>
      <c r="Y216" s="110">
        <v>218.589</v>
      </c>
      <c r="Z216" s="110">
        <v>80.192999999999998</v>
      </c>
      <c r="AA216" s="110">
        <v>18.599</v>
      </c>
      <c r="AB216" s="110">
        <v>2.0640000000000001</v>
      </c>
      <c r="AC216" s="115">
        <f t="shared" si="7"/>
        <v>7925.7380000000012</v>
      </c>
      <c r="AD216">
        <f t="shared" si="8"/>
        <v>0.98730659935253673</v>
      </c>
    </row>
    <row r="217" spans="1:30" x14ac:dyDescent="0.25">
      <c r="A217" s="104" t="str">
        <f t="shared" si="6"/>
        <v>Nepal2058</v>
      </c>
      <c r="C217" s="107" t="s">
        <v>257</v>
      </c>
      <c r="D217" s="108" t="s">
        <v>144</v>
      </c>
      <c r="F217" s="109">
        <v>524</v>
      </c>
      <c r="G217" s="109">
        <v>2058</v>
      </c>
      <c r="H217" s="110">
        <v>894.41300000000001</v>
      </c>
      <c r="I217" s="110">
        <v>939.94500000000005</v>
      </c>
      <c r="J217" s="110">
        <v>975.04200000000003</v>
      </c>
      <c r="K217" s="110">
        <v>984.82799999999997</v>
      </c>
      <c r="L217" s="110">
        <v>1004.471</v>
      </c>
      <c r="M217" s="110">
        <v>1071.2339999999999</v>
      </c>
      <c r="N217" s="110">
        <v>1147.8589999999999</v>
      </c>
      <c r="O217" s="110">
        <v>1189.146</v>
      </c>
      <c r="P217" s="110">
        <v>1182.7070000000001</v>
      </c>
      <c r="Q217" s="110">
        <v>1244.03</v>
      </c>
      <c r="R217" s="110">
        <v>1396.201</v>
      </c>
      <c r="S217" s="110">
        <v>1429.75</v>
      </c>
      <c r="T217" s="110">
        <v>1346.421</v>
      </c>
      <c r="U217" s="110">
        <v>1165.51</v>
      </c>
      <c r="V217" s="110">
        <v>953.84500000000003</v>
      </c>
      <c r="W217" s="110">
        <v>709.02700000000004</v>
      </c>
      <c r="X217" s="110">
        <v>455.66899999999998</v>
      </c>
      <c r="Y217" s="110">
        <v>228.58699999999999</v>
      </c>
      <c r="Z217" s="110">
        <v>84.694999999999993</v>
      </c>
      <c r="AA217" s="110">
        <v>21.088000000000001</v>
      </c>
      <c r="AB217" s="110">
        <v>2.1619999999999999</v>
      </c>
      <c r="AC217" s="115">
        <f t="shared" si="7"/>
        <v>7824.2749999999996</v>
      </c>
      <c r="AD217">
        <f t="shared" si="8"/>
        <v>0.9871982899258086</v>
      </c>
    </row>
    <row r="218" spans="1:30" x14ac:dyDescent="0.25">
      <c r="A218" s="104" t="str">
        <f t="shared" si="6"/>
        <v>Nepal2059</v>
      </c>
      <c r="C218" s="107" t="s">
        <v>257</v>
      </c>
      <c r="D218" s="108" t="s">
        <v>144</v>
      </c>
      <c r="F218" s="109">
        <v>524</v>
      </c>
      <c r="G218" s="109">
        <v>2059</v>
      </c>
      <c r="H218" s="110">
        <v>883.36900000000003</v>
      </c>
      <c r="I218" s="110">
        <v>930.64</v>
      </c>
      <c r="J218" s="110">
        <v>968.08600000000001</v>
      </c>
      <c r="K218" s="110">
        <v>975.01800000000003</v>
      </c>
      <c r="L218" s="110">
        <v>986.46500000000003</v>
      </c>
      <c r="M218" s="110">
        <v>1051.3869999999999</v>
      </c>
      <c r="N218" s="110">
        <v>1133.133</v>
      </c>
      <c r="O218" s="110">
        <v>1182.1890000000001</v>
      </c>
      <c r="P218" s="110">
        <v>1188.3040000000001</v>
      </c>
      <c r="Q218" s="110">
        <v>1209.271</v>
      </c>
      <c r="R218" s="110">
        <v>1373.819</v>
      </c>
      <c r="S218" s="110">
        <v>1424.71</v>
      </c>
      <c r="T218" s="110">
        <v>1367.865</v>
      </c>
      <c r="U218" s="110">
        <v>1191.26</v>
      </c>
      <c r="V218" s="110">
        <v>982.51499999999999</v>
      </c>
      <c r="W218" s="110">
        <v>733.78399999999999</v>
      </c>
      <c r="X218" s="110">
        <v>476.733</v>
      </c>
      <c r="Y218" s="110">
        <v>239.369</v>
      </c>
      <c r="Z218" s="110">
        <v>87.77</v>
      </c>
      <c r="AA218" s="110">
        <v>21.841000000000001</v>
      </c>
      <c r="AB218" s="110">
        <v>2.2799999999999998</v>
      </c>
      <c r="AC218" s="115">
        <f t="shared" si="7"/>
        <v>7725.7669999999998</v>
      </c>
      <c r="AD218">
        <f t="shared" si="8"/>
        <v>0.98740995172076651</v>
      </c>
    </row>
    <row r="219" spans="1:30" x14ac:dyDescent="0.25">
      <c r="A219" s="104" t="str">
        <f t="shared" si="6"/>
        <v>Nepal2060</v>
      </c>
      <c r="C219" s="107" t="s">
        <v>257</v>
      </c>
      <c r="D219" s="108" t="s">
        <v>144</v>
      </c>
      <c r="F219" s="109">
        <v>524</v>
      </c>
      <c r="G219" s="109">
        <v>2060</v>
      </c>
      <c r="H219" s="110">
        <v>872.47900000000004</v>
      </c>
      <c r="I219" s="110">
        <v>920.37199999999996</v>
      </c>
      <c r="J219" s="110">
        <v>962.16099999999994</v>
      </c>
      <c r="K219" s="110">
        <v>966.39499999999998</v>
      </c>
      <c r="L219" s="110">
        <v>968.72699999999998</v>
      </c>
      <c r="M219" s="110">
        <v>1031</v>
      </c>
      <c r="N219" s="110">
        <v>1116.3420000000001</v>
      </c>
      <c r="O219" s="110">
        <v>1173.8810000000001</v>
      </c>
      <c r="P219" s="110">
        <v>1190.377</v>
      </c>
      <c r="Q219" s="110">
        <v>1185.3019999999999</v>
      </c>
      <c r="R219" s="110">
        <v>1345.3340000000001</v>
      </c>
      <c r="S219" s="110">
        <v>1416.5609999999999</v>
      </c>
      <c r="T219" s="110">
        <v>1383.8810000000001</v>
      </c>
      <c r="U219" s="110">
        <v>1218.433</v>
      </c>
      <c r="V219" s="110">
        <v>1011.725</v>
      </c>
      <c r="W219" s="110">
        <v>761.27800000000002</v>
      </c>
      <c r="X219" s="110">
        <v>498.78500000000003</v>
      </c>
      <c r="Y219" s="110">
        <v>251.65</v>
      </c>
      <c r="Z219" s="110">
        <v>90.317999999999998</v>
      </c>
      <c r="AA219" s="110">
        <v>20.106000000000002</v>
      </c>
      <c r="AB219" s="110">
        <v>2.4329999999999998</v>
      </c>
      <c r="AC219" s="115">
        <f t="shared" si="7"/>
        <v>7632.0239999999994</v>
      </c>
      <c r="AD219">
        <f t="shared" si="8"/>
        <v>0.98786618856095443</v>
      </c>
    </row>
    <row r="220" spans="1:30" x14ac:dyDescent="0.25">
      <c r="A220" s="104" t="str">
        <f t="shared" si="6"/>
        <v>Nepal2061</v>
      </c>
      <c r="C220" s="107" t="s">
        <v>257</v>
      </c>
      <c r="D220" s="108" t="s">
        <v>144</v>
      </c>
      <c r="F220" s="109">
        <v>524</v>
      </c>
      <c r="G220" s="109">
        <v>2061</v>
      </c>
      <c r="H220" s="110">
        <v>863.80899999999997</v>
      </c>
      <c r="I220" s="110">
        <v>910.64700000000005</v>
      </c>
      <c r="J220" s="110">
        <v>950.529</v>
      </c>
      <c r="K220" s="110">
        <v>957.31799999999998</v>
      </c>
      <c r="L220" s="110">
        <v>959.57600000000002</v>
      </c>
      <c r="M220" s="110">
        <v>1013.643</v>
      </c>
      <c r="N220" s="110">
        <v>1099.5989999999999</v>
      </c>
      <c r="O220" s="110">
        <v>1165.075</v>
      </c>
      <c r="P220" s="110">
        <v>1190.654</v>
      </c>
      <c r="Q220" s="110">
        <v>1172.1189999999999</v>
      </c>
      <c r="R220" s="110">
        <v>1311.704</v>
      </c>
      <c r="S220" s="110">
        <v>1405.213</v>
      </c>
      <c r="T220" s="110">
        <v>1392.6679999999999</v>
      </c>
      <c r="U220" s="110">
        <v>1241.847</v>
      </c>
      <c r="V220" s="110">
        <v>1033.9069999999999</v>
      </c>
      <c r="W220" s="110">
        <v>782.07500000000005</v>
      </c>
      <c r="X220" s="110">
        <v>516.01700000000005</v>
      </c>
      <c r="Y220" s="110">
        <v>267.53100000000001</v>
      </c>
      <c r="Z220" s="110">
        <v>100.449</v>
      </c>
      <c r="AA220" s="110">
        <v>22.78</v>
      </c>
      <c r="AB220" s="110">
        <v>2.629</v>
      </c>
      <c r="AC220" s="115">
        <f t="shared" si="7"/>
        <v>7557.9839999999995</v>
      </c>
      <c r="AD220">
        <f t="shared" si="8"/>
        <v>0.99029877264536903</v>
      </c>
    </row>
    <row r="221" spans="1:30" x14ac:dyDescent="0.25">
      <c r="A221" s="104" t="str">
        <f t="shared" si="6"/>
        <v>Nepal2062</v>
      </c>
      <c r="C221" s="107" t="s">
        <v>257</v>
      </c>
      <c r="D221" s="108" t="s">
        <v>144</v>
      </c>
      <c r="F221" s="109">
        <v>524</v>
      </c>
      <c r="G221" s="109">
        <v>2062</v>
      </c>
      <c r="H221" s="110">
        <v>854.12900000000002</v>
      </c>
      <c r="I221" s="110">
        <v>901.43200000000002</v>
      </c>
      <c r="J221" s="110">
        <v>939.88599999999997</v>
      </c>
      <c r="K221" s="110">
        <v>947.96699999999998</v>
      </c>
      <c r="L221" s="110">
        <v>950.52200000000005</v>
      </c>
      <c r="M221" s="110">
        <v>996.56600000000003</v>
      </c>
      <c r="N221" s="110">
        <v>1081.31</v>
      </c>
      <c r="O221" s="110">
        <v>1154.395</v>
      </c>
      <c r="P221" s="110">
        <v>1188.1880000000001</v>
      </c>
      <c r="Q221" s="110">
        <v>1169.92</v>
      </c>
      <c r="R221" s="110">
        <v>1272.2360000000001</v>
      </c>
      <c r="S221" s="110">
        <v>1391.9649999999999</v>
      </c>
      <c r="T221" s="110">
        <v>1396.588</v>
      </c>
      <c r="U221" s="110">
        <v>1267.02</v>
      </c>
      <c r="V221" s="110">
        <v>1056.759</v>
      </c>
      <c r="W221" s="110">
        <v>805.24800000000005</v>
      </c>
      <c r="X221" s="110">
        <v>533.33900000000006</v>
      </c>
      <c r="Y221" s="110">
        <v>282.17</v>
      </c>
      <c r="Z221" s="110">
        <v>107.441</v>
      </c>
      <c r="AA221" s="110">
        <v>26.641999999999999</v>
      </c>
      <c r="AB221" s="110">
        <v>2.863</v>
      </c>
      <c r="AC221" s="115">
        <f t="shared" si="7"/>
        <v>7488.8680000000004</v>
      </c>
      <c r="AD221">
        <f t="shared" si="8"/>
        <v>0.99085523335323289</v>
      </c>
    </row>
    <row r="222" spans="1:30" x14ac:dyDescent="0.25">
      <c r="A222" s="104" t="str">
        <f t="shared" si="6"/>
        <v>Nepal2063</v>
      </c>
      <c r="C222" s="107" t="s">
        <v>257</v>
      </c>
      <c r="D222" s="108" t="s">
        <v>144</v>
      </c>
      <c r="F222" s="109">
        <v>524</v>
      </c>
      <c r="G222" s="109">
        <v>2063</v>
      </c>
      <c r="H222" s="110">
        <v>843.76499999999999</v>
      </c>
      <c r="I222" s="110">
        <v>891.89400000000001</v>
      </c>
      <c r="J222" s="110">
        <v>930.904</v>
      </c>
      <c r="K222" s="110">
        <v>939.005</v>
      </c>
      <c r="L222" s="110">
        <v>940.37300000000005</v>
      </c>
      <c r="M222" s="110">
        <v>980.20299999999997</v>
      </c>
      <c r="N222" s="110">
        <v>1061.944</v>
      </c>
      <c r="O222" s="110">
        <v>1141.787</v>
      </c>
      <c r="P222" s="110">
        <v>1183.1369999999999</v>
      </c>
      <c r="Q222" s="110">
        <v>1174.8810000000001</v>
      </c>
      <c r="R222" s="110">
        <v>1231.7470000000001</v>
      </c>
      <c r="S222" s="110">
        <v>1375.529</v>
      </c>
      <c r="T222" s="110">
        <v>1396.0350000000001</v>
      </c>
      <c r="U222" s="110">
        <v>1292.0070000000001</v>
      </c>
      <c r="V222" s="110">
        <v>1080.673</v>
      </c>
      <c r="W222" s="110">
        <v>830.73</v>
      </c>
      <c r="X222" s="110">
        <v>552.07100000000003</v>
      </c>
      <c r="Y222" s="110">
        <v>295.28100000000001</v>
      </c>
      <c r="Z222" s="110">
        <v>113.075</v>
      </c>
      <c r="AA222" s="110">
        <v>29.821000000000002</v>
      </c>
      <c r="AB222" s="110">
        <v>3.1320000000000001</v>
      </c>
      <c r="AC222" s="115">
        <f t="shared" si="7"/>
        <v>7421.33</v>
      </c>
      <c r="AD222">
        <f t="shared" si="8"/>
        <v>0.99098154754496937</v>
      </c>
    </row>
    <row r="223" spans="1:30" x14ac:dyDescent="0.25">
      <c r="A223" s="104" t="str">
        <f t="shared" si="6"/>
        <v>Nepal2064</v>
      </c>
      <c r="C223" s="107" t="s">
        <v>257</v>
      </c>
      <c r="D223" s="108" t="s">
        <v>144</v>
      </c>
      <c r="F223" s="109">
        <v>524</v>
      </c>
      <c r="G223" s="109">
        <v>2064</v>
      </c>
      <c r="H223" s="110">
        <v>833.149</v>
      </c>
      <c r="I223" s="110">
        <v>881.66600000000005</v>
      </c>
      <c r="J223" s="110">
        <v>923.52099999999996</v>
      </c>
      <c r="K223" s="110">
        <v>930.66600000000005</v>
      </c>
      <c r="L223" s="110">
        <v>928.73599999999999</v>
      </c>
      <c r="M223" s="110">
        <v>964.65</v>
      </c>
      <c r="N223" s="110">
        <v>1042.1890000000001</v>
      </c>
      <c r="O223" s="110">
        <v>1127.2529999999999</v>
      </c>
      <c r="P223" s="110">
        <v>1176.3499999999999</v>
      </c>
      <c r="Q223" s="110">
        <v>1180.568</v>
      </c>
      <c r="R223" s="110">
        <v>1197.56</v>
      </c>
      <c r="S223" s="110">
        <v>1353.866</v>
      </c>
      <c r="T223" s="110">
        <v>1392.029</v>
      </c>
      <c r="U223" s="110">
        <v>1314.068</v>
      </c>
      <c r="V223" s="110">
        <v>1106.4770000000001</v>
      </c>
      <c r="W223" s="110">
        <v>858.06700000000001</v>
      </c>
      <c r="X223" s="110">
        <v>573.12599999999998</v>
      </c>
      <c r="Y223" s="110">
        <v>308.61399999999998</v>
      </c>
      <c r="Z223" s="110">
        <v>117.24299999999999</v>
      </c>
      <c r="AA223" s="110">
        <v>30.888000000000002</v>
      </c>
      <c r="AB223" s="110">
        <v>3.427</v>
      </c>
      <c r="AC223" s="115">
        <f t="shared" si="7"/>
        <v>7350.4119999999994</v>
      </c>
      <c r="AD223">
        <f t="shared" si="8"/>
        <v>0.9904440309216811</v>
      </c>
    </row>
    <row r="224" spans="1:30" x14ac:dyDescent="0.25">
      <c r="A224" s="104" t="str">
        <f t="shared" si="6"/>
        <v>Nepal2065</v>
      </c>
      <c r="C224" s="107" t="s">
        <v>257</v>
      </c>
      <c r="D224" s="108" t="s">
        <v>144</v>
      </c>
      <c r="F224" s="109">
        <v>524</v>
      </c>
      <c r="G224" s="109">
        <v>2065</v>
      </c>
      <c r="H224" s="110">
        <v>822.83299999999997</v>
      </c>
      <c r="I224" s="110">
        <v>870.63499999999999</v>
      </c>
      <c r="J224" s="110">
        <v>916.84299999999996</v>
      </c>
      <c r="K224" s="110">
        <v>923.11500000000001</v>
      </c>
      <c r="L224" s="110">
        <v>916.40899999999999</v>
      </c>
      <c r="M224" s="110">
        <v>949.35400000000004</v>
      </c>
      <c r="N224" s="110">
        <v>1022.513</v>
      </c>
      <c r="O224" s="110">
        <v>1110.8530000000001</v>
      </c>
      <c r="P224" s="110">
        <v>1168.2809999999999</v>
      </c>
      <c r="Q224" s="110">
        <v>1182.787</v>
      </c>
      <c r="R224" s="110">
        <v>1174.097</v>
      </c>
      <c r="S224" s="110">
        <v>1326.1769999999999</v>
      </c>
      <c r="T224" s="110">
        <v>1385.152</v>
      </c>
      <c r="U224" s="110">
        <v>1331.3510000000001</v>
      </c>
      <c r="V224" s="110">
        <v>1134.384</v>
      </c>
      <c r="W224" s="110">
        <v>886.79499999999996</v>
      </c>
      <c r="X224" s="110">
        <v>596.84799999999996</v>
      </c>
      <c r="Y224" s="110">
        <v>322.63600000000002</v>
      </c>
      <c r="Z224" s="110">
        <v>121.35899999999999</v>
      </c>
      <c r="AA224" s="110">
        <v>28.870999999999999</v>
      </c>
      <c r="AB224" s="110">
        <v>3.7429999999999999</v>
      </c>
      <c r="AC224" s="115">
        <f t="shared" si="7"/>
        <v>7273.3119999999999</v>
      </c>
      <c r="AD224">
        <f t="shared" si="8"/>
        <v>0.98951079204811931</v>
      </c>
    </row>
    <row r="225" spans="1:30" x14ac:dyDescent="0.25">
      <c r="A225" s="104" t="str">
        <f t="shared" si="6"/>
        <v>Nepal2066</v>
      </c>
      <c r="C225" s="107" t="s">
        <v>257</v>
      </c>
      <c r="D225" s="108" t="s">
        <v>144</v>
      </c>
      <c r="F225" s="109">
        <v>524</v>
      </c>
      <c r="G225" s="109">
        <v>2066</v>
      </c>
      <c r="H225" s="110">
        <v>815.15599999999995</v>
      </c>
      <c r="I225" s="110">
        <v>860.37</v>
      </c>
      <c r="J225" s="110">
        <v>904.65</v>
      </c>
      <c r="K225" s="110">
        <v>914.83900000000006</v>
      </c>
      <c r="L225" s="110">
        <v>911.29300000000001</v>
      </c>
      <c r="M225" s="110">
        <v>937.74099999999999</v>
      </c>
      <c r="N225" s="110">
        <v>1004.917</v>
      </c>
      <c r="O225" s="110">
        <v>1094.0540000000001</v>
      </c>
      <c r="P225" s="110">
        <v>1159.479</v>
      </c>
      <c r="Q225" s="110">
        <v>1183.0740000000001</v>
      </c>
      <c r="R225" s="110">
        <v>1161.1600000000001</v>
      </c>
      <c r="S225" s="110">
        <v>1293.069</v>
      </c>
      <c r="T225" s="110">
        <v>1373.9169999999999</v>
      </c>
      <c r="U225" s="110">
        <v>1339.2670000000001</v>
      </c>
      <c r="V225" s="110">
        <v>1156.1389999999999</v>
      </c>
      <c r="W225" s="110">
        <v>906.38099999999997</v>
      </c>
      <c r="X225" s="110">
        <v>615.43899999999996</v>
      </c>
      <c r="Y225" s="110">
        <v>338.98599999999999</v>
      </c>
      <c r="Z225" s="110">
        <v>134.47900000000001</v>
      </c>
      <c r="AA225" s="110">
        <v>32.344000000000001</v>
      </c>
      <c r="AB225" s="110">
        <v>4.085</v>
      </c>
      <c r="AC225" s="115">
        <f t="shared" si="7"/>
        <v>7205.3970000000008</v>
      </c>
      <c r="AD225">
        <f t="shared" si="8"/>
        <v>0.99066243823996558</v>
      </c>
    </row>
    <row r="226" spans="1:30" x14ac:dyDescent="0.25">
      <c r="A226" s="104" t="str">
        <f t="shared" si="6"/>
        <v>Nepal2067</v>
      </c>
      <c r="C226" s="107" t="s">
        <v>257</v>
      </c>
      <c r="D226" s="108" t="s">
        <v>144</v>
      </c>
      <c r="F226" s="109">
        <v>524</v>
      </c>
      <c r="G226" s="109">
        <v>2067</v>
      </c>
      <c r="H226" s="110">
        <v>806.52599999999995</v>
      </c>
      <c r="I226" s="110">
        <v>850.89599999999996</v>
      </c>
      <c r="J226" s="110">
        <v>893.23299999999995</v>
      </c>
      <c r="K226" s="110">
        <v>905.91200000000003</v>
      </c>
      <c r="L226" s="110">
        <v>905.19299999999998</v>
      </c>
      <c r="M226" s="110">
        <v>927.18899999999996</v>
      </c>
      <c r="N226" s="110">
        <v>987.91499999999996</v>
      </c>
      <c r="O226" s="110">
        <v>1075.7629999999999</v>
      </c>
      <c r="P226" s="110">
        <v>1148.8589999999999</v>
      </c>
      <c r="Q226" s="110">
        <v>1180.702</v>
      </c>
      <c r="R226" s="110">
        <v>1159.155</v>
      </c>
      <c r="S226" s="110">
        <v>1254.376</v>
      </c>
      <c r="T226" s="110">
        <v>1361.2650000000001</v>
      </c>
      <c r="U226" s="110">
        <v>1343.2460000000001</v>
      </c>
      <c r="V226" s="110">
        <v>1180.289</v>
      </c>
      <c r="W226" s="110">
        <v>927.024</v>
      </c>
      <c r="X226" s="110">
        <v>635.274</v>
      </c>
      <c r="Y226" s="110">
        <v>353.29899999999998</v>
      </c>
      <c r="Z226" s="110">
        <v>143.673</v>
      </c>
      <c r="AA226" s="110">
        <v>37.348999999999997</v>
      </c>
      <c r="AB226" s="110">
        <v>4.4530000000000003</v>
      </c>
      <c r="AC226" s="115">
        <f t="shared" si="7"/>
        <v>7131.5330000000004</v>
      </c>
      <c r="AD226">
        <f t="shared" si="8"/>
        <v>0.98974879524334325</v>
      </c>
    </row>
    <row r="227" spans="1:30" x14ac:dyDescent="0.25">
      <c r="A227" s="104" t="str">
        <f t="shared" si="6"/>
        <v>Nepal2068</v>
      </c>
      <c r="C227" s="107" t="s">
        <v>257</v>
      </c>
      <c r="D227" s="108" t="s">
        <v>144</v>
      </c>
      <c r="F227" s="109">
        <v>524</v>
      </c>
      <c r="G227" s="109">
        <v>2068</v>
      </c>
      <c r="H227" s="110">
        <v>797.27599999999995</v>
      </c>
      <c r="I227" s="110">
        <v>841.45699999999999</v>
      </c>
      <c r="J227" s="110">
        <v>883.29600000000005</v>
      </c>
      <c r="K227" s="110">
        <v>896.99400000000003</v>
      </c>
      <c r="L227" s="110">
        <v>897.14800000000002</v>
      </c>
      <c r="M227" s="110">
        <v>917.58199999999999</v>
      </c>
      <c r="N227" s="110">
        <v>971.63499999999999</v>
      </c>
      <c r="O227" s="110">
        <v>1056.4760000000001</v>
      </c>
      <c r="P227" s="110">
        <v>1136.377</v>
      </c>
      <c r="Q227" s="110">
        <v>1175.8209999999999</v>
      </c>
      <c r="R227" s="110">
        <v>1164.2650000000001</v>
      </c>
      <c r="S227" s="110">
        <v>1214.7570000000001</v>
      </c>
      <c r="T227" s="110">
        <v>1345.7750000000001</v>
      </c>
      <c r="U227" s="110">
        <v>1343.6479999999999</v>
      </c>
      <c r="V227" s="110">
        <v>1204.903</v>
      </c>
      <c r="W227" s="110">
        <v>949.572</v>
      </c>
      <c r="X227" s="110">
        <v>657.00099999999998</v>
      </c>
      <c r="Y227" s="110">
        <v>366.01299999999998</v>
      </c>
      <c r="Z227" s="110">
        <v>151.01599999999999</v>
      </c>
      <c r="AA227" s="110">
        <v>41.529000000000003</v>
      </c>
      <c r="AB227" s="110">
        <v>4.8499999999999996</v>
      </c>
      <c r="AC227" s="115">
        <f t="shared" si="7"/>
        <v>7052.0330000000013</v>
      </c>
      <c r="AD227">
        <f t="shared" si="8"/>
        <v>0.98885232670170653</v>
      </c>
    </row>
    <row r="228" spans="1:30" x14ac:dyDescent="0.25">
      <c r="A228" s="104" t="str">
        <f t="shared" si="6"/>
        <v>Nepal2069</v>
      </c>
      <c r="C228" s="107" t="s">
        <v>257</v>
      </c>
      <c r="D228" s="108" t="s">
        <v>144</v>
      </c>
      <c r="F228" s="109">
        <v>524</v>
      </c>
      <c r="G228" s="109">
        <v>2069</v>
      </c>
      <c r="H228" s="110">
        <v>787.84900000000005</v>
      </c>
      <c r="I228" s="110">
        <v>831.63499999999999</v>
      </c>
      <c r="J228" s="110">
        <v>874.90599999999995</v>
      </c>
      <c r="K228" s="110">
        <v>888.33600000000001</v>
      </c>
      <c r="L228" s="110">
        <v>887.13699999999994</v>
      </c>
      <c r="M228" s="110">
        <v>908.28599999999994</v>
      </c>
      <c r="N228" s="110">
        <v>956.178</v>
      </c>
      <c r="O228" s="110">
        <v>1036.9269999999999</v>
      </c>
      <c r="P228" s="110">
        <v>1122.0350000000001</v>
      </c>
      <c r="Q228" s="110">
        <v>1169.2429999999999</v>
      </c>
      <c r="R228" s="110">
        <v>1170.098</v>
      </c>
      <c r="S228" s="110">
        <v>1181.403</v>
      </c>
      <c r="T228" s="110">
        <v>1325.3489999999999</v>
      </c>
      <c r="U228" s="110">
        <v>1341.3340000000001</v>
      </c>
      <c r="V228" s="110">
        <v>1227.3879999999999</v>
      </c>
      <c r="W228" s="110">
        <v>974.96699999999998</v>
      </c>
      <c r="X228" s="110">
        <v>680.601</v>
      </c>
      <c r="Y228" s="110">
        <v>379.83699999999999</v>
      </c>
      <c r="Z228" s="110">
        <v>156.44300000000001</v>
      </c>
      <c r="AA228" s="110">
        <v>43.094000000000001</v>
      </c>
      <c r="AB228" s="110">
        <v>5.2789999999999999</v>
      </c>
      <c r="AC228" s="115">
        <f t="shared" si="7"/>
        <v>6968.1419999999998</v>
      </c>
      <c r="AD228">
        <f t="shared" si="8"/>
        <v>0.98810399781169467</v>
      </c>
    </row>
    <row r="229" spans="1:30" x14ac:dyDescent="0.25">
      <c r="A229" s="104" t="str">
        <f t="shared" si="6"/>
        <v>Nepal2070</v>
      </c>
      <c r="C229" s="107" t="s">
        <v>257</v>
      </c>
      <c r="D229" s="108" t="s">
        <v>144</v>
      </c>
      <c r="F229" s="109">
        <v>524</v>
      </c>
      <c r="G229" s="109">
        <v>2070</v>
      </c>
      <c r="H229" s="110">
        <v>778.80700000000002</v>
      </c>
      <c r="I229" s="110">
        <v>821.17700000000002</v>
      </c>
      <c r="J229" s="110">
        <v>867.35500000000002</v>
      </c>
      <c r="K229" s="110">
        <v>880.14099999999996</v>
      </c>
      <c r="L229" s="110">
        <v>876.14200000000005</v>
      </c>
      <c r="M229" s="110">
        <v>898.29399999999998</v>
      </c>
      <c r="N229" s="110">
        <v>941.56100000000004</v>
      </c>
      <c r="O229" s="110">
        <v>1017.635</v>
      </c>
      <c r="P229" s="110">
        <v>1105.8920000000001</v>
      </c>
      <c r="Q229" s="110">
        <v>1161.4010000000001</v>
      </c>
      <c r="R229" s="110">
        <v>1172.492</v>
      </c>
      <c r="S229" s="110">
        <v>1158.6559999999999</v>
      </c>
      <c r="T229" s="110">
        <v>1299.1289999999999</v>
      </c>
      <c r="U229" s="110">
        <v>1336.6559999999999</v>
      </c>
      <c r="V229" s="110">
        <v>1246.075</v>
      </c>
      <c r="W229" s="110">
        <v>1003.303</v>
      </c>
      <c r="X229" s="110">
        <v>705.94</v>
      </c>
      <c r="Y229" s="110">
        <v>395.76499999999999</v>
      </c>
      <c r="Z229" s="110">
        <v>161.50899999999999</v>
      </c>
      <c r="AA229" s="110">
        <v>40.853000000000002</v>
      </c>
      <c r="AB229" s="110">
        <v>5.74</v>
      </c>
      <c r="AC229" s="115">
        <f t="shared" si="7"/>
        <v>6881.0659999999998</v>
      </c>
      <c r="AD229">
        <f t="shared" si="8"/>
        <v>0.98750369897743184</v>
      </c>
    </row>
    <row r="230" spans="1:30" x14ac:dyDescent="0.25">
      <c r="A230" s="104" t="str">
        <f t="shared" si="6"/>
        <v>Nepal2071</v>
      </c>
      <c r="C230" s="107" t="s">
        <v>257</v>
      </c>
      <c r="D230" s="108" t="s">
        <v>144</v>
      </c>
      <c r="F230" s="109">
        <v>524</v>
      </c>
      <c r="G230" s="109">
        <v>2071</v>
      </c>
      <c r="H230" s="110">
        <v>772.59400000000005</v>
      </c>
      <c r="I230" s="110">
        <v>811.6</v>
      </c>
      <c r="J230" s="110">
        <v>854.89400000000001</v>
      </c>
      <c r="K230" s="110">
        <v>871.11699999999996</v>
      </c>
      <c r="L230" s="110">
        <v>871.59</v>
      </c>
      <c r="M230" s="110">
        <v>890.84299999999996</v>
      </c>
      <c r="N230" s="110">
        <v>929.69799999999998</v>
      </c>
      <c r="O230" s="110">
        <v>999.97299999999996</v>
      </c>
      <c r="P230" s="110">
        <v>1089.1079999999999</v>
      </c>
      <c r="Q230" s="110">
        <v>1152.6579999999999</v>
      </c>
      <c r="R230" s="110">
        <v>1172.8</v>
      </c>
      <c r="S230" s="110">
        <v>1146.01</v>
      </c>
      <c r="T230" s="110">
        <v>1266.4559999999999</v>
      </c>
      <c r="U230" s="110">
        <v>1325.386</v>
      </c>
      <c r="V230" s="110">
        <v>1253.0530000000001</v>
      </c>
      <c r="W230" s="110">
        <v>1022.7190000000001</v>
      </c>
      <c r="X230" s="110">
        <v>723.52</v>
      </c>
      <c r="Y230" s="110">
        <v>413.96600000000001</v>
      </c>
      <c r="Z230" s="110">
        <v>176.27600000000001</v>
      </c>
      <c r="AA230" s="110">
        <v>45.597999999999999</v>
      </c>
      <c r="AB230" s="110">
        <v>6.242</v>
      </c>
      <c r="AC230" s="115">
        <f t="shared" si="7"/>
        <v>6804.9869999999992</v>
      </c>
      <c r="AD230">
        <f t="shared" si="8"/>
        <v>0.98894371889471766</v>
      </c>
    </row>
    <row r="231" spans="1:30" x14ac:dyDescent="0.25">
      <c r="A231" s="104" t="str">
        <f t="shared" si="6"/>
        <v>Nepal2072</v>
      </c>
      <c r="C231" s="107" t="s">
        <v>257</v>
      </c>
      <c r="D231" s="108" t="s">
        <v>144</v>
      </c>
      <c r="F231" s="109">
        <v>524</v>
      </c>
      <c r="G231" s="109">
        <v>2072</v>
      </c>
      <c r="H231" s="110">
        <v>765.29399999999998</v>
      </c>
      <c r="I231" s="110">
        <v>803.04700000000003</v>
      </c>
      <c r="J231" s="110">
        <v>843.41499999999996</v>
      </c>
      <c r="K231" s="110">
        <v>861.31899999999996</v>
      </c>
      <c r="L231" s="110">
        <v>865.74</v>
      </c>
      <c r="M231" s="110">
        <v>883.327</v>
      </c>
      <c r="N231" s="110">
        <v>919.20299999999997</v>
      </c>
      <c r="O231" s="110">
        <v>982.95699999999999</v>
      </c>
      <c r="P231" s="110">
        <v>1070.8900000000001</v>
      </c>
      <c r="Q231" s="110">
        <v>1142.163</v>
      </c>
      <c r="R231" s="110">
        <v>1170.57</v>
      </c>
      <c r="S231" s="110">
        <v>1144.299</v>
      </c>
      <c r="T231" s="110">
        <v>1228.6990000000001</v>
      </c>
      <c r="U231" s="110">
        <v>1313.412</v>
      </c>
      <c r="V231" s="110">
        <v>1257.269</v>
      </c>
      <c r="W231" s="110">
        <v>1044.8499999999999</v>
      </c>
      <c r="X231" s="110">
        <v>741.38</v>
      </c>
      <c r="Y231" s="110">
        <v>430.565</v>
      </c>
      <c r="Z231" s="110">
        <v>185.76900000000001</v>
      </c>
      <c r="AA231" s="110">
        <v>52.259</v>
      </c>
      <c r="AB231" s="110">
        <v>6.7809999999999997</v>
      </c>
      <c r="AC231" s="115">
        <f t="shared" si="7"/>
        <v>6725.5990000000002</v>
      </c>
      <c r="AD231">
        <f t="shared" si="8"/>
        <v>0.98833384986628203</v>
      </c>
    </row>
    <row r="232" spans="1:30" x14ac:dyDescent="0.25">
      <c r="A232" s="104" t="str">
        <f t="shared" si="6"/>
        <v>Nepal2073</v>
      </c>
      <c r="C232" s="107" t="s">
        <v>257</v>
      </c>
      <c r="D232" s="108" t="s">
        <v>144</v>
      </c>
      <c r="F232" s="109">
        <v>524</v>
      </c>
      <c r="G232" s="109">
        <v>2073</v>
      </c>
      <c r="H232" s="110">
        <v>757.31299999999999</v>
      </c>
      <c r="I232" s="110">
        <v>794.79100000000005</v>
      </c>
      <c r="J232" s="110">
        <v>833.55499999999995</v>
      </c>
      <c r="K232" s="110">
        <v>851.46500000000003</v>
      </c>
      <c r="L232" s="110">
        <v>857.721</v>
      </c>
      <c r="M232" s="110">
        <v>875.79499999999996</v>
      </c>
      <c r="N232" s="110">
        <v>909.66899999999998</v>
      </c>
      <c r="O232" s="110">
        <v>966.745</v>
      </c>
      <c r="P232" s="110">
        <v>1051.74</v>
      </c>
      <c r="Q232" s="110">
        <v>1129.867</v>
      </c>
      <c r="R232" s="110">
        <v>1165.9369999999999</v>
      </c>
      <c r="S232" s="110">
        <v>1149.6400000000001</v>
      </c>
      <c r="T232" s="110">
        <v>1190.319</v>
      </c>
      <c r="U232" s="110">
        <v>1299.279</v>
      </c>
      <c r="V232" s="110">
        <v>1258.953</v>
      </c>
      <c r="W232" s="110">
        <v>1068.3399999999999</v>
      </c>
      <c r="X232" s="110">
        <v>761.11900000000003</v>
      </c>
      <c r="Y232" s="110">
        <v>445.54700000000003</v>
      </c>
      <c r="Z232" s="110">
        <v>193.12299999999999</v>
      </c>
      <c r="AA232" s="110">
        <v>57.728000000000002</v>
      </c>
      <c r="AB232" s="110">
        <v>7.3620000000000001</v>
      </c>
      <c r="AC232" s="115">
        <f t="shared" si="7"/>
        <v>6643.0020000000004</v>
      </c>
      <c r="AD232">
        <f t="shared" si="8"/>
        <v>0.98771901209096769</v>
      </c>
    </row>
    <row r="233" spans="1:30" x14ac:dyDescent="0.25">
      <c r="A233" s="104" t="str">
        <f t="shared" si="6"/>
        <v>Nepal2074</v>
      </c>
      <c r="C233" s="107" t="s">
        <v>257</v>
      </c>
      <c r="D233" s="108" t="s">
        <v>144</v>
      </c>
      <c r="F233" s="109">
        <v>524</v>
      </c>
      <c r="G233" s="109">
        <v>2074</v>
      </c>
      <c r="H233" s="110">
        <v>749.17399999999998</v>
      </c>
      <c r="I233" s="110">
        <v>786.34400000000005</v>
      </c>
      <c r="J233" s="110">
        <v>825.35</v>
      </c>
      <c r="K233" s="110">
        <v>841.93</v>
      </c>
      <c r="L233" s="110">
        <v>847.54200000000003</v>
      </c>
      <c r="M233" s="110">
        <v>868.00599999999997</v>
      </c>
      <c r="N233" s="110">
        <v>900.46299999999997</v>
      </c>
      <c r="O233" s="110">
        <v>951.47900000000004</v>
      </c>
      <c r="P233" s="110">
        <v>1032.3910000000001</v>
      </c>
      <c r="Q233" s="110">
        <v>1115.7550000000001</v>
      </c>
      <c r="R233" s="110">
        <v>1159.6559999999999</v>
      </c>
      <c r="S233" s="110">
        <v>1155.6790000000001</v>
      </c>
      <c r="T233" s="110">
        <v>1158.3150000000001</v>
      </c>
      <c r="U233" s="110">
        <v>1280.8440000000001</v>
      </c>
      <c r="V233" s="110">
        <v>1258.809</v>
      </c>
      <c r="W233" s="110">
        <v>1090.9960000000001</v>
      </c>
      <c r="X233" s="110">
        <v>783.91399999999999</v>
      </c>
      <c r="Y233" s="110">
        <v>461.447</v>
      </c>
      <c r="Z233" s="110">
        <v>198.81899999999999</v>
      </c>
      <c r="AA233" s="110">
        <v>59.783000000000001</v>
      </c>
      <c r="AB233" s="110">
        <v>7.99</v>
      </c>
      <c r="AC233" s="115">
        <f t="shared" si="7"/>
        <v>6557.5659999999998</v>
      </c>
      <c r="AD233">
        <f t="shared" si="8"/>
        <v>0.98713894712059391</v>
      </c>
    </row>
    <row r="234" spans="1:30" x14ac:dyDescent="0.25">
      <c r="A234" s="104" t="str">
        <f t="shared" si="6"/>
        <v>Nepal2075</v>
      </c>
      <c r="C234" s="107" t="s">
        <v>257</v>
      </c>
      <c r="D234" s="108" t="s">
        <v>144</v>
      </c>
      <c r="F234" s="109">
        <v>524</v>
      </c>
      <c r="G234" s="109">
        <v>2075</v>
      </c>
      <c r="H234" s="110">
        <v>741.48</v>
      </c>
      <c r="I234" s="110">
        <v>777.322</v>
      </c>
      <c r="J234" s="110">
        <v>818.13900000000001</v>
      </c>
      <c r="K234" s="110">
        <v>832.99</v>
      </c>
      <c r="L234" s="110">
        <v>836.16099999999994</v>
      </c>
      <c r="M234" s="110">
        <v>859.23699999999997</v>
      </c>
      <c r="N234" s="110">
        <v>891.11500000000001</v>
      </c>
      <c r="O234" s="110">
        <v>937.21900000000005</v>
      </c>
      <c r="P234" s="110">
        <v>1013.352</v>
      </c>
      <c r="Q234" s="110">
        <v>1099.8620000000001</v>
      </c>
      <c r="R234" s="110">
        <v>1152.096</v>
      </c>
      <c r="S234" s="110">
        <v>1158.3109999999999</v>
      </c>
      <c r="T234" s="110">
        <v>1136.875</v>
      </c>
      <c r="U234" s="110">
        <v>1257.127</v>
      </c>
      <c r="V234" s="110">
        <v>1257.076</v>
      </c>
      <c r="W234" s="110">
        <v>1111.2370000000001</v>
      </c>
      <c r="X234" s="110">
        <v>809.98500000000001</v>
      </c>
      <c r="Y234" s="110">
        <v>478.97899999999998</v>
      </c>
      <c r="Z234" s="110">
        <v>205.11799999999999</v>
      </c>
      <c r="AA234" s="110">
        <v>57.084000000000003</v>
      </c>
      <c r="AB234" s="110">
        <v>8.67</v>
      </c>
      <c r="AC234" s="115">
        <f t="shared" si="7"/>
        <v>6469.9359999999997</v>
      </c>
      <c r="AD234">
        <f t="shared" si="8"/>
        <v>0.98663681006031811</v>
      </c>
    </row>
    <row r="235" spans="1:30" x14ac:dyDescent="0.25">
      <c r="A235" s="104" t="str">
        <f t="shared" si="6"/>
        <v>Nepal2076</v>
      </c>
      <c r="C235" s="107" t="s">
        <v>257</v>
      </c>
      <c r="D235" s="108" t="s">
        <v>144</v>
      </c>
      <c r="F235" s="109">
        <v>524</v>
      </c>
      <c r="G235" s="109">
        <v>2076</v>
      </c>
      <c r="H235" s="110">
        <v>736.38</v>
      </c>
      <c r="I235" s="110">
        <v>769.13</v>
      </c>
      <c r="J235" s="110">
        <v>806.61500000000001</v>
      </c>
      <c r="K235" s="110">
        <v>823.53700000000003</v>
      </c>
      <c r="L235" s="110">
        <v>830.65</v>
      </c>
      <c r="M235" s="110">
        <v>852.50199999999995</v>
      </c>
      <c r="N235" s="110">
        <v>883.42499999999995</v>
      </c>
      <c r="O235" s="110">
        <v>925.28200000000004</v>
      </c>
      <c r="P235" s="110">
        <v>995.71</v>
      </c>
      <c r="Q235" s="110">
        <v>1083.172</v>
      </c>
      <c r="R235" s="110">
        <v>1143.4659999999999</v>
      </c>
      <c r="S235" s="110">
        <v>1158.614</v>
      </c>
      <c r="T235" s="110">
        <v>1124.432</v>
      </c>
      <c r="U235" s="110">
        <v>1224.9880000000001</v>
      </c>
      <c r="V235" s="110">
        <v>1246.2249999999999</v>
      </c>
      <c r="W235" s="110">
        <v>1117.085</v>
      </c>
      <c r="X235" s="110">
        <v>827.82600000000002</v>
      </c>
      <c r="Y235" s="110">
        <v>497.04199999999997</v>
      </c>
      <c r="Z235" s="110">
        <v>222.33</v>
      </c>
      <c r="AA235" s="110">
        <v>62.585999999999999</v>
      </c>
      <c r="AB235" s="110">
        <v>9.4149999999999991</v>
      </c>
      <c r="AC235" s="115">
        <f t="shared" si="7"/>
        <v>6394.2780000000002</v>
      </c>
      <c r="AD235">
        <f t="shared" si="8"/>
        <v>0.98830622126710377</v>
      </c>
    </row>
    <row r="236" spans="1:30" x14ac:dyDescent="0.25">
      <c r="A236" s="104" t="str">
        <f t="shared" si="6"/>
        <v>Nepal2077</v>
      </c>
      <c r="C236" s="107" t="s">
        <v>257</v>
      </c>
      <c r="D236" s="108" t="s">
        <v>144</v>
      </c>
      <c r="F236" s="109">
        <v>524</v>
      </c>
      <c r="G236" s="109">
        <v>2077</v>
      </c>
      <c r="H236" s="110">
        <v>730.41600000000005</v>
      </c>
      <c r="I236" s="110">
        <v>761.90599999999995</v>
      </c>
      <c r="J236" s="110">
        <v>796.25</v>
      </c>
      <c r="K236" s="110">
        <v>813.59100000000001</v>
      </c>
      <c r="L236" s="110">
        <v>823.76300000000003</v>
      </c>
      <c r="M236" s="110">
        <v>845.32799999999997</v>
      </c>
      <c r="N236" s="110">
        <v>875.952</v>
      </c>
      <c r="O236" s="110">
        <v>914.755</v>
      </c>
      <c r="P236" s="110">
        <v>978.75400000000002</v>
      </c>
      <c r="Q236" s="110">
        <v>1065.096</v>
      </c>
      <c r="R236" s="110">
        <v>1133.163</v>
      </c>
      <c r="S236" s="110">
        <v>1156.597</v>
      </c>
      <c r="T236" s="110">
        <v>1123.0160000000001</v>
      </c>
      <c r="U236" s="110">
        <v>1188.4760000000001</v>
      </c>
      <c r="V236" s="110">
        <v>1235.528</v>
      </c>
      <c r="W236" s="110">
        <v>1121.29</v>
      </c>
      <c r="X236" s="110">
        <v>847.38099999999997</v>
      </c>
      <c r="Y236" s="110">
        <v>512.66700000000003</v>
      </c>
      <c r="Z236" s="110">
        <v>233.5</v>
      </c>
      <c r="AA236" s="110">
        <v>70.150000000000006</v>
      </c>
      <c r="AB236" s="110">
        <v>10.217000000000001</v>
      </c>
      <c r="AC236" s="115">
        <f t="shared" si="7"/>
        <v>6317.2389999999996</v>
      </c>
      <c r="AD236">
        <f t="shared" si="8"/>
        <v>0.98795188448171933</v>
      </c>
    </row>
    <row r="237" spans="1:30" x14ac:dyDescent="0.25">
      <c r="A237" s="104" t="str">
        <f t="shared" si="6"/>
        <v>Nepal2078</v>
      </c>
      <c r="C237" s="107" t="s">
        <v>257</v>
      </c>
      <c r="D237" s="108" t="s">
        <v>144</v>
      </c>
      <c r="F237" s="109">
        <v>524</v>
      </c>
      <c r="G237" s="109">
        <v>2078</v>
      </c>
      <c r="H237" s="110">
        <v>723.86699999999996</v>
      </c>
      <c r="I237" s="110">
        <v>754.94200000000001</v>
      </c>
      <c r="J237" s="110">
        <v>787.58799999999997</v>
      </c>
      <c r="K237" s="110">
        <v>803.827</v>
      </c>
      <c r="L237" s="110">
        <v>814.78599999999994</v>
      </c>
      <c r="M237" s="110">
        <v>837.79200000000003</v>
      </c>
      <c r="N237" s="110">
        <v>868.47500000000002</v>
      </c>
      <c r="O237" s="110">
        <v>905.25400000000002</v>
      </c>
      <c r="P237" s="110">
        <v>962.63900000000001</v>
      </c>
      <c r="Q237" s="110">
        <v>1046.127</v>
      </c>
      <c r="R237" s="110">
        <v>1121.1189999999999</v>
      </c>
      <c r="S237" s="110">
        <v>1152.317</v>
      </c>
      <c r="T237" s="110">
        <v>1128.6590000000001</v>
      </c>
      <c r="U237" s="110">
        <v>1151.9069999999999</v>
      </c>
      <c r="V237" s="110">
        <v>1223.3800000000001</v>
      </c>
      <c r="W237" s="110">
        <v>1124.4780000000001</v>
      </c>
      <c r="X237" s="110">
        <v>868.36199999999997</v>
      </c>
      <c r="Y237" s="110">
        <v>526.59100000000001</v>
      </c>
      <c r="Z237" s="110">
        <v>242.20099999999999</v>
      </c>
      <c r="AA237" s="110">
        <v>76.417000000000002</v>
      </c>
      <c r="AB237" s="110">
        <v>11.071</v>
      </c>
      <c r="AC237" s="115">
        <f t="shared" si="7"/>
        <v>6238.9</v>
      </c>
      <c r="AD237">
        <f t="shared" si="8"/>
        <v>0.98759917109357431</v>
      </c>
    </row>
    <row r="238" spans="1:30" x14ac:dyDescent="0.25">
      <c r="A238" s="104" t="str">
        <f t="shared" si="6"/>
        <v>Nepal2079</v>
      </c>
      <c r="C238" s="107" t="s">
        <v>257</v>
      </c>
      <c r="D238" s="108" t="s">
        <v>144</v>
      </c>
      <c r="F238" s="109">
        <v>524</v>
      </c>
      <c r="G238" s="109">
        <v>2079</v>
      </c>
      <c r="H238" s="110">
        <v>717.04200000000003</v>
      </c>
      <c r="I238" s="110">
        <v>747.798</v>
      </c>
      <c r="J238" s="110">
        <v>780.57399999999996</v>
      </c>
      <c r="K238" s="110">
        <v>794.58299999999997</v>
      </c>
      <c r="L238" s="110">
        <v>803.86900000000003</v>
      </c>
      <c r="M238" s="110">
        <v>829.70899999999995</v>
      </c>
      <c r="N238" s="110">
        <v>860.76700000000005</v>
      </c>
      <c r="O238" s="110">
        <v>896.20899999999995</v>
      </c>
      <c r="P238" s="110">
        <v>947.529</v>
      </c>
      <c r="Q238" s="110">
        <v>1026.9970000000001</v>
      </c>
      <c r="R238" s="110">
        <v>1107.299</v>
      </c>
      <c r="S238" s="110">
        <v>1146.4369999999999</v>
      </c>
      <c r="T238" s="110">
        <v>1135.0909999999999</v>
      </c>
      <c r="U238" s="110">
        <v>1122.07</v>
      </c>
      <c r="V238" s="110">
        <v>1207.692</v>
      </c>
      <c r="W238" s="110">
        <v>1127.3050000000001</v>
      </c>
      <c r="X238" s="110">
        <v>889.279</v>
      </c>
      <c r="Y238" s="110">
        <v>542.48900000000003</v>
      </c>
      <c r="Z238" s="110">
        <v>249.041</v>
      </c>
      <c r="AA238" s="110">
        <v>78.884</v>
      </c>
      <c r="AB238" s="110">
        <v>11.968999999999999</v>
      </c>
      <c r="AC238" s="115">
        <f t="shared" si="7"/>
        <v>6159.6629999999996</v>
      </c>
      <c r="AD238">
        <f t="shared" si="8"/>
        <v>0.98729952395454323</v>
      </c>
    </row>
    <row r="239" spans="1:30" x14ac:dyDescent="0.25">
      <c r="A239" s="104" t="str">
        <f t="shared" si="6"/>
        <v>Nepal2080</v>
      </c>
      <c r="C239" s="107" t="s">
        <v>257</v>
      </c>
      <c r="D239" s="108" t="s">
        <v>144</v>
      </c>
      <c r="F239" s="109">
        <v>524</v>
      </c>
      <c r="G239" s="109">
        <v>2080</v>
      </c>
      <c r="H239" s="110">
        <v>710.375</v>
      </c>
      <c r="I239" s="110">
        <v>740.14300000000003</v>
      </c>
      <c r="J239" s="110">
        <v>774.51900000000001</v>
      </c>
      <c r="K239" s="110">
        <v>786.11</v>
      </c>
      <c r="L239" s="110">
        <v>792.00400000000002</v>
      </c>
      <c r="M239" s="110">
        <v>820.45399999999995</v>
      </c>
      <c r="N239" s="110">
        <v>852.61900000000003</v>
      </c>
      <c r="O239" s="110">
        <v>887.19399999999996</v>
      </c>
      <c r="P239" s="110">
        <v>933.49400000000003</v>
      </c>
      <c r="Q239" s="110">
        <v>1008.208</v>
      </c>
      <c r="R239" s="110">
        <v>1091.7270000000001</v>
      </c>
      <c r="S239" s="110">
        <v>1139.28</v>
      </c>
      <c r="T239" s="110">
        <v>1138.288</v>
      </c>
      <c r="U239" s="110">
        <v>1102.914</v>
      </c>
      <c r="V239" s="110">
        <v>1187.5519999999999</v>
      </c>
      <c r="W239" s="110">
        <v>1129.701</v>
      </c>
      <c r="X239" s="110">
        <v>908.98299999999995</v>
      </c>
      <c r="Y239" s="110">
        <v>561.56899999999996</v>
      </c>
      <c r="Z239" s="110">
        <v>256.53100000000001</v>
      </c>
      <c r="AA239" s="110">
        <v>75.938000000000002</v>
      </c>
      <c r="AB239" s="110">
        <v>12.904999999999999</v>
      </c>
      <c r="AC239" s="115">
        <f t="shared" si="7"/>
        <v>6080.0829999999996</v>
      </c>
      <c r="AD239">
        <f t="shared" si="8"/>
        <v>0.98708046203177024</v>
      </c>
    </row>
    <row r="240" spans="1:30" x14ac:dyDescent="0.25">
      <c r="A240" s="104" t="str">
        <f t="shared" si="6"/>
        <v>Nepal2081</v>
      </c>
      <c r="C240" s="107" t="s">
        <v>257</v>
      </c>
      <c r="D240" s="108" t="s">
        <v>144</v>
      </c>
      <c r="F240" s="109">
        <v>524</v>
      </c>
      <c r="G240" s="109">
        <v>2081</v>
      </c>
      <c r="H240" s="110">
        <v>706.053</v>
      </c>
      <c r="I240" s="110">
        <v>733.26400000000001</v>
      </c>
      <c r="J240" s="110">
        <v>764.46100000000001</v>
      </c>
      <c r="K240" s="110">
        <v>777.39599999999996</v>
      </c>
      <c r="L240" s="110">
        <v>785.81</v>
      </c>
      <c r="M240" s="110">
        <v>812.875</v>
      </c>
      <c r="N240" s="110">
        <v>845.625</v>
      </c>
      <c r="O240" s="110">
        <v>879.38599999999997</v>
      </c>
      <c r="P240" s="110">
        <v>921.51700000000005</v>
      </c>
      <c r="Q240" s="110">
        <v>990.61199999999997</v>
      </c>
      <c r="R240" s="110">
        <v>1075.1420000000001</v>
      </c>
      <c r="S240" s="110">
        <v>1130.729</v>
      </c>
      <c r="T240" s="110">
        <v>1138.269</v>
      </c>
      <c r="U240" s="110">
        <v>1090.655</v>
      </c>
      <c r="V240" s="110">
        <v>1156.6559999999999</v>
      </c>
      <c r="W240" s="110">
        <v>1119.7339999999999</v>
      </c>
      <c r="X240" s="110">
        <v>915.12599999999998</v>
      </c>
      <c r="Y240" s="110">
        <v>580.71600000000001</v>
      </c>
      <c r="Z240" s="110">
        <v>275.06900000000002</v>
      </c>
      <c r="AA240" s="110">
        <v>82.677999999999997</v>
      </c>
      <c r="AB240" s="110">
        <v>13.893000000000001</v>
      </c>
      <c r="AC240" s="115">
        <f t="shared" si="7"/>
        <v>6013.2210000000005</v>
      </c>
      <c r="AD240">
        <f t="shared" si="8"/>
        <v>0.98900311064832513</v>
      </c>
    </row>
    <row r="241" spans="1:30" x14ac:dyDescent="0.25">
      <c r="A241" s="104" t="str">
        <f t="shared" si="6"/>
        <v>Nepal2082</v>
      </c>
      <c r="C241" s="107" t="s">
        <v>257</v>
      </c>
      <c r="D241" s="108" t="s">
        <v>144</v>
      </c>
      <c r="F241" s="109">
        <v>524</v>
      </c>
      <c r="G241" s="109">
        <v>2082</v>
      </c>
      <c r="H241" s="110">
        <v>700.577</v>
      </c>
      <c r="I241" s="110">
        <v>727.33100000000002</v>
      </c>
      <c r="J241" s="110">
        <v>755.52</v>
      </c>
      <c r="K241" s="110">
        <v>768.5</v>
      </c>
      <c r="L241" s="110">
        <v>778.60400000000004</v>
      </c>
      <c r="M241" s="110">
        <v>804.74900000000002</v>
      </c>
      <c r="N241" s="110">
        <v>838.48199999999997</v>
      </c>
      <c r="O241" s="110">
        <v>871.86800000000005</v>
      </c>
      <c r="P241" s="110">
        <v>911.01599999999996</v>
      </c>
      <c r="Q241" s="110">
        <v>973.76800000000003</v>
      </c>
      <c r="R241" s="110">
        <v>1057.278</v>
      </c>
      <c r="S241" s="110">
        <v>1120.7090000000001</v>
      </c>
      <c r="T241" s="110">
        <v>1136.413</v>
      </c>
      <c r="U241" s="110">
        <v>1089.538</v>
      </c>
      <c r="V241" s="110">
        <v>1122.3430000000001</v>
      </c>
      <c r="W241" s="110">
        <v>1110.655</v>
      </c>
      <c r="X241" s="110">
        <v>919.76499999999999</v>
      </c>
      <c r="Y241" s="110">
        <v>598.26499999999999</v>
      </c>
      <c r="Z241" s="110">
        <v>286.06299999999999</v>
      </c>
      <c r="AA241" s="110">
        <v>91.92</v>
      </c>
      <c r="AB241" s="110">
        <v>14.923999999999999</v>
      </c>
      <c r="AC241" s="115">
        <f t="shared" si="7"/>
        <v>5946.9870000000001</v>
      </c>
      <c r="AD241">
        <f t="shared" si="8"/>
        <v>0.98898527095544964</v>
      </c>
    </row>
    <row r="242" spans="1:30" x14ac:dyDescent="0.25">
      <c r="A242" s="104" t="str">
        <f t="shared" si="6"/>
        <v>Nepal2083</v>
      </c>
      <c r="C242" s="107" t="s">
        <v>257</v>
      </c>
      <c r="D242" s="108" t="s">
        <v>144</v>
      </c>
      <c r="F242" s="109">
        <v>524</v>
      </c>
      <c r="G242" s="109">
        <v>2083</v>
      </c>
      <c r="H242" s="110">
        <v>694.29200000000003</v>
      </c>
      <c r="I242" s="110">
        <v>721.65</v>
      </c>
      <c r="J242" s="110">
        <v>748.18799999999999</v>
      </c>
      <c r="K242" s="110">
        <v>759.97900000000004</v>
      </c>
      <c r="L242" s="110">
        <v>769.71699999999998</v>
      </c>
      <c r="M242" s="110">
        <v>796.25199999999995</v>
      </c>
      <c r="N242" s="110">
        <v>831.02</v>
      </c>
      <c r="O242" s="110">
        <v>864.44100000000003</v>
      </c>
      <c r="P242" s="110">
        <v>901.61</v>
      </c>
      <c r="Q242" s="110">
        <v>957.82299999999998</v>
      </c>
      <c r="R242" s="110">
        <v>1038.598</v>
      </c>
      <c r="S242" s="110">
        <v>1109.0630000000001</v>
      </c>
      <c r="T242" s="110">
        <v>1132.674</v>
      </c>
      <c r="U242" s="110">
        <v>1095.5840000000001</v>
      </c>
      <c r="V242" s="110">
        <v>1088.615</v>
      </c>
      <c r="W242" s="110">
        <v>1101.2670000000001</v>
      </c>
      <c r="X242" s="110">
        <v>924.423</v>
      </c>
      <c r="Y242" s="110">
        <v>613.423</v>
      </c>
      <c r="Z242" s="110">
        <v>294.39499999999998</v>
      </c>
      <c r="AA242" s="110">
        <v>99.516999999999996</v>
      </c>
      <c r="AB242" s="110">
        <v>16.006</v>
      </c>
      <c r="AC242" s="115">
        <f t="shared" si="7"/>
        <v>5880.8419999999996</v>
      </c>
      <c r="AD242">
        <f t="shared" si="8"/>
        <v>0.98887756102375868</v>
      </c>
    </row>
    <row r="243" spans="1:30" x14ac:dyDescent="0.25">
      <c r="A243" s="104" t="str">
        <f t="shared" si="6"/>
        <v>Nepal2084</v>
      </c>
      <c r="C243" s="107" t="s">
        <v>257</v>
      </c>
      <c r="D243" s="108" t="s">
        <v>144</v>
      </c>
      <c r="F243" s="109">
        <v>524</v>
      </c>
      <c r="G243" s="109">
        <v>2084</v>
      </c>
      <c r="H243" s="110">
        <v>687.64700000000005</v>
      </c>
      <c r="I243" s="110">
        <v>715.73500000000001</v>
      </c>
      <c r="J243" s="110">
        <v>742.41300000000001</v>
      </c>
      <c r="K243" s="110">
        <v>752.03200000000004</v>
      </c>
      <c r="L243" s="110">
        <v>759.25599999999997</v>
      </c>
      <c r="M243" s="110">
        <v>787.33199999999999</v>
      </c>
      <c r="N243" s="110">
        <v>823.04200000000003</v>
      </c>
      <c r="O243" s="110">
        <v>856.90300000000002</v>
      </c>
      <c r="P243" s="110">
        <v>892.71699999999998</v>
      </c>
      <c r="Q243" s="110">
        <v>942.91499999999996</v>
      </c>
      <c r="R243" s="110">
        <v>1019.7910000000001</v>
      </c>
      <c r="S243" s="110">
        <v>1095.68</v>
      </c>
      <c r="T243" s="110">
        <v>1127.5419999999999</v>
      </c>
      <c r="U243" s="110">
        <v>1102.6780000000001</v>
      </c>
      <c r="V243" s="110">
        <v>1061.9760000000001</v>
      </c>
      <c r="W243" s="110">
        <v>1089.6959999999999</v>
      </c>
      <c r="X243" s="110">
        <v>929.79600000000005</v>
      </c>
      <c r="Y243" s="110">
        <v>628.39599999999996</v>
      </c>
      <c r="Z243" s="110">
        <v>301.32400000000001</v>
      </c>
      <c r="AA243" s="110">
        <v>102.536</v>
      </c>
      <c r="AB243" s="110">
        <v>17.145</v>
      </c>
      <c r="AC243" s="115">
        <f t="shared" si="7"/>
        <v>5814.1969999999992</v>
      </c>
      <c r="AD243">
        <f t="shared" si="8"/>
        <v>0.98866743911841193</v>
      </c>
    </row>
    <row r="244" spans="1:30" x14ac:dyDescent="0.25">
      <c r="A244" s="104" t="str">
        <f t="shared" si="6"/>
        <v>Nepal2085</v>
      </c>
      <c r="C244" s="107" t="s">
        <v>257</v>
      </c>
      <c r="D244" s="108" t="s">
        <v>144</v>
      </c>
      <c r="F244" s="109">
        <v>524</v>
      </c>
      <c r="G244" s="109">
        <v>2085</v>
      </c>
      <c r="H244" s="110">
        <v>681.13199999999995</v>
      </c>
      <c r="I244" s="110">
        <v>709.17399999999998</v>
      </c>
      <c r="J244" s="110">
        <v>737.56</v>
      </c>
      <c r="K244" s="110">
        <v>744.80700000000002</v>
      </c>
      <c r="L244" s="110">
        <v>748.10699999999997</v>
      </c>
      <c r="M244" s="110">
        <v>777.48599999999999</v>
      </c>
      <c r="N244" s="110">
        <v>814.37800000000004</v>
      </c>
      <c r="O244" s="110">
        <v>849.07299999999998</v>
      </c>
      <c r="P244" s="110">
        <v>883.9</v>
      </c>
      <c r="Q244" s="110">
        <v>929.08799999999997</v>
      </c>
      <c r="R244" s="110">
        <v>1001.311</v>
      </c>
      <c r="S244" s="110">
        <v>1080.5409999999999</v>
      </c>
      <c r="T244" s="110">
        <v>1121.1790000000001</v>
      </c>
      <c r="U244" s="110">
        <v>1106.9169999999999</v>
      </c>
      <c r="V244" s="110">
        <v>1046.172</v>
      </c>
      <c r="W244" s="110">
        <v>1074.9079999999999</v>
      </c>
      <c r="X244" s="110">
        <v>935.58699999999999</v>
      </c>
      <c r="Y244" s="110">
        <v>643.23800000000006</v>
      </c>
      <c r="Z244" s="110">
        <v>310.32799999999997</v>
      </c>
      <c r="AA244" s="110">
        <v>99.28</v>
      </c>
      <c r="AB244" s="110">
        <v>18.344999999999999</v>
      </c>
      <c r="AC244" s="115">
        <f t="shared" si="7"/>
        <v>5746.8389999999999</v>
      </c>
      <c r="AD244">
        <f t="shared" si="8"/>
        <v>0.98841490922994191</v>
      </c>
    </row>
    <row r="245" spans="1:30" x14ac:dyDescent="0.25">
      <c r="A245" s="104" t="str">
        <f t="shared" si="6"/>
        <v>Nepal2086</v>
      </c>
      <c r="C245" s="107" t="s">
        <v>257</v>
      </c>
      <c r="D245" s="108" t="s">
        <v>144</v>
      </c>
      <c r="F245" s="109">
        <v>524</v>
      </c>
      <c r="G245" s="109">
        <v>2086</v>
      </c>
      <c r="H245" s="110">
        <v>676.46600000000001</v>
      </c>
      <c r="I245" s="110">
        <v>703.10699999999997</v>
      </c>
      <c r="J245" s="110">
        <v>729.03200000000004</v>
      </c>
      <c r="K245" s="110">
        <v>737.41099999999994</v>
      </c>
      <c r="L245" s="110">
        <v>742.45100000000002</v>
      </c>
      <c r="M245" s="110">
        <v>769.39</v>
      </c>
      <c r="N245" s="110">
        <v>806.57299999999998</v>
      </c>
      <c r="O245" s="110">
        <v>841.97799999999995</v>
      </c>
      <c r="P245" s="110">
        <v>876.05399999999997</v>
      </c>
      <c r="Q245" s="110">
        <v>917.14099999999996</v>
      </c>
      <c r="R245" s="110">
        <v>983.82799999999997</v>
      </c>
      <c r="S245" s="110">
        <v>1064.106</v>
      </c>
      <c r="T245" s="110">
        <v>1112.5350000000001</v>
      </c>
      <c r="U245" s="110">
        <v>1106.251</v>
      </c>
      <c r="V245" s="110">
        <v>1034.558</v>
      </c>
      <c r="W245" s="110">
        <v>1046.1949999999999</v>
      </c>
      <c r="X245" s="110">
        <v>928.53099999999995</v>
      </c>
      <c r="Y245" s="110">
        <v>653.65899999999999</v>
      </c>
      <c r="Z245" s="110">
        <v>330.97199999999998</v>
      </c>
      <c r="AA245" s="110">
        <v>106.71</v>
      </c>
      <c r="AB245" s="110">
        <v>19.63</v>
      </c>
      <c r="AC245" s="115">
        <f t="shared" si="7"/>
        <v>5690.9979999999996</v>
      </c>
      <c r="AD245">
        <f t="shared" si="8"/>
        <v>0.99028318002296556</v>
      </c>
    </row>
    <row r="246" spans="1:30" x14ac:dyDescent="0.25">
      <c r="A246" s="104" t="str">
        <f t="shared" si="6"/>
        <v>Nepal2087</v>
      </c>
      <c r="C246" s="107" t="s">
        <v>257</v>
      </c>
      <c r="D246" s="108" t="s">
        <v>144</v>
      </c>
      <c r="F246" s="109">
        <v>524</v>
      </c>
      <c r="G246" s="109">
        <v>2087</v>
      </c>
      <c r="H246" s="110">
        <v>670.96299999999997</v>
      </c>
      <c r="I246" s="110">
        <v>697.68399999999997</v>
      </c>
      <c r="J246" s="110">
        <v>721.55600000000004</v>
      </c>
      <c r="K246" s="110">
        <v>729.86099999999999</v>
      </c>
      <c r="L246" s="110">
        <v>736.12</v>
      </c>
      <c r="M246" s="110">
        <v>761.03300000000002</v>
      </c>
      <c r="N246" s="110">
        <v>798.47500000000002</v>
      </c>
      <c r="O246" s="110">
        <v>834.78399999999999</v>
      </c>
      <c r="P246" s="110">
        <v>868.53800000000001</v>
      </c>
      <c r="Q246" s="110">
        <v>906.70299999999997</v>
      </c>
      <c r="R246" s="110">
        <v>967.14700000000005</v>
      </c>
      <c r="S246" s="110">
        <v>1046.5409999999999</v>
      </c>
      <c r="T246" s="110">
        <v>1102.7660000000001</v>
      </c>
      <c r="U246" s="110">
        <v>1104.4459999999999</v>
      </c>
      <c r="V246" s="110">
        <v>1034.0050000000001</v>
      </c>
      <c r="W246" s="110">
        <v>1014.95</v>
      </c>
      <c r="X246" s="110">
        <v>921.98</v>
      </c>
      <c r="Y246" s="110">
        <v>660.52300000000002</v>
      </c>
      <c r="Z246" s="110">
        <v>343.267</v>
      </c>
      <c r="AA246" s="110">
        <v>116.72799999999999</v>
      </c>
      <c r="AB246" s="110">
        <v>20.983000000000001</v>
      </c>
      <c r="AC246" s="115">
        <f t="shared" si="7"/>
        <v>5635.5139999999992</v>
      </c>
      <c r="AD246">
        <f t="shared" si="8"/>
        <v>0.99025056765087593</v>
      </c>
    </row>
    <row r="247" spans="1:30" x14ac:dyDescent="0.25">
      <c r="A247" s="104" t="str">
        <f t="shared" si="6"/>
        <v>Nepal2088</v>
      </c>
      <c r="C247" s="107" t="s">
        <v>257</v>
      </c>
      <c r="D247" s="108" t="s">
        <v>144</v>
      </c>
      <c r="F247" s="109">
        <v>524</v>
      </c>
      <c r="G247" s="109">
        <v>2088</v>
      </c>
      <c r="H247" s="110">
        <v>664.86400000000003</v>
      </c>
      <c r="I247" s="110">
        <v>692.25800000000004</v>
      </c>
      <c r="J247" s="110">
        <v>715.53499999999997</v>
      </c>
      <c r="K247" s="110">
        <v>722.66899999999998</v>
      </c>
      <c r="L247" s="110">
        <v>728.43</v>
      </c>
      <c r="M247" s="110">
        <v>752.57899999999995</v>
      </c>
      <c r="N247" s="110">
        <v>790.02800000000002</v>
      </c>
      <c r="O247" s="110">
        <v>827.34100000000001</v>
      </c>
      <c r="P247" s="110">
        <v>861.16300000000001</v>
      </c>
      <c r="Q247" s="110">
        <v>897.39400000000001</v>
      </c>
      <c r="R247" s="110">
        <v>951.40300000000002</v>
      </c>
      <c r="S247" s="110">
        <v>1028.232</v>
      </c>
      <c r="T247" s="110">
        <v>1091.625</v>
      </c>
      <c r="U247" s="110">
        <v>1101.4010000000001</v>
      </c>
      <c r="V247" s="110">
        <v>1040.423</v>
      </c>
      <c r="W247" s="110">
        <v>985.28</v>
      </c>
      <c r="X247" s="110">
        <v>915.88599999999997</v>
      </c>
      <c r="Y247" s="110">
        <v>664.37900000000002</v>
      </c>
      <c r="Z247" s="110">
        <v>352.01799999999997</v>
      </c>
      <c r="AA247" s="110">
        <v>124.991</v>
      </c>
      <c r="AB247" s="110">
        <v>22.4</v>
      </c>
      <c r="AC247" s="115">
        <f t="shared" si="7"/>
        <v>5579.6040000000003</v>
      </c>
      <c r="AD247">
        <f t="shared" si="8"/>
        <v>0.99007898835847108</v>
      </c>
    </row>
    <row r="248" spans="1:30" x14ac:dyDescent="0.25">
      <c r="A248" s="104" t="str">
        <f t="shared" si="6"/>
        <v>Nepal2089</v>
      </c>
      <c r="C248" s="107" t="s">
        <v>257</v>
      </c>
      <c r="D248" s="108" t="s">
        <v>144</v>
      </c>
      <c r="F248" s="109">
        <v>524</v>
      </c>
      <c r="G248" s="109">
        <v>2089</v>
      </c>
      <c r="H248" s="110">
        <v>658.44899999999996</v>
      </c>
      <c r="I248" s="110">
        <v>686.45799999999997</v>
      </c>
      <c r="J248" s="110">
        <v>710.84199999999998</v>
      </c>
      <c r="K248" s="110">
        <v>716.053</v>
      </c>
      <c r="L248" s="110">
        <v>719.39300000000003</v>
      </c>
      <c r="M248" s="110">
        <v>743.97400000000005</v>
      </c>
      <c r="N248" s="110">
        <v>781.19799999999998</v>
      </c>
      <c r="O248" s="110">
        <v>819.50800000000004</v>
      </c>
      <c r="P248" s="110">
        <v>853.74800000000005</v>
      </c>
      <c r="Q248" s="110">
        <v>888.64200000000005</v>
      </c>
      <c r="R248" s="110">
        <v>936.73500000000001</v>
      </c>
      <c r="S248" s="110">
        <v>1009.832</v>
      </c>
      <c r="T248" s="110">
        <v>1078.9390000000001</v>
      </c>
      <c r="U248" s="110">
        <v>1097.431</v>
      </c>
      <c r="V248" s="110">
        <v>1048.127</v>
      </c>
      <c r="W248" s="110">
        <v>963.46299999999997</v>
      </c>
      <c r="X248" s="110">
        <v>908.846</v>
      </c>
      <c r="Y248" s="110">
        <v>668.49300000000005</v>
      </c>
      <c r="Z248" s="110">
        <v>358.39299999999997</v>
      </c>
      <c r="AA248" s="110">
        <v>128.34800000000001</v>
      </c>
      <c r="AB248" s="110">
        <v>23.873000000000001</v>
      </c>
      <c r="AC248" s="115">
        <f t="shared" si="7"/>
        <v>5522.5159999999996</v>
      </c>
      <c r="AD248">
        <f t="shared" si="8"/>
        <v>0.98976844951720577</v>
      </c>
    </row>
    <row r="249" spans="1:30" x14ac:dyDescent="0.25">
      <c r="A249" s="104" t="str">
        <f t="shared" si="6"/>
        <v>Nepal2090</v>
      </c>
      <c r="C249" s="107" t="s">
        <v>257</v>
      </c>
      <c r="D249" s="108" t="s">
        <v>144</v>
      </c>
      <c r="F249" s="109">
        <v>524</v>
      </c>
      <c r="G249" s="109">
        <v>2090</v>
      </c>
      <c r="H249" s="110">
        <v>652.077</v>
      </c>
      <c r="I249" s="110">
        <v>680.04200000000003</v>
      </c>
      <c r="J249" s="110">
        <v>706.79700000000003</v>
      </c>
      <c r="K249" s="110">
        <v>710.15499999999997</v>
      </c>
      <c r="L249" s="110">
        <v>709.75900000000001</v>
      </c>
      <c r="M249" s="110">
        <v>734.74900000000002</v>
      </c>
      <c r="N249" s="110">
        <v>771.93200000000002</v>
      </c>
      <c r="O249" s="110">
        <v>811.16399999999999</v>
      </c>
      <c r="P249" s="110">
        <v>846.11900000000003</v>
      </c>
      <c r="Q249" s="110">
        <v>880.01499999999999</v>
      </c>
      <c r="R249" s="110">
        <v>923.17499999999995</v>
      </c>
      <c r="S249" s="110">
        <v>991.79</v>
      </c>
      <c r="T249" s="110">
        <v>1064.635</v>
      </c>
      <c r="U249" s="110">
        <v>1092.499</v>
      </c>
      <c r="V249" s="110">
        <v>1053.6980000000001</v>
      </c>
      <c r="W249" s="110">
        <v>952.79600000000005</v>
      </c>
      <c r="X249" s="110">
        <v>899.77700000000004</v>
      </c>
      <c r="Y249" s="110">
        <v>673.95699999999999</v>
      </c>
      <c r="Z249" s="110">
        <v>365.32600000000002</v>
      </c>
      <c r="AA249" s="110">
        <v>124.871</v>
      </c>
      <c r="AB249" s="110">
        <v>25.395</v>
      </c>
      <c r="AC249" s="115">
        <f t="shared" si="7"/>
        <v>5463.893</v>
      </c>
      <c r="AD249">
        <f t="shared" si="8"/>
        <v>0.98938472971377545</v>
      </c>
    </row>
    <row r="250" spans="1:30" x14ac:dyDescent="0.25">
      <c r="A250" s="104" t="str">
        <f t="shared" si="6"/>
        <v>Nepal2091</v>
      </c>
      <c r="C250" s="107" t="s">
        <v>257</v>
      </c>
      <c r="D250" s="108" t="s">
        <v>144</v>
      </c>
      <c r="F250" s="109">
        <v>524</v>
      </c>
      <c r="G250" s="109">
        <v>2091</v>
      </c>
      <c r="H250" s="110">
        <v>647.33199999999999</v>
      </c>
      <c r="I250" s="110">
        <v>674.02099999999996</v>
      </c>
      <c r="J250" s="110">
        <v>699.1</v>
      </c>
      <c r="K250" s="110">
        <v>704.09400000000005</v>
      </c>
      <c r="L250" s="110">
        <v>705.16300000000001</v>
      </c>
      <c r="M250" s="110">
        <v>727.30100000000004</v>
      </c>
      <c r="N250" s="110">
        <v>763.58500000000004</v>
      </c>
      <c r="O250" s="110">
        <v>803.22299999999996</v>
      </c>
      <c r="P250" s="110">
        <v>838.93899999999996</v>
      </c>
      <c r="Q250" s="110">
        <v>872.125</v>
      </c>
      <c r="R250" s="110">
        <v>911.24400000000003</v>
      </c>
      <c r="S250" s="110">
        <v>974.40499999999997</v>
      </c>
      <c r="T250" s="110">
        <v>1048.184</v>
      </c>
      <c r="U250" s="110">
        <v>1083.539</v>
      </c>
      <c r="V250" s="110">
        <v>1052.3430000000001</v>
      </c>
      <c r="W250" s="110">
        <v>942.47699999999998</v>
      </c>
      <c r="X250" s="110">
        <v>876.13300000000004</v>
      </c>
      <c r="Y250" s="110">
        <v>674.73599999999999</v>
      </c>
      <c r="Z250" s="110">
        <v>381.98399999999998</v>
      </c>
      <c r="AA250" s="110">
        <v>133.64599999999999</v>
      </c>
      <c r="AB250" s="110">
        <v>26.99</v>
      </c>
      <c r="AC250" s="115">
        <f t="shared" si="7"/>
        <v>5414.43</v>
      </c>
      <c r="AD250">
        <f t="shared" si="8"/>
        <v>0.99094729710116947</v>
      </c>
    </row>
    <row r="251" spans="1:30" x14ac:dyDescent="0.25">
      <c r="A251" s="104" t="str">
        <f t="shared" si="6"/>
        <v>Nepal2092</v>
      </c>
      <c r="C251" s="107" t="s">
        <v>257</v>
      </c>
      <c r="D251" s="108" t="s">
        <v>144</v>
      </c>
      <c r="F251" s="109">
        <v>524</v>
      </c>
      <c r="G251" s="109">
        <v>2092</v>
      </c>
      <c r="H251" s="110">
        <v>641.86099999999999</v>
      </c>
      <c r="I251" s="110">
        <v>668.60500000000002</v>
      </c>
      <c r="J251" s="110">
        <v>692.20299999999997</v>
      </c>
      <c r="K251" s="110">
        <v>697.95699999999999</v>
      </c>
      <c r="L251" s="110">
        <v>700.00699999999995</v>
      </c>
      <c r="M251" s="110">
        <v>719.91099999999994</v>
      </c>
      <c r="N251" s="110">
        <v>755.25199999999995</v>
      </c>
      <c r="O251" s="110">
        <v>795.07500000000005</v>
      </c>
      <c r="P251" s="110">
        <v>831.74300000000005</v>
      </c>
      <c r="Q251" s="110">
        <v>864.649</v>
      </c>
      <c r="R251" s="110">
        <v>900.91300000000001</v>
      </c>
      <c r="S251" s="110">
        <v>957.98199999999997</v>
      </c>
      <c r="T251" s="110">
        <v>1030.96</v>
      </c>
      <c r="U251" s="110">
        <v>1074.0519999999999</v>
      </c>
      <c r="V251" s="110">
        <v>1050.835</v>
      </c>
      <c r="W251" s="110">
        <v>942.54600000000005</v>
      </c>
      <c r="X251" s="110">
        <v>849.97699999999998</v>
      </c>
      <c r="Y251" s="110">
        <v>673.60799999999995</v>
      </c>
      <c r="Z251" s="110">
        <v>388.358</v>
      </c>
      <c r="AA251" s="110">
        <v>145.32499999999999</v>
      </c>
      <c r="AB251" s="110">
        <v>28.643999999999998</v>
      </c>
      <c r="AC251" s="115">
        <f t="shared" si="7"/>
        <v>5364.594000000001</v>
      </c>
      <c r="AD251">
        <f t="shared" si="8"/>
        <v>0.99079570702733266</v>
      </c>
    </row>
    <row r="252" spans="1:30" x14ac:dyDescent="0.25">
      <c r="A252" s="104" t="str">
        <f t="shared" si="6"/>
        <v>Nepal2093</v>
      </c>
      <c r="C252" s="107" t="s">
        <v>257</v>
      </c>
      <c r="D252" s="108" t="s">
        <v>144</v>
      </c>
      <c r="F252" s="109">
        <v>524</v>
      </c>
      <c r="G252" s="109">
        <v>2093</v>
      </c>
      <c r="H252" s="110">
        <v>635.88199999999995</v>
      </c>
      <c r="I252" s="110">
        <v>663.19799999999998</v>
      </c>
      <c r="J252" s="110">
        <v>686.50400000000002</v>
      </c>
      <c r="K252" s="110">
        <v>692.14</v>
      </c>
      <c r="L252" s="110">
        <v>693.65899999999999</v>
      </c>
      <c r="M252" s="110">
        <v>712.66</v>
      </c>
      <c r="N252" s="110">
        <v>746.87699999999995</v>
      </c>
      <c r="O252" s="110">
        <v>786.68100000000004</v>
      </c>
      <c r="P252" s="110">
        <v>824.38400000000001</v>
      </c>
      <c r="Q252" s="110">
        <v>857.39400000000001</v>
      </c>
      <c r="R252" s="110">
        <v>891.78899999999999</v>
      </c>
      <c r="S252" s="110">
        <v>942.58600000000001</v>
      </c>
      <c r="T252" s="110">
        <v>1013.245</v>
      </c>
      <c r="U252" s="110">
        <v>1063.7190000000001</v>
      </c>
      <c r="V252" s="110">
        <v>1048.876</v>
      </c>
      <c r="W252" s="110">
        <v>949.28899999999999</v>
      </c>
      <c r="X252" s="110">
        <v>826.16</v>
      </c>
      <c r="Y252" s="110">
        <v>670.053</v>
      </c>
      <c r="Z252" s="110">
        <v>390.661</v>
      </c>
      <c r="AA252" s="110">
        <v>154.47499999999999</v>
      </c>
      <c r="AB252" s="110">
        <v>30.356999999999999</v>
      </c>
      <c r="AC252" s="115">
        <f t="shared" si="7"/>
        <v>5313.7950000000001</v>
      </c>
      <c r="AD252">
        <f t="shared" si="8"/>
        <v>0.99053069067295663</v>
      </c>
    </row>
    <row r="253" spans="1:30" x14ac:dyDescent="0.25">
      <c r="A253" s="104" t="str">
        <f t="shared" si="6"/>
        <v>Nepal2094</v>
      </c>
      <c r="C253" s="107" t="s">
        <v>257</v>
      </c>
      <c r="D253" s="108" t="s">
        <v>144</v>
      </c>
      <c r="F253" s="109">
        <v>524</v>
      </c>
      <c r="G253" s="109">
        <v>2094</v>
      </c>
      <c r="H253" s="110">
        <v>629.66300000000001</v>
      </c>
      <c r="I253" s="110">
        <v>657.44799999999998</v>
      </c>
      <c r="J253" s="110">
        <v>681.93100000000004</v>
      </c>
      <c r="K253" s="110">
        <v>686.70500000000004</v>
      </c>
      <c r="L253" s="110">
        <v>686.11800000000005</v>
      </c>
      <c r="M253" s="110">
        <v>705.38499999999999</v>
      </c>
      <c r="N253" s="110">
        <v>738.39700000000005</v>
      </c>
      <c r="O253" s="110">
        <v>778.02200000000005</v>
      </c>
      <c r="P253" s="110">
        <v>816.7</v>
      </c>
      <c r="Q253" s="110">
        <v>850.14099999999996</v>
      </c>
      <c r="R253" s="110">
        <v>883.255</v>
      </c>
      <c r="S253" s="110">
        <v>928.28399999999999</v>
      </c>
      <c r="T253" s="110">
        <v>995.58100000000002</v>
      </c>
      <c r="U253" s="110">
        <v>1052.2560000000001</v>
      </c>
      <c r="V253" s="110">
        <v>1046.521</v>
      </c>
      <c r="W253" s="110">
        <v>957.88199999999995</v>
      </c>
      <c r="X253" s="110">
        <v>810.65099999999995</v>
      </c>
      <c r="Y253" s="110">
        <v>665.25599999999997</v>
      </c>
      <c r="Z253" s="110">
        <v>391.26</v>
      </c>
      <c r="AA253" s="110">
        <v>157.541</v>
      </c>
      <c r="AB253" s="110">
        <v>32.127000000000002</v>
      </c>
      <c r="AC253" s="115">
        <f t="shared" si="7"/>
        <v>5261.4679999999998</v>
      </c>
      <c r="AD253">
        <f t="shared" si="8"/>
        <v>0.99015261221029416</v>
      </c>
    </row>
    <row r="254" spans="1:30" x14ac:dyDescent="0.25">
      <c r="A254" s="104" t="str">
        <f t="shared" si="6"/>
        <v>Nepal2095</v>
      </c>
      <c r="C254" s="107" t="s">
        <v>257</v>
      </c>
      <c r="D254" s="108" t="s">
        <v>144</v>
      </c>
      <c r="F254" s="109">
        <v>524</v>
      </c>
      <c r="G254" s="109">
        <v>2095</v>
      </c>
      <c r="H254" s="110">
        <v>623.51400000000001</v>
      </c>
      <c r="I254" s="110">
        <v>651.09699999999998</v>
      </c>
      <c r="J254" s="110">
        <v>677.87599999999998</v>
      </c>
      <c r="K254" s="110">
        <v>681.68600000000004</v>
      </c>
      <c r="L254" s="110">
        <v>678.04499999999996</v>
      </c>
      <c r="M254" s="110">
        <v>697.55100000000004</v>
      </c>
      <c r="N254" s="110">
        <v>729.70799999999997</v>
      </c>
      <c r="O254" s="110">
        <v>769.05</v>
      </c>
      <c r="P254" s="110">
        <v>808.53899999999999</v>
      </c>
      <c r="Q254" s="110">
        <v>842.67700000000002</v>
      </c>
      <c r="R254" s="110">
        <v>874.83500000000004</v>
      </c>
      <c r="S254" s="110">
        <v>915.05499999999995</v>
      </c>
      <c r="T254" s="110">
        <v>978.31299999999999</v>
      </c>
      <c r="U254" s="110">
        <v>1039.423</v>
      </c>
      <c r="V254" s="110">
        <v>1043.5730000000001</v>
      </c>
      <c r="W254" s="110">
        <v>965.476</v>
      </c>
      <c r="X254" s="110">
        <v>805.99</v>
      </c>
      <c r="Y254" s="110">
        <v>659.66399999999999</v>
      </c>
      <c r="Z254" s="110">
        <v>393.35500000000002</v>
      </c>
      <c r="AA254" s="110">
        <v>152.852</v>
      </c>
      <c r="AB254" s="110">
        <v>33.951000000000001</v>
      </c>
      <c r="AC254" s="115">
        <f t="shared" si="7"/>
        <v>5207.2559999999994</v>
      </c>
      <c r="AD254">
        <f t="shared" si="8"/>
        <v>0.98969641172387623</v>
      </c>
    </row>
    <row r="255" spans="1:30" x14ac:dyDescent="0.25">
      <c r="A255" s="104" t="str">
        <f t="shared" si="6"/>
        <v>Nepal2096</v>
      </c>
      <c r="C255" s="107" t="s">
        <v>257</v>
      </c>
      <c r="D255" s="108" t="s">
        <v>144</v>
      </c>
      <c r="F255" s="109">
        <v>524</v>
      </c>
      <c r="G255" s="109">
        <v>2096</v>
      </c>
      <c r="H255" s="110">
        <v>618.95600000000002</v>
      </c>
      <c r="I255" s="110">
        <v>645.10699999999997</v>
      </c>
      <c r="J255" s="110">
        <v>670.45799999999997</v>
      </c>
      <c r="K255" s="110">
        <v>676.35599999999999</v>
      </c>
      <c r="L255" s="110">
        <v>674.62900000000002</v>
      </c>
      <c r="M255" s="110">
        <v>691.37199999999996</v>
      </c>
      <c r="N255" s="110">
        <v>722.09</v>
      </c>
      <c r="O255" s="110">
        <v>760.64</v>
      </c>
      <c r="P255" s="110">
        <v>800.58399999999995</v>
      </c>
      <c r="Q255" s="110">
        <v>835.52300000000002</v>
      </c>
      <c r="R255" s="110">
        <v>867.00300000000004</v>
      </c>
      <c r="S255" s="110">
        <v>903.24</v>
      </c>
      <c r="T255" s="110">
        <v>961.01900000000001</v>
      </c>
      <c r="U255" s="110">
        <v>1022.9640000000001</v>
      </c>
      <c r="V255" s="110">
        <v>1034.578</v>
      </c>
      <c r="W255" s="110">
        <v>963.452</v>
      </c>
      <c r="X255" s="110">
        <v>798.99</v>
      </c>
      <c r="Y255" s="110">
        <v>646.56299999999999</v>
      </c>
      <c r="Z255" s="110">
        <v>404.40899999999999</v>
      </c>
      <c r="AA255" s="110">
        <v>160.33699999999999</v>
      </c>
      <c r="AB255" s="110">
        <v>35.860999999999997</v>
      </c>
      <c r="AC255" s="115">
        <f t="shared" si="7"/>
        <v>5161.1940000000004</v>
      </c>
      <c r="AD255">
        <f t="shared" si="8"/>
        <v>0.99115426627767123</v>
      </c>
    </row>
    <row r="256" spans="1:30" x14ac:dyDescent="0.25">
      <c r="A256" s="104" t="str">
        <f t="shared" si="6"/>
        <v>Nepal2097</v>
      </c>
      <c r="C256" s="107" t="s">
        <v>257</v>
      </c>
      <c r="D256" s="108" t="s">
        <v>144</v>
      </c>
      <c r="F256" s="109">
        <v>524</v>
      </c>
      <c r="G256" s="109">
        <v>2097</v>
      </c>
      <c r="H256" s="110">
        <v>613.80700000000002</v>
      </c>
      <c r="I256" s="110">
        <v>639.72199999999998</v>
      </c>
      <c r="J256" s="110">
        <v>663.73599999999999</v>
      </c>
      <c r="K256" s="110">
        <v>670.76599999999996</v>
      </c>
      <c r="L256" s="110">
        <v>670.75699999999995</v>
      </c>
      <c r="M256" s="110">
        <v>685.28200000000004</v>
      </c>
      <c r="N256" s="110">
        <v>714.75599999999997</v>
      </c>
      <c r="O256" s="110">
        <v>752.29399999999998</v>
      </c>
      <c r="P256" s="110">
        <v>792.46699999999998</v>
      </c>
      <c r="Q256" s="110">
        <v>828.39800000000002</v>
      </c>
      <c r="R256" s="110">
        <v>859.64400000000001</v>
      </c>
      <c r="S256" s="110">
        <v>893.12699999999995</v>
      </c>
      <c r="T256" s="110">
        <v>944.93499999999995</v>
      </c>
      <c r="U256" s="110">
        <v>1006.207</v>
      </c>
      <c r="V256" s="110">
        <v>1025.779</v>
      </c>
      <c r="W256" s="110">
        <v>962.24900000000002</v>
      </c>
      <c r="X256" s="110">
        <v>800.03</v>
      </c>
      <c r="Y256" s="110">
        <v>629.49800000000005</v>
      </c>
      <c r="Z256" s="110">
        <v>406.16</v>
      </c>
      <c r="AA256" s="110">
        <v>169.62799999999999</v>
      </c>
      <c r="AB256" s="110">
        <v>37.838000000000001</v>
      </c>
      <c r="AC256" s="115">
        <f t="shared" si="7"/>
        <v>5114.7199999999993</v>
      </c>
      <c r="AD256">
        <f t="shared" si="8"/>
        <v>0.99099549445341506</v>
      </c>
    </row>
    <row r="257" spans="1:30" x14ac:dyDescent="0.25">
      <c r="A257" s="104" t="str">
        <f t="shared" si="6"/>
        <v>Nepal2098</v>
      </c>
      <c r="C257" s="107" t="s">
        <v>257</v>
      </c>
      <c r="D257" s="108" t="s">
        <v>144</v>
      </c>
      <c r="F257" s="109">
        <v>524</v>
      </c>
      <c r="G257" s="109">
        <v>2098</v>
      </c>
      <c r="H257" s="110">
        <v>608.23599999999999</v>
      </c>
      <c r="I257" s="110">
        <v>634.39200000000005</v>
      </c>
      <c r="J257" s="110">
        <v>658.06100000000004</v>
      </c>
      <c r="K257" s="110">
        <v>665.28099999999995</v>
      </c>
      <c r="L257" s="110">
        <v>665.75099999999998</v>
      </c>
      <c r="M257" s="110">
        <v>679.33600000000001</v>
      </c>
      <c r="N257" s="110">
        <v>707.57100000000003</v>
      </c>
      <c r="O257" s="110">
        <v>743.95799999999997</v>
      </c>
      <c r="P257" s="110">
        <v>784.13400000000001</v>
      </c>
      <c r="Q257" s="110">
        <v>821.12800000000004</v>
      </c>
      <c r="R257" s="110">
        <v>852.53</v>
      </c>
      <c r="S257" s="110">
        <v>884.245</v>
      </c>
      <c r="T257" s="110">
        <v>930.00699999999995</v>
      </c>
      <c r="U257" s="110">
        <v>989.33600000000001</v>
      </c>
      <c r="V257" s="110">
        <v>1016.649</v>
      </c>
      <c r="W257" s="110">
        <v>961.65</v>
      </c>
      <c r="X257" s="110">
        <v>806.68</v>
      </c>
      <c r="Y257" s="110">
        <v>612.53300000000002</v>
      </c>
      <c r="Z257" s="110">
        <v>403.83199999999999</v>
      </c>
      <c r="AA257" s="110">
        <v>176.191</v>
      </c>
      <c r="AB257" s="110">
        <v>39.875</v>
      </c>
      <c r="AC257" s="115">
        <f t="shared" si="7"/>
        <v>5067.1589999999997</v>
      </c>
      <c r="AD257">
        <f t="shared" si="8"/>
        <v>0.99070115275127479</v>
      </c>
    </row>
    <row r="258" spans="1:30" x14ac:dyDescent="0.25">
      <c r="A258" s="104" t="str">
        <f t="shared" si="6"/>
        <v>Nepal2099</v>
      </c>
      <c r="C258" s="107" t="s">
        <v>257</v>
      </c>
      <c r="D258" s="108" t="s">
        <v>144</v>
      </c>
      <c r="F258" s="109">
        <v>524</v>
      </c>
      <c r="G258" s="109">
        <v>2099</v>
      </c>
      <c r="H258" s="110">
        <v>602.49099999999999</v>
      </c>
      <c r="I258" s="110">
        <v>628.774</v>
      </c>
      <c r="J258" s="110">
        <v>653.36800000000005</v>
      </c>
      <c r="K258" s="110">
        <v>660.01800000000003</v>
      </c>
      <c r="L258" s="110">
        <v>659.49199999999996</v>
      </c>
      <c r="M258" s="110">
        <v>673.38800000000003</v>
      </c>
      <c r="N258" s="110">
        <v>700.36699999999996</v>
      </c>
      <c r="O258" s="110">
        <v>735.58699999999999</v>
      </c>
      <c r="P258" s="110">
        <v>775.56100000000004</v>
      </c>
      <c r="Q258" s="110">
        <v>813.54</v>
      </c>
      <c r="R258" s="110">
        <v>845.42</v>
      </c>
      <c r="S258" s="110">
        <v>875.93700000000001</v>
      </c>
      <c r="T258" s="110">
        <v>916.23299999999995</v>
      </c>
      <c r="U258" s="110">
        <v>972.803</v>
      </c>
      <c r="V258" s="110">
        <v>1006.822</v>
      </c>
      <c r="W258" s="110">
        <v>961.56799999999998</v>
      </c>
      <c r="X258" s="110">
        <v>815.60500000000002</v>
      </c>
      <c r="Y258" s="110">
        <v>601.61800000000005</v>
      </c>
      <c r="Z258" s="110">
        <v>399.67200000000003</v>
      </c>
      <c r="AA258" s="110">
        <v>177.113</v>
      </c>
      <c r="AB258" s="110">
        <v>41.963000000000001</v>
      </c>
      <c r="AC258" s="115">
        <f t="shared" si="7"/>
        <v>5017.9530000000004</v>
      </c>
      <c r="AD258">
        <f t="shared" si="8"/>
        <v>0.99028923307912797</v>
      </c>
    </row>
    <row r="259" spans="1:30" x14ac:dyDescent="0.25">
      <c r="A259" s="104" t="str">
        <f t="shared" si="6"/>
        <v>Nepal2100</v>
      </c>
      <c r="C259" s="107" t="s">
        <v>257</v>
      </c>
      <c r="D259" s="108" t="s">
        <v>144</v>
      </c>
      <c r="F259" s="109">
        <v>524</v>
      </c>
      <c r="G259" s="109">
        <v>2100</v>
      </c>
      <c r="H259" s="110">
        <v>596.93299999999999</v>
      </c>
      <c r="I259" s="110">
        <v>622.63699999999994</v>
      </c>
      <c r="J259" s="110">
        <v>649.13499999999999</v>
      </c>
      <c r="K259" s="110">
        <v>655.05999999999995</v>
      </c>
      <c r="L259" s="110">
        <v>652.51300000000003</v>
      </c>
      <c r="M259" s="110">
        <v>666.96600000000001</v>
      </c>
      <c r="N259" s="110">
        <v>693</v>
      </c>
      <c r="O259" s="110">
        <v>727.13699999999994</v>
      </c>
      <c r="P259" s="110">
        <v>766.721</v>
      </c>
      <c r="Q259" s="110">
        <v>805.49099999999999</v>
      </c>
      <c r="R259" s="110">
        <v>838.09699999999998</v>
      </c>
      <c r="S259" s="110">
        <v>867.72900000000004</v>
      </c>
      <c r="T259" s="110">
        <v>903.577</v>
      </c>
      <c r="U259" s="110">
        <v>956.86800000000005</v>
      </c>
      <c r="V259" s="110">
        <v>996.07399999999996</v>
      </c>
      <c r="W259" s="110">
        <v>961.62800000000004</v>
      </c>
      <c r="X259" s="110">
        <v>824.85599999999999</v>
      </c>
      <c r="Y259" s="110">
        <v>600.82399999999996</v>
      </c>
      <c r="Z259" s="110">
        <v>395.14600000000002</v>
      </c>
      <c r="AA259" s="110">
        <v>170.85400000000001</v>
      </c>
      <c r="AB259" s="110">
        <v>44.088999999999999</v>
      </c>
      <c r="AC259" s="115">
        <f t="shared" si="7"/>
        <v>4966.887999999999</v>
      </c>
      <c r="AD259">
        <f t="shared" si="8"/>
        <v>0.98982353959871661</v>
      </c>
    </row>
    <row r="260" spans="1:30" x14ac:dyDescent="0.25">
      <c r="A260" s="104" t="str">
        <f t="shared" si="6"/>
        <v>Senegal2015</v>
      </c>
      <c r="C260" s="107" t="s">
        <v>257</v>
      </c>
      <c r="D260" s="108" t="s">
        <v>150</v>
      </c>
      <c r="E260" s="109"/>
      <c r="F260" s="109">
        <v>686</v>
      </c>
      <c r="G260" s="109">
        <v>2015</v>
      </c>
      <c r="H260" s="110">
        <v>1229.798</v>
      </c>
      <c r="I260" s="110">
        <v>1060.4690000000001</v>
      </c>
      <c r="J260" s="110">
        <v>894.97799999999995</v>
      </c>
      <c r="K260" s="110">
        <v>780.22799999999995</v>
      </c>
      <c r="L260" s="110">
        <v>692.22799999999995</v>
      </c>
      <c r="M260" s="110">
        <v>607.55600000000004</v>
      </c>
      <c r="N260" s="110">
        <v>526.20000000000005</v>
      </c>
      <c r="O260" s="110">
        <v>427.72</v>
      </c>
      <c r="P260" s="110">
        <v>345.44499999999999</v>
      </c>
      <c r="Q260" s="110">
        <v>272.16800000000001</v>
      </c>
      <c r="R260" s="110">
        <v>217.511</v>
      </c>
      <c r="S260" s="110">
        <v>174.73699999999999</v>
      </c>
      <c r="T260" s="110">
        <v>140.452</v>
      </c>
      <c r="U260" s="110">
        <v>102.127</v>
      </c>
      <c r="V260" s="110">
        <v>75.882999999999996</v>
      </c>
      <c r="W260" s="110">
        <v>47.896000000000001</v>
      </c>
      <c r="X260" s="110">
        <v>22.52</v>
      </c>
      <c r="Y260" s="110">
        <v>6.8470000000000004</v>
      </c>
      <c r="Z260" s="110">
        <v>1.1519999999999999</v>
      </c>
      <c r="AA260" s="110">
        <v>9.4E-2</v>
      </c>
      <c r="AB260" s="110">
        <v>4.0000000000000001E-3</v>
      </c>
      <c r="AC260" s="115">
        <f t="shared" si="7"/>
        <v>3651.5450000000001</v>
      </c>
      <c r="AD260" t="str">
        <f>IF(D260=D173,AC260/AC173,"")</f>
        <v/>
      </c>
    </row>
    <row r="261" spans="1:30" x14ac:dyDescent="0.25">
      <c r="A261" s="104" t="str">
        <f t="shared" si="6"/>
        <v>Senegal2016</v>
      </c>
      <c r="C261" s="107" t="s">
        <v>257</v>
      </c>
      <c r="D261" s="108" t="s">
        <v>150</v>
      </c>
      <c r="E261" s="109"/>
      <c r="F261" s="109">
        <v>686</v>
      </c>
      <c r="G261" s="109">
        <v>2016</v>
      </c>
      <c r="H261" s="110">
        <v>1254.7739999999999</v>
      </c>
      <c r="I261" s="110">
        <v>1094.0070000000001</v>
      </c>
      <c r="J261" s="110">
        <v>923.19299999999998</v>
      </c>
      <c r="K261" s="110">
        <v>797.96</v>
      </c>
      <c r="L261" s="110">
        <v>706.428</v>
      </c>
      <c r="M261" s="110">
        <v>621.47900000000004</v>
      </c>
      <c r="N261" s="110">
        <v>541.67399999999998</v>
      </c>
      <c r="O261" s="110">
        <v>444.87400000000002</v>
      </c>
      <c r="P261" s="110">
        <v>359.40499999999997</v>
      </c>
      <c r="Q261" s="110">
        <v>283.81900000000002</v>
      </c>
      <c r="R261" s="110">
        <v>225.55</v>
      </c>
      <c r="S261" s="110">
        <v>180.35900000000001</v>
      </c>
      <c r="T261" s="110">
        <v>144.95099999999999</v>
      </c>
      <c r="U261" s="110">
        <v>105.777</v>
      </c>
      <c r="V261" s="110">
        <v>76.938000000000002</v>
      </c>
      <c r="W261" s="110">
        <v>49.173999999999999</v>
      </c>
      <c r="X261" s="110">
        <v>23.818000000000001</v>
      </c>
      <c r="Y261" s="110">
        <v>7.7359999999999998</v>
      </c>
      <c r="Z261" s="110">
        <v>1.4350000000000001</v>
      </c>
      <c r="AA261" s="110">
        <v>0.126</v>
      </c>
      <c r="AB261" s="110">
        <v>4.0000000000000001E-3</v>
      </c>
      <c r="AC261" s="115">
        <f t="shared" si="7"/>
        <v>3755.6389999999997</v>
      </c>
      <c r="AD261">
        <f t="shared" si="8"/>
        <v>1.0285068375167223</v>
      </c>
    </row>
    <row r="262" spans="1:30" x14ac:dyDescent="0.25">
      <c r="A262" s="104" t="str">
        <f t="shared" si="6"/>
        <v>Senegal2017</v>
      </c>
      <c r="C262" s="107" t="s">
        <v>257</v>
      </c>
      <c r="D262" s="108" t="s">
        <v>150</v>
      </c>
      <c r="E262" s="109"/>
      <c r="F262" s="109">
        <v>686</v>
      </c>
      <c r="G262" s="109">
        <v>2017</v>
      </c>
      <c r="H262" s="110">
        <v>1273.7940000000001</v>
      </c>
      <c r="I262" s="110">
        <v>1127.4670000000001</v>
      </c>
      <c r="J262" s="110">
        <v>954.26700000000005</v>
      </c>
      <c r="K262" s="110">
        <v>817.25199999999995</v>
      </c>
      <c r="L262" s="110">
        <v>721.00900000000001</v>
      </c>
      <c r="M262" s="110">
        <v>635.95699999999999</v>
      </c>
      <c r="N262" s="110">
        <v>555.97900000000004</v>
      </c>
      <c r="O262" s="110">
        <v>463.18</v>
      </c>
      <c r="P262" s="110">
        <v>373.47</v>
      </c>
      <c r="Q262" s="110">
        <v>296.50400000000002</v>
      </c>
      <c r="R262" s="110">
        <v>234.15299999999999</v>
      </c>
      <c r="S262" s="110">
        <v>186.68600000000001</v>
      </c>
      <c r="T262" s="110">
        <v>149.345</v>
      </c>
      <c r="U262" s="110">
        <v>110.541</v>
      </c>
      <c r="V262" s="110">
        <v>78.045000000000002</v>
      </c>
      <c r="W262" s="110">
        <v>50.500999999999998</v>
      </c>
      <c r="X262" s="110">
        <v>24.888999999999999</v>
      </c>
      <c r="Y262" s="110">
        <v>8.3629999999999995</v>
      </c>
      <c r="Z262" s="110">
        <v>1.657</v>
      </c>
      <c r="AA262" s="110">
        <v>0.184</v>
      </c>
      <c r="AB262" s="110">
        <v>5.0000000000000001E-3</v>
      </c>
      <c r="AC262" s="115">
        <f t="shared" si="7"/>
        <v>3863.3509999999997</v>
      </c>
      <c r="AD262">
        <f t="shared" si="8"/>
        <v>1.0286800728185004</v>
      </c>
    </row>
    <row r="263" spans="1:30" x14ac:dyDescent="0.25">
      <c r="A263" s="104" t="str">
        <f t="shared" si="6"/>
        <v>Senegal2018</v>
      </c>
      <c r="C263" s="107" t="s">
        <v>257</v>
      </c>
      <c r="D263" s="108" t="s">
        <v>150</v>
      </c>
      <c r="E263" s="109"/>
      <c r="F263" s="109">
        <v>686</v>
      </c>
      <c r="G263" s="109">
        <v>2018</v>
      </c>
      <c r="H263" s="110">
        <v>1288.855</v>
      </c>
      <c r="I263" s="110">
        <v>1160.0229999999999</v>
      </c>
      <c r="J263" s="110">
        <v>987.28099999999995</v>
      </c>
      <c r="K263" s="110">
        <v>838.50699999999995</v>
      </c>
      <c r="L263" s="110">
        <v>736.173</v>
      </c>
      <c r="M263" s="110">
        <v>650.71699999999998</v>
      </c>
      <c r="N263" s="110">
        <v>569.43799999999999</v>
      </c>
      <c r="O263" s="110">
        <v>481.88900000000001</v>
      </c>
      <c r="P263" s="110">
        <v>387.86599999999999</v>
      </c>
      <c r="Q263" s="110">
        <v>309.94400000000002</v>
      </c>
      <c r="R263" s="110">
        <v>243.39500000000001</v>
      </c>
      <c r="S263" s="110">
        <v>193.63</v>
      </c>
      <c r="T263" s="110">
        <v>153.84299999999999</v>
      </c>
      <c r="U263" s="110">
        <v>115.99299999999999</v>
      </c>
      <c r="V263" s="110">
        <v>79.56</v>
      </c>
      <c r="W263" s="110">
        <v>51.930999999999997</v>
      </c>
      <c r="X263" s="110">
        <v>25.734999999999999</v>
      </c>
      <c r="Y263" s="110">
        <v>8.6660000000000004</v>
      </c>
      <c r="Z263" s="110">
        <v>1.8069999999999999</v>
      </c>
      <c r="AA263" s="110">
        <v>0.22700000000000001</v>
      </c>
      <c r="AB263" s="110">
        <v>5.0000000000000001E-3</v>
      </c>
      <c r="AC263" s="115">
        <f t="shared" si="7"/>
        <v>3974.5340000000001</v>
      </c>
      <c r="AD263">
        <f t="shared" si="8"/>
        <v>1.028778902046436</v>
      </c>
    </row>
    <row r="264" spans="1:30" x14ac:dyDescent="0.25">
      <c r="A264" s="104" t="str">
        <f t="shared" si="6"/>
        <v>Senegal2019</v>
      </c>
      <c r="C264" s="107" t="s">
        <v>257</v>
      </c>
      <c r="D264" s="108" t="s">
        <v>150</v>
      </c>
      <c r="E264" s="109"/>
      <c r="F264" s="109">
        <v>686</v>
      </c>
      <c r="G264" s="109">
        <v>2019</v>
      </c>
      <c r="H264" s="110">
        <v>1302.8389999999999</v>
      </c>
      <c r="I264" s="110">
        <v>1190.617</v>
      </c>
      <c r="J264" s="110">
        <v>1021.0119999999999</v>
      </c>
      <c r="K264" s="110">
        <v>862.21199999999999</v>
      </c>
      <c r="L264" s="110">
        <v>752.20600000000002</v>
      </c>
      <c r="M264" s="110">
        <v>665.31600000000003</v>
      </c>
      <c r="N264" s="110">
        <v>582.66099999999994</v>
      </c>
      <c r="O264" s="110">
        <v>499.85300000000001</v>
      </c>
      <c r="P264" s="110">
        <v>403.00099999999998</v>
      </c>
      <c r="Q264" s="110">
        <v>323.70499999999998</v>
      </c>
      <c r="R264" s="110">
        <v>253.411</v>
      </c>
      <c r="S264" s="110">
        <v>201.04499999999999</v>
      </c>
      <c r="T264" s="110">
        <v>158.77099999999999</v>
      </c>
      <c r="U264" s="110">
        <v>121.529</v>
      </c>
      <c r="V264" s="110">
        <v>81.936000000000007</v>
      </c>
      <c r="W264" s="110">
        <v>53.414999999999999</v>
      </c>
      <c r="X264" s="110">
        <v>26.388999999999999</v>
      </c>
      <c r="Y264" s="110">
        <v>8.7100000000000009</v>
      </c>
      <c r="Z264" s="110">
        <v>1.786</v>
      </c>
      <c r="AA264" s="110">
        <v>0.218</v>
      </c>
      <c r="AB264" s="110">
        <v>6.0000000000000001E-3</v>
      </c>
      <c r="AC264" s="115">
        <f t="shared" si="7"/>
        <v>4088.9540000000006</v>
      </c>
      <c r="AD264">
        <f t="shared" si="8"/>
        <v>1.0287882805883659</v>
      </c>
    </row>
    <row r="265" spans="1:30" x14ac:dyDescent="0.25">
      <c r="A265" s="104" t="str">
        <f t="shared" si="6"/>
        <v>Senegal2020</v>
      </c>
      <c r="C265" s="107" t="s">
        <v>257</v>
      </c>
      <c r="D265" s="108" t="s">
        <v>150</v>
      </c>
      <c r="E265" s="109"/>
      <c r="F265" s="109">
        <v>686</v>
      </c>
      <c r="G265" s="109">
        <v>2020</v>
      </c>
      <c r="H265" s="110">
        <v>1317.797</v>
      </c>
      <c r="I265" s="110">
        <v>1218.211</v>
      </c>
      <c r="J265" s="110">
        <v>1054.605</v>
      </c>
      <c r="K265" s="110">
        <v>888.56</v>
      </c>
      <c r="L265" s="110">
        <v>769.43</v>
      </c>
      <c r="M265" s="110">
        <v>679.61800000000005</v>
      </c>
      <c r="N265" s="110">
        <v>596.08399999999995</v>
      </c>
      <c r="O265" s="110">
        <v>516.36300000000006</v>
      </c>
      <c r="P265" s="110">
        <v>419.09100000000001</v>
      </c>
      <c r="Q265" s="110">
        <v>337.52300000000002</v>
      </c>
      <c r="R265" s="110">
        <v>264.27699999999999</v>
      </c>
      <c r="S265" s="110">
        <v>208.869</v>
      </c>
      <c r="T265" s="110">
        <v>164.31800000000001</v>
      </c>
      <c r="U265" s="110">
        <v>126.824</v>
      </c>
      <c r="V265" s="110">
        <v>85.375</v>
      </c>
      <c r="W265" s="110">
        <v>54.957000000000001</v>
      </c>
      <c r="X265" s="110">
        <v>26.969000000000001</v>
      </c>
      <c r="Y265" s="110">
        <v>8.5389999999999997</v>
      </c>
      <c r="Z265" s="110">
        <v>1.5009999999999999</v>
      </c>
      <c r="AA265" s="110">
        <v>0.124</v>
      </c>
      <c r="AB265" s="110">
        <v>6.0000000000000001E-3</v>
      </c>
      <c r="AC265" s="115">
        <f t="shared" si="7"/>
        <v>4206.668999999999</v>
      </c>
      <c r="AD265">
        <f t="shared" si="8"/>
        <v>1.028788536139071</v>
      </c>
    </row>
    <row r="266" spans="1:30" x14ac:dyDescent="0.25">
      <c r="A266" s="104" t="str">
        <f t="shared" si="6"/>
        <v>Senegal2021</v>
      </c>
      <c r="C266" s="107" t="s">
        <v>257</v>
      </c>
      <c r="D266" s="108" t="s">
        <v>150</v>
      </c>
      <c r="E266" s="109"/>
      <c r="F266" s="109">
        <v>686</v>
      </c>
      <c r="G266" s="109">
        <v>2021</v>
      </c>
      <c r="H266" s="110">
        <v>1328.623</v>
      </c>
      <c r="I266" s="110">
        <v>1244.1600000000001</v>
      </c>
      <c r="J266" s="110">
        <v>1088.8009999999999</v>
      </c>
      <c r="K266" s="110">
        <v>917.26599999999996</v>
      </c>
      <c r="L266" s="110">
        <v>788.18200000000002</v>
      </c>
      <c r="M266" s="110">
        <v>694.68899999999996</v>
      </c>
      <c r="N266" s="110">
        <v>610.548</v>
      </c>
      <c r="O266" s="110">
        <v>532.16800000000001</v>
      </c>
      <c r="P266" s="110">
        <v>436.45800000000003</v>
      </c>
      <c r="Q266" s="110">
        <v>351.54599999999999</v>
      </c>
      <c r="R266" s="110">
        <v>275.90199999999999</v>
      </c>
      <c r="S266" s="110">
        <v>216.78800000000001</v>
      </c>
      <c r="T266" s="110">
        <v>169.738</v>
      </c>
      <c r="U266" s="110">
        <v>130.94300000000001</v>
      </c>
      <c r="V266" s="110">
        <v>88.682000000000002</v>
      </c>
      <c r="W266" s="110">
        <v>56.085999999999999</v>
      </c>
      <c r="X266" s="110">
        <v>28.398</v>
      </c>
      <c r="Y266" s="110">
        <v>9.6150000000000002</v>
      </c>
      <c r="Z266" s="110">
        <v>1.865</v>
      </c>
      <c r="AA266" s="110">
        <v>0.16800000000000001</v>
      </c>
      <c r="AB266" s="110">
        <v>6.0000000000000001E-3</v>
      </c>
      <c r="AC266" s="115">
        <f t="shared" si="7"/>
        <v>4330.857</v>
      </c>
      <c r="AD266">
        <f t="shared" si="8"/>
        <v>1.0295216951939887</v>
      </c>
    </row>
    <row r="267" spans="1:30" x14ac:dyDescent="0.25">
      <c r="A267" s="104" t="str">
        <f t="shared" si="6"/>
        <v>Senegal2022</v>
      </c>
      <c r="C267" s="107" t="s">
        <v>257</v>
      </c>
      <c r="D267" s="108" t="s">
        <v>150</v>
      </c>
      <c r="E267" s="109"/>
      <c r="F267" s="109">
        <v>686</v>
      </c>
      <c r="G267" s="109">
        <v>2022</v>
      </c>
      <c r="H267" s="110">
        <v>1344.6849999999999</v>
      </c>
      <c r="I267" s="110">
        <v>1264.9090000000001</v>
      </c>
      <c r="J267" s="110">
        <v>1122.4469999999999</v>
      </c>
      <c r="K267" s="110">
        <v>948.01199999999994</v>
      </c>
      <c r="L267" s="110">
        <v>807.64099999999996</v>
      </c>
      <c r="M267" s="110">
        <v>709.44600000000003</v>
      </c>
      <c r="N267" s="110">
        <v>625.05899999999997</v>
      </c>
      <c r="O267" s="110">
        <v>546.41300000000001</v>
      </c>
      <c r="P267" s="110">
        <v>454.63799999999998</v>
      </c>
      <c r="Q267" s="110">
        <v>365.428</v>
      </c>
      <c r="R267" s="110">
        <v>288.358</v>
      </c>
      <c r="S267" s="110">
        <v>225.14500000000001</v>
      </c>
      <c r="T267" s="110">
        <v>175.77199999999999</v>
      </c>
      <c r="U267" s="110">
        <v>134.97900000000001</v>
      </c>
      <c r="V267" s="110">
        <v>92.84</v>
      </c>
      <c r="W267" s="110">
        <v>57.058</v>
      </c>
      <c r="X267" s="110">
        <v>29.614999999999998</v>
      </c>
      <c r="Y267" s="110">
        <v>10.384</v>
      </c>
      <c r="Z267" s="110">
        <v>2.141</v>
      </c>
      <c r="AA267" s="110">
        <v>0.245</v>
      </c>
      <c r="AB267" s="110">
        <v>7.0000000000000001E-3</v>
      </c>
      <c r="AC267" s="115">
        <f t="shared" si="7"/>
        <v>4456.6369999999997</v>
      </c>
      <c r="AD267">
        <f t="shared" si="8"/>
        <v>1.0290427506611277</v>
      </c>
    </row>
    <row r="268" spans="1:30" x14ac:dyDescent="0.25">
      <c r="A268" s="104" t="str">
        <f t="shared" si="6"/>
        <v>Senegal2023</v>
      </c>
      <c r="C268" s="107" t="s">
        <v>257</v>
      </c>
      <c r="D268" s="108" t="s">
        <v>150</v>
      </c>
      <c r="E268" s="109"/>
      <c r="F268" s="109">
        <v>686</v>
      </c>
      <c r="G268" s="109">
        <v>2023</v>
      </c>
      <c r="H268" s="110">
        <v>1364.4259999999999</v>
      </c>
      <c r="I268" s="110">
        <v>1280.81</v>
      </c>
      <c r="J268" s="110">
        <v>1155.184</v>
      </c>
      <c r="K268" s="110">
        <v>980.52499999999998</v>
      </c>
      <c r="L268" s="110">
        <v>828.54499999999996</v>
      </c>
      <c r="M268" s="110">
        <v>724.38900000000001</v>
      </c>
      <c r="N268" s="110">
        <v>639.62699999999995</v>
      </c>
      <c r="O268" s="110">
        <v>559.67499999999995</v>
      </c>
      <c r="P268" s="110">
        <v>473.06900000000002</v>
      </c>
      <c r="Q268" s="110">
        <v>379.56099999999998</v>
      </c>
      <c r="R268" s="110">
        <v>301.48700000000002</v>
      </c>
      <c r="S268" s="110">
        <v>234.10499999999999</v>
      </c>
      <c r="T268" s="110">
        <v>182.41</v>
      </c>
      <c r="U268" s="110">
        <v>139.19900000000001</v>
      </c>
      <c r="V268" s="110">
        <v>97.572999999999993</v>
      </c>
      <c r="W268" s="110">
        <v>58.293999999999997</v>
      </c>
      <c r="X268" s="110">
        <v>30.606000000000002</v>
      </c>
      <c r="Y268" s="110">
        <v>10.775</v>
      </c>
      <c r="Z268" s="110">
        <v>2.3250000000000002</v>
      </c>
      <c r="AA268" s="110">
        <v>0.30099999999999999</v>
      </c>
      <c r="AB268" s="110">
        <v>7.0000000000000001E-3</v>
      </c>
      <c r="AC268" s="115">
        <f t="shared" si="7"/>
        <v>4585.3909999999996</v>
      </c>
      <c r="AD268">
        <f t="shared" si="8"/>
        <v>1.0288903942591689</v>
      </c>
    </row>
    <row r="269" spans="1:30" x14ac:dyDescent="0.25">
      <c r="A269" s="104" t="str">
        <f t="shared" si="6"/>
        <v>Senegal2024</v>
      </c>
      <c r="C269" s="107" t="s">
        <v>257</v>
      </c>
      <c r="D269" s="108" t="s">
        <v>150</v>
      </c>
      <c r="E269" s="109"/>
      <c r="F269" s="109">
        <v>686</v>
      </c>
      <c r="G269" s="109">
        <v>2024</v>
      </c>
      <c r="H269" s="110">
        <v>1385.0530000000001</v>
      </c>
      <c r="I269" s="110">
        <v>1294.0150000000001</v>
      </c>
      <c r="J269" s="110">
        <v>1185.826</v>
      </c>
      <c r="K269" s="110">
        <v>1014.217</v>
      </c>
      <c r="L269" s="110">
        <v>851.89099999999996</v>
      </c>
      <c r="M269" s="110">
        <v>740.21299999999997</v>
      </c>
      <c r="N269" s="110">
        <v>654.16099999999994</v>
      </c>
      <c r="O269" s="110">
        <v>572.87300000000005</v>
      </c>
      <c r="P269" s="110">
        <v>490.87</v>
      </c>
      <c r="Q269" s="110">
        <v>394.56099999999998</v>
      </c>
      <c r="R269" s="110">
        <v>315.03199999999998</v>
      </c>
      <c r="S269" s="110">
        <v>243.92699999999999</v>
      </c>
      <c r="T269" s="110">
        <v>189.62299999999999</v>
      </c>
      <c r="U269" s="110">
        <v>143.97200000000001</v>
      </c>
      <c r="V269" s="110">
        <v>102.47</v>
      </c>
      <c r="W269" s="110">
        <v>60.241999999999997</v>
      </c>
      <c r="X269" s="110">
        <v>31.356000000000002</v>
      </c>
      <c r="Y269" s="110">
        <v>10.872</v>
      </c>
      <c r="Z269" s="110">
        <v>2.3079999999999998</v>
      </c>
      <c r="AA269" s="110">
        <v>0.29199999999999998</v>
      </c>
      <c r="AB269" s="110">
        <v>8.0000000000000002E-3</v>
      </c>
      <c r="AC269" s="115">
        <f t="shared" si="7"/>
        <v>4718.7860000000001</v>
      </c>
      <c r="AD269">
        <f t="shared" si="8"/>
        <v>1.0290913032280127</v>
      </c>
    </row>
    <row r="270" spans="1:30" x14ac:dyDescent="0.25">
      <c r="A270" s="104" t="str">
        <f t="shared" si="6"/>
        <v>Senegal2025</v>
      </c>
      <c r="C270" s="107" t="s">
        <v>257</v>
      </c>
      <c r="D270" s="108" t="s">
        <v>150</v>
      </c>
      <c r="E270" s="109"/>
      <c r="F270" s="109">
        <v>686</v>
      </c>
      <c r="G270" s="109">
        <v>2025</v>
      </c>
      <c r="H270" s="110">
        <v>1404.567</v>
      </c>
      <c r="I270" s="110">
        <v>1307.662</v>
      </c>
      <c r="J270" s="110">
        <v>1212.7570000000001</v>
      </c>
      <c r="K270" s="110">
        <v>1048.394</v>
      </c>
      <c r="L270" s="110">
        <v>878.19</v>
      </c>
      <c r="M270" s="110">
        <v>757.38099999999997</v>
      </c>
      <c r="N270" s="110">
        <v>668.60299999999995</v>
      </c>
      <c r="O270" s="110">
        <v>586.51900000000001</v>
      </c>
      <c r="P270" s="110">
        <v>507.47300000000001</v>
      </c>
      <c r="Q270" s="110">
        <v>410.70800000000003</v>
      </c>
      <c r="R270" s="110">
        <v>328.81299999999999</v>
      </c>
      <c r="S270" s="110">
        <v>254.73599999999999</v>
      </c>
      <c r="T270" s="110">
        <v>197.4</v>
      </c>
      <c r="U270" s="110">
        <v>149.482</v>
      </c>
      <c r="V270" s="110">
        <v>107.321</v>
      </c>
      <c r="W270" s="110">
        <v>63.095999999999997</v>
      </c>
      <c r="X270" s="110">
        <v>31.972999999999999</v>
      </c>
      <c r="Y270" s="110">
        <v>10.728999999999999</v>
      </c>
      <c r="Z270" s="110">
        <v>1.994</v>
      </c>
      <c r="AA270" s="110">
        <v>0.17599999999999999</v>
      </c>
      <c r="AB270" s="110">
        <v>8.0000000000000002E-3</v>
      </c>
      <c r="AC270" s="115">
        <f t="shared" si="7"/>
        <v>4857.268</v>
      </c>
      <c r="AD270">
        <f t="shared" si="8"/>
        <v>1.0293469549159466</v>
      </c>
    </row>
    <row r="271" spans="1:30" x14ac:dyDescent="0.25">
      <c r="A271" s="104" t="str">
        <f t="shared" si="6"/>
        <v>Senegal2026</v>
      </c>
      <c r="C271" s="107" t="s">
        <v>257</v>
      </c>
      <c r="D271" s="108" t="s">
        <v>150</v>
      </c>
      <c r="E271" s="109"/>
      <c r="F271" s="109">
        <v>686</v>
      </c>
      <c r="G271" s="109">
        <v>2026</v>
      </c>
      <c r="H271" s="110">
        <v>1426.348</v>
      </c>
      <c r="I271" s="110">
        <v>1323.529</v>
      </c>
      <c r="J271" s="110">
        <v>1235.4380000000001</v>
      </c>
      <c r="K271" s="110">
        <v>1081.806</v>
      </c>
      <c r="L271" s="110">
        <v>906.61599999999999</v>
      </c>
      <c r="M271" s="110">
        <v>775.88699999999994</v>
      </c>
      <c r="N271" s="110">
        <v>683.25800000000004</v>
      </c>
      <c r="O271" s="110">
        <v>600.51700000000005</v>
      </c>
      <c r="P271" s="110">
        <v>522.83100000000002</v>
      </c>
      <c r="Q271" s="110">
        <v>427.55099999999999</v>
      </c>
      <c r="R271" s="110">
        <v>342.32</v>
      </c>
      <c r="S271" s="110">
        <v>265.79300000000001</v>
      </c>
      <c r="T271" s="110">
        <v>204.71</v>
      </c>
      <c r="U271" s="110">
        <v>154.31</v>
      </c>
      <c r="V271" s="110">
        <v>110.747</v>
      </c>
      <c r="W271" s="110">
        <v>65.962999999999994</v>
      </c>
      <c r="X271" s="110">
        <v>33.250999999999998</v>
      </c>
      <c r="Y271" s="110">
        <v>11.955</v>
      </c>
      <c r="Z271" s="110">
        <v>2.4649999999999999</v>
      </c>
      <c r="AA271" s="110">
        <v>0.23200000000000001</v>
      </c>
      <c r="AB271" s="110">
        <v>8.0000000000000002E-3</v>
      </c>
      <c r="AC271" s="115">
        <f t="shared" si="7"/>
        <v>4998.4660000000003</v>
      </c>
      <c r="AD271">
        <f t="shared" si="8"/>
        <v>1.0290694275053385</v>
      </c>
    </row>
    <row r="272" spans="1:30" x14ac:dyDescent="0.25">
      <c r="A272" s="104" t="str">
        <f t="shared" si="6"/>
        <v>Senegal2027</v>
      </c>
      <c r="C272" s="107" t="s">
        <v>257</v>
      </c>
      <c r="D272" s="108" t="s">
        <v>150</v>
      </c>
      <c r="E272" s="109"/>
      <c r="F272" s="109">
        <v>686</v>
      </c>
      <c r="G272" s="109">
        <v>2027</v>
      </c>
      <c r="H272" s="110">
        <v>1446.3330000000001</v>
      </c>
      <c r="I272" s="110">
        <v>1340.4929999999999</v>
      </c>
      <c r="J272" s="110">
        <v>1254.6400000000001</v>
      </c>
      <c r="K272" s="110">
        <v>1115.7529999999999</v>
      </c>
      <c r="L272" s="110">
        <v>937.55899999999997</v>
      </c>
      <c r="M272" s="110">
        <v>795.56299999999999</v>
      </c>
      <c r="N272" s="110">
        <v>698.11699999999996</v>
      </c>
      <c r="O272" s="110">
        <v>615.03800000000001</v>
      </c>
      <c r="P272" s="110">
        <v>537.06799999999998</v>
      </c>
      <c r="Q272" s="110">
        <v>445.55399999999997</v>
      </c>
      <c r="R272" s="110">
        <v>356.00200000000001</v>
      </c>
      <c r="S272" s="110">
        <v>277.93200000000002</v>
      </c>
      <c r="T272" s="110">
        <v>212.696</v>
      </c>
      <c r="U272" s="110">
        <v>159.90199999999999</v>
      </c>
      <c r="V272" s="110">
        <v>114.258</v>
      </c>
      <c r="W272" s="110">
        <v>69.349999999999994</v>
      </c>
      <c r="X272" s="110">
        <v>34.191000000000003</v>
      </c>
      <c r="Y272" s="110">
        <v>12.879</v>
      </c>
      <c r="Z272" s="110">
        <v>2.8170000000000002</v>
      </c>
      <c r="AA272" s="110">
        <v>0.33400000000000002</v>
      </c>
      <c r="AB272" s="110">
        <v>8.9999999999999993E-3</v>
      </c>
      <c r="AC272" s="115">
        <f t="shared" si="7"/>
        <v>5144.652000000001</v>
      </c>
      <c r="AD272">
        <f t="shared" si="8"/>
        <v>1.0292461727257924</v>
      </c>
    </row>
    <row r="273" spans="1:30" x14ac:dyDescent="0.25">
      <c r="A273" s="104" t="str">
        <f t="shared" si="6"/>
        <v>Senegal2028</v>
      </c>
      <c r="C273" s="107" t="s">
        <v>257</v>
      </c>
      <c r="D273" s="108" t="s">
        <v>150</v>
      </c>
      <c r="E273" s="109"/>
      <c r="F273" s="109">
        <v>686</v>
      </c>
      <c r="G273" s="109">
        <v>2028</v>
      </c>
      <c r="H273" s="110">
        <v>1465.079</v>
      </c>
      <c r="I273" s="110">
        <v>1358.662</v>
      </c>
      <c r="J273" s="110">
        <v>1271.184</v>
      </c>
      <c r="K273" s="110">
        <v>1149.03</v>
      </c>
      <c r="L273" s="110">
        <v>970.41700000000003</v>
      </c>
      <c r="M273" s="110">
        <v>816.851</v>
      </c>
      <c r="N273" s="110">
        <v>713.43499999999995</v>
      </c>
      <c r="O273" s="110">
        <v>629.904</v>
      </c>
      <c r="P273" s="110">
        <v>550.56500000000005</v>
      </c>
      <c r="Q273" s="110">
        <v>464.03800000000001</v>
      </c>
      <c r="R273" s="110">
        <v>370.12099999999998</v>
      </c>
      <c r="S273" s="110">
        <v>290.90899999999999</v>
      </c>
      <c r="T273" s="110">
        <v>221.45599999999999</v>
      </c>
      <c r="U273" s="110">
        <v>166.21600000000001</v>
      </c>
      <c r="V273" s="110">
        <v>118.122</v>
      </c>
      <c r="W273" s="110">
        <v>73.096000000000004</v>
      </c>
      <c r="X273" s="110">
        <v>35.064</v>
      </c>
      <c r="Y273" s="110">
        <v>13.381</v>
      </c>
      <c r="Z273" s="110">
        <v>3.044</v>
      </c>
      <c r="AA273" s="110">
        <v>0.40899999999999997</v>
      </c>
      <c r="AB273" s="110">
        <v>0.01</v>
      </c>
      <c r="AC273" s="115">
        <f t="shared" si="7"/>
        <v>5294.2400000000016</v>
      </c>
      <c r="AD273">
        <f t="shared" si="8"/>
        <v>1.0290764078892023</v>
      </c>
    </row>
    <row r="274" spans="1:30" x14ac:dyDescent="0.25">
      <c r="A274" s="104" t="str">
        <f t="shared" si="6"/>
        <v>Senegal2029</v>
      </c>
      <c r="C274" s="107" t="s">
        <v>257</v>
      </c>
      <c r="D274" s="108" t="s">
        <v>150</v>
      </c>
      <c r="E274" s="109"/>
      <c r="F274" s="109">
        <v>686</v>
      </c>
      <c r="G274" s="109">
        <v>2029</v>
      </c>
      <c r="H274" s="110">
        <v>1484.182</v>
      </c>
      <c r="I274" s="110">
        <v>1377.386</v>
      </c>
      <c r="J274" s="110">
        <v>1286.7619999999999</v>
      </c>
      <c r="K274" s="110">
        <v>1179.7670000000001</v>
      </c>
      <c r="L274" s="110">
        <v>1004.202</v>
      </c>
      <c r="M274" s="110">
        <v>840.35799999999995</v>
      </c>
      <c r="N274" s="110">
        <v>729.54399999999998</v>
      </c>
      <c r="O274" s="110">
        <v>644.72</v>
      </c>
      <c r="P274" s="110">
        <v>563.96500000000003</v>
      </c>
      <c r="Q274" s="110">
        <v>481.923</v>
      </c>
      <c r="R274" s="110">
        <v>385.10899999999998</v>
      </c>
      <c r="S274" s="110">
        <v>304.33600000000001</v>
      </c>
      <c r="T274" s="110">
        <v>231.13399999999999</v>
      </c>
      <c r="U274" s="110">
        <v>173.179</v>
      </c>
      <c r="V274" s="110">
        <v>122.616</v>
      </c>
      <c r="W274" s="110">
        <v>76.932000000000002</v>
      </c>
      <c r="X274" s="110">
        <v>36.197000000000003</v>
      </c>
      <c r="Y274" s="110">
        <v>13.496</v>
      </c>
      <c r="Z274" s="110">
        <v>3.02</v>
      </c>
      <c r="AA274" s="110">
        <v>0.39700000000000002</v>
      </c>
      <c r="AB274" s="110">
        <v>0.01</v>
      </c>
      <c r="AC274" s="115">
        <f t="shared" si="7"/>
        <v>5444.4790000000003</v>
      </c>
      <c r="AD274">
        <f t="shared" si="8"/>
        <v>1.0283778219347817</v>
      </c>
    </row>
    <row r="275" spans="1:30" x14ac:dyDescent="0.25">
      <c r="A275" s="104" t="str">
        <f t="shared" si="6"/>
        <v>Senegal2030</v>
      </c>
      <c r="C275" s="107" t="s">
        <v>257</v>
      </c>
      <c r="D275" s="108" t="s">
        <v>150</v>
      </c>
      <c r="E275" s="109"/>
      <c r="F275" s="109">
        <v>686</v>
      </c>
      <c r="G275" s="109">
        <v>2030</v>
      </c>
      <c r="H275" s="110">
        <v>1504.877</v>
      </c>
      <c r="I275" s="110">
        <v>1395.6320000000001</v>
      </c>
      <c r="J275" s="110">
        <v>1302.809</v>
      </c>
      <c r="K275" s="110">
        <v>1206.7819999999999</v>
      </c>
      <c r="L275" s="110">
        <v>1038.1849999999999</v>
      </c>
      <c r="M275" s="110">
        <v>866.447</v>
      </c>
      <c r="N275" s="110">
        <v>746.73500000000001</v>
      </c>
      <c r="O275" s="110">
        <v>659.29200000000003</v>
      </c>
      <c r="P275" s="110">
        <v>577.69399999999996</v>
      </c>
      <c r="Q275" s="110">
        <v>498.54899999999998</v>
      </c>
      <c r="R275" s="110">
        <v>401.185</v>
      </c>
      <c r="S275" s="110">
        <v>317.98099999999999</v>
      </c>
      <c r="T275" s="110">
        <v>241.804</v>
      </c>
      <c r="U275" s="110">
        <v>180.761</v>
      </c>
      <c r="V275" s="110">
        <v>127.857</v>
      </c>
      <c r="W275" s="110">
        <v>80.766000000000005</v>
      </c>
      <c r="X275" s="110">
        <v>37.795000000000002</v>
      </c>
      <c r="Y275" s="110">
        <v>13.285</v>
      </c>
      <c r="Z275" s="110">
        <v>2.653</v>
      </c>
      <c r="AA275" s="110">
        <v>0.249</v>
      </c>
      <c r="AB275" s="110">
        <v>1.0999999999999999E-2</v>
      </c>
      <c r="AC275" s="115">
        <f t="shared" si="7"/>
        <v>5593.6840000000002</v>
      </c>
      <c r="AD275">
        <f t="shared" si="8"/>
        <v>1.0274048260632469</v>
      </c>
    </row>
    <row r="276" spans="1:30" x14ac:dyDescent="0.25">
      <c r="A276" s="104" t="str">
        <f t="shared" si="6"/>
        <v>Senegal2031</v>
      </c>
      <c r="C276" s="107" t="s">
        <v>257</v>
      </c>
      <c r="D276" s="108" t="s">
        <v>150</v>
      </c>
      <c r="E276" s="109"/>
      <c r="F276" s="109">
        <v>686</v>
      </c>
      <c r="G276" s="109">
        <v>2031</v>
      </c>
      <c r="H276" s="110">
        <v>1527.9069999999999</v>
      </c>
      <c r="I276" s="110">
        <v>1414.7639999999999</v>
      </c>
      <c r="J276" s="110">
        <v>1319.473</v>
      </c>
      <c r="K276" s="110">
        <v>1229.529</v>
      </c>
      <c r="L276" s="110">
        <v>1072.181</v>
      </c>
      <c r="M276" s="110">
        <v>895.32600000000002</v>
      </c>
      <c r="N276" s="110">
        <v>765.46</v>
      </c>
      <c r="O276" s="110">
        <v>674.05899999999997</v>
      </c>
      <c r="P276" s="110">
        <v>591.78899999999999</v>
      </c>
      <c r="Q276" s="110">
        <v>513.84400000000005</v>
      </c>
      <c r="R276" s="110">
        <v>417.83499999999998</v>
      </c>
      <c r="S276" s="110">
        <v>331.13900000000001</v>
      </c>
      <c r="T276" s="110">
        <v>252.328</v>
      </c>
      <c r="U276" s="110">
        <v>187.46600000000001</v>
      </c>
      <c r="V276" s="110">
        <v>132.10900000000001</v>
      </c>
      <c r="W276" s="110">
        <v>83.686000000000007</v>
      </c>
      <c r="X276" s="110">
        <v>40.405999999999999</v>
      </c>
      <c r="Y276" s="110">
        <v>14.499000000000001</v>
      </c>
      <c r="Z276" s="110">
        <v>3.2490000000000001</v>
      </c>
      <c r="AA276" s="110">
        <v>0.32500000000000001</v>
      </c>
      <c r="AB276" s="110">
        <v>1.2E-2</v>
      </c>
      <c r="AC276" s="115">
        <f t="shared" si="7"/>
        <v>5742.1880000000001</v>
      </c>
      <c r="AD276">
        <f t="shared" si="8"/>
        <v>1.0265485143601247</v>
      </c>
    </row>
    <row r="277" spans="1:30" x14ac:dyDescent="0.25">
      <c r="A277" s="104" t="str">
        <f t="shared" si="6"/>
        <v>Senegal2032</v>
      </c>
      <c r="C277" s="107" t="s">
        <v>257</v>
      </c>
      <c r="D277" s="108" t="s">
        <v>150</v>
      </c>
      <c r="E277" s="109"/>
      <c r="F277" s="109">
        <v>686</v>
      </c>
      <c r="G277" s="109">
        <v>2032</v>
      </c>
      <c r="H277" s="110">
        <v>1550.9780000000001</v>
      </c>
      <c r="I277" s="110">
        <v>1434.567</v>
      </c>
      <c r="J277" s="110">
        <v>1336.835</v>
      </c>
      <c r="K277" s="110">
        <v>1248.4760000000001</v>
      </c>
      <c r="L277" s="110">
        <v>1106.3720000000001</v>
      </c>
      <c r="M277" s="110">
        <v>926.46699999999998</v>
      </c>
      <c r="N277" s="110">
        <v>785.23099999999999</v>
      </c>
      <c r="O277" s="110">
        <v>688.95299999999997</v>
      </c>
      <c r="P277" s="110">
        <v>606.34</v>
      </c>
      <c r="Q277" s="110">
        <v>528.00900000000001</v>
      </c>
      <c r="R277" s="110">
        <v>435.62400000000002</v>
      </c>
      <c r="S277" s="110">
        <v>344.512</v>
      </c>
      <c r="T277" s="110">
        <v>263.97899999999998</v>
      </c>
      <c r="U277" s="110">
        <v>194.89</v>
      </c>
      <c r="V277" s="110">
        <v>137.03299999999999</v>
      </c>
      <c r="W277" s="110">
        <v>86.575999999999993</v>
      </c>
      <c r="X277" s="110">
        <v>43.011000000000003</v>
      </c>
      <c r="Y277" s="110">
        <v>15.288</v>
      </c>
      <c r="Z277" s="110">
        <v>3.706</v>
      </c>
      <c r="AA277" s="110">
        <v>0.45900000000000002</v>
      </c>
      <c r="AB277" s="110">
        <v>1.2999999999999999E-2</v>
      </c>
      <c r="AC277" s="115">
        <f t="shared" si="7"/>
        <v>5889.848</v>
      </c>
      <c r="AD277">
        <f t="shared" si="8"/>
        <v>1.0257149365363865</v>
      </c>
    </row>
    <row r="278" spans="1:30" x14ac:dyDescent="0.25">
      <c r="A278" s="104" t="str">
        <f t="shared" si="6"/>
        <v>Senegal2033</v>
      </c>
      <c r="C278" s="107" t="s">
        <v>257</v>
      </c>
      <c r="D278" s="108" t="s">
        <v>150</v>
      </c>
      <c r="E278" s="109"/>
      <c r="F278" s="109">
        <v>686</v>
      </c>
      <c r="G278" s="109">
        <v>2033</v>
      </c>
      <c r="H278" s="110">
        <v>1574.325</v>
      </c>
      <c r="I278" s="110">
        <v>1454.972</v>
      </c>
      <c r="J278" s="110">
        <v>1354.742</v>
      </c>
      <c r="K278" s="110">
        <v>1264.866</v>
      </c>
      <c r="L278" s="110">
        <v>1139.539</v>
      </c>
      <c r="M278" s="110">
        <v>959.25</v>
      </c>
      <c r="N278" s="110">
        <v>806.49800000000005</v>
      </c>
      <c r="O278" s="110">
        <v>704.25800000000004</v>
      </c>
      <c r="P278" s="110">
        <v>621.16200000000003</v>
      </c>
      <c r="Q278" s="110">
        <v>541.44000000000005</v>
      </c>
      <c r="R278" s="110">
        <v>453.87299999999999</v>
      </c>
      <c r="S278" s="110">
        <v>358.36200000000002</v>
      </c>
      <c r="T278" s="110">
        <v>276.52300000000002</v>
      </c>
      <c r="U278" s="110">
        <v>203.14400000000001</v>
      </c>
      <c r="V278" s="110">
        <v>142.679</v>
      </c>
      <c r="W278" s="110">
        <v>89.759</v>
      </c>
      <c r="X278" s="110">
        <v>45.473999999999997</v>
      </c>
      <c r="Y278" s="110">
        <v>15.723000000000001</v>
      </c>
      <c r="Z278" s="110">
        <v>3.988</v>
      </c>
      <c r="AA278" s="110">
        <v>0.56100000000000005</v>
      </c>
      <c r="AB278" s="110">
        <v>1.4E-2</v>
      </c>
      <c r="AC278" s="115">
        <f t="shared" si="7"/>
        <v>6037.0130000000008</v>
      </c>
      <c r="AD278">
        <f t="shared" si="8"/>
        <v>1.0249862135661227</v>
      </c>
    </row>
    <row r="279" spans="1:30" x14ac:dyDescent="0.25">
      <c r="A279" s="104" t="str">
        <f t="shared" si="6"/>
        <v>Senegal2034</v>
      </c>
      <c r="C279" s="107" t="s">
        <v>257</v>
      </c>
      <c r="D279" s="108" t="s">
        <v>150</v>
      </c>
      <c r="E279" s="109"/>
      <c r="F279" s="109">
        <v>686</v>
      </c>
      <c r="G279" s="109">
        <v>2034</v>
      </c>
      <c r="H279" s="110">
        <v>1597.8630000000001</v>
      </c>
      <c r="I279" s="110">
        <v>1475.828</v>
      </c>
      <c r="J279" s="110">
        <v>1372.931</v>
      </c>
      <c r="K279" s="110">
        <v>1280.704</v>
      </c>
      <c r="L279" s="110">
        <v>1170.01</v>
      </c>
      <c r="M279" s="110">
        <v>992.82100000000003</v>
      </c>
      <c r="N279" s="110">
        <v>829.96199999999999</v>
      </c>
      <c r="O279" s="110">
        <v>720.39400000000001</v>
      </c>
      <c r="P279" s="110">
        <v>635.95100000000002</v>
      </c>
      <c r="Q279" s="110">
        <v>554.84199999999998</v>
      </c>
      <c r="R279" s="110">
        <v>471.584</v>
      </c>
      <c r="S279" s="110">
        <v>373.14800000000002</v>
      </c>
      <c r="T279" s="110">
        <v>289.62099999999998</v>
      </c>
      <c r="U279" s="110">
        <v>212.41499999999999</v>
      </c>
      <c r="V279" s="110">
        <v>149.06</v>
      </c>
      <c r="W279" s="110">
        <v>93.491</v>
      </c>
      <c r="X279" s="110">
        <v>47.686999999999998</v>
      </c>
      <c r="Y279" s="110">
        <v>16.05</v>
      </c>
      <c r="Z279" s="110">
        <v>3.9460000000000002</v>
      </c>
      <c r="AA279" s="110">
        <v>0.54700000000000004</v>
      </c>
      <c r="AB279" s="110">
        <v>1.6E-2</v>
      </c>
      <c r="AC279" s="115">
        <f t="shared" si="7"/>
        <v>6184.6839999999993</v>
      </c>
      <c r="AD279">
        <f t="shared" si="8"/>
        <v>1.0244609378843474</v>
      </c>
    </row>
    <row r="280" spans="1:30" x14ac:dyDescent="0.25">
      <c r="A280" s="104" t="str">
        <f t="shared" si="6"/>
        <v>Senegal2035</v>
      </c>
      <c r="C280" s="107" t="s">
        <v>257</v>
      </c>
      <c r="D280" s="108" t="s">
        <v>150</v>
      </c>
      <c r="E280" s="109"/>
      <c r="F280" s="109">
        <v>686</v>
      </c>
      <c r="G280" s="109">
        <v>2035</v>
      </c>
      <c r="H280" s="110">
        <v>1621.693</v>
      </c>
      <c r="I280" s="110">
        <v>1496.857</v>
      </c>
      <c r="J280" s="110">
        <v>1391.306</v>
      </c>
      <c r="K280" s="110">
        <v>1297.2460000000001</v>
      </c>
      <c r="L280" s="110">
        <v>1196.81</v>
      </c>
      <c r="M280" s="110">
        <v>1026.521</v>
      </c>
      <c r="N280" s="110">
        <v>855.98</v>
      </c>
      <c r="O280" s="110">
        <v>737.66300000000001</v>
      </c>
      <c r="P280" s="110">
        <v>650.57100000000003</v>
      </c>
      <c r="Q280" s="110">
        <v>568.64599999999996</v>
      </c>
      <c r="R280" s="110">
        <v>488.14</v>
      </c>
      <c r="S280" s="110">
        <v>389.09300000000002</v>
      </c>
      <c r="T280" s="110">
        <v>303.06599999999997</v>
      </c>
      <c r="U280" s="110">
        <v>222.79300000000001</v>
      </c>
      <c r="V280" s="110">
        <v>156.18</v>
      </c>
      <c r="W280" s="110">
        <v>97.885999999999996</v>
      </c>
      <c r="X280" s="110">
        <v>49.765999999999998</v>
      </c>
      <c r="Y280" s="110">
        <v>16.381</v>
      </c>
      <c r="Z280" s="110">
        <v>3.476</v>
      </c>
      <c r="AA280" s="110">
        <v>0.35299999999999998</v>
      </c>
      <c r="AB280" s="110">
        <v>1.7000000000000001E-2</v>
      </c>
      <c r="AC280" s="115">
        <f t="shared" si="7"/>
        <v>6333.4370000000008</v>
      </c>
      <c r="AD280">
        <f t="shared" si="8"/>
        <v>1.0240518351463068</v>
      </c>
    </row>
    <row r="281" spans="1:30" x14ac:dyDescent="0.25">
      <c r="A281" s="104" t="str">
        <f t="shared" ref="A281:A344" si="9">D281&amp;G281</f>
        <v>Senegal2036</v>
      </c>
      <c r="C281" s="107" t="s">
        <v>257</v>
      </c>
      <c r="D281" s="108" t="s">
        <v>150</v>
      </c>
      <c r="E281" s="109"/>
      <c r="F281" s="109">
        <v>686</v>
      </c>
      <c r="G281" s="109">
        <v>2036</v>
      </c>
      <c r="H281" s="110">
        <v>1647.3050000000001</v>
      </c>
      <c r="I281" s="110">
        <v>1519.3720000000001</v>
      </c>
      <c r="J281" s="110">
        <v>1410.308</v>
      </c>
      <c r="K281" s="110">
        <v>1313.7560000000001</v>
      </c>
      <c r="L281" s="110">
        <v>1219.9079999999999</v>
      </c>
      <c r="M281" s="110">
        <v>1060.742</v>
      </c>
      <c r="N281" s="110">
        <v>884.84400000000005</v>
      </c>
      <c r="O281" s="110">
        <v>756.30700000000002</v>
      </c>
      <c r="P281" s="110">
        <v>665.28300000000002</v>
      </c>
      <c r="Q281" s="110">
        <v>582.59400000000005</v>
      </c>
      <c r="R281" s="110">
        <v>503.173</v>
      </c>
      <c r="S281" s="110">
        <v>405.26799999999997</v>
      </c>
      <c r="T281" s="110">
        <v>315.51400000000001</v>
      </c>
      <c r="U281" s="110">
        <v>232.441</v>
      </c>
      <c r="V281" s="110">
        <v>162.00700000000001</v>
      </c>
      <c r="W281" s="110">
        <v>101.55</v>
      </c>
      <c r="X281" s="110">
        <v>52.411000000000001</v>
      </c>
      <c r="Y281" s="110">
        <v>18.451000000000001</v>
      </c>
      <c r="Z281" s="110">
        <v>4.1120000000000001</v>
      </c>
      <c r="AA281" s="110">
        <v>0.45600000000000002</v>
      </c>
      <c r="AB281" s="110">
        <v>1.7999999999999999E-2</v>
      </c>
      <c r="AC281" s="115">
        <f t="shared" ref="AC281:AC344" si="10">SUM(K281:Q281)</f>
        <v>6483.4340000000002</v>
      </c>
      <c r="AD281">
        <f t="shared" ref="AD281:AD344" si="11">IF(D281=D280,AC281/AC280,"")</f>
        <v>1.0236833491830739</v>
      </c>
    </row>
    <row r="282" spans="1:30" x14ac:dyDescent="0.25">
      <c r="A282" s="104" t="str">
        <f t="shared" si="9"/>
        <v>Senegal2037</v>
      </c>
      <c r="C282" s="107" t="s">
        <v>257</v>
      </c>
      <c r="D282" s="108" t="s">
        <v>150</v>
      </c>
      <c r="E282" s="109"/>
      <c r="F282" s="109">
        <v>686</v>
      </c>
      <c r="G282" s="109">
        <v>2037</v>
      </c>
      <c r="H282" s="110">
        <v>1672.0260000000001</v>
      </c>
      <c r="I282" s="110">
        <v>1542.6379999999999</v>
      </c>
      <c r="J282" s="110">
        <v>1430.0519999999999</v>
      </c>
      <c r="K282" s="110">
        <v>1330.961</v>
      </c>
      <c r="L282" s="110">
        <v>1239.0899999999999</v>
      </c>
      <c r="M282" s="110">
        <v>1095.0899999999999</v>
      </c>
      <c r="N282" s="110">
        <v>915.98900000000003</v>
      </c>
      <c r="O282" s="110">
        <v>776.05100000000004</v>
      </c>
      <c r="P282" s="110">
        <v>680.17899999999997</v>
      </c>
      <c r="Q282" s="110">
        <v>597.06100000000004</v>
      </c>
      <c r="R282" s="110">
        <v>517.19299999999998</v>
      </c>
      <c r="S282" s="110">
        <v>422.678</v>
      </c>
      <c r="T282" s="110">
        <v>328.35</v>
      </c>
      <c r="U282" s="110">
        <v>243.3</v>
      </c>
      <c r="V282" s="110">
        <v>168.536</v>
      </c>
      <c r="W282" s="110">
        <v>105.59399999999999</v>
      </c>
      <c r="X282" s="110">
        <v>54.747</v>
      </c>
      <c r="Y282" s="110">
        <v>20.154</v>
      </c>
      <c r="Z282" s="110">
        <v>4.5579999999999998</v>
      </c>
      <c r="AA282" s="110">
        <v>0.63500000000000001</v>
      </c>
      <c r="AB282" s="110">
        <v>0.02</v>
      </c>
      <c r="AC282" s="115">
        <f t="shared" si="10"/>
        <v>6634.4209999999994</v>
      </c>
      <c r="AD282">
        <f t="shared" si="11"/>
        <v>1.0232881216960024</v>
      </c>
    </row>
    <row r="283" spans="1:30" x14ac:dyDescent="0.25">
      <c r="A283" s="104" t="str">
        <f t="shared" si="9"/>
        <v>Senegal2038</v>
      </c>
      <c r="C283" s="107" t="s">
        <v>257</v>
      </c>
      <c r="D283" s="108" t="s">
        <v>150</v>
      </c>
      <c r="E283" s="109"/>
      <c r="F283" s="109">
        <v>686</v>
      </c>
      <c r="G283" s="109">
        <v>2038</v>
      </c>
      <c r="H283" s="110">
        <v>1696.0309999999999</v>
      </c>
      <c r="I283" s="110">
        <v>1566.4829999999999</v>
      </c>
      <c r="J283" s="110">
        <v>1450.4259999999999</v>
      </c>
      <c r="K283" s="110">
        <v>1348.896</v>
      </c>
      <c r="L283" s="110">
        <v>1255.559</v>
      </c>
      <c r="M283" s="110">
        <v>1128.317</v>
      </c>
      <c r="N283" s="110">
        <v>948.8</v>
      </c>
      <c r="O283" s="110">
        <v>797.35500000000002</v>
      </c>
      <c r="P283" s="110">
        <v>695.51900000000001</v>
      </c>
      <c r="Q283" s="110">
        <v>611.875</v>
      </c>
      <c r="R283" s="110">
        <v>530.57399999999996</v>
      </c>
      <c r="S283" s="110">
        <v>440.642</v>
      </c>
      <c r="T283" s="110">
        <v>341.82499999999999</v>
      </c>
      <c r="U283" s="110">
        <v>255.15899999999999</v>
      </c>
      <c r="V283" s="110">
        <v>175.964</v>
      </c>
      <c r="W283" s="110">
        <v>110.203</v>
      </c>
      <c r="X283" s="110">
        <v>56.975000000000001</v>
      </c>
      <c r="Y283" s="110">
        <v>21.314</v>
      </c>
      <c r="Z283" s="110">
        <v>4.8639999999999999</v>
      </c>
      <c r="AA283" s="110">
        <v>0.76600000000000001</v>
      </c>
      <c r="AB283" s="110">
        <v>2.1000000000000001E-2</v>
      </c>
      <c r="AC283" s="115">
        <f t="shared" si="10"/>
        <v>6786.3209999999999</v>
      </c>
      <c r="AD283">
        <f t="shared" si="11"/>
        <v>1.0228957432758639</v>
      </c>
    </row>
    <row r="284" spans="1:30" x14ac:dyDescent="0.25">
      <c r="A284" s="104" t="str">
        <f t="shared" si="9"/>
        <v>Senegal2039</v>
      </c>
      <c r="C284" s="107" t="s">
        <v>257</v>
      </c>
      <c r="D284" s="108" t="s">
        <v>150</v>
      </c>
      <c r="E284" s="109"/>
      <c r="F284" s="109">
        <v>686</v>
      </c>
      <c r="G284" s="109">
        <v>2039</v>
      </c>
      <c r="H284" s="110">
        <v>1719.521</v>
      </c>
      <c r="I284" s="110">
        <v>1590.5519999999999</v>
      </c>
      <c r="J284" s="110">
        <v>1471.376</v>
      </c>
      <c r="K284" s="110">
        <v>1367.3340000000001</v>
      </c>
      <c r="L284" s="110">
        <v>1271.3109999999999</v>
      </c>
      <c r="M284" s="110">
        <v>1158.71</v>
      </c>
      <c r="N284" s="110">
        <v>982.37900000000002</v>
      </c>
      <c r="O284" s="110">
        <v>820.88099999999997</v>
      </c>
      <c r="P284" s="110">
        <v>711.697</v>
      </c>
      <c r="Q284" s="110">
        <v>626.71400000000006</v>
      </c>
      <c r="R284" s="110">
        <v>543.97900000000004</v>
      </c>
      <c r="S284" s="110">
        <v>458.15800000000002</v>
      </c>
      <c r="T284" s="110">
        <v>356.36700000000002</v>
      </c>
      <c r="U284" s="110">
        <v>267.71199999999999</v>
      </c>
      <c r="V284" s="110">
        <v>184.50800000000001</v>
      </c>
      <c r="W284" s="110">
        <v>115.471</v>
      </c>
      <c r="X284" s="110">
        <v>59.286999999999999</v>
      </c>
      <c r="Y284" s="110">
        <v>22.042000000000002</v>
      </c>
      <c r="Z284" s="110">
        <v>4.8789999999999996</v>
      </c>
      <c r="AA284" s="110">
        <v>0.748</v>
      </c>
      <c r="AB284" s="110">
        <v>2.3E-2</v>
      </c>
      <c r="AC284" s="115">
        <f t="shared" si="10"/>
        <v>6939.0260000000007</v>
      </c>
      <c r="AD284">
        <f t="shared" si="11"/>
        <v>1.0225018828316552</v>
      </c>
    </row>
    <row r="285" spans="1:30" x14ac:dyDescent="0.25">
      <c r="A285" s="104" t="str">
        <f t="shared" si="9"/>
        <v>Senegal2040</v>
      </c>
      <c r="C285" s="107" t="s">
        <v>257</v>
      </c>
      <c r="D285" s="108" t="s">
        <v>150</v>
      </c>
      <c r="E285" s="109"/>
      <c r="F285" s="109">
        <v>686</v>
      </c>
      <c r="G285" s="109">
        <v>2040</v>
      </c>
      <c r="H285" s="110">
        <v>1742.7090000000001</v>
      </c>
      <c r="I285" s="110">
        <v>1614.366</v>
      </c>
      <c r="J285" s="110">
        <v>1492.921</v>
      </c>
      <c r="K285" s="110">
        <v>1386.096</v>
      </c>
      <c r="L285" s="110">
        <v>1287.711</v>
      </c>
      <c r="M285" s="110">
        <v>1185.288</v>
      </c>
      <c r="N285" s="110">
        <v>1016.0069999999999</v>
      </c>
      <c r="O285" s="110">
        <v>846.95399999999995</v>
      </c>
      <c r="P285" s="110">
        <v>729.01900000000001</v>
      </c>
      <c r="Q285" s="110">
        <v>641.42200000000003</v>
      </c>
      <c r="R285" s="110">
        <v>557.827</v>
      </c>
      <c r="S285" s="110">
        <v>474.62099999999998</v>
      </c>
      <c r="T285" s="110">
        <v>372.16300000000001</v>
      </c>
      <c r="U285" s="110">
        <v>280.78300000000002</v>
      </c>
      <c r="V285" s="110">
        <v>194.26300000000001</v>
      </c>
      <c r="W285" s="110">
        <v>121.452</v>
      </c>
      <c r="X285" s="110">
        <v>61.898000000000003</v>
      </c>
      <c r="Y285" s="110">
        <v>22.436</v>
      </c>
      <c r="Z285" s="110">
        <v>4.5209999999999999</v>
      </c>
      <c r="AA285" s="110">
        <v>0.49399999999999999</v>
      </c>
      <c r="AB285" s="110">
        <v>2.5000000000000001E-2</v>
      </c>
      <c r="AC285" s="115">
        <f t="shared" si="10"/>
        <v>7092.4969999999994</v>
      </c>
      <c r="AD285">
        <f t="shared" si="11"/>
        <v>1.022117080985141</v>
      </c>
    </row>
    <row r="286" spans="1:30" x14ac:dyDescent="0.25">
      <c r="A286" s="104" t="str">
        <f t="shared" si="9"/>
        <v>Senegal2041</v>
      </c>
      <c r="C286" s="107" t="s">
        <v>257</v>
      </c>
      <c r="D286" s="108" t="s">
        <v>150</v>
      </c>
      <c r="E286" s="109"/>
      <c r="F286" s="109">
        <v>686</v>
      </c>
      <c r="G286" s="109">
        <v>2041</v>
      </c>
      <c r="H286" s="110">
        <v>1766.713</v>
      </c>
      <c r="I286" s="110">
        <v>1639.15</v>
      </c>
      <c r="J286" s="110">
        <v>1515.395</v>
      </c>
      <c r="K286" s="110">
        <v>1404.9290000000001</v>
      </c>
      <c r="L286" s="110">
        <v>1304.5519999999999</v>
      </c>
      <c r="M286" s="110">
        <v>1208.6199999999999</v>
      </c>
      <c r="N286" s="110">
        <v>1050.1669999999999</v>
      </c>
      <c r="O286" s="110">
        <v>875.65499999999997</v>
      </c>
      <c r="P286" s="110">
        <v>747.57</v>
      </c>
      <c r="Q286" s="110">
        <v>655.98400000000004</v>
      </c>
      <c r="R286" s="110">
        <v>571.60500000000002</v>
      </c>
      <c r="S286" s="110">
        <v>489.274</v>
      </c>
      <c r="T286" s="110">
        <v>387.65800000000002</v>
      </c>
      <c r="U286" s="110">
        <v>292.34699999999998</v>
      </c>
      <c r="V286" s="110">
        <v>202.91200000000001</v>
      </c>
      <c r="W286" s="110">
        <v>126.57899999999999</v>
      </c>
      <c r="X286" s="110">
        <v>65.361000000000004</v>
      </c>
      <c r="Y286" s="110">
        <v>24.739000000000001</v>
      </c>
      <c r="Z286" s="110">
        <v>5.5629999999999997</v>
      </c>
      <c r="AA286" s="110">
        <v>0.61499999999999999</v>
      </c>
      <c r="AB286" s="110">
        <v>2.7E-2</v>
      </c>
      <c r="AC286" s="115">
        <f t="shared" si="10"/>
        <v>7247.4769999999999</v>
      </c>
      <c r="AD286">
        <f t="shared" si="11"/>
        <v>1.0218512605645094</v>
      </c>
    </row>
    <row r="287" spans="1:30" x14ac:dyDescent="0.25">
      <c r="A287" s="104" t="str">
        <f t="shared" si="9"/>
        <v>Senegal2042</v>
      </c>
      <c r="C287" s="107" t="s">
        <v>257</v>
      </c>
      <c r="D287" s="108" t="s">
        <v>150</v>
      </c>
      <c r="E287" s="109"/>
      <c r="F287" s="109">
        <v>686</v>
      </c>
      <c r="G287" s="109">
        <v>2042</v>
      </c>
      <c r="H287" s="110">
        <v>1789.4259999999999</v>
      </c>
      <c r="I287" s="110">
        <v>1663.9349999999999</v>
      </c>
      <c r="J287" s="110">
        <v>1538.653</v>
      </c>
      <c r="K287" s="110">
        <v>1424.461</v>
      </c>
      <c r="L287" s="110">
        <v>1321.921</v>
      </c>
      <c r="M287" s="110">
        <v>1227.9449999999999</v>
      </c>
      <c r="N287" s="110">
        <v>1084.461</v>
      </c>
      <c r="O287" s="110">
        <v>906.66099999999994</v>
      </c>
      <c r="P287" s="110">
        <v>767.23900000000003</v>
      </c>
      <c r="Q287" s="110">
        <v>670.77599999999995</v>
      </c>
      <c r="R287" s="110">
        <v>585.95000000000005</v>
      </c>
      <c r="S287" s="110">
        <v>503.065</v>
      </c>
      <c r="T287" s="110">
        <v>404.50799999999998</v>
      </c>
      <c r="U287" s="110">
        <v>304.45999999999998</v>
      </c>
      <c r="V287" s="110">
        <v>212.72300000000001</v>
      </c>
      <c r="W287" s="110">
        <v>132.131</v>
      </c>
      <c r="X287" s="110">
        <v>68.722999999999999</v>
      </c>
      <c r="Y287" s="110">
        <v>26.529</v>
      </c>
      <c r="Z287" s="110">
        <v>6.3869999999999996</v>
      </c>
      <c r="AA287" s="110">
        <v>0.83199999999999996</v>
      </c>
      <c r="AB287" s="110">
        <v>0.03</v>
      </c>
      <c r="AC287" s="115">
        <f t="shared" si="10"/>
        <v>7403.4639999999999</v>
      </c>
      <c r="AD287">
        <f t="shared" si="11"/>
        <v>1.0215229382583759</v>
      </c>
    </row>
    <row r="288" spans="1:30" x14ac:dyDescent="0.25">
      <c r="A288" s="104" t="str">
        <f t="shared" si="9"/>
        <v>Senegal2043</v>
      </c>
      <c r="C288" s="107" t="s">
        <v>257</v>
      </c>
      <c r="D288" s="108" t="s">
        <v>150</v>
      </c>
      <c r="E288" s="109"/>
      <c r="F288" s="109">
        <v>686</v>
      </c>
      <c r="G288" s="109">
        <v>2043</v>
      </c>
      <c r="H288" s="110">
        <v>1811.0540000000001</v>
      </c>
      <c r="I288" s="110">
        <v>1688.491</v>
      </c>
      <c r="J288" s="110">
        <v>1562.4459999999999</v>
      </c>
      <c r="K288" s="110">
        <v>1444.7829999999999</v>
      </c>
      <c r="L288" s="110">
        <v>1339.829</v>
      </c>
      <c r="M288" s="110">
        <v>1244.4280000000001</v>
      </c>
      <c r="N288" s="110">
        <v>1117.6310000000001</v>
      </c>
      <c r="O288" s="110">
        <v>939.37199999999996</v>
      </c>
      <c r="P288" s="110">
        <v>788.46400000000006</v>
      </c>
      <c r="Q288" s="110">
        <v>686.06399999999996</v>
      </c>
      <c r="R288" s="110">
        <v>600.67899999999997</v>
      </c>
      <c r="S288" s="110">
        <v>516.33900000000006</v>
      </c>
      <c r="T288" s="110">
        <v>422.05099999999999</v>
      </c>
      <c r="U288" s="110">
        <v>317.375</v>
      </c>
      <c r="V288" s="110">
        <v>223.58699999999999</v>
      </c>
      <c r="W288" s="110">
        <v>138.43899999999999</v>
      </c>
      <c r="X288" s="110">
        <v>72.123999999999995</v>
      </c>
      <c r="Y288" s="110">
        <v>27.766999999999999</v>
      </c>
      <c r="Z288" s="110">
        <v>6.9820000000000002</v>
      </c>
      <c r="AA288" s="110">
        <v>1.0009999999999999</v>
      </c>
      <c r="AB288" s="110">
        <v>3.3000000000000002E-2</v>
      </c>
      <c r="AC288" s="115">
        <f t="shared" si="10"/>
        <v>7560.5710000000008</v>
      </c>
      <c r="AD288">
        <f t="shared" si="11"/>
        <v>1.0212207420742507</v>
      </c>
    </row>
    <row r="289" spans="1:30" x14ac:dyDescent="0.25">
      <c r="A289" s="104" t="str">
        <f t="shared" si="9"/>
        <v>Senegal2044</v>
      </c>
      <c r="C289" s="107" t="s">
        <v>257</v>
      </c>
      <c r="D289" s="108" t="s">
        <v>150</v>
      </c>
      <c r="E289" s="109"/>
      <c r="F289" s="109">
        <v>686</v>
      </c>
      <c r="G289" s="109">
        <v>2044</v>
      </c>
      <c r="H289" s="110">
        <v>1831.807</v>
      </c>
      <c r="I289" s="110">
        <v>1712.5429999999999</v>
      </c>
      <c r="J289" s="110">
        <v>1586.492</v>
      </c>
      <c r="K289" s="110">
        <v>1465.9079999999999</v>
      </c>
      <c r="L289" s="110">
        <v>1358.079</v>
      </c>
      <c r="M289" s="110">
        <v>1260.05</v>
      </c>
      <c r="N289" s="110">
        <v>1147.9480000000001</v>
      </c>
      <c r="O289" s="110">
        <v>972.88</v>
      </c>
      <c r="P289" s="110">
        <v>811.90200000000004</v>
      </c>
      <c r="Q289" s="110">
        <v>702.23199999999997</v>
      </c>
      <c r="R289" s="110">
        <v>615.46699999999998</v>
      </c>
      <c r="S289" s="110">
        <v>529.72199999999998</v>
      </c>
      <c r="T289" s="110">
        <v>439.30700000000002</v>
      </c>
      <c r="U289" s="110">
        <v>331.51100000000002</v>
      </c>
      <c r="V289" s="110">
        <v>235.286</v>
      </c>
      <c r="W289" s="110">
        <v>145.77600000000001</v>
      </c>
      <c r="X289" s="110">
        <v>75.697000000000003</v>
      </c>
      <c r="Y289" s="110">
        <v>28.725000000000001</v>
      </c>
      <c r="Z289" s="110">
        <v>7.1230000000000002</v>
      </c>
      <c r="AA289" s="110">
        <v>0.995</v>
      </c>
      <c r="AB289" s="110">
        <v>3.5999999999999997E-2</v>
      </c>
      <c r="AC289" s="115">
        <f t="shared" si="10"/>
        <v>7718.9990000000007</v>
      </c>
      <c r="AD289">
        <f t="shared" si="11"/>
        <v>1.0209545019813979</v>
      </c>
    </row>
    <row r="290" spans="1:30" x14ac:dyDescent="0.25">
      <c r="A290" s="104" t="str">
        <f t="shared" si="9"/>
        <v>Senegal2045</v>
      </c>
      <c r="C290" s="107" t="s">
        <v>257</v>
      </c>
      <c r="D290" s="108" t="s">
        <v>150</v>
      </c>
      <c r="E290" s="109"/>
      <c r="F290" s="109">
        <v>686</v>
      </c>
      <c r="G290" s="109">
        <v>2045</v>
      </c>
      <c r="H290" s="110">
        <v>1851.876</v>
      </c>
      <c r="I290" s="110">
        <v>1735.8040000000001</v>
      </c>
      <c r="J290" s="110">
        <v>1610.576</v>
      </c>
      <c r="K290" s="110">
        <v>1487.771</v>
      </c>
      <c r="L290" s="110">
        <v>1376.6130000000001</v>
      </c>
      <c r="M290" s="110">
        <v>1276.1690000000001</v>
      </c>
      <c r="N290" s="110">
        <v>1174.384</v>
      </c>
      <c r="O290" s="110">
        <v>1006.438</v>
      </c>
      <c r="P290" s="110">
        <v>837.89099999999996</v>
      </c>
      <c r="Q290" s="110">
        <v>719.56200000000001</v>
      </c>
      <c r="R290" s="110">
        <v>630.16800000000001</v>
      </c>
      <c r="S290" s="110">
        <v>543.60199999999998</v>
      </c>
      <c r="T290" s="110">
        <v>455.678</v>
      </c>
      <c r="U290" s="110">
        <v>347.03899999999999</v>
      </c>
      <c r="V290" s="110">
        <v>247.68899999999999</v>
      </c>
      <c r="W290" s="110">
        <v>154.27099999999999</v>
      </c>
      <c r="X290" s="110">
        <v>79.644999999999996</v>
      </c>
      <c r="Y290" s="110">
        <v>29.562999999999999</v>
      </c>
      <c r="Z290" s="110">
        <v>6.72</v>
      </c>
      <c r="AA290" s="110">
        <v>0.71399999999999997</v>
      </c>
      <c r="AB290" s="110">
        <v>3.9E-2</v>
      </c>
      <c r="AC290" s="115">
        <f t="shared" si="10"/>
        <v>7878.8279999999995</v>
      </c>
      <c r="AD290">
        <f t="shared" si="11"/>
        <v>1.0207059231384794</v>
      </c>
    </row>
    <row r="291" spans="1:30" x14ac:dyDescent="0.25">
      <c r="A291" s="104" t="str">
        <f t="shared" si="9"/>
        <v>Senegal2046</v>
      </c>
      <c r="C291" s="107" t="s">
        <v>257</v>
      </c>
      <c r="D291" s="108" t="s">
        <v>150</v>
      </c>
      <c r="E291" s="109"/>
      <c r="F291" s="109">
        <v>686</v>
      </c>
      <c r="G291" s="109">
        <v>2046</v>
      </c>
      <c r="H291" s="110">
        <v>1872.0309999999999</v>
      </c>
      <c r="I291" s="110">
        <v>1759.6369999999999</v>
      </c>
      <c r="J291" s="110">
        <v>1635.18</v>
      </c>
      <c r="K291" s="110">
        <v>1510.1120000000001</v>
      </c>
      <c r="L291" s="110">
        <v>1395.79</v>
      </c>
      <c r="M291" s="110">
        <v>1293.299</v>
      </c>
      <c r="N291" s="110">
        <v>1197.73</v>
      </c>
      <c r="O291" s="110">
        <v>1040.4280000000001</v>
      </c>
      <c r="P291" s="110">
        <v>866.45</v>
      </c>
      <c r="Q291" s="110">
        <v>737.94</v>
      </c>
      <c r="R291" s="110">
        <v>644.55200000000002</v>
      </c>
      <c r="S291" s="110">
        <v>557.08399999999995</v>
      </c>
      <c r="T291" s="110">
        <v>469.673</v>
      </c>
      <c r="U291" s="110">
        <v>361.52800000000002</v>
      </c>
      <c r="V291" s="110">
        <v>258.00200000000001</v>
      </c>
      <c r="W291" s="110">
        <v>161.75399999999999</v>
      </c>
      <c r="X291" s="110">
        <v>84.212000000000003</v>
      </c>
      <c r="Y291" s="110">
        <v>32.54</v>
      </c>
      <c r="Z291" s="110">
        <v>8.0269999999999992</v>
      </c>
      <c r="AA291" s="110">
        <v>0.92600000000000005</v>
      </c>
      <c r="AB291" s="110">
        <v>4.2000000000000003E-2</v>
      </c>
      <c r="AC291" s="115">
        <f t="shared" si="10"/>
        <v>8041.7489999999998</v>
      </c>
      <c r="AD291">
        <f t="shared" si="11"/>
        <v>1.0206783293149693</v>
      </c>
    </row>
    <row r="292" spans="1:30" x14ac:dyDescent="0.25">
      <c r="A292" s="104" t="str">
        <f t="shared" si="9"/>
        <v>Senegal2047</v>
      </c>
      <c r="C292" s="107" t="s">
        <v>257</v>
      </c>
      <c r="D292" s="108" t="s">
        <v>150</v>
      </c>
      <c r="E292" s="109"/>
      <c r="F292" s="109">
        <v>686</v>
      </c>
      <c r="G292" s="109">
        <v>2047</v>
      </c>
      <c r="H292" s="110">
        <v>1891.2809999999999</v>
      </c>
      <c r="I292" s="110">
        <v>1782.5909999999999</v>
      </c>
      <c r="J292" s="110">
        <v>1659.866</v>
      </c>
      <c r="K292" s="110">
        <v>1533.172</v>
      </c>
      <c r="L292" s="110">
        <v>1415.4580000000001</v>
      </c>
      <c r="M292" s="110">
        <v>1310.807</v>
      </c>
      <c r="N292" s="110">
        <v>1217.057</v>
      </c>
      <c r="O292" s="110">
        <v>1074.556</v>
      </c>
      <c r="P292" s="110">
        <v>897.3</v>
      </c>
      <c r="Q292" s="110">
        <v>757.44600000000003</v>
      </c>
      <c r="R292" s="110">
        <v>659.21199999999999</v>
      </c>
      <c r="S292" s="110">
        <v>571.22</v>
      </c>
      <c r="T292" s="110">
        <v>483.04399999999998</v>
      </c>
      <c r="U292" s="110">
        <v>377.49700000000001</v>
      </c>
      <c r="V292" s="110">
        <v>268.94900000000001</v>
      </c>
      <c r="W292" s="110">
        <v>170.06399999999999</v>
      </c>
      <c r="X292" s="110">
        <v>88.674000000000007</v>
      </c>
      <c r="Y292" s="110">
        <v>34.988999999999997</v>
      </c>
      <c r="Z292" s="110">
        <v>8.9939999999999998</v>
      </c>
      <c r="AA292" s="110">
        <v>1.2849999999999999</v>
      </c>
      <c r="AB292" s="110">
        <v>4.5999999999999999E-2</v>
      </c>
      <c r="AC292" s="115">
        <f t="shared" si="10"/>
        <v>8205.7960000000003</v>
      </c>
      <c r="AD292">
        <f t="shared" si="11"/>
        <v>1.0203994180867868</v>
      </c>
    </row>
    <row r="293" spans="1:30" x14ac:dyDescent="0.25">
      <c r="A293" s="104" t="str">
        <f t="shared" si="9"/>
        <v>Senegal2048</v>
      </c>
      <c r="C293" s="107" t="s">
        <v>257</v>
      </c>
      <c r="D293" s="108" t="s">
        <v>150</v>
      </c>
      <c r="E293" s="109"/>
      <c r="F293" s="109">
        <v>686</v>
      </c>
      <c r="G293" s="109">
        <v>2048</v>
      </c>
      <c r="H293" s="110">
        <v>1909.643</v>
      </c>
      <c r="I293" s="110">
        <v>1804.5119999999999</v>
      </c>
      <c r="J293" s="110">
        <v>1684.433</v>
      </c>
      <c r="K293" s="110">
        <v>1556.884</v>
      </c>
      <c r="L293" s="110">
        <v>1435.7080000000001</v>
      </c>
      <c r="M293" s="110">
        <v>1328.694</v>
      </c>
      <c r="N293" s="110">
        <v>1233.537</v>
      </c>
      <c r="O293" s="110">
        <v>1107.6130000000001</v>
      </c>
      <c r="P293" s="110">
        <v>929.84199999999998</v>
      </c>
      <c r="Q293" s="110">
        <v>778.54600000000005</v>
      </c>
      <c r="R293" s="110">
        <v>674.40300000000002</v>
      </c>
      <c r="S293" s="110">
        <v>585.80899999999997</v>
      </c>
      <c r="T293" s="110">
        <v>496.13</v>
      </c>
      <c r="U293" s="110">
        <v>394.31400000000002</v>
      </c>
      <c r="V293" s="110">
        <v>280.87900000000002</v>
      </c>
      <c r="W293" s="110">
        <v>179.29400000000001</v>
      </c>
      <c r="X293" s="110">
        <v>93.322000000000003</v>
      </c>
      <c r="Y293" s="110">
        <v>36.848999999999997</v>
      </c>
      <c r="Z293" s="110">
        <v>9.6850000000000005</v>
      </c>
      <c r="AA293" s="110">
        <v>1.5589999999999999</v>
      </c>
      <c r="AB293" s="110">
        <v>0.05</v>
      </c>
      <c r="AC293" s="115">
        <f t="shared" si="10"/>
        <v>8370.8240000000005</v>
      </c>
      <c r="AD293">
        <f t="shared" si="11"/>
        <v>1.0201111507037222</v>
      </c>
    </row>
    <row r="294" spans="1:30" x14ac:dyDescent="0.25">
      <c r="A294" s="104" t="str">
        <f t="shared" si="9"/>
        <v>Senegal2049</v>
      </c>
      <c r="C294" s="107" t="s">
        <v>257</v>
      </c>
      <c r="D294" s="108" t="s">
        <v>150</v>
      </c>
      <c r="E294" s="109"/>
      <c r="F294" s="109">
        <v>686</v>
      </c>
      <c r="G294" s="109">
        <v>2049</v>
      </c>
      <c r="H294" s="110">
        <v>1927.067</v>
      </c>
      <c r="I294" s="110">
        <v>1825.3869999999999</v>
      </c>
      <c r="J294" s="110">
        <v>1708.6110000000001</v>
      </c>
      <c r="K294" s="110">
        <v>1581.0550000000001</v>
      </c>
      <c r="L294" s="110">
        <v>1456.6320000000001</v>
      </c>
      <c r="M294" s="110">
        <v>1346.7909999999999</v>
      </c>
      <c r="N294" s="110">
        <v>1249.1500000000001</v>
      </c>
      <c r="O294" s="110">
        <v>1137.8869999999999</v>
      </c>
      <c r="P294" s="110">
        <v>963.19299999999998</v>
      </c>
      <c r="Q294" s="110">
        <v>801.90599999999995</v>
      </c>
      <c r="R294" s="110">
        <v>690.51300000000003</v>
      </c>
      <c r="S294" s="110">
        <v>600.53599999999994</v>
      </c>
      <c r="T294" s="110">
        <v>509.52</v>
      </c>
      <c r="U294" s="110">
        <v>411.07799999999997</v>
      </c>
      <c r="V294" s="110">
        <v>294.226</v>
      </c>
      <c r="W294" s="110">
        <v>189.36099999999999</v>
      </c>
      <c r="X294" s="110">
        <v>98.459000000000003</v>
      </c>
      <c r="Y294" s="110">
        <v>38.448999999999998</v>
      </c>
      <c r="Z294" s="110">
        <v>9.8699999999999992</v>
      </c>
      <c r="AA294" s="110">
        <v>1.5640000000000001</v>
      </c>
      <c r="AB294" s="110">
        <v>5.5E-2</v>
      </c>
      <c r="AC294" s="115">
        <f t="shared" si="10"/>
        <v>8536.6140000000014</v>
      </c>
      <c r="AD294">
        <f t="shared" si="11"/>
        <v>1.0198056965479145</v>
      </c>
    </row>
    <row r="295" spans="1:30" x14ac:dyDescent="0.25">
      <c r="A295" s="104" t="str">
        <f t="shared" si="9"/>
        <v>Senegal2050</v>
      </c>
      <c r="C295" s="107" t="s">
        <v>257</v>
      </c>
      <c r="D295" s="108" t="s">
        <v>150</v>
      </c>
      <c r="E295" s="109"/>
      <c r="F295" s="109">
        <v>686</v>
      </c>
      <c r="G295" s="109">
        <v>2050</v>
      </c>
      <c r="H295" s="110">
        <v>1943.5440000000001</v>
      </c>
      <c r="I295" s="110">
        <v>1845.3009999999999</v>
      </c>
      <c r="J295" s="110">
        <v>1732.1189999999999</v>
      </c>
      <c r="K295" s="110">
        <v>1605.4480000000001</v>
      </c>
      <c r="L295" s="110">
        <v>1478.2929999999999</v>
      </c>
      <c r="M295" s="110">
        <v>1365.066</v>
      </c>
      <c r="N295" s="110">
        <v>1265.21</v>
      </c>
      <c r="O295" s="110">
        <v>1164.33</v>
      </c>
      <c r="P295" s="110">
        <v>996.64300000000003</v>
      </c>
      <c r="Q295" s="110">
        <v>827.85400000000004</v>
      </c>
      <c r="R295" s="110">
        <v>707.83299999999997</v>
      </c>
      <c r="S295" s="110">
        <v>615.26700000000005</v>
      </c>
      <c r="T295" s="110">
        <v>523.54399999999998</v>
      </c>
      <c r="U295" s="110">
        <v>427.24099999999999</v>
      </c>
      <c r="V295" s="110">
        <v>309.14800000000002</v>
      </c>
      <c r="W295" s="110">
        <v>200.227</v>
      </c>
      <c r="X295" s="110">
        <v>104.35899999999999</v>
      </c>
      <c r="Y295" s="110">
        <v>39.982999999999997</v>
      </c>
      <c r="Z295" s="110">
        <v>9.5109999999999992</v>
      </c>
      <c r="AA295" s="110">
        <v>1.163</v>
      </c>
      <c r="AB295" s="110">
        <v>6.0999999999999999E-2</v>
      </c>
      <c r="AC295" s="115">
        <f t="shared" si="10"/>
        <v>8702.8439999999991</v>
      </c>
      <c r="AD295">
        <f t="shared" si="11"/>
        <v>1.0194725918262202</v>
      </c>
    </row>
    <row r="296" spans="1:30" x14ac:dyDescent="0.25">
      <c r="A296" s="104" t="str">
        <f t="shared" si="9"/>
        <v>Senegal2051</v>
      </c>
      <c r="C296" s="107" t="s">
        <v>257</v>
      </c>
      <c r="D296" s="108" t="s">
        <v>150</v>
      </c>
      <c r="E296" s="109"/>
      <c r="F296" s="109">
        <v>686</v>
      </c>
      <c r="G296" s="109">
        <v>2051</v>
      </c>
      <c r="H296" s="110">
        <v>1960.26</v>
      </c>
      <c r="I296" s="110">
        <v>1865.78</v>
      </c>
      <c r="J296" s="110">
        <v>1755.4860000000001</v>
      </c>
      <c r="K296" s="110">
        <v>1629.8910000000001</v>
      </c>
      <c r="L296" s="110">
        <v>1500.9449999999999</v>
      </c>
      <c r="M296" s="110">
        <v>1384.5</v>
      </c>
      <c r="N296" s="110">
        <v>1282.3620000000001</v>
      </c>
      <c r="O296" s="110">
        <v>1187.5340000000001</v>
      </c>
      <c r="P296" s="110">
        <v>1030.4280000000001</v>
      </c>
      <c r="Q296" s="110">
        <v>856.11800000000005</v>
      </c>
      <c r="R296" s="110">
        <v>725.96600000000001</v>
      </c>
      <c r="S296" s="110">
        <v>629.31299999999999</v>
      </c>
      <c r="T296" s="110">
        <v>536.45500000000004</v>
      </c>
      <c r="U296" s="110">
        <v>440.25400000000002</v>
      </c>
      <c r="V296" s="110">
        <v>322.19600000000003</v>
      </c>
      <c r="W296" s="110">
        <v>209.07300000000001</v>
      </c>
      <c r="X296" s="110">
        <v>110.821</v>
      </c>
      <c r="Y296" s="110">
        <v>43.844000000000001</v>
      </c>
      <c r="Z296" s="110">
        <v>11.282999999999999</v>
      </c>
      <c r="AA296" s="110">
        <v>1.452</v>
      </c>
      <c r="AB296" s="110">
        <v>6.8000000000000005E-2</v>
      </c>
      <c r="AC296" s="115">
        <f t="shared" si="10"/>
        <v>8871.7780000000002</v>
      </c>
      <c r="AD296">
        <f t="shared" si="11"/>
        <v>1.019411355644201</v>
      </c>
    </row>
    <row r="297" spans="1:30" x14ac:dyDescent="0.25">
      <c r="A297" s="104" t="str">
        <f t="shared" si="9"/>
        <v>Senegal2052</v>
      </c>
      <c r="C297" s="107" t="s">
        <v>257</v>
      </c>
      <c r="D297" s="108" t="s">
        <v>150</v>
      </c>
      <c r="E297" s="109"/>
      <c r="F297" s="109">
        <v>686</v>
      </c>
      <c r="G297" s="109">
        <v>2052</v>
      </c>
      <c r="H297" s="110">
        <v>1975.8630000000001</v>
      </c>
      <c r="I297" s="110">
        <v>1885.2909999999999</v>
      </c>
      <c r="J297" s="110">
        <v>1778.2139999999999</v>
      </c>
      <c r="K297" s="110">
        <v>1654.4680000000001</v>
      </c>
      <c r="L297" s="110">
        <v>1524.1980000000001</v>
      </c>
      <c r="M297" s="110">
        <v>1404.3589999999999</v>
      </c>
      <c r="N297" s="110">
        <v>1299.93</v>
      </c>
      <c r="O297" s="110">
        <v>1206.819</v>
      </c>
      <c r="P297" s="110">
        <v>1064.424</v>
      </c>
      <c r="Q297" s="110">
        <v>886.73199999999997</v>
      </c>
      <c r="R297" s="110">
        <v>745.29600000000005</v>
      </c>
      <c r="S297" s="110">
        <v>643.78</v>
      </c>
      <c r="T297" s="110">
        <v>550.22400000000005</v>
      </c>
      <c r="U297" s="110">
        <v>452.983</v>
      </c>
      <c r="V297" s="110">
        <v>336.78100000000001</v>
      </c>
      <c r="W297" s="110">
        <v>218.393</v>
      </c>
      <c r="X297" s="110">
        <v>117.437</v>
      </c>
      <c r="Y297" s="110">
        <v>47.048000000000002</v>
      </c>
      <c r="Z297" s="110">
        <v>12.618</v>
      </c>
      <c r="AA297" s="110">
        <v>1.9279999999999999</v>
      </c>
      <c r="AB297" s="110">
        <v>7.5999999999999998E-2</v>
      </c>
      <c r="AC297" s="115">
        <f t="shared" si="10"/>
        <v>9040.93</v>
      </c>
      <c r="AD297">
        <f t="shared" si="11"/>
        <v>1.0190663021549908</v>
      </c>
    </row>
    <row r="298" spans="1:30" x14ac:dyDescent="0.25">
      <c r="A298" s="104" t="str">
        <f t="shared" si="9"/>
        <v>Senegal2053</v>
      </c>
      <c r="C298" s="107" t="s">
        <v>257</v>
      </c>
      <c r="D298" s="108" t="s">
        <v>150</v>
      </c>
      <c r="E298" s="109"/>
      <c r="F298" s="109">
        <v>686</v>
      </c>
      <c r="G298" s="109">
        <v>2053</v>
      </c>
      <c r="H298" s="110">
        <v>1990.53</v>
      </c>
      <c r="I298" s="110">
        <v>1903.7360000000001</v>
      </c>
      <c r="J298" s="110">
        <v>1800.22</v>
      </c>
      <c r="K298" s="110">
        <v>1679.04</v>
      </c>
      <c r="L298" s="110">
        <v>1547.9390000000001</v>
      </c>
      <c r="M298" s="110">
        <v>1424.6949999999999</v>
      </c>
      <c r="N298" s="110">
        <v>1317.9</v>
      </c>
      <c r="O298" s="110">
        <v>1223.3579999999999</v>
      </c>
      <c r="P298" s="110">
        <v>1097.393</v>
      </c>
      <c r="Q298" s="110">
        <v>919.10299999999995</v>
      </c>
      <c r="R298" s="110">
        <v>766.26400000000001</v>
      </c>
      <c r="S298" s="110">
        <v>658.88099999999997</v>
      </c>
      <c r="T298" s="110">
        <v>564.63</v>
      </c>
      <c r="U298" s="110">
        <v>465.75200000000001</v>
      </c>
      <c r="V298" s="110">
        <v>352.404</v>
      </c>
      <c r="W298" s="110">
        <v>228.71299999999999</v>
      </c>
      <c r="X298" s="110">
        <v>124.32599999999999</v>
      </c>
      <c r="Y298" s="110">
        <v>49.625</v>
      </c>
      <c r="Z298" s="110">
        <v>13.611000000000001</v>
      </c>
      <c r="AA298" s="110">
        <v>2.2989999999999999</v>
      </c>
      <c r="AB298" s="110">
        <v>8.5999999999999993E-2</v>
      </c>
      <c r="AC298" s="115">
        <f t="shared" si="10"/>
        <v>9209.4279999999999</v>
      </c>
      <c r="AD298">
        <f t="shared" si="11"/>
        <v>1.0186372419651517</v>
      </c>
    </row>
    <row r="299" spans="1:30" x14ac:dyDescent="0.25">
      <c r="A299" s="104" t="str">
        <f t="shared" si="9"/>
        <v>Senegal2054</v>
      </c>
      <c r="C299" s="107" t="s">
        <v>257</v>
      </c>
      <c r="D299" s="108" t="s">
        <v>150</v>
      </c>
      <c r="E299" s="109"/>
      <c r="F299" s="109">
        <v>686</v>
      </c>
      <c r="G299" s="109">
        <v>2054</v>
      </c>
      <c r="H299" s="110">
        <v>2004.5260000000001</v>
      </c>
      <c r="I299" s="110">
        <v>1921.085</v>
      </c>
      <c r="J299" s="110">
        <v>1821.441</v>
      </c>
      <c r="K299" s="110">
        <v>1703.346</v>
      </c>
      <c r="L299" s="110">
        <v>1571.9870000000001</v>
      </c>
      <c r="M299" s="110">
        <v>1445.5650000000001</v>
      </c>
      <c r="N299" s="110">
        <v>1336.0640000000001</v>
      </c>
      <c r="O299" s="110">
        <v>1239.0909999999999</v>
      </c>
      <c r="P299" s="110">
        <v>1127.614</v>
      </c>
      <c r="Q299" s="110">
        <v>952.34900000000005</v>
      </c>
      <c r="R299" s="110">
        <v>789.51700000000005</v>
      </c>
      <c r="S299" s="110">
        <v>674.97</v>
      </c>
      <c r="T299" s="110">
        <v>579.35799999999995</v>
      </c>
      <c r="U299" s="110">
        <v>479.09100000000001</v>
      </c>
      <c r="V299" s="110">
        <v>368.28699999999998</v>
      </c>
      <c r="W299" s="110">
        <v>240.50200000000001</v>
      </c>
      <c r="X299" s="110">
        <v>131.54599999999999</v>
      </c>
      <c r="Y299" s="110">
        <v>52.127000000000002</v>
      </c>
      <c r="Z299" s="110">
        <v>13.984999999999999</v>
      </c>
      <c r="AA299" s="110">
        <v>2.3170000000000002</v>
      </c>
      <c r="AB299" s="110">
        <v>9.6000000000000002E-2</v>
      </c>
      <c r="AC299" s="115">
        <f t="shared" si="10"/>
        <v>9376.0159999999996</v>
      </c>
      <c r="AD299">
        <f t="shared" si="11"/>
        <v>1.0180888541611921</v>
      </c>
    </row>
    <row r="300" spans="1:30" x14ac:dyDescent="0.25">
      <c r="A300" s="104" t="str">
        <f t="shared" si="9"/>
        <v>Senegal2055</v>
      </c>
      <c r="C300" s="107" t="s">
        <v>257</v>
      </c>
      <c r="D300" s="108" t="s">
        <v>150</v>
      </c>
      <c r="E300" s="109"/>
      <c r="F300" s="109">
        <v>686</v>
      </c>
      <c r="G300" s="109">
        <v>2055</v>
      </c>
      <c r="H300" s="110">
        <v>2018.075</v>
      </c>
      <c r="I300" s="110">
        <v>1937.375</v>
      </c>
      <c r="J300" s="110">
        <v>1841.7739999999999</v>
      </c>
      <c r="K300" s="110">
        <v>1727.1279999999999</v>
      </c>
      <c r="L300" s="110">
        <v>1596.213</v>
      </c>
      <c r="M300" s="110">
        <v>1467.027</v>
      </c>
      <c r="N300" s="110">
        <v>1354.3340000000001</v>
      </c>
      <c r="O300" s="110">
        <v>1255.278</v>
      </c>
      <c r="P300" s="110">
        <v>1154.0530000000001</v>
      </c>
      <c r="Q300" s="110">
        <v>985.73699999999997</v>
      </c>
      <c r="R300" s="110">
        <v>815.38199999999995</v>
      </c>
      <c r="S300" s="110">
        <v>692.31600000000003</v>
      </c>
      <c r="T300" s="110">
        <v>594.24599999999998</v>
      </c>
      <c r="U300" s="110">
        <v>493.27600000000001</v>
      </c>
      <c r="V300" s="110">
        <v>383.947</v>
      </c>
      <c r="W300" s="110">
        <v>253.92699999999999</v>
      </c>
      <c r="X300" s="110">
        <v>139.30099999999999</v>
      </c>
      <c r="Y300" s="110">
        <v>54.82</v>
      </c>
      <c r="Z300" s="110">
        <v>13.739000000000001</v>
      </c>
      <c r="AA300" s="110">
        <v>1.794</v>
      </c>
      <c r="AB300" s="110">
        <v>0.107</v>
      </c>
      <c r="AC300" s="115">
        <f t="shared" si="10"/>
        <v>9539.77</v>
      </c>
      <c r="AD300">
        <f t="shared" si="11"/>
        <v>1.0174652005713303</v>
      </c>
    </row>
    <row r="301" spans="1:30" x14ac:dyDescent="0.25">
      <c r="A301" s="104" t="str">
        <f t="shared" si="9"/>
        <v>Senegal2056</v>
      </c>
      <c r="C301" s="107" t="s">
        <v>257</v>
      </c>
      <c r="D301" s="108" t="s">
        <v>150</v>
      </c>
      <c r="E301" s="109"/>
      <c r="F301" s="109">
        <v>686</v>
      </c>
      <c r="G301" s="109">
        <v>2056</v>
      </c>
      <c r="H301" s="110">
        <v>2032.1679999999999</v>
      </c>
      <c r="I301" s="110">
        <v>1954.259</v>
      </c>
      <c r="J301" s="110">
        <v>1861.933</v>
      </c>
      <c r="K301" s="110">
        <v>1750.385</v>
      </c>
      <c r="L301" s="110">
        <v>1620.9970000000001</v>
      </c>
      <c r="M301" s="110">
        <v>1489.9649999999999</v>
      </c>
      <c r="N301" s="110">
        <v>1373.8209999999999</v>
      </c>
      <c r="O301" s="110">
        <v>1272.367</v>
      </c>
      <c r="P301" s="110">
        <v>1177.171</v>
      </c>
      <c r="Q301" s="110">
        <v>1019.222</v>
      </c>
      <c r="R301" s="110">
        <v>843.31700000000001</v>
      </c>
      <c r="S301" s="110">
        <v>710.08399999999995</v>
      </c>
      <c r="T301" s="110">
        <v>607.72</v>
      </c>
      <c r="U301" s="110">
        <v>505.40899999999999</v>
      </c>
      <c r="V301" s="110">
        <v>395.61500000000001</v>
      </c>
      <c r="W301" s="110">
        <v>265.27999999999997</v>
      </c>
      <c r="X301" s="110">
        <v>146.92699999999999</v>
      </c>
      <c r="Y301" s="110">
        <v>60.212000000000003</v>
      </c>
      <c r="Z301" s="110">
        <v>16.146000000000001</v>
      </c>
      <c r="AA301" s="110">
        <v>2.214</v>
      </c>
      <c r="AB301" s="110">
        <v>0.11899999999999999</v>
      </c>
      <c r="AC301" s="115">
        <f t="shared" si="10"/>
        <v>9703.9279999999999</v>
      </c>
      <c r="AD301">
        <f t="shared" si="11"/>
        <v>1.0172077523881602</v>
      </c>
    </row>
    <row r="302" spans="1:30" x14ac:dyDescent="0.25">
      <c r="A302" s="104" t="str">
        <f t="shared" si="9"/>
        <v>Senegal2057</v>
      </c>
      <c r="C302" s="107" t="s">
        <v>257</v>
      </c>
      <c r="D302" s="108" t="s">
        <v>150</v>
      </c>
      <c r="E302" s="109"/>
      <c r="F302" s="109">
        <v>686</v>
      </c>
      <c r="G302" s="109">
        <v>2057</v>
      </c>
      <c r="H302" s="110">
        <v>2045.873</v>
      </c>
      <c r="I302" s="110">
        <v>1970.143</v>
      </c>
      <c r="J302" s="110">
        <v>1881.278</v>
      </c>
      <c r="K302" s="110">
        <v>1772.99</v>
      </c>
      <c r="L302" s="110">
        <v>1645.748</v>
      </c>
      <c r="M302" s="110">
        <v>1513.3910000000001</v>
      </c>
      <c r="N302" s="110">
        <v>1393.7339999999999</v>
      </c>
      <c r="O302" s="110">
        <v>1289.902</v>
      </c>
      <c r="P302" s="110">
        <v>1196.4259999999999</v>
      </c>
      <c r="Q302" s="110">
        <v>1052.9760000000001</v>
      </c>
      <c r="R302" s="110">
        <v>873.63699999999994</v>
      </c>
      <c r="S302" s="110">
        <v>729.15300000000002</v>
      </c>
      <c r="T302" s="110">
        <v>621.83299999999997</v>
      </c>
      <c r="U302" s="110">
        <v>518.62</v>
      </c>
      <c r="V302" s="110">
        <v>407.33699999999999</v>
      </c>
      <c r="W302" s="110">
        <v>277.887</v>
      </c>
      <c r="X302" s="110">
        <v>154.435</v>
      </c>
      <c r="Y302" s="110">
        <v>64.923000000000002</v>
      </c>
      <c r="Z302" s="110">
        <v>17.925000000000001</v>
      </c>
      <c r="AA302" s="110">
        <v>2.907</v>
      </c>
      <c r="AB302" s="110">
        <v>0.13200000000000001</v>
      </c>
      <c r="AC302" s="115">
        <f t="shared" si="10"/>
        <v>9865.1670000000013</v>
      </c>
      <c r="AD302">
        <f t="shared" si="11"/>
        <v>1.016615848757328</v>
      </c>
    </row>
    <row r="303" spans="1:30" x14ac:dyDescent="0.25">
      <c r="A303" s="104" t="str">
        <f t="shared" si="9"/>
        <v>Senegal2058</v>
      </c>
      <c r="C303" s="107" t="s">
        <v>257</v>
      </c>
      <c r="D303" s="108" t="s">
        <v>150</v>
      </c>
      <c r="E303" s="109"/>
      <c r="F303" s="109">
        <v>686</v>
      </c>
      <c r="G303" s="109">
        <v>2058</v>
      </c>
      <c r="H303" s="110">
        <v>2059.2440000000001</v>
      </c>
      <c r="I303" s="110">
        <v>1985.019</v>
      </c>
      <c r="J303" s="110">
        <v>1899.7829999999999</v>
      </c>
      <c r="K303" s="110">
        <v>1794.9680000000001</v>
      </c>
      <c r="L303" s="110">
        <v>1670.3150000000001</v>
      </c>
      <c r="M303" s="110">
        <v>1537.175</v>
      </c>
      <c r="N303" s="110">
        <v>1414.1210000000001</v>
      </c>
      <c r="O303" s="110">
        <v>1307.896</v>
      </c>
      <c r="P303" s="110">
        <v>1212.973</v>
      </c>
      <c r="Q303" s="110">
        <v>1085.7919999999999</v>
      </c>
      <c r="R303" s="110">
        <v>905.74699999999996</v>
      </c>
      <c r="S303" s="110">
        <v>749.92899999999997</v>
      </c>
      <c r="T303" s="110">
        <v>636.78899999999999</v>
      </c>
      <c r="U303" s="110">
        <v>532.69399999999996</v>
      </c>
      <c r="V303" s="110">
        <v>419.50400000000002</v>
      </c>
      <c r="W303" s="110">
        <v>291.55399999999997</v>
      </c>
      <c r="X303" s="110">
        <v>162.35400000000001</v>
      </c>
      <c r="Y303" s="110">
        <v>68.837999999999994</v>
      </c>
      <c r="Z303" s="110">
        <v>19.303999999999998</v>
      </c>
      <c r="AA303" s="110">
        <v>3.4489999999999998</v>
      </c>
      <c r="AB303" s="110">
        <v>0.14599999999999999</v>
      </c>
      <c r="AC303" s="115">
        <f t="shared" si="10"/>
        <v>10023.24</v>
      </c>
      <c r="AD303">
        <f t="shared" si="11"/>
        <v>1.0160233476027318</v>
      </c>
    </row>
    <row r="304" spans="1:30" x14ac:dyDescent="0.25">
      <c r="A304" s="104" t="str">
        <f t="shared" si="9"/>
        <v>Senegal2059</v>
      </c>
      <c r="C304" s="107" t="s">
        <v>257</v>
      </c>
      <c r="D304" s="108" t="s">
        <v>150</v>
      </c>
      <c r="E304" s="109"/>
      <c r="F304" s="109">
        <v>686</v>
      </c>
      <c r="G304" s="109">
        <v>2059</v>
      </c>
      <c r="H304" s="110">
        <v>2072.3330000000001</v>
      </c>
      <c r="I304" s="110">
        <v>1999</v>
      </c>
      <c r="J304" s="110">
        <v>1917.3979999999999</v>
      </c>
      <c r="K304" s="110">
        <v>1816.316</v>
      </c>
      <c r="L304" s="110">
        <v>1694.491</v>
      </c>
      <c r="M304" s="110">
        <v>1561.1479999999999</v>
      </c>
      <c r="N304" s="110">
        <v>1435.038</v>
      </c>
      <c r="O304" s="110">
        <v>1326.15</v>
      </c>
      <c r="P304" s="110">
        <v>1228.751</v>
      </c>
      <c r="Q304" s="110">
        <v>1115.9639999999999</v>
      </c>
      <c r="R304" s="110">
        <v>938.78200000000004</v>
      </c>
      <c r="S304" s="110">
        <v>773.04499999999996</v>
      </c>
      <c r="T304" s="110">
        <v>652.91200000000003</v>
      </c>
      <c r="U304" s="110">
        <v>547.34100000000001</v>
      </c>
      <c r="V304" s="110">
        <v>432.61500000000001</v>
      </c>
      <c r="W304" s="110">
        <v>305.71800000000002</v>
      </c>
      <c r="X304" s="110">
        <v>171.19399999999999</v>
      </c>
      <c r="Y304" s="110">
        <v>72.552999999999997</v>
      </c>
      <c r="Z304" s="110">
        <v>19.972000000000001</v>
      </c>
      <c r="AA304" s="110">
        <v>3.5030000000000001</v>
      </c>
      <c r="AB304" s="110">
        <v>0.16200000000000001</v>
      </c>
      <c r="AC304" s="115">
        <f t="shared" si="10"/>
        <v>10177.858</v>
      </c>
      <c r="AD304">
        <f t="shared" si="11"/>
        <v>1.0154259500919862</v>
      </c>
    </row>
    <row r="305" spans="1:30" x14ac:dyDescent="0.25">
      <c r="A305" s="104" t="str">
        <f t="shared" si="9"/>
        <v>Senegal2060</v>
      </c>
      <c r="C305" s="107" t="s">
        <v>257</v>
      </c>
      <c r="D305" s="108" t="s">
        <v>150</v>
      </c>
      <c r="E305" s="109"/>
      <c r="F305" s="109">
        <v>686</v>
      </c>
      <c r="G305" s="109">
        <v>2060</v>
      </c>
      <c r="H305" s="110">
        <v>2085.221</v>
      </c>
      <c r="I305" s="110">
        <v>2012.2860000000001</v>
      </c>
      <c r="J305" s="110">
        <v>1934.0260000000001</v>
      </c>
      <c r="K305" s="110">
        <v>1836.9490000000001</v>
      </c>
      <c r="L305" s="110">
        <v>1718.134</v>
      </c>
      <c r="M305" s="110">
        <v>1585.192</v>
      </c>
      <c r="N305" s="110">
        <v>1456.501</v>
      </c>
      <c r="O305" s="110">
        <v>1344.55</v>
      </c>
      <c r="P305" s="110">
        <v>1245.0319999999999</v>
      </c>
      <c r="Q305" s="110">
        <v>1142.4449999999999</v>
      </c>
      <c r="R305" s="110">
        <v>972.03399999999999</v>
      </c>
      <c r="S305" s="110">
        <v>798.82600000000002</v>
      </c>
      <c r="T305" s="110">
        <v>670.428</v>
      </c>
      <c r="U305" s="110">
        <v>562.42499999999995</v>
      </c>
      <c r="V305" s="110">
        <v>446.875</v>
      </c>
      <c r="W305" s="110">
        <v>320.02600000000001</v>
      </c>
      <c r="X305" s="110">
        <v>181.29499999999999</v>
      </c>
      <c r="Y305" s="110">
        <v>76.337000000000003</v>
      </c>
      <c r="Z305" s="110">
        <v>20.045000000000002</v>
      </c>
      <c r="AA305" s="110">
        <v>2.8159999999999998</v>
      </c>
      <c r="AB305" s="110">
        <v>0.18</v>
      </c>
      <c r="AC305" s="115">
        <f t="shared" si="10"/>
        <v>10328.803</v>
      </c>
      <c r="AD305">
        <f t="shared" si="11"/>
        <v>1.0148307237141645</v>
      </c>
    </row>
    <row r="306" spans="1:30" x14ac:dyDescent="0.25">
      <c r="A306" s="104" t="str">
        <f t="shared" si="9"/>
        <v>Senegal2061</v>
      </c>
      <c r="C306" s="107" t="s">
        <v>257</v>
      </c>
      <c r="D306" s="108" t="s">
        <v>150</v>
      </c>
      <c r="E306" s="109"/>
      <c r="F306" s="109">
        <v>686</v>
      </c>
      <c r="G306" s="109">
        <v>2061</v>
      </c>
      <c r="H306" s="110">
        <v>2099.4070000000002</v>
      </c>
      <c r="I306" s="110">
        <v>2026.6310000000001</v>
      </c>
      <c r="J306" s="110">
        <v>1950.4749999999999</v>
      </c>
      <c r="K306" s="110">
        <v>1856.9549999999999</v>
      </c>
      <c r="L306" s="110">
        <v>1741.671</v>
      </c>
      <c r="M306" s="110">
        <v>1610.2</v>
      </c>
      <c r="N306" s="110">
        <v>1479.4380000000001</v>
      </c>
      <c r="O306" s="110">
        <v>1363.925</v>
      </c>
      <c r="P306" s="110">
        <v>1262.0550000000001</v>
      </c>
      <c r="Q306" s="110">
        <v>1165.33</v>
      </c>
      <c r="R306" s="110">
        <v>1005.114</v>
      </c>
      <c r="S306" s="110">
        <v>826.21600000000001</v>
      </c>
      <c r="T306" s="110">
        <v>687.51199999999994</v>
      </c>
      <c r="U306" s="110">
        <v>575.06399999999996</v>
      </c>
      <c r="V306" s="110">
        <v>457.90800000000002</v>
      </c>
      <c r="W306" s="110">
        <v>330.14</v>
      </c>
      <c r="X306" s="110">
        <v>191.161</v>
      </c>
      <c r="Y306" s="110">
        <v>82.875</v>
      </c>
      <c r="Z306" s="110">
        <v>23.523</v>
      </c>
      <c r="AA306" s="110">
        <v>3.4289999999999998</v>
      </c>
      <c r="AB306" s="110">
        <v>0.2</v>
      </c>
      <c r="AC306" s="115">
        <f t="shared" si="10"/>
        <v>10479.574000000001</v>
      </c>
      <c r="AD306">
        <f t="shared" si="11"/>
        <v>1.0145971416048889</v>
      </c>
    </row>
    <row r="307" spans="1:30" x14ac:dyDescent="0.25">
      <c r="A307" s="104" t="str">
        <f t="shared" si="9"/>
        <v>Senegal2062</v>
      </c>
      <c r="C307" s="107" t="s">
        <v>257</v>
      </c>
      <c r="D307" s="108" t="s">
        <v>150</v>
      </c>
      <c r="E307" s="109"/>
      <c r="F307" s="109">
        <v>686</v>
      </c>
      <c r="G307" s="109">
        <v>2062</v>
      </c>
      <c r="H307" s="110">
        <v>2113.145</v>
      </c>
      <c r="I307" s="110">
        <v>2040.57</v>
      </c>
      <c r="J307" s="110">
        <v>1966.1320000000001</v>
      </c>
      <c r="K307" s="110">
        <v>1876.204</v>
      </c>
      <c r="L307" s="110">
        <v>1764.4559999999999</v>
      </c>
      <c r="M307" s="110">
        <v>1635.125</v>
      </c>
      <c r="N307" s="110">
        <v>1502.9090000000001</v>
      </c>
      <c r="O307" s="110">
        <v>1383.8</v>
      </c>
      <c r="P307" s="110">
        <v>1279.5889999999999</v>
      </c>
      <c r="Q307" s="110">
        <v>1184.4849999999999</v>
      </c>
      <c r="R307" s="110">
        <v>1038.578</v>
      </c>
      <c r="S307" s="110">
        <v>856.11400000000003</v>
      </c>
      <c r="T307" s="110">
        <v>706.11900000000003</v>
      </c>
      <c r="U307" s="110">
        <v>588.64599999999996</v>
      </c>
      <c r="V307" s="110">
        <v>470.221</v>
      </c>
      <c r="W307" s="110">
        <v>340.41</v>
      </c>
      <c r="X307" s="110">
        <v>201.46</v>
      </c>
      <c r="Y307" s="110">
        <v>88.402000000000001</v>
      </c>
      <c r="Z307" s="110">
        <v>26.129000000000001</v>
      </c>
      <c r="AA307" s="110">
        <v>4.4210000000000003</v>
      </c>
      <c r="AB307" s="110">
        <v>0.223</v>
      </c>
      <c r="AC307" s="115">
        <f t="shared" si="10"/>
        <v>10626.567999999999</v>
      </c>
      <c r="AD307">
        <f t="shared" si="11"/>
        <v>1.01402671520808</v>
      </c>
    </row>
    <row r="308" spans="1:30" x14ac:dyDescent="0.25">
      <c r="A308" s="104" t="str">
        <f t="shared" si="9"/>
        <v>Senegal2063</v>
      </c>
      <c r="C308" s="107" t="s">
        <v>257</v>
      </c>
      <c r="D308" s="108" t="s">
        <v>150</v>
      </c>
      <c r="E308" s="109"/>
      <c r="F308" s="109">
        <v>686</v>
      </c>
      <c r="G308" s="109">
        <v>2063</v>
      </c>
      <c r="H308" s="110">
        <v>2126.482</v>
      </c>
      <c r="I308" s="110">
        <v>2054.1019999999999</v>
      </c>
      <c r="J308" s="110">
        <v>1981.0450000000001</v>
      </c>
      <c r="K308" s="110">
        <v>1894.721</v>
      </c>
      <c r="L308" s="110">
        <v>1786.4739999999999</v>
      </c>
      <c r="M308" s="110">
        <v>1659.7660000000001</v>
      </c>
      <c r="N308" s="110">
        <v>1526.7619999999999</v>
      </c>
      <c r="O308" s="110">
        <v>1404.2339999999999</v>
      </c>
      <c r="P308" s="110">
        <v>1297.6079999999999</v>
      </c>
      <c r="Q308" s="110">
        <v>1201.056</v>
      </c>
      <c r="R308" s="110">
        <v>1071.201</v>
      </c>
      <c r="S308" s="110">
        <v>887.88900000000001</v>
      </c>
      <c r="T308" s="110">
        <v>726.62900000000002</v>
      </c>
      <c r="U308" s="110">
        <v>603.33299999999997</v>
      </c>
      <c r="V308" s="110">
        <v>483.67700000000002</v>
      </c>
      <c r="W308" s="110">
        <v>351.46899999999999</v>
      </c>
      <c r="X308" s="110">
        <v>212.178</v>
      </c>
      <c r="Y308" s="110">
        <v>93.049000000000007</v>
      </c>
      <c r="Z308" s="110">
        <v>28.16</v>
      </c>
      <c r="AA308" s="110">
        <v>5.2089999999999996</v>
      </c>
      <c r="AB308" s="110">
        <v>0.248</v>
      </c>
      <c r="AC308" s="115">
        <f t="shared" si="10"/>
        <v>10770.620999999999</v>
      </c>
      <c r="AD308">
        <f t="shared" si="11"/>
        <v>1.0135559288756257</v>
      </c>
    </row>
    <row r="309" spans="1:30" x14ac:dyDescent="0.25">
      <c r="A309" s="104" t="str">
        <f t="shared" si="9"/>
        <v>Senegal2064</v>
      </c>
      <c r="C309" s="107" t="s">
        <v>257</v>
      </c>
      <c r="D309" s="108" t="s">
        <v>150</v>
      </c>
      <c r="E309" s="109"/>
      <c r="F309" s="109">
        <v>686</v>
      </c>
      <c r="G309" s="109">
        <v>2064</v>
      </c>
      <c r="H309" s="110">
        <v>2139.502</v>
      </c>
      <c r="I309" s="110">
        <v>2067.1970000000001</v>
      </c>
      <c r="J309" s="110">
        <v>1995.337</v>
      </c>
      <c r="K309" s="110">
        <v>1912.471</v>
      </c>
      <c r="L309" s="110">
        <v>1807.7329999999999</v>
      </c>
      <c r="M309" s="110">
        <v>1683.895</v>
      </c>
      <c r="N309" s="110">
        <v>1550.798</v>
      </c>
      <c r="O309" s="110">
        <v>1425.2560000000001</v>
      </c>
      <c r="P309" s="110">
        <v>1315.9079999999999</v>
      </c>
      <c r="Q309" s="110">
        <v>1216.9490000000001</v>
      </c>
      <c r="R309" s="110">
        <v>1101.268</v>
      </c>
      <c r="S309" s="110">
        <v>920.67</v>
      </c>
      <c r="T309" s="110">
        <v>749.64499999999998</v>
      </c>
      <c r="U309" s="110">
        <v>619.43100000000004</v>
      </c>
      <c r="V309" s="110">
        <v>498.07299999999998</v>
      </c>
      <c r="W309" s="110">
        <v>363.8</v>
      </c>
      <c r="X309" s="110">
        <v>223.02099999999999</v>
      </c>
      <c r="Y309" s="110">
        <v>97.882000000000005</v>
      </c>
      <c r="Z309" s="110">
        <v>29.242000000000001</v>
      </c>
      <c r="AA309" s="110">
        <v>5.3330000000000002</v>
      </c>
      <c r="AB309" s="110">
        <v>0.27600000000000002</v>
      </c>
      <c r="AC309" s="115">
        <f t="shared" si="10"/>
        <v>10913.01</v>
      </c>
      <c r="AD309">
        <f t="shared" si="11"/>
        <v>1.0132201290900498</v>
      </c>
    </row>
    <row r="310" spans="1:30" x14ac:dyDescent="0.25">
      <c r="A310" s="104" t="str">
        <f t="shared" si="9"/>
        <v>Senegal2065</v>
      </c>
      <c r="C310" s="107" t="s">
        <v>257</v>
      </c>
      <c r="D310" s="108" t="s">
        <v>150</v>
      </c>
      <c r="E310" s="109"/>
      <c r="F310" s="109">
        <v>686</v>
      </c>
      <c r="G310" s="109">
        <v>2065</v>
      </c>
      <c r="H310" s="110">
        <v>2152.33</v>
      </c>
      <c r="I310" s="110">
        <v>2079.7979999999998</v>
      </c>
      <c r="J310" s="110">
        <v>2009.0989999999999</v>
      </c>
      <c r="K310" s="110">
        <v>1929.3779999999999</v>
      </c>
      <c r="L310" s="110">
        <v>1828.2460000000001</v>
      </c>
      <c r="M310" s="110">
        <v>1707.374</v>
      </c>
      <c r="N310" s="110">
        <v>1574.846</v>
      </c>
      <c r="O310" s="110">
        <v>1446.848</v>
      </c>
      <c r="P310" s="110">
        <v>1334.393</v>
      </c>
      <c r="Q310" s="110">
        <v>1233.3920000000001</v>
      </c>
      <c r="R310" s="110">
        <v>1127.74</v>
      </c>
      <c r="S310" s="110">
        <v>953.75900000000001</v>
      </c>
      <c r="T310" s="110">
        <v>775.44500000000005</v>
      </c>
      <c r="U310" s="110">
        <v>637.15099999999995</v>
      </c>
      <c r="V310" s="110">
        <v>513.29300000000001</v>
      </c>
      <c r="W310" s="110">
        <v>377.51400000000001</v>
      </c>
      <c r="X310" s="110">
        <v>233.99799999999999</v>
      </c>
      <c r="Y310" s="110">
        <v>103.327</v>
      </c>
      <c r="Z310" s="110">
        <v>29.587</v>
      </c>
      <c r="AA310" s="110">
        <v>4.4459999999999997</v>
      </c>
      <c r="AB310" s="110">
        <v>0.307</v>
      </c>
      <c r="AC310" s="115">
        <f t="shared" si="10"/>
        <v>11054.476999999999</v>
      </c>
      <c r="AD310">
        <f t="shared" si="11"/>
        <v>1.0129631513212212</v>
      </c>
    </row>
    <row r="311" spans="1:30" x14ac:dyDescent="0.25">
      <c r="A311" s="104" t="str">
        <f t="shared" si="9"/>
        <v>Senegal2066</v>
      </c>
      <c r="C311" s="107" t="s">
        <v>257</v>
      </c>
      <c r="D311" s="108" t="s">
        <v>150</v>
      </c>
      <c r="E311" s="109"/>
      <c r="F311" s="109">
        <v>686</v>
      </c>
      <c r="G311" s="109">
        <v>2066</v>
      </c>
      <c r="H311" s="110">
        <v>2166.7750000000001</v>
      </c>
      <c r="I311" s="110">
        <v>2093.6460000000002</v>
      </c>
      <c r="J311" s="110">
        <v>2023.22</v>
      </c>
      <c r="K311" s="110">
        <v>1945.6780000000001</v>
      </c>
      <c r="L311" s="110">
        <v>1848.5309999999999</v>
      </c>
      <c r="M311" s="110">
        <v>1731.1379999999999</v>
      </c>
      <c r="N311" s="110">
        <v>1599.85</v>
      </c>
      <c r="O311" s="110">
        <v>1469.662</v>
      </c>
      <c r="P311" s="110">
        <v>1353.691</v>
      </c>
      <c r="Q311" s="110">
        <v>1250.268</v>
      </c>
      <c r="R311" s="110">
        <v>1150.3579999999999</v>
      </c>
      <c r="S311" s="110">
        <v>986.21100000000001</v>
      </c>
      <c r="T311" s="110">
        <v>801.89499999999998</v>
      </c>
      <c r="U311" s="110">
        <v>653.25300000000004</v>
      </c>
      <c r="V311" s="110">
        <v>524.75</v>
      </c>
      <c r="W311" s="110">
        <v>387.28699999999998</v>
      </c>
      <c r="X311" s="110">
        <v>242.97499999999999</v>
      </c>
      <c r="Y311" s="110">
        <v>111.92700000000001</v>
      </c>
      <c r="Z311" s="110">
        <v>34.137999999999998</v>
      </c>
      <c r="AA311" s="110">
        <v>5.3890000000000002</v>
      </c>
      <c r="AB311" s="110">
        <v>0.34200000000000003</v>
      </c>
      <c r="AC311" s="115">
        <f t="shared" si="10"/>
        <v>11198.818000000001</v>
      </c>
      <c r="AD311">
        <f t="shared" si="11"/>
        <v>1.01305724368507</v>
      </c>
    </row>
    <row r="312" spans="1:30" x14ac:dyDescent="0.25">
      <c r="A312" s="104" t="str">
        <f t="shared" si="9"/>
        <v>Senegal2067</v>
      </c>
      <c r="C312" s="107" t="s">
        <v>257</v>
      </c>
      <c r="D312" s="108" t="s">
        <v>150</v>
      </c>
      <c r="E312" s="109"/>
      <c r="F312" s="109">
        <v>686</v>
      </c>
      <c r="G312" s="109">
        <v>2067</v>
      </c>
      <c r="H312" s="110">
        <v>2180.335</v>
      </c>
      <c r="I312" s="110">
        <v>2107.44</v>
      </c>
      <c r="J312" s="110">
        <v>2037.0409999999999</v>
      </c>
      <c r="K312" s="110">
        <v>1961.211</v>
      </c>
      <c r="L312" s="110">
        <v>1867.963</v>
      </c>
      <c r="M312" s="110">
        <v>1754.1020000000001</v>
      </c>
      <c r="N312" s="110">
        <v>1624.819</v>
      </c>
      <c r="O312" s="110">
        <v>1493.087</v>
      </c>
      <c r="P312" s="110">
        <v>1373.557</v>
      </c>
      <c r="Q312" s="110">
        <v>1267.7339999999999</v>
      </c>
      <c r="R312" s="110">
        <v>1169.412</v>
      </c>
      <c r="S312" s="110">
        <v>1019.255</v>
      </c>
      <c r="T312" s="110">
        <v>831.07899999999995</v>
      </c>
      <c r="U312" s="110">
        <v>671.15200000000004</v>
      </c>
      <c r="V312" s="110">
        <v>537.44100000000003</v>
      </c>
      <c r="W312" s="110">
        <v>398.209</v>
      </c>
      <c r="X312" s="110">
        <v>251.65799999999999</v>
      </c>
      <c r="Y312" s="110">
        <v>119.625</v>
      </c>
      <c r="Z312" s="110">
        <v>37.338000000000001</v>
      </c>
      <c r="AA312" s="110">
        <v>6.8689999999999998</v>
      </c>
      <c r="AB312" s="110">
        <v>0.38</v>
      </c>
      <c r="AC312" s="115">
        <f t="shared" si="10"/>
        <v>11342.473</v>
      </c>
      <c r="AD312">
        <f t="shared" si="11"/>
        <v>1.0128276930654645</v>
      </c>
    </row>
    <row r="313" spans="1:30" x14ac:dyDescent="0.25">
      <c r="A313" s="104" t="str">
        <f t="shared" si="9"/>
        <v>Senegal2068</v>
      </c>
      <c r="C313" s="107" t="s">
        <v>257</v>
      </c>
      <c r="D313" s="108" t="s">
        <v>150</v>
      </c>
      <c r="E313" s="109"/>
      <c r="F313" s="109">
        <v>686</v>
      </c>
      <c r="G313" s="109">
        <v>2068</v>
      </c>
      <c r="H313" s="110">
        <v>2193.0880000000002</v>
      </c>
      <c r="I313" s="110">
        <v>2121.114</v>
      </c>
      <c r="J313" s="110">
        <v>2050.54</v>
      </c>
      <c r="K313" s="110">
        <v>1976.1289999999999</v>
      </c>
      <c r="L313" s="110">
        <v>1886.5229999999999</v>
      </c>
      <c r="M313" s="110">
        <v>1776.1990000000001</v>
      </c>
      <c r="N313" s="110">
        <v>1649.5250000000001</v>
      </c>
      <c r="O313" s="110">
        <v>1516.9749999999999</v>
      </c>
      <c r="P313" s="110">
        <v>1394.008</v>
      </c>
      <c r="Q313" s="110">
        <v>1285.7670000000001</v>
      </c>
      <c r="R313" s="110">
        <v>1186.0070000000001</v>
      </c>
      <c r="S313" s="110">
        <v>1051.615</v>
      </c>
      <c r="T313" s="110">
        <v>862.36</v>
      </c>
      <c r="U313" s="110">
        <v>691.18100000000004</v>
      </c>
      <c r="V313" s="110">
        <v>551.57600000000002</v>
      </c>
      <c r="W313" s="110">
        <v>410.48599999999999</v>
      </c>
      <c r="X313" s="110">
        <v>260.78899999999999</v>
      </c>
      <c r="Y313" s="110">
        <v>126.10299999999999</v>
      </c>
      <c r="Z313" s="110">
        <v>39.828000000000003</v>
      </c>
      <c r="AA313" s="110">
        <v>8.0449999999999999</v>
      </c>
      <c r="AB313" s="110">
        <v>0.42299999999999999</v>
      </c>
      <c r="AC313" s="115">
        <f t="shared" si="10"/>
        <v>11485.126</v>
      </c>
      <c r="AD313">
        <f t="shared" si="11"/>
        <v>1.0125768868923029</v>
      </c>
    </row>
    <row r="314" spans="1:30" x14ac:dyDescent="0.25">
      <c r="A314" s="104" t="str">
        <f t="shared" si="9"/>
        <v>Senegal2069</v>
      </c>
      <c r="C314" s="107" t="s">
        <v>257</v>
      </c>
      <c r="D314" s="108" t="s">
        <v>150</v>
      </c>
      <c r="E314" s="109"/>
      <c r="F314" s="109">
        <v>686</v>
      </c>
      <c r="G314" s="109">
        <v>2069</v>
      </c>
      <c r="H314" s="110">
        <v>2205.0889999999999</v>
      </c>
      <c r="I314" s="110">
        <v>2134.4679999999998</v>
      </c>
      <c r="J314" s="110">
        <v>2063.7600000000002</v>
      </c>
      <c r="K314" s="110">
        <v>1990.588</v>
      </c>
      <c r="L314" s="110">
        <v>1904.194</v>
      </c>
      <c r="M314" s="110">
        <v>1797.423</v>
      </c>
      <c r="N314" s="110">
        <v>1673.7139999999999</v>
      </c>
      <c r="O314" s="110">
        <v>1541.1020000000001</v>
      </c>
      <c r="P314" s="110">
        <v>1415.0609999999999</v>
      </c>
      <c r="Q314" s="110">
        <v>1304.1489999999999</v>
      </c>
      <c r="R314" s="110">
        <v>1201.9970000000001</v>
      </c>
      <c r="S314" s="110">
        <v>1081.5550000000001</v>
      </c>
      <c r="T314" s="110">
        <v>894.86500000000001</v>
      </c>
      <c r="U314" s="110">
        <v>713.93799999999999</v>
      </c>
      <c r="V314" s="110">
        <v>567.48199999999997</v>
      </c>
      <c r="W314" s="110">
        <v>424.077</v>
      </c>
      <c r="X314" s="110">
        <v>270.834</v>
      </c>
      <c r="Y314" s="110">
        <v>132.21799999999999</v>
      </c>
      <c r="Z314" s="110">
        <v>41.295000000000002</v>
      </c>
      <c r="AA314" s="110">
        <v>8.2629999999999999</v>
      </c>
      <c r="AB314" s="110">
        <v>0.47099999999999997</v>
      </c>
      <c r="AC314" s="115">
        <f t="shared" si="10"/>
        <v>11626.231</v>
      </c>
      <c r="AD314">
        <f t="shared" si="11"/>
        <v>1.0122858904638921</v>
      </c>
    </row>
    <row r="315" spans="1:30" x14ac:dyDescent="0.25">
      <c r="A315" s="104" t="str">
        <f t="shared" si="9"/>
        <v>Senegal2070</v>
      </c>
      <c r="C315" s="107" t="s">
        <v>257</v>
      </c>
      <c r="D315" s="108" t="s">
        <v>150</v>
      </c>
      <c r="E315" s="109"/>
      <c r="F315" s="109">
        <v>686</v>
      </c>
      <c r="G315" s="109">
        <v>2070</v>
      </c>
      <c r="H315" s="110">
        <v>2216.4349999999999</v>
      </c>
      <c r="I315" s="110">
        <v>2147.2159999999999</v>
      </c>
      <c r="J315" s="110">
        <v>2076.7779999999998</v>
      </c>
      <c r="K315" s="110">
        <v>2004.6479999999999</v>
      </c>
      <c r="L315" s="110">
        <v>1920.9949999999999</v>
      </c>
      <c r="M315" s="110">
        <v>1817.7840000000001</v>
      </c>
      <c r="N315" s="110">
        <v>1697.1949999999999</v>
      </c>
      <c r="O315" s="110">
        <v>1565.2670000000001</v>
      </c>
      <c r="P315" s="110">
        <v>1436.7170000000001</v>
      </c>
      <c r="Q315" s="110">
        <v>1322.768</v>
      </c>
      <c r="R315" s="110">
        <v>1218.588</v>
      </c>
      <c r="S315" s="110">
        <v>1108.0350000000001</v>
      </c>
      <c r="T315" s="110">
        <v>927.87</v>
      </c>
      <c r="U315" s="110">
        <v>739.70399999999995</v>
      </c>
      <c r="V315" s="110">
        <v>585.34799999999996</v>
      </c>
      <c r="W315" s="110">
        <v>438.87700000000001</v>
      </c>
      <c r="X315" s="110">
        <v>282.02300000000002</v>
      </c>
      <c r="Y315" s="110">
        <v>138.21100000000001</v>
      </c>
      <c r="Z315" s="110">
        <v>42.262</v>
      </c>
      <c r="AA315" s="110">
        <v>7.0650000000000004</v>
      </c>
      <c r="AB315" s="110">
        <v>0.52600000000000002</v>
      </c>
      <c r="AC315" s="115">
        <f t="shared" si="10"/>
        <v>11765.374</v>
      </c>
      <c r="AD315">
        <f t="shared" si="11"/>
        <v>1.0119680229990269</v>
      </c>
    </row>
    <row r="316" spans="1:30" x14ac:dyDescent="0.25">
      <c r="A316" s="104" t="str">
        <f t="shared" si="9"/>
        <v>Senegal2071</v>
      </c>
      <c r="C316" s="107" t="s">
        <v>257</v>
      </c>
      <c r="D316" s="108" t="s">
        <v>150</v>
      </c>
      <c r="E316" s="109"/>
      <c r="F316" s="109">
        <v>686</v>
      </c>
      <c r="G316" s="109">
        <v>2071</v>
      </c>
      <c r="H316" s="110">
        <v>2228.9609999999998</v>
      </c>
      <c r="I316" s="110">
        <v>2161.0039999999999</v>
      </c>
      <c r="J316" s="110">
        <v>2090.5419999999999</v>
      </c>
      <c r="K316" s="110">
        <v>2018.635</v>
      </c>
      <c r="L316" s="110">
        <v>1937.59</v>
      </c>
      <c r="M316" s="110">
        <v>1838.318</v>
      </c>
      <c r="N316" s="110">
        <v>1720.9739999999999</v>
      </c>
      <c r="O316" s="110">
        <v>1590.146</v>
      </c>
      <c r="P316" s="110">
        <v>1459.443</v>
      </c>
      <c r="Q316" s="110">
        <v>1341.8920000000001</v>
      </c>
      <c r="R316" s="110">
        <v>1235.2909999999999</v>
      </c>
      <c r="S316" s="110">
        <v>1130.2059999999999</v>
      </c>
      <c r="T316" s="110">
        <v>959.21900000000005</v>
      </c>
      <c r="U316" s="110">
        <v>764.78200000000004</v>
      </c>
      <c r="V316" s="110">
        <v>600.06299999999999</v>
      </c>
      <c r="W316" s="110">
        <v>449.024</v>
      </c>
      <c r="X316" s="110">
        <v>291.09800000000001</v>
      </c>
      <c r="Y316" s="110">
        <v>146.768</v>
      </c>
      <c r="Z316" s="110">
        <v>48.563000000000002</v>
      </c>
      <c r="AA316" s="110">
        <v>8.3650000000000002</v>
      </c>
      <c r="AB316" s="110">
        <v>0.58799999999999997</v>
      </c>
      <c r="AC316" s="115">
        <f t="shared" si="10"/>
        <v>11906.998</v>
      </c>
      <c r="AD316">
        <f t="shared" si="11"/>
        <v>1.0120373563985301</v>
      </c>
    </row>
    <row r="317" spans="1:30" x14ac:dyDescent="0.25">
      <c r="A317" s="104" t="str">
        <f t="shared" si="9"/>
        <v>Senegal2072</v>
      </c>
      <c r="C317" s="107" t="s">
        <v>257</v>
      </c>
      <c r="D317" s="108" t="s">
        <v>150</v>
      </c>
      <c r="E317" s="109"/>
      <c r="F317" s="109">
        <v>686</v>
      </c>
      <c r="G317" s="109">
        <v>2072</v>
      </c>
      <c r="H317" s="110">
        <v>2240.0189999999998</v>
      </c>
      <c r="I317" s="110">
        <v>2174.5210000000002</v>
      </c>
      <c r="J317" s="110">
        <v>2104.3119999999999</v>
      </c>
      <c r="K317" s="110">
        <v>2032.32</v>
      </c>
      <c r="L317" s="110">
        <v>1953.318</v>
      </c>
      <c r="M317" s="110">
        <v>1857.953</v>
      </c>
      <c r="N317" s="110">
        <v>1744.0039999999999</v>
      </c>
      <c r="O317" s="110">
        <v>1615.068</v>
      </c>
      <c r="P317" s="110">
        <v>1482.845</v>
      </c>
      <c r="Q317" s="110">
        <v>1361.6669999999999</v>
      </c>
      <c r="R317" s="110">
        <v>1252.681</v>
      </c>
      <c r="S317" s="110">
        <v>1149.0809999999999</v>
      </c>
      <c r="T317" s="110">
        <v>991.50599999999997</v>
      </c>
      <c r="U317" s="110">
        <v>792.86699999999996</v>
      </c>
      <c r="V317" s="110">
        <v>616.80499999999995</v>
      </c>
      <c r="W317" s="110">
        <v>460.36799999999999</v>
      </c>
      <c r="X317" s="110">
        <v>300.529</v>
      </c>
      <c r="Y317" s="110">
        <v>153.93700000000001</v>
      </c>
      <c r="Z317" s="110">
        <v>53.061</v>
      </c>
      <c r="AA317" s="110">
        <v>10.372</v>
      </c>
      <c r="AB317" s="110">
        <v>0.65700000000000003</v>
      </c>
      <c r="AC317" s="115">
        <f t="shared" si="10"/>
        <v>12047.174999999999</v>
      </c>
      <c r="AD317">
        <f t="shared" si="11"/>
        <v>1.0117726567183432</v>
      </c>
    </row>
    <row r="318" spans="1:30" x14ac:dyDescent="0.25">
      <c r="A318" s="104" t="str">
        <f t="shared" si="9"/>
        <v>Senegal2073</v>
      </c>
      <c r="C318" s="107" t="s">
        <v>257</v>
      </c>
      <c r="D318" s="108" t="s">
        <v>150</v>
      </c>
      <c r="E318" s="109"/>
      <c r="F318" s="109">
        <v>686</v>
      </c>
      <c r="G318" s="109">
        <v>2073</v>
      </c>
      <c r="H318" s="110">
        <v>2249.8710000000001</v>
      </c>
      <c r="I318" s="110">
        <v>2187.6170000000002</v>
      </c>
      <c r="J318" s="110">
        <v>2117.9470000000001</v>
      </c>
      <c r="K318" s="110">
        <v>2045.8219999999999</v>
      </c>
      <c r="L318" s="110">
        <v>1968.297</v>
      </c>
      <c r="M318" s="110">
        <v>1876.624</v>
      </c>
      <c r="N318" s="110">
        <v>1766.192</v>
      </c>
      <c r="O318" s="110">
        <v>1639.8119999999999</v>
      </c>
      <c r="P318" s="110">
        <v>1506.7370000000001</v>
      </c>
      <c r="Q318" s="110">
        <v>1382.115</v>
      </c>
      <c r="R318" s="110">
        <v>1270.701</v>
      </c>
      <c r="S318" s="110">
        <v>1165.69</v>
      </c>
      <c r="T318" s="110">
        <v>1023.465</v>
      </c>
      <c r="U318" s="110">
        <v>823.303</v>
      </c>
      <c r="V318" s="110">
        <v>635.94799999999998</v>
      </c>
      <c r="W318" s="110">
        <v>473.43299999999999</v>
      </c>
      <c r="X318" s="110">
        <v>310.84199999999998</v>
      </c>
      <c r="Y318" s="110">
        <v>159.84399999999999</v>
      </c>
      <c r="Z318" s="110">
        <v>56.472999999999999</v>
      </c>
      <c r="AA318" s="110">
        <v>11.989000000000001</v>
      </c>
      <c r="AB318" s="110">
        <v>0.73399999999999999</v>
      </c>
      <c r="AC318" s="115">
        <f t="shared" si="10"/>
        <v>12185.599</v>
      </c>
      <c r="AD318">
        <f t="shared" si="11"/>
        <v>1.0114901626314883</v>
      </c>
    </row>
    <row r="319" spans="1:30" x14ac:dyDescent="0.25">
      <c r="A319" s="104" t="str">
        <f t="shared" si="9"/>
        <v>Senegal2074</v>
      </c>
      <c r="C319" s="107" t="s">
        <v>257</v>
      </c>
      <c r="D319" s="108" t="s">
        <v>150</v>
      </c>
      <c r="E319" s="109"/>
      <c r="F319" s="109">
        <v>686</v>
      </c>
      <c r="G319" s="109">
        <v>2074</v>
      </c>
      <c r="H319" s="110">
        <v>2258.8560000000002</v>
      </c>
      <c r="I319" s="110">
        <v>2200.0500000000002</v>
      </c>
      <c r="J319" s="110">
        <v>2131.3130000000001</v>
      </c>
      <c r="K319" s="110">
        <v>2059.2240000000002</v>
      </c>
      <c r="L319" s="110">
        <v>1982.691</v>
      </c>
      <c r="M319" s="110">
        <v>1894.2860000000001</v>
      </c>
      <c r="N319" s="110">
        <v>1787.4939999999999</v>
      </c>
      <c r="O319" s="110">
        <v>1664.1010000000001</v>
      </c>
      <c r="P319" s="110">
        <v>1530.88</v>
      </c>
      <c r="Q319" s="110">
        <v>1403.239</v>
      </c>
      <c r="R319" s="110">
        <v>1289.124</v>
      </c>
      <c r="S319" s="110">
        <v>1181.81</v>
      </c>
      <c r="T319" s="110">
        <v>1053.3209999999999</v>
      </c>
      <c r="U319" s="110">
        <v>855.25099999999998</v>
      </c>
      <c r="V319" s="110">
        <v>658.13699999999994</v>
      </c>
      <c r="W319" s="110">
        <v>488.64400000000001</v>
      </c>
      <c r="X319" s="110">
        <v>322.18200000000002</v>
      </c>
      <c r="Y319" s="110">
        <v>165.84700000000001</v>
      </c>
      <c r="Z319" s="110">
        <v>58.448999999999998</v>
      </c>
      <c r="AA319" s="110">
        <v>12.353999999999999</v>
      </c>
      <c r="AB319" s="110">
        <v>0.81799999999999995</v>
      </c>
      <c r="AC319" s="115">
        <f t="shared" si="10"/>
        <v>12321.914999999999</v>
      </c>
      <c r="AD319">
        <f t="shared" si="11"/>
        <v>1.0111866474516353</v>
      </c>
    </row>
    <row r="320" spans="1:30" x14ac:dyDescent="0.25">
      <c r="A320" s="104" t="str">
        <f t="shared" si="9"/>
        <v>Senegal2075</v>
      </c>
      <c r="C320" s="107" t="s">
        <v>257</v>
      </c>
      <c r="D320" s="108" t="s">
        <v>150</v>
      </c>
      <c r="E320" s="109"/>
      <c r="F320" s="109">
        <v>686</v>
      </c>
      <c r="G320" s="109">
        <v>2075</v>
      </c>
      <c r="H320" s="110">
        <v>2267.2379999999998</v>
      </c>
      <c r="I320" s="110">
        <v>2211.5250000000001</v>
      </c>
      <c r="J320" s="110">
        <v>2144.3319999999999</v>
      </c>
      <c r="K320" s="110">
        <v>2072.527</v>
      </c>
      <c r="L320" s="110">
        <v>1996.6410000000001</v>
      </c>
      <c r="M320" s="110">
        <v>1910.952</v>
      </c>
      <c r="N320" s="110">
        <v>1807.875</v>
      </c>
      <c r="O320" s="110">
        <v>1687.6980000000001</v>
      </c>
      <c r="P320" s="110">
        <v>1555.088</v>
      </c>
      <c r="Q320" s="110">
        <v>1425.0039999999999</v>
      </c>
      <c r="R320" s="110">
        <v>1307.8389999999999</v>
      </c>
      <c r="S320" s="110">
        <v>1198.604</v>
      </c>
      <c r="T320" s="110">
        <v>1079.972</v>
      </c>
      <c r="U320" s="110">
        <v>888.03300000000002</v>
      </c>
      <c r="V320" s="110">
        <v>683.67499999999995</v>
      </c>
      <c r="W320" s="110">
        <v>506.14499999999998</v>
      </c>
      <c r="X320" s="110">
        <v>334.637</v>
      </c>
      <c r="Y320" s="110">
        <v>172.44</v>
      </c>
      <c r="Z320" s="110">
        <v>59.597000000000001</v>
      </c>
      <c r="AA320" s="110">
        <v>10.865</v>
      </c>
      <c r="AB320" s="110">
        <v>0.91100000000000003</v>
      </c>
      <c r="AC320" s="115">
        <f t="shared" si="10"/>
        <v>12455.785</v>
      </c>
      <c r="AD320">
        <f t="shared" si="11"/>
        <v>1.010864382687269</v>
      </c>
    </row>
    <row r="321" spans="1:30" x14ac:dyDescent="0.25">
      <c r="A321" s="104" t="str">
        <f t="shared" si="9"/>
        <v>Senegal2076</v>
      </c>
      <c r="C321" s="107" t="s">
        <v>257</v>
      </c>
      <c r="D321" s="108" t="s">
        <v>150</v>
      </c>
      <c r="E321" s="109"/>
      <c r="F321" s="109">
        <v>686</v>
      </c>
      <c r="G321" s="109">
        <v>2076</v>
      </c>
      <c r="H321" s="110">
        <v>2276.1210000000001</v>
      </c>
      <c r="I321" s="110">
        <v>2223.7179999999998</v>
      </c>
      <c r="J321" s="110">
        <v>2158.0839999999998</v>
      </c>
      <c r="K321" s="110">
        <v>2086.2469999999998</v>
      </c>
      <c r="L321" s="110">
        <v>2010.9860000000001</v>
      </c>
      <c r="M321" s="110">
        <v>1927.8620000000001</v>
      </c>
      <c r="N321" s="110">
        <v>1828.511</v>
      </c>
      <c r="O321" s="110">
        <v>1711.432</v>
      </c>
      <c r="P321" s="110">
        <v>1579.933</v>
      </c>
      <c r="Q321" s="110">
        <v>1447.595</v>
      </c>
      <c r="R321" s="110">
        <v>1326.83</v>
      </c>
      <c r="S321" s="110">
        <v>1215.0840000000001</v>
      </c>
      <c r="T321" s="110">
        <v>1101.3499999999999</v>
      </c>
      <c r="U321" s="110">
        <v>917.83399999999995</v>
      </c>
      <c r="V321" s="110">
        <v>706.81500000000005</v>
      </c>
      <c r="W321" s="110">
        <v>519.22699999999998</v>
      </c>
      <c r="X321" s="110">
        <v>344.07</v>
      </c>
      <c r="Y321" s="110">
        <v>181.63800000000001</v>
      </c>
      <c r="Z321" s="110">
        <v>66.775999999999996</v>
      </c>
      <c r="AA321" s="110">
        <v>12.78</v>
      </c>
      <c r="AB321" s="110">
        <v>1.012</v>
      </c>
      <c r="AC321" s="115">
        <f t="shared" si="10"/>
        <v>12592.566000000001</v>
      </c>
      <c r="AD321">
        <f t="shared" si="11"/>
        <v>1.0109813231361975</v>
      </c>
    </row>
    <row r="322" spans="1:30" x14ac:dyDescent="0.25">
      <c r="A322" s="104" t="str">
        <f t="shared" si="9"/>
        <v>Senegal2077</v>
      </c>
      <c r="C322" s="107" t="s">
        <v>257</v>
      </c>
      <c r="D322" s="108" t="s">
        <v>150</v>
      </c>
      <c r="E322" s="109"/>
      <c r="F322" s="109">
        <v>686</v>
      </c>
      <c r="G322" s="109">
        <v>2077</v>
      </c>
      <c r="H322" s="110">
        <v>2284.34</v>
      </c>
      <c r="I322" s="110">
        <v>2234.96</v>
      </c>
      <c r="J322" s="110">
        <v>2171.6</v>
      </c>
      <c r="K322" s="110">
        <v>2099.9070000000002</v>
      </c>
      <c r="L322" s="110">
        <v>2024.87</v>
      </c>
      <c r="M322" s="110">
        <v>1943.796</v>
      </c>
      <c r="N322" s="110">
        <v>1848.2329999999999</v>
      </c>
      <c r="O322" s="110">
        <v>1734.4369999999999</v>
      </c>
      <c r="P322" s="110">
        <v>1604.836</v>
      </c>
      <c r="Q322" s="110">
        <v>1470.8969999999999</v>
      </c>
      <c r="R322" s="110">
        <v>1346.5329999999999</v>
      </c>
      <c r="S322" s="110">
        <v>1232.3879999999999</v>
      </c>
      <c r="T322" s="110">
        <v>1119.8610000000001</v>
      </c>
      <c r="U322" s="110">
        <v>949.02200000000005</v>
      </c>
      <c r="V322" s="110">
        <v>733.17700000000002</v>
      </c>
      <c r="W322" s="110">
        <v>534.19799999999998</v>
      </c>
      <c r="X322" s="110">
        <v>353.93400000000003</v>
      </c>
      <c r="Y322" s="110">
        <v>189.65299999999999</v>
      </c>
      <c r="Z322" s="110">
        <v>71.397000000000006</v>
      </c>
      <c r="AA322" s="110">
        <v>15.65</v>
      </c>
      <c r="AB322" s="110">
        <v>1.123</v>
      </c>
      <c r="AC322" s="115">
        <f t="shared" si="10"/>
        <v>12726.975999999999</v>
      </c>
      <c r="AD322">
        <f t="shared" si="11"/>
        <v>1.0106737578345826</v>
      </c>
    </row>
    <row r="323" spans="1:30" x14ac:dyDescent="0.25">
      <c r="A323" s="104" t="str">
        <f t="shared" si="9"/>
        <v>Senegal2078</v>
      </c>
      <c r="C323" s="107" t="s">
        <v>257</v>
      </c>
      <c r="D323" s="108" t="s">
        <v>150</v>
      </c>
      <c r="E323" s="109"/>
      <c r="F323" s="109">
        <v>686</v>
      </c>
      <c r="G323" s="109">
        <v>2078</v>
      </c>
      <c r="H323" s="110">
        <v>2291.857</v>
      </c>
      <c r="I323" s="110">
        <v>2245.1509999999998</v>
      </c>
      <c r="J323" s="110">
        <v>2184.7199999999998</v>
      </c>
      <c r="K323" s="110">
        <v>2113.5210000000002</v>
      </c>
      <c r="L323" s="110">
        <v>2038.41</v>
      </c>
      <c r="M323" s="110">
        <v>1958.86</v>
      </c>
      <c r="N323" s="110">
        <v>1866.98</v>
      </c>
      <c r="O323" s="110">
        <v>1756.663</v>
      </c>
      <c r="P323" s="110">
        <v>1629.569</v>
      </c>
      <c r="Q323" s="110">
        <v>1494.7529999999999</v>
      </c>
      <c r="R323" s="110">
        <v>1366.953</v>
      </c>
      <c r="S323" s="110">
        <v>1250.402</v>
      </c>
      <c r="T323" s="110">
        <v>1136.5039999999999</v>
      </c>
      <c r="U323" s="110">
        <v>980.32</v>
      </c>
      <c r="V323" s="110">
        <v>762.18299999999999</v>
      </c>
      <c r="W323" s="110">
        <v>551.76700000000005</v>
      </c>
      <c r="X323" s="110">
        <v>365.125</v>
      </c>
      <c r="Y323" s="110">
        <v>196.52600000000001</v>
      </c>
      <c r="Z323" s="110">
        <v>74.712999999999994</v>
      </c>
      <c r="AA323" s="110">
        <v>17.907</v>
      </c>
      <c r="AB323" s="110">
        <v>1.244</v>
      </c>
      <c r="AC323" s="115">
        <f t="shared" si="10"/>
        <v>12858.756000000001</v>
      </c>
      <c r="AD323">
        <f t="shared" si="11"/>
        <v>1.0103543842622162</v>
      </c>
    </row>
    <row r="324" spans="1:30" x14ac:dyDescent="0.25">
      <c r="A324" s="104" t="str">
        <f t="shared" si="9"/>
        <v>Senegal2079</v>
      </c>
      <c r="C324" s="107" t="s">
        <v>257</v>
      </c>
      <c r="D324" s="108" t="s">
        <v>150</v>
      </c>
      <c r="E324" s="109"/>
      <c r="F324" s="109">
        <v>686</v>
      </c>
      <c r="G324" s="109">
        <v>2079</v>
      </c>
      <c r="H324" s="110">
        <v>2298.5540000000001</v>
      </c>
      <c r="I324" s="110">
        <v>2254.317</v>
      </c>
      <c r="J324" s="110">
        <v>2197.1970000000001</v>
      </c>
      <c r="K324" s="110">
        <v>2127.0250000000001</v>
      </c>
      <c r="L324" s="110">
        <v>2051.7350000000001</v>
      </c>
      <c r="M324" s="110">
        <v>1973.232</v>
      </c>
      <c r="N324" s="110">
        <v>1884.7070000000001</v>
      </c>
      <c r="O324" s="110">
        <v>1778.068</v>
      </c>
      <c r="P324" s="110">
        <v>1653.864</v>
      </c>
      <c r="Q324" s="110">
        <v>1518.9369999999999</v>
      </c>
      <c r="R324" s="110">
        <v>1388.098</v>
      </c>
      <c r="S324" s="110">
        <v>1268.8969999999999</v>
      </c>
      <c r="T324" s="110">
        <v>1152.9739999999999</v>
      </c>
      <c r="U324" s="110">
        <v>1009.9589999999999</v>
      </c>
      <c r="V324" s="110">
        <v>793.13099999999997</v>
      </c>
      <c r="W324" s="110">
        <v>572.74199999999996</v>
      </c>
      <c r="X324" s="110">
        <v>378.18700000000001</v>
      </c>
      <c r="Y324" s="110">
        <v>203.607</v>
      </c>
      <c r="Z324" s="110">
        <v>76.659000000000006</v>
      </c>
      <c r="AA324" s="110">
        <v>18.414999999999999</v>
      </c>
      <c r="AB324" s="110">
        <v>1.379</v>
      </c>
      <c r="AC324" s="115">
        <f t="shared" si="10"/>
        <v>12987.567999999999</v>
      </c>
      <c r="AD324">
        <f t="shared" si="11"/>
        <v>1.0100174542545171</v>
      </c>
    </row>
    <row r="325" spans="1:30" x14ac:dyDescent="0.25">
      <c r="A325" s="104" t="str">
        <f t="shared" si="9"/>
        <v>Senegal2080</v>
      </c>
      <c r="C325" s="107" t="s">
        <v>257</v>
      </c>
      <c r="D325" s="108" t="s">
        <v>150</v>
      </c>
      <c r="E325" s="109"/>
      <c r="F325" s="109">
        <v>686</v>
      </c>
      <c r="G325" s="109">
        <v>2080</v>
      </c>
      <c r="H325" s="110">
        <v>2304.3580000000002</v>
      </c>
      <c r="I325" s="110">
        <v>2262.5659999999998</v>
      </c>
      <c r="J325" s="110">
        <v>2208.7710000000002</v>
      </c>
      <c r="K325" s="110">
        <v>2140.2910000000002</v>
      </c>
      <c r="L325" s="110">
        <v>2064.931</v>
      </c>
      <c r="M325" s="110">
        <v>1987.0540000000001</v>
      </c>
      <c r="N325" s="110">
        <v>1901.39</v>
      </c>
      <c r="O325" s="110">
        <v>1798.579</v>
      </c>
      <c r="P325" s="110">
        <v>1677.511</v>
      </c>
      <c r="Q325" s="110">
        <v>1543.232</v>
      </c>
      <c r="R325" s="110">
        <v>1409.932</v>
      </c>
      <c r="S325" s="110">
        <v>1287.7670000000001</v>
      </c>
      <c r="T325" s="110">
        <v>1170.308</v>
      </c>
      <c r="U325" s="110">
        <v>1036.837</v>
      </c>
      <c r="V325" s="110">
        <v>825.44600000000003</v>
      </c>
      <c r="W325" s="110">
        <v>597.42700000000002</v>
      </c>
      <c r="X325" s="110">
        <v>393.37400000000002</v>
      </c>
      <c r="Y325" s="110">
        <v>211.36</v>
      </c>
      <c r="Z325" s="110">
        <v>78.171000000000006</v>
      </c>
      <c r="AA325" s="110">
        <v>16.449000000000002</v>
      </c>
      <c r="AB325" s="110">
        <v>1.5289999999999999</v>
      </c>
      <c r="AC325" s="115">
        <f t="shared" si="10"/>
        <v>13112.988000000001</v>
      </c>
      <c r="AD325">
        <f t="shared" si="11"/>
        <v>1.009656927301555</v>
      </c>
    </row>
    <row r="326" spans="1:30" x14ac:dyDescent="0.25">
      <c r="A326" s="104" t="str">
        <f t="shared" si="9"/>
        <v>Senegal2081</v>
      </c>
      <c r="C326" s="107" t="s">
        <v>257</v>
      </c>
      <c r="D326" s="108" t="s">
        <v>150</v>
      </c>
      <c r="E326" s="109"/>
      <c r="F326" s="109">
        <v>686</v>
      </c>
      <c r="G326" s="109">
        <v>2081</v>
      </c>
      <c r="H326" s="110">
        <v>2311.0329999999999</v>
      </c>
      <c r="I326" s="110">
        <v>2271.83</v>
      </c>
      <c r="J326" s="110">
        <v>2220.6410000000001</v>
      </c>
      <c r="K326" s="110">
        <v>2153.9879999999998</v>
      </c>
      <c r="L326" s="110">
        <v>2078.9540000000002</v>
      </c>
      <c r="M326" s="110">
        <v>2001.674</v>
      </c>
      <c r="N326" s="110">
        <v>1918.374</v>
      </c>
      <c r="O326" s="110">
        <v>1819.1489999999999</v>
      </c>
      <c r="P326" s="110">
        <v>1701.1980000000001</v>
      </c>
      <c r="Q326" s="110">
        <v>1567.9079999999999</v>
      </c>
      <c r="R326" s="110">
        <v>1432.3389999999999</v>
      </c>
      <c r="S326" s="110">
        <v>1306.473</v>
      </c>
      <c r="T326" s="110">
        <v>1186.2049999999999</v>
      </c>
      <c r="U326" s="110">
        <v>1057.0070000000001</v>
      </c>
      <c r="V326" s="110">
        <v>852.88099999999997</v>
      </c>
      <c r="W326" s="110">
        <v>617.92999999999995</v>
      </c>
      <c r="X326" s="110">
        <v>405.17700000000002</v>
      </c>
      <c r="Y326" s="110">
        <v>221.09700000000001</v>
      </c>
      <c r="Z326" s="110">
        <v>86.481999999999999</v>
      </c>
      <c r="AA326" s="110">
        <v>18.742000000000001</v>
      </c>
      <c r="AB326" s="110">
        <v>1.6970000000000001</v>
      </c>
      <c r="AC326" s="115">
        <f t="shared" si="10"/>
        <v>13241.244999999999</v>
      </c>
      <c r="AD326">
        <f t="shared" si="11"/>
        <v>1.0097809133967024</v>
      </c>
    </row>
    <row r="327" spans="1:30" x14ac:dyDescent="0.25">
      <c r="A327" s="104" t="str">
        <f t="shared" si="9"/>
        <v>Senegal2082</v>
      </c>
      <c r="C327" s="107" t="s">
        <v>257</v>
      </c>
      <c r="D327" s="108" t="s">
        <v>150</v>
      </c>
      <c r="E327" s="109"/>
      <c r="F327" s="109">
        <v>686</v>
      </c>
      <c r="G327" s="109">
        <v>2082</v>
      </c>
      <c r="H327" s="110">
        <v>2316.7220000000002</v>
      </c>
      <c r="I327" s="110">
        <v>2280.279</v>
      </c>
      <c r="J327" s="110">
        <v>2231.721</v>
      </c>
      <c r="K327" s="110">
        <v>2167.4780000000001</v>
      </c>
      <c r="L327" s="110">
        <v>2092.8200000000002</v>
      </c>
      <c r="M327" s="110">
        <v>2015.778</v>
      </c>
      <c r="N327" s="110">
        <v>1934.4190000000001</v>
      </c>
      <c r="O327" s="110">
        <v>1838.8710000000001</v>
      </c>
      <c r="P327" s="110">
        <v>1724.221</v>
      </c>
      <c r="Q327" s="110">
        <v>1592.723</v>
      </c>
      <c r="R327" s="110">
        <v>1455.549</v>
      </c>
      <c r="S327" s="110">
        <v>1326.076</v>
      </c>
      <c r="T327" s="110">
        <v>1203.2449999999999</v>
      </c>
      <c r="U327" s="110">
        <v>1074.97</v>
      </c>
      <c r="V327" s="110">
        <v>882.27599999999995</v>
      </c>
      <c r="W327" s="110">
        <v>641.52099999999996</v>
      </c>
      <c r="X327" s="110">
        <v>417.91</v>
      </c>
      <c r="Y327" s="110">
        <v>229.614</v>
      </c>
      <c r="Z327" s="110">
        <v>91.813999999999993</v>
      </c>
      <c r="AA327" s="110">
        <v>22.103999999999999</v>
      </c>
      <c r="AB327" s="110">
        <v>1.881</v>
      </c>
      <c r="AC327" s="115">
        <f t="shared" si="10"/>
        <v>13366.310000000001</v>
      </c>
      <c r="AD327">
        <f t="shared" si="11"/>
        <v>1.0094451088247369</v>
      </c>
    </row>
    <row r="328" spans="1:30" x14ac:dyDescent="0.25">
      <c r="A328" s="104" t="str">
        <f t="shared" si="9"/>
        <v>Senegal2083</v>
      </c>
      <c r="C328" s="107" t="s">
        <v>257</v>
      </c>
      <c r="D328" s="108" t="s">
        <v>150</v>
      </c>
      <c r="E328" s="109"/>
      <c r="F328" s="109">
        <v>686</v>
      </c>
      <c r="G328" s="109">
        <v>2083</v>
      </c>
      <c r="H328" s="110">
        <v>2321.3719999999998</v>
      </c>
      <c r="I328" s="110">
        <v>2287.8330000000001</v>
      </c>
      <c r="J328" s="110">
        <v>2241.9679999999998</v>
      </c>
      <c r="K328" s="110">
        <v>2180.6260000000002</v>
      </c>
      <c r="L328" s="110">
        <v>2106.4989999999998</v>
      </c>
      <c r="M328" s="110">
        <v>2029.432</v>
      </c>
      <c r="N328" s="110">
        <v>1949.5989999999999</v>
      </c>
      <c r="O328" s="110">
        <v>1857.69</v>
      </c>
      <c r="P328" s="110">
        <v>1746.481</v>
      </c>
      <c r="Q328" s="110">
        <v>1617.4490000000001</v>
      </c>
      <c r="R328" s="110">
        <v>1479.3720000000001</v>
      </c>
      <c r="S328" s="110">
        <v>1346.498</v>
      </c>
      <c r="T328" s="110">
        <v>1221.2750000000001</v>
      </c>
      <c r="U328" s="110">
        <v>1091.634</v>
      </c>
      <c r="V328" s="110">
        <v>912.40099999999995</v>
      </c>
      <c r="W328" s="110">
        <v>668.01199999999994</v>
      </c>
      <c r="X328" s="110">
        <v>432.74400000000003</v>
      </c>
      <c r="Y328" s="110">
        <v>237.24299999999999</v>
      </c>
      <c r="Z328" s="110">
        <v>95.682000000000002</v>
      </c>
      <c r="AA328" s="110">
        <v>24.754999999999999</v>
      </c>
      <c r="AB328" s="110">
        <v>2.08</v>
      </c>
      <c r="AC328" s="115">
        <f t="shared" si="10"/>
        <v>13487.776</v>
      </c>
      <c r="AD328">
        <f t="shared" si="11"/>
        <v>1.0090874744039304</v>
      </c>
    </row>
    <row r="329" spans="1:30" x14ac:dyDescent="0.25">
      <c r="A329" s="104" t="str">
        <f t="shared" si="9"/>
        <v>Senegal2084</v>
      </c>
      <c r="C329" s="107" t="s">
        <v>257</v>
      </c>
      <c r="D329" s="108" t="s">
        <v>150</v>
      </c>
      <c r="E329" s="109"/>
      <c r="F329" s="109">
        <v>686</v>
      </c>
      <c r="G329" s="109">
        <v>2084</v>
      </c>
      <c r="H329" s="110">
        <v>2324.8980000000001</v>
      </c>
      <c r="I329" s="110">
        <v>2294.404</v>
      </c>
      <c r="J329" s="110">
        <v>2251.39</v>
      </c>
      <c r="K329" s="110">
        <v>2193.1849999999999</v>
      </c>
      <c r="L329" s="110">
        <v>2119.9360000000001</v>
      </c>
      <c r="M329" s="110">
        <v>2042.7439999999999</v>
      </c>
      <c r="N329" s="110">
        <v>1964.0519999999999</v>
      </c>
      <c r="O329" s="110">
        <v>1875.53</v>
      </c>
      <c r="P329" s="110">
        <v>1767.9159999999999</v>
      </c>
      <c r="Q329" s="110">
        <v>1641.798</v>
      </c>
      <c r="R329" s="110">
        <v>1503.557</v>
      </c>
      <c r="S329" s="110">
        <v>1367.6980000000001</v>
      </c>
      <c r="T329" s="110">
        <v>1240.0360000000001</v>
      </c>
      <c r="U329" s="110">
        <v>1108.5619999999999</v>
      </c>
      <c r="V329" s="110">
        <v>941.53300000000002</v>
      </c>
      <c r="W329" s="110">
        <v>696.995</v>
      </c>
      <c r="X329" s="110">
        <v>450.697</v>
      </c>
      <c r="Y329" s="110">
        <v>245.721</v>
      </c>
      <c r="Z329" s="110">
        <v>98.123000000000005</v>
      </c>
      <c r="AA329" s="110">
        <v>25.353000000000002</v>
      </c>
      <c r="AB329" s="110">
        <v>2.2909999999999999</v>
      </c>
      <c r="AC329" s="115">
        <f t="shared" si="10"/>
        <v>13605.161</v>
      </c>
      <c r="AD329">
        <f t="shared" si="11"/>
        <v>1.0087030656499634</v>
      </c>
    </row>
    <row r="330" spans="1:30" x14ac:dyDescent="0.25">
      <c r="A330" s="104" t="str">
        <f t="shared" si="9"/>
        <v>Senegal2085</v>
      </c>
      <c r="C330" s="107" t="s">
        <v>257</v>
      </c>
      <c r="D330" s="108" t="s">
        <v>150</v>
      </c>
      <c r="E330" s="109"/>
      <c r="F330" s="109">
        <v>686</v>
      </c>
      <c r="G330" s="109">
        <v>2085</v>
      </c>
      <c r="H330" s="110">
        <v>2327.2600000000002</v>
      </c>
      <c r="I330" s="110">
        <v>2299.913</v>
      </c>
      <c r="J330" s="110">
        <v>2259.9630000000002</v>
      </c>
      <c r="K330" s="110">
        <v>2204.931</v>
      </c>
      <c r="L330" s="110">
        <v>2133.08</v>
      </c>
      <c r="M330" s="110">
        <v>2055.799</v>
      </c>
      <c r="N330" s="110">
        <v>1977.8789999999999</v>
      </c>
      <c r="O330" s="110">
        <v>1892.329</v>
      </c>
      <c r="P330" s="110">
        <v>1788.472</v>
      </c>
      <c r="Q330" s="110">
        <v>1665.5319999999999</v>
      </c>
      <c r="R330" s="110">
        <v>1527.8869999999999</v>
      </c>
      <c r="S330" s="110">
        <v>1389.633</v>
      </c>
      <c r="T330" s="110">
        <v>1259.3689999999999</v>
      </c>
      <c r="U330" s="110">
        <v>1126.682</v>
      </c>
      <c r="V330" s="110">
        <v>968.59799999999996</v>
      </c>
      <c r="W330" s="110">
        <v>728.02599999999995</v>
      </c>
      <c r="X330" s="110">
        <v>472.21499999999997</v>
      </c>
      <c r="Y330" s="110">
        <v>255.73400000000001</v>
      </c>
      <c r="Z330" s="110">
        <v>100.229</v>
      </c>
      <c r="AA330" s="110">
        <v>23.018000000000001</v>
      </c>
      <c r="AB330" s="110">
        <v>2.5129999999999999</v>
      </c>
      <c r="AC330" s="115">
        <f t="shared" si="10"/>
        <v>13718.021999999999</v>
      </c>
      <c r="AD330">
        <f t="shared" si="11"/>
        <v>1.0082954549380194</v>
      </c>
    </row>
    <row r="331" spans="1:30" x14ac:dyDescent="0.25">
      <c r="A331" s="104" t="str">
        <f t="shared" si="9"/>
        <v>Senegal2086</v>
      </c>
      <c r="C331" s="107" t="s">
        <v>257</v>
      </c>
      <c r="D331" s="108" t="s">
        <v>150</v>
      </c>
      <c r="E331" s="109"/>
      <c r="F331" s="109">
        <v>686</v>
      </c>
      <c r="G331" s="109">
        <v>2086</v>
      </c>
      <c r="H331" s="110">
        <v>2330.67</v>
      </c>
      <c r="I331" s="110">
        <v>2306.4229999999998</v>
      </c>
      <c r="J331" s="110">
        <v>2269.0540000000001</v>
      </c>
      <c r="K331" s="110">
        <v>2216.7379999999998</v>
      </c>
      <c r="L331" s="110">
        <v>2147.0650000000001</v>
      </c>
      <c r="M331" s="110">
        <v>2070.0859999999998</v>
      </c>
      <c r="N331" s="110">
        <v>1992.579</v>
      </c>
      <c r="O331" s="110">
        <v>1909.2650000000001</v>
      </c>
      <c r="P331" s="110">
        <v>1809.0170000000001</v>
      </c>
      <c r="Q331" s="110">
        <v>1689.0730000000001</v>
      </c>
      <c r="R331" s="110">
        <v>1552.3789999999999</v>
      </c>
      <c r="S331" s="110">
        <v>1411.7249999999999</v>
      </c>
      <c r="T331" s="110">
        <v>1277.421</v>
      </c>
      <c r="U331" s="110">
        <v>1141.749</v>
      </c>
      <c r="V331" s="110">
        <v>986.98599999999999</v>
      </c>
      <c r="W331" s="110">
        <v>752.25300000000004</v>
      </c>
      <c r="X331" s="110">
        <v>490.20600000000002</v>
      </c>
      <c r="Y331" s="110">
        <v>267.47699999999998</v>
      </c>
      <c r="Z331" s="110">
        <v>109.607</v>
      </c>
      <c r="AA331" s="110">
        <v>25.835999999999999</v>
      </c>
      <c r="AB331" s="110">
        <v>2.7480000000000002</v>
      </c>
      <c r="AC331" s="115">
        <f t="shared" si="10"/>
        <v>13833.822999999999</v>
      </c>
      <c r="AD331">
        <f t="shared" si="11"/>
        <v>1.0084415231292092</v>
      </c>
    </row>
    <row r="332" spans="1:30" x14ac:dyDescent="0.25">
      <c r="A332" s="104" t="str">
        <f t="shared" si="9"/>
        <v>Senegal2087</v>
      </c>
      <c r="C332" s="107" t="s">
        <v>257</v>
      </c>
      <c r="D332" s="108" t="s">
        <v>150</v>
      </c>
      <c r="E332" s="109"/>
      <c r="F332" s="109">
        <v>686</v>
      </c>
      <c r="G332" s="109">
        <v>2087</v>
      </c>
      <c r="H332" s="110">
        <v>2332.41</v>
      </c>
      <c r="I332" s="110">
        <v>2312.1329999999998</v>
      </c>
      <c r="J332" s="110">
        <v>2277.4349999999999</v>
      </c>
      <c r="K332" s="110">
        <v>2227.7719999999999</v>
      </c>
      <c r="L332" s="110">
        <v>2160.759</v>
      </c>
      <c r="M332" s="110">
        <v>2084.1729999999998</v>
      </c>
      <c r="N332" s="110">
        <v>2006.807</v>
      </c>
      <c r="O332" s="110">
        <v>1925.338</v>
      </c>
      <c r="P332" s="110">
        <v>1828.7819999999999</v>
      </c>
      <c r="Q332" s="110">
        <v>1712.04</v>
      </c>
      <c r="R332" s="110">
        <v>1577.117</v>
      </c>
      <c r="S332" s="110">
        <v>1434.8150000000001</v>
      </c>
      <c r="T332" s="110">
        <v>1296.7280000000001</v>
      </c>
      <c r="U332" s="110">
        <v>1158.4100000000001</v>
      </c>
      <c r="V332" s="110">
        <v>1004.048</v>
      </c>
      <c r="W332" s="110">
        <v>778.78599999999994</v>
      </c>
      <c r="X332" s="110">
        <v>510.14800000000002</v>
      </c>
      <c r="Y332" s="110">
        <v>278.06599999999997</v>
      </c>
      <c r="Z332" s="110">
        <v>115.489</v>
      </c>
      <c r="AA332" s="110">
        <v>29.968</v>
      </c>
      <c r="AB332" s="110">
        <v>2.9950000000000001</v>
      </c>
      <c r="AC332" s="115">
        <f t="shared" si="10"/>
        <v>13945.670999999998</v>
      </c>
      <c r="AD332">
        <f t="shared" si="11"/>
        <v>1.0080851113969003</v>
      </c>
    </row>
    <row r="333" spans="1:30" x14ac:dyDescent="0.25">
      <c r="A333" s="104" t="str">
        <f t="shared" si="9"/>
        <v>Senegal2088</v>
      </c>
      <c r="C333" s="107" t="s">
        <v>257</v>
      </c>
      <c r="D333" s="108" t="s">
        <v>150</v>
      </c>
      <c r="E333" s="109"/>
      <c r="F333" s="109">
        <v>686</v>
      </c>
      <c r="G333" s="109">
        <v>2088</v>
      </c>
      <c r="H333" s="110">
        <v>2332.86</v>
      </c>
      <c r="I333" s="110">
        <v>2316.924</v>
      </c>
      <c r="J333" s="110">
        <v>2285.0160000000001</v>
      </c>
      <c r="K333" s="110">
        <v>2238.0540000000001</v>
      </c>
      <c r="L333" s="110">
        <v>2173.989</v>
      </c>
      <c r="M333" s="110">
        <v>2097.9859999999999</v>
      </c>
      <c r="N333" s="110">
        <v>2020.5920000000001</v>
      </c>
      <c r="O333" s="110">
        <v>1940.6179999999999</v>
      </c>
      <c r="P333" s="110">
        <v>1847.664</v>
      </c>
      <c r="Q333" s="110">
        <v>1734.336</v>
      </c>
      <c r="R333" s="110">
        <v>1601.8389999999999</v>
      </c>
      <c r="S333" s="110">
        <v>1458.6279999999999</v>
      </c>
      <c r="T333" s="110">
        <v>1317.174</v>
      </c>
      <c r="U333" s="110">
        <v>1176.4259999999999</v>
      </c>
      <c r="V333" s="110">
        <v>1020.6319999999999</v>
      </c>
      <c r="W333" s="110">
        <v>806.79200000000003</v>
      </c>
      <c r="X333" s="110">
        <v>532.48500000000001</v>
      </c>
      <c r="Y333" s="110">
        <v>288.18799999999999</v>
      </c>
      <c r="Z333" s="110">
        <v>119.896</v>
      </c>
      <c r="AA333" s="110">
        <v>33.235999999999997</v>
      </c>
      <c r="AB333" s="110">
        <v>3.2570000000000001</v>
      </c>
      <c r="AC333" s="115">
        <f t="shared" si="10"/>
        <v>14053.239</v>
      </c>
      <c r="AD333">
        <f t="shared" si="11"/>
        <v>1.0077133613721421</v>
      </c>
    </row>
    <row r="334" spans="1:30" x14ac:dyDescent="0.25">
      <c r="A334" s="104" t="str">
        <f t="shared" si="9"/>
        <v>Senegal2089</v>
      </c>
      <c r="C334" s="107" t="s">
        <v>257</v>
      </c>
      <c r="D334" s="108" t="s">
        <v>150</v>
      </c>
      <c r="E334" s="109"/>
      <c r="F334" s="109">
        <v>686</v>
      </c>
      <c r="G334" s="109">
        <v>2089</v>
      </c>
      <c r="H334" s="110">
        <v>2332.6219999999998</v>
      </c>
      <c r="I334" s="110">
        <v>2320.6239999999998</v>
      </c>
      <c r="J334" s="110">
        <v>2291.71</v>
      </c>
      <c r="K334" s="110">
        <v>2247.5889999999999</v>
      </c>
      <c r="L334" s="110">
        <v>2186.4940000000001</v>
      </c>
      <c r="M334" s="110">
        <v>2111.4259999999999</v>
      </c>
      <c r="N334" s="110">
        <v>2033.9939999999999</v>
      </c>
      <c r="O334" s="110">
        <v>1955.2070000000001</v>
      </c>
      <c r="P334" s="110">
        <v>1865.556</v>
      </c>
      <c r="Q334" s="110">
        <v>1755.8630000000001</v>
      </c>
      <c r="R334" s="110">
        <v>1626.2170000000001</v>
      </c>
      <c r="S334" s="110">
        <v>1482.854</v>
      </c>
      <c r="T334" s="110">
        <v>1338.644</v>
      </c>
      <c r="U334" s="110">
        <v>1195.5239999999999</v>
      </c>
      <c r="V334" s="110">
        <v>1038.1590000000001</v>
      </c>
      <c r="W334" s="110">
        <v>834.74199999999996</v>
      </c>
      <c r="X334" s="110">
        <v>557.27700000000004</v>
      </c>
      <c r="Y334" s="110">
        <v>300.28699999999998</v>
      </c>
      <c r="Z334" s="110">
        <v>123.09699999999999</v>
      </c>
      <c r="AA334" s="110">
        <v>34.042999999999999</v>
      </c>
      <c r="AB334" s="110">
        <v>3.536</v>
      </c>
      <c r="AC334" s="115">
        <f t="shared" si="10"/>
        <v>14156.129000000001</v>
      </c>
      <c r="AD334">
        <f t="shared" si="11"/>
        <v>1.0073214438322724</v>
      </c>
    </row>
    <row r="335" spans="1:30" x14ac:dyDescent="0.25">
      <c r="A335" s="104" t="str">
        <f t="shared" si="9"/>
        <v>Senegal2090</v>
      </c>
      <c r="C335" s="107" t="s">
        <v>257</v>
      </c>
      <c r="D335" s="108" t="s">
        <v>150</v>
      </c>
      <c r="E335" s="109"/>
      <c r="F335" s="109">
        <v>686</v>
      </c>
      <c r="G335" s="109">
        <v>2090</v>
      </c>
      <c r="H335" s="110">
        <v>2332.1320000000001</v>
      </c>
      <c r="I335" s="110">
        <v>2323.04</v>
      </c>
      <c r="J335" s="110">
        <v>2297.4540000000002</v>
      </c>
      <c r="K335" s="110">
        <v>2256.3240000000001</v>
      </c>
      <c r="L335" s="110">
        <v>2198.1030000000001</v>
      </c>
      <c r="M335" s="110">
        <v>2124.4229999999998</v>
      </c>
      <c r="N335" s="110">
        <v>2047.038</v>
      </c>
      <c r="O335" s="110">
        <v>1969.1479999999999</v>
      </c>
      <c r="P335" s="110">
        <v>1882.404</v>
      </c>
      <c r="Q335" s="110">
        <v>1776.5150000000001</v>
      </c>
      <c r="R335" s="110">
        <v>1649.9929999999999</v>
      </c>
      <c r="S335" s="110">
        <v>1507.2560000000001</v>
      </c>
      <c r="T335" s="110">
        <v>1361.002</v>
      </c>
      <c r="U335" s="110">
        <v>1215.546</v>
      </c>
      <c r="V335" s="110">
        <v>1057.404</v>
      </c>
      <c r="W335" s="110">
        <v>861.58299999999997</v>
      </c>
      <c r="X335" s="110">
        <v>584.44399999999996</v>
      </c>
      <c r="Y335" s="110">
        <v>315.30599999999998</v>
      </c>
      <c r="Z335" s="110">
        <v>126.488</v>
      </c>
      <c r="AA335" s="110">
        <v>31.38</v>
      </c>
      <c r="AB335" s="110">
        <v>3.8330000000000002</v>
      </c>
      <c r="AC335" s="115">
        <f t="shared" si="10"/>
        <v>14253.954999999998</v>
      </c>
      <c r="AD335">
        <f t="shared" si="11"/>
        <v>1.0069105049833891</v>
      </c>
    </row>
    <row r="336" spans="1:30" x14ac:dyDescent="0.25">
      <c r="A336" s="104" t="str">
        <f t="shared" si="9"/>
        <v>Senegal2091</v>
      </c>
      <c r="C336" s="107" t="s">
        <v>257</v>
      </c>
      <c r="D336" s="108" t="s">
        <v>150</v>
      </c>
      <c r="E336" s="109"/>
      <c r="F336" s="109">
        <v>686</v>
      </c>
      <c r="G336" s="109">
        <v>2091</v>
      </c>
      <c r="H336" s="110">
        <v>2332.4690000000001</v>
      </c>
      <c r="I336" s="110">
        <v>2326.415</v>
      </c>
      <c r="J336" s="110">
        <v>2303.971</v>
      </c>
      <c r="K336" s="110">
        <v>2265.4699999999998</v>
      </c>
      <c r="L336" s="110">
        <v>2210.2890000000002</v>
      </c>
      <c r="M336" s="110">
        <v>2138.7570000000001</v>
      </c>
      <c r="N336" s="110">
        <v>2061.509</v>
      </c>
      <c r="O336" s="110">
        <v>1983.9079999999999</v>
      </c>
      <c r="P336" s="110">
        <v>1899.433</v>
      </c>
      <c r="Q336" s="110">
        <v>1797.0309999999999</v>
      </c>
      <c r="R336" s="110">
        <v>1673.461</v>
      </c>
      <c r="S336" s="110">
        <v>1531.5119999999999</v>
      </c>
      <c r="T336" s="110">
        <v>1382.45</v>
      </c>
      <c r="U336" s="110">
        <v>1232.7170000000001</v>
      </c>
      <c r="V336" s="110">
        <v>1071.316</v>
      </c>
      <c r="W336" s="110">
        <v>877.64700000000005</v>
      </c>
      <c r="X336" s="110">
        <v>605.53599999999994</v>
      </c>
      <c r="Y336" s="110">
        <v>332.036</v>
      </c>
      <c r="Z336" s="110">
        <v>137.71700000000001</v>
      </c>
      <c r="AA336" s="110">
        <v>34.750999999999998</v>
      </c>
      <c r="AB336" s="110">
        <v>4.1539999999999999</v>
      </c>
      <c r="AC336" s="115">
        <f t="shared" si="10"/>
        <v>14356.396999999997</v>
      </c>
      <c r="AD336">
        <f t="shared" si="11"/>
        <v>1.0071869175958532</v>
      </c>
    </row>
    <row r="337" spans="1:30" x14ac:dyDescent="0.25">
      <c r="A337" s="104" t="str">
        <f t="shared" si="9"/>
        <v>Senegal2092</v>
      </c>
      <c r="C337" s="107" t="s">
        <v>257</v>
      </c>
      <c r="D337" s="108" t="s">
        <v>150</v>
      </c>
      <c r="E337" s="109"/>
      <c r="F337" s="109">
        <v>686</v>
      </c>
      <c r="G337" s="109">
        <v>2092</v>
      </c>
      <c r="H337" s="110">
        <v>2333.0920000000001</v>
      </c>
      <c r="I337" s="110">
        <v>2328.5079999999998</v>
      </c>
      <c r="J337" s="110">
        <v>2309.6950000000002</v>
      </c>
      <c r="K337" s="110">
        <v>2273.7930000000001</v>
      </c>
      <c r="L337" s="110">
        <v>2221.5100000000002</v>
      </c>
      <c r="M337" s="110">
        <v>2152.6509999999998</v>
      </c>
      <c r="N337" s="110">
        <v>2075.7109999999998</v>
      </c>
      <c r="O337" s="110">
        <v>1998.16</v>
      </c>
      <c r="P337" s="110">
        <v>1915.566</v>
      </c>
      <c r="Q337" s="110">
        <v>1816.76</v>
      </c>
      <c r="R337" s="110">
        <v>1696.3779999999999</v>
      </c>
      <c r="S337" s="110">
        <v>1556.14</v>
      </c>
      <c r="T337" s="110">
        <v>1405.2</v>
      </c>
      <c r="U337" s="110">
        <v>1251.5889999999999</v>
      </c>
      <c r="V337" s="110">
        <v>1087.32</v>
      </c>
      <c r="W337" s="110">
        <v>893.16300000000001</v>
      </c>
      <c r="X337" s="110">
        <v>628.27800000000002</v>
      </c>
      <c r="Y337" s="110">
        <v>347.976</v>
      </c>
      <c r="Z337" s="110">
        <v>144.917</v>
      </c>
      <c r="AA337" s="110">
        <v>39.64</v>
      </c>
      <c r="AB337" s="110">
        <v>4.4969999999999999</v>
      </c>
      <c r="AC337" s="115">
        <f t="shared" si="10"/>
        <v>14454.151</v>
      </c>
      <c r="AD337">
        <f t="shared" si="11"/>
        <v>1.0068090900523301</v>
      </c>
    </row>
    <row r="338" spans="1:30" x14ac:dyDescent="0.25">
      <c r="A338" s="104" t="str">
        <f t="shared" si="9"/>
        <v>Senegal2093</v>
      </c>
      <c r="C338" s="107" t="s">
        <v>257</v>
      </c>
      <c r="D338" s="108" t="s">
        <v>150</v>
      </c>
      <c r="E338" s="109"/>
      <c r="F338" s="109">
        <v>686</v>
      </c>
      <c r="G338" s="109">
        <v>2093</v>
      </c>
      <c r="H338" s="110">
        <v>2333.7199999999998</v>
      </c>
      <c r="I338" s="110">
        <v>2329.317</v>
      </c>
      <c r="J338" s="110">
        <v>2314.5369999999998</v>
      </c>
      <c r="K338" s="110">
        <v>2281.3319999999999</v>
      </c>
      <c r="L338" s="110">
        <v>2231.8000000000002</v>
      </c>
      <c r="M338" s="110">
        <v>2165.9340000000002</v>
      </c>
      <c r="N338" s="110">
        <v>2089.5819999999999</v>
      </c>
      <c r="O338" s="110">
        <v>2011.9849999999999</v>
      </c>
      <c r="P338" s="110">
        <v>1930.8710000000001</v>
      </c>
      <c r="Q338" s="110">
        <v>1835.643</v>
      </c>
      <c r="R338" s="110">
        <v>1718.65</v>
      </c>
      <c r="S338" s="110">
        <v>1580.819</v>
      </c>
      <c r="T338" s="110">
        <v>1428.9690000000001</v>
      </c>
      <c r="U338" s="110">
        <v>1271.9760000000001</v>
      </c>
      <c r="V338" s="110">
        <v>1105.146</v>
      </c>
      <c r="W338" s="110">
        <v>909.28700000000003</v>
      </c>
      <c r="X338" s="110">
        <v>652.53599999999994</v>
      </c>
      <c r="Y338" s="110">
        <v>363.27499999999998</v>
      </c>
      <c r="Z338" s="110">
        <v>150.822</v>
      </c>
      <c r="AA338" s="110">
        <v>43.585999999999999</v>
      </c>
      <c r="AB338" s="110">
        <v>4.8620000000000001</v>
      </c>
      <c r="AC338" s="115">
        <f t="shared" si="10"/>
        <v>14547.147000000001</v>
      </c>
      <c r="AD338">
        <f t="shared" si="11"/>
        <v>1.0064338611102099</v>
      </c>
    </row>
    <row r="339" spans="1:30" x14ac:dyDescent="0.25">
      <c r="A339" s="104" t="str">
        <f t="shared" si="9"/>
        <v>Senegal2094</v>
      </c>
      <c r="C339" s="107" t="s">
        <v>257</v>
      </c>
      <c r="D339" s="108" t="s">
        <v>150</v>
      </c>
      <c r="E339" s="109"/>
      <c r="F339" s="109">
        <v>686</v>
      </c>
      <c r="G339" s="109">
        <v>2094</v>
      </c>
      <c r="H339" s="110">
        <v>2333.806</v>
      </c>
      <c r="I339" s="110">
        <v>2329.0749999999998</v>
      </c>
      <c r="J339" s="110">
        <v>2318.2910000000002</v>
      </c>
      <c r="K339" s="110">
        <v>2288.098</v>
      </c>
      <c r="L339" s="110">
        <v>2241.2440000000001</v>
      </c>
      <c r="M339" s="110">
        <v>2178.3960000000002</v>
      </c>
      <c r="N339" s="110">
        <v>2103.06</v>
      </c>
      <c r="O339" s="110">
        <v>2025.479</v>
      </c>
      <c r="P339" s="110">
        <v>1945.492</v>
      </c>
      <c r="Q339" s="110">
        <v>1853.6130000000001</v>
      </c>
      <c r="R339" s="110">
        <v>1740.2049999999999</v>
      </c>
      <c r="S339" s="110">
        <v>1605.223</v>
      </c>
      <c r="T339" s="110">
        <v>1453.43</v>
      </c>
      <c r="U339" s="110">
        <v>1293.7570000000001</v>
      </c>
      <c r="V339" s="110">
        <v>1124.6310000000001</v>
      </c>
      <c r="W339" s="110">
        <v>927.38</v>
      </c>
      <c r="X339" s="110">
        <v>677.21600000000001</v>
      </c>
      <c r="Y339" s="110">
        <v>380.42</v>
      </c>
      <c r="Z339" s="110">
        <v>155.88300000000001</v>
      </c>
      <c r="AA339" s="110">
        <v>44.756</v>
      </c>
      <c r="AB339" s="110">
        <v>5.25</v>
      </c>
      <c r="AC339" s="115">
        <f t="shared" si="10"/>
        <v>14635.382</v>
      </c>
      <c r="AD339">
        <f t="shared" si="11"/>
        <v>1.0060654504969255</v>
      </c>
    </row>
    <row r="340" spans="1:30" x14ac:dyDescent="0.25">
      <c r="A340" s="104" t="str">
        <f t="shared" si="9"/>
        <v>Senegal2095</v>
      </c>
      <c r="C340" s="107" t="s">
        <v>257</v>
      </c>
      <c r="D340" s="108" t="s">
        <v>150</v>
      </c>
      <c r="E340" s="109"/>
      <c r="F340" s="109">
        <v>686</v>
      </c>
      <c r="G340" s="109">
        <v>2095</v>
      </c>
      <c r="H340" s="110">
        <v>2332.8359999999998</v>
      </c>
      <c r="I340" s="110">
        <v>2328.1680000000001</v>
      </c>
      <c r="J340" s="110">
        <v>2320.7220000000002</v>
      </c>
      <c r="K340" s="110">
        <v>2294.0360000000001</v>
      </c>
      <c r="L340" s="110">
        <v>2249.8879999999999</v>
      </c>
      <c r="M340" s="110">
        <v>2189.8989999999999</v>
      </c>
      <c r="N340" s="110">
        <v>2116.0770000000002</v>
      </c>
      <c r="O340" s="110">
        <v>2038.6669999999999</v>
      </c>
      <c r="P340" s="110">
        <v>1959.521</v>
      </c>
      <c r="Q340" s="110">
        <v>1870.6120000000001</v>
      </c>
      <c r="R340" s="110">
        <v>1760.96</v>
      </c>
      <c r="S340" s="110">
        <v>1629.116</v>
      </c>
      <c r="T340" s="110">
        <v>1478.28</v>
      </c>
      <c r="U340" s="110">
        <v>1316.8</v>
      </c>
      <c r="V340" s="110">
        <v>1145.683</v>
      </c>
      <c r="W340" s="110">
        <v>947.95899999999995</v>
      </c>
      <c r="X340" s="110">
        <v>701.58</v>
      </c>
      <c r="Y340" s="110">
        <v>399.97</v>
      </c>
      <c r="Z340" s="110">
        <v>162.19</v>
      </c>
      <c r="AA340" s="110">
        <v>41.959000000000003</v>
      </c>
      <c r="AB340" s="110">
        <v>5.6619999999999999</v>
      </c>
      <c r="AC340" s="115">
        <f t="shared" si="10"/>
        <v>14718.7</v>
      </c>
      <c r="AD340">
        <f t="shared" si="11"/>
        <v>1.0056929159758181</v>
      </c>
    </row>
    <row r="341" spans="1:30" x14ac:dyDescent="0.25">
      <c r="A341" s="104" t="str">
        <f t="shared" si="9"/>
        <v>Senegal2096</v>
      </c>
      <c r="C341" s="107" t="s">
        <v>257</v>
      </c>
      <c r="D341" s="108" t="s">
        <v>150</v>
      </c>
      <c r="E341" s="109"/>
      <c r="F341" s="109">
        <v>686</v>
      </c>
      <c r="G341" s="109">
        <v>2096</v>
      </c>
      <c r="H341" s="110">
        <v>2334.0160000000001</v>
      </c>
      <c r="I341" s="110">
        <v>2329.0619999999999</v>
      </c>
      <c r="J341" s="110">
        <v>2323.5329999999999</v>
      </c>
      <c r="K341" s="110">
        <v>2300.395</v>
      </c>
      <c r="L341" s="110">
        <v>2259.1680000000001</v>
      </c>
      <c r="M341" s="110">
        <v>2202.1959999999999</v>
      </c>
      <c r="N341" s="110">
        <v>2130.3690000000001</v>
      </c>
      <c r="O341" s="110">
        <v>2052.982</v>
      </c>
      <c r="P341" s="110">
        <v>1974.1790000000001</v>
      </c>
      <c r="Q341" s="110">
        <v>1887.4480000000001</v>
      </c>
      <c r="R341" s="110">
        <v>1781.2629999999999</v>
      </c>
      <c r="S341" s="110">
        <v>1652.213</v>
      </c>
      <c r="T341" s="110">
        <v>1501.702</v>
      </c>
      <c r="U341" s="110">
        <v>1337.123</v>
      </c>
      <c r="V341" s="110">
        <v>1161.3879999999999</v>
      </c>
      <c r="W341" s="110">
        <v>960.24099999999999</v>
      </c>
      <c r="X341" s="110">
        <v>715.70299999999997</v>
      </c>
      <c r="Y341" s="110">
        <v>419.59199999999998</v>
      </c>
      <c r="Z341" s="110">
        <v>177.3</v>
      </c>
      <c r="AA341" s="110">
        <v>46.225000000000001</v>
      </c>
      <c r="AB341" s="110">
        <v>6.1040000000000001</v>
      </c>
      <c r="AC341" s="115">
        <f t="shared" si="10"/>
        <v>14806.737000000001</v>
      </c>
      <c r="AD341">
        <f t="shared" si="11"/>
        <v>1.0059813026965696</v>
      </c>
    </row>
    <row r="342" spans="1:30" x14ac:dyDescent="0.25">
      <c r="A342" s="104" t="str">
        <f t="shared" si="9"/>
        <v>Senegal2097</v>
      </c>
      <c r="C342" s="107" t="s">
        <v>257</v>
      </c>
      <c r="D342" s="108" t="s">
        <v>150</v>
      </c>
      <c r="E342" s="109"/>
      <c r="F342" s="109">
        <v>686</v>
      </c>
      <c r="G342" s="109">
        <v>2097</v>
      </c>
      <c r="H342" s="110">
        <v>2333.5650000000001</v>
      </c>
      <c r="I342" s="110">
        <v>2329.79</v>
      </c>
      <c r="J342" s="110">
        <v>2325.306</v>
      </c>
      <c r="K342" s="110">
        <v>2306.1019999999999</v>
      </c>
      <c r="L342" s="110">
        <v>2267.6419999999998</v>
      </c>
      <c r="M342" s="110">
        <v>2213.5790000000002</v>
      </c>
      <c r="N342" s="110">
        <v>2144.3389999999999</v>
      </c>
      <c r="O342" s="110">
        <v>2067.1729999999998</v>
      </c>
      <c r="P342" s="110">
        <v>1988.463</v>
      </c>
      <c r="Q342" s="110">
        <v>1903.5419999999999</v>
      </c>
      <c r="R342" s="110">
        <v>1800.954</v>
      </c>
      <c r="S342" s="110">
        <v>1675.0429999999999</v>
      </c>
      <c r="T342" s="110">
        <v>1525.951</v>
      </c>
      <c r="U342" s="110">
        <v>1359.3430000000001</v>
      </c>
      <c r="V342" s="110">
        <v>1179.4960000000001</v>
      </c>
      <c r="W342" s="110">
        <v>974.98</v>
      </c>
      <c r="X342" s="110">
        <v>729.327</v>
      </c>
      <c r="Y342" s="110">
        <v>438.30500000000001</v>
      </c>
      <c r="Z342" s="110">
        <v>187.61699999999999</v>
      </c>
      <c r="AA342" s="110">
        <v>52.396999999999998</v>
      </c>
      <c r="AB342" s="110">
        <v>6.5739999999999998</v>
      </c>
      <c r="AC342" s="115">
        <f t="shared" si="10"/>
        <v>14890.839999999998</v>
      </c>
      <c r="AD342">
        <f t="shared" si="11"/>
        <v>1.0056800495612233</v>
      </c>
    </row>
    <row r="343" spans="1:30" x14ac:dyDescent="0.25">
      <c r="A343" s="104" t="str">
        <f t="shared" si="9"/>
        <v>Senegal2098</v>
      </c>
      <c r="C343" s="107" t="s">
        <v>257</v>
      </c>
      <c r="D343" s="108" t="s">
        <v>150</v>
      </c>
      <c r="E343" s="109"/>
      <c r="F343" s="109">
        <v>686</v>
      </c>
      <c r="G343" s="109">
        <v>2098</v>
      </c>
      <c r="H343" s="110">
        <v>2331.3760000000002</v>
      </c>
      <c r="I343" s="110">
        <v>2330.2959999999998</v>
      </c>
      <c r="J343" s="110">
        <v>2326.1410000000001</v>
      </c>
      <c r="K343" s="110">
        <v>2311.0360000000001</v>
      </c>
      <c r="L343" s="110">
        <v>2275.308</v>
      </c>
      <c r="M343" s="110">
        <v>2224.0419999999999</v>
      </c>
      <c r="N343" s="110">
        <v>2157.7849999999999</v>
      </c>
      <c r="O343" s="110">
        <v>2081.1840000000002</v>
      </c>
      <c r="P343" s="110">
        <v>2002.413</v>
      </c>
      <c r="Q343" s="110">
        <v>1918.9639999999999</v>
      </c>
      <c r="R343" s="110">
        <v>1819.941</v>
      </c>
      <c r="S343" s="110">
        <v>1697.4069999999999</v>
      </c>
      <c r="T343" s="110">
        <v>1550.68</v>
      </c>
      <c r="U343" s="110">
        <v>1383.077</v>
      </c>
      <c r="V343" s="110">
        <v>1199.732</v>
      </c>
      <c r="W343" s="110">
        <v>992.26099999999997</v>
      </c>
      <c r="X343" s="110">
        <v>744.23299999999995</v>
      </c>
      <c r="Y343" s="110">
        <v>455.52</v>
      </c>
      <c r="Z343" s="110">
        <v>196.42099999999999</v>
      </c>
      <c r="AA343" s="110">
        <v>57.536000000000001</v>
      </c>
      <c r="AB343" s="110">
        <v>7.0739999999999998</v>
      </c>
      <c r="AC343" s="115">
        <f t="shared" si="10"/>
        <v>14970.732</v>
      </c>
      <c r="AD343">
        <f t="shared" si="11"/>
        <v>1.0053651775185284</v>
      </c>
    </row>
    <row r="344" spans="1:30" x14ac:dyDescent="0.25">
      <c r="A344" s="104" t="str">
        <f t="shared" si="9"/>
        <v>Senegal2099</v>
      </c>
      <c r="C344" s="107" t="s">
        <v>257</v>
      </c>
      <c r="D344" s="108" t="s">
        <v>150</v>
      </c>
      <c r="E344" s="109"/>
      <c r="F344" s="109">
        <v>686</v>
      </c>
      <c r="G344" s="109">
        <v>2099</v>
      </c>
      <c r="H344" s="110">
        <v>2327.9769999999999</v>
      </c>
      <c r="I344" s="110">
        <v>2330.2440000000001</v>
      </c>
      <c r="J344" s="110">
        <v>2326.3069999999998</v>
      </c>
      <c r="K344" s="110">
        <v>2314.9209999999998</v>
      </c>
      <c r="L344" s="110">
        <v>2282.1289999999999</v>
      </c>
      <c r="M344" s="110">
        <v>2233.5880000000002</v>
      </c>
      <c r="N344" s="110">
        <v>2170.413</v>
      </c>
      <c r="O344" s="110">
        <v>2094.8789999999999</v>
      </c>
      <c r="P344" s="110">
        <v>2016.058</v>
      </c>
      <c r="Q344" s="110">
        <v>1933.79</v>
      </c>
      <c r="R344" s="110">
        <v>1838.086</v>
      </c>
      <c r="S344" s="110">
        <v>1719.14</v>
      </c>
      <c r="T344" s="110">
        <v>1575.452</v>
      </c>
      <c r="U344" s="110">
        <v>1407.9069999999999</v>
      </c>
      <c r="V344" s="110">
        <v>1221.9570000000001</v>
      </c>
      <c r="W344" s="110">
        <v>1012.136</v>
      </c>
      <c r="X344" s="110">
        <v>761.71100000000001</v>
      </c>
      <c r="Y344" s="110">
        <v>473.10500000000002</v>
      </c>
      <c r="Z344" s="110">
        <v>204.16200000000001</v>
      </c>
      <c r="AA344" s="110">
        <v>59.466999999999999</v>
      </c>
      <c r="AB344" s="110">
        <v>7.6070000000000002</v>
      </c>
      <c r="AC344" s="115">
        <f t="shared" si="10"/>
        <v>15045.778000000002</v>
      </c>
      <c r="AD344">
        <f t="shared" si="11"/>
        <v>1.0050128477351676</v>
      </c>
    </row>
    <row r="345" spans="1:30" x14ac:dyDescent="0.25">
      <c r="A345" s="104" t="str">
        <f t="shared" ref="A345:A408" si="12">D345&amp;G345</f>
        <v>Senegal2100</v>
      </c>
      <c r="C345" s="107" t="s">
        <v>257</v>
      </c>
      <c r="D345" s="108" t="s">
        <v>150</v>
      </c>
      <c r="E345" s="109"/>
      <c r="F345" s="109">
        <v>686</v>
      </c>
      <c r="G345" s="109">
        <v>2100</v>
      </c>
      <c r="H345" s="110">
        <v>2324.357</v>
      </c>
      <c r="I345" s="110">
        <v>2329.087</v>
      </c>
      <c r="J345" s="110">
        <v>2326.0030000000002</v>
      </c>
      <c r="K345" s="110">
        <v>2317.5149999999999</v>
      </c>
      <c r="L345" s="110">
        <v>2288.0230000000001</v>
      </c>
      <c r="M345" s="110">
        <v>2242.1840000000002</v>
      </c>
      <c r="N345" s="110">
        <v>2181.9749999999999</v>
      </c>
      <c r="O345" s="110">
        <v>2108.0729999999999</v>
      </c>
      <c r="P345" s="110">
        <v>2029.3689999999999</v>
      </c>
      <c r="Q345" s="110">
        <v>1948.0160000000001</v>
      </c>
      <c r="R345" s="110">
        <v>1855.252</v>
      </c>
      <c r="S345" s="110">
        <v>1740.0930000000001</v>
      </c>
      <c r="T345" s="110">
        <v>1599.873</v>
      </c>
      <c r="U345" s="110">
        <v>1433.4590000000001</v>
      </c>
      <c r="V345" s="110">
        <v>1246.0039999999999</v>
      </c>
      <c r="W345" s="110">
        <v>1034.4780000000001</v>
      </c>
      <c r="X345" s="110">
        <v>782.053</v>
      </c>
      <c r="Y345" s="110">
        <v>491.16</v>
      </c>
      <c r="Z345" s="110">
        <v>213.39400000000001</v>
      </c>
      <c r="AA345" s="110">
        <v>56.816000000000003</v>
      </c>
      <c r="AB345" s="110">
        <v>8.1769999999999996</v>
      </c>
      <c r="AC345" s="115">
        <f t="shared" ref="AC345" si="13">SUM(K345:Q345)</f>
        <v>15115.155000000001</v>
      </c>
      <c r="AD345">
        <f t="shared" ref="AD345" si="14">IF(D345=D344,AC345/AC344,"")</f>
        <v>1.0046110609899999</v>
      </c>
    </row>
    <row r="346" spans="1:30" x14ac:dyDescent="0.25">
      <c r="A346" s="104" t="str">
        <f t="shared" si="12"/>
        <v>Tanzania2015</v>
      </c>
      <c r="C346" s="107" t="s">
        <v>257</v>
      </c>
      <c r="D346" s="108" t="s">
        <v>152</v>
      </c>
      <c r="F346" s="109">
        <v>834</v>
      </c>
      <c r="G346" s="109">
        <v>2015</v>
      </c>
      <c r="H346" s="110">
        <v>4656.3810000000003</v>
      </c>
      <c r="I346" s="110">
        <v>4006.1210000000001</v>
      </c>
      <c r="J346" s="110">
        <v>3449.3670000000002</v>
      </c>
      <c r="K346" s="110">
        <v>2811.2840000000001</v>
      </c>
      <c r="L346" s="110">
        <v>2440.6370000000002</v>
      </c>
      <c r="M346" s="110">
        <v>2078.0340000000001</v>
      </c>
      <c r="N346" s="110">
        <v>1750.6320000000001</v>
      </c>
      <c r="O346" s="110">
        <v>1433.972</v>
      </c>
      <c r="P346" s="110">
        <v>1120.0930000000001</v>
      </c>
      <c r="Q346" s="110">
        <v>871.08699999999999</v>
      </c>
      <c r="R346" s="110">
        <v>692.22900000000004</v>
      </c>
      <c r="S346" s="110">
        <v>565.27</v>
      </c>
      <c r="T346" s="110">
        <v>456.88600000000002</v>
      </c>
      <c r="U346" s="110">
        <v>365.19400000000002</v>
      </c>
      <c r="V346" s="110">
        <v>263.98899999999998</v>
      </c>
      <c r="W346" s="110">
        <v>164.30500000000001</v>
      </c>
      <c r="X346" s="110">
        <v>86.457999999999998</v>
      </c>
      <c r="Y346" s="110">
        <v>31.004999999999999</v>
      </c>
      <c r="Z346" s="110">
        <v>8.7330000000000005</v>
      </c>
      <c r="AA346" s="110">
        <v>1.2909999999999999</v>
      </c>
      <c r="AB346" s="110">
        <v>0.106</v>
      </c>
      <c r="AC346" s="115">
        <f t="shared" ref="AC346:AC409" si="15">SUM(K346:Q346)</f>
        <v>12505.739</v>
      </c>
      <c r="AD346" t="str">
        <f t="shared" ref="AD346:AD409" si="16">IF(D346=D345,AC346/AC345,"")</f>
        <v/>
      </c>
    </row>
    <row r="347" spans="1:30" x14ac:dyDescent="0.25">
      <c r="A347" s="104" t="str">
        <f t="shared" si="12"/>
        <v>Tanzania2016</v>
      </c>
      <c r="C347" s="107" t="s">
        <v>257</v>
      </c>
      <c r="D347" s="108" t="s">
        <v>152</v>
      </c>
      <c r="F347" s="109">
        <v>834</v>
      </c>
      <c r="G347" s="109">
        <v>2016</v>
      </c>
      <c r="H347" s="110">
        <v>4782.32</v>
      </c>
      <c r="I347" s="110">
        <v>4115.37</v>
      </c>
      <c r="J347" s="110">
        <v>3559.8519999999999</v>
      </c>
      <c r="K347" s="110">
        <v>2911.6190000000001</v>
      </c>
      <c r="L347" s="110">
        <v>2497.9079999999999</v>
      </c>
      <c r="M347" s="110">
        <v>2138.5039999999999</v>
      </c>
      <c r="N347" s="110">
        <v>1805.5350000000001</v>
      </c>
      <c r="O347" s="110">
        <v>1489.172</v>
      </c>
      <c r="P347" s="110">
        <v>1171.3879999999999</v>
      </c>
      <c r="Q347" s="110">
        <v>908.13499999999999</v>
      </c>
      <c r="R347" s="110">
        <v>716.404</v>
      </c>
      <c r="S347" s="110">
        <v>581.50199999999995</v>
      </c>
      <c r="T347" s="110">
        <v>468.58300000000003</v>
      </c>
      <c r="U347" s="110">
        <v>373.42200000000003</v>
      </c>
      <c r="V347" s="110">
        <v>272.45699999999999</v>
      </c>
      <c r="W347" s="110">
        <v>170.83</v>
      </c>
      <c r="X347" s="110">
        <v>90.694000000000003</v>
      </c>
      <c r="Y347" s="110">
        <v>34.406999999999996</v>
      </c>
      <c r="Z347" s="110">
        <v>9.7430000000000003</v>
      </c>
      <c r="AA347" s="110">
        <v>1.5529999999999999</v>
      </c>
      <c r="AB347" s="110">
        <v>0.113</v>
      </c>
      <c r="AC347" s="115">
        <f t="shared" si="15"/>
        <v>12922.261</v>
      </c>
      <c r="AD347">
        <f t="shared" si="16"/>
        <v>1.0333064683342585</v>
      </c>
    </row>
    <row r="348" spans="1:30" x14ac:dyDescent="0.25">
      <c r="A348" s="104" t="str">
        <f t="shared" si="12"/>
        <v>Tanzania2017</v>
      </c>
      <c r="C348" s="107" t="s">
        <v>257</v>
      </c>
      <c r="D348" s="108" t="s">
        <v>152</v>
      </c>
      <c r="F348" s="109">
        <v>834</v>
      </c>
      <c r="G348" s="109">
        <v>2017</v>
      </c>
      <c r="H348" s="110">
        <v>4888.3029999999999</v>
      </c>
      <c r="I348" s="110">
        <v>4233.2020000000002</v>
      </c>
      <c r="J348" s="110">
        <v>3665.451</v>
      </c>
      <c r="K348" s="110">
        <v>3032.0369999999998</v>
      </c>
      <c r="L348" s="110">
        <v>2553.3359999999998</v>
      </c>
      <c r="M348" s="110">
        <v>2203.4070000000002</v>
      </c>
      <c r="N348" s="110">
        <v>1861.761</v>
      </c>
      <c r="O348" s="110">
        <v>1544.828</v>
      </c>
      <c r="P348" s="110">
        <v>1226.271</v>
      </c>
      <c r="Q348" s="110">
        <v>948.44100000000003</v>
      </c>
      <c r="R348" s="110">
        <v>743.399</v>
      </c>
      <c r="S348" s="110">
        <v>599.05899999999997</v>
      </c>
      <c r="T348" s="110">
        <v>482.46</v>
      </c>
      <c r="U348" s="110">
        <v>382.14299999999997</v>
      </c>
      <c r="V348" s="110">
        <v>281.678</v>
      </c>
      <c r="W348" s="110">
        <v>178.07300000000001</v>
      </c>
      <c r="X348" s="110">
        <v>94.344999999999999</v>
      </c>
      <c r="Y348" s="110">
        <v>37.436999999999998</v>
      </c>
      <c r="Z348" s="110">
        <v>10.316000000000001</v>
      </c>
      <c r="AA348" s="110">
        <v>1.98</v>
      </c>
      <c r="AB348" s="110">
        <v>0.12</v>
      </c>
      <c r="AC348" s="115">
        <f t="shared" si="15"/>
        <v>13370.081</v>
      </c>
      <c r="AD348">
        <f t="shared" si="16"/>
        <v>1.0346549261000069</v>
      </c>
    </row>
    <row r="349" spans="1:30" x14ac:dyDescent="0.25">
      <c r="A349" s="104" t="str">
        <f t="shared" si="12"/>
        <v>Tanzania2018</v>
      </c>
      <c r="C349" s="107" t="s">
        <v>257</v>
      </c>
      <c r="D349" s="108" t="s">
        <v>152</v>
      </c>
      <c r="F349" s="109">
        <v>834</v>
      </c>
      <c r="G349" s="109">
        <v>2018</v>
      </c>
      <c r="H349" s="110">
        <v>4980.43</v>
      </c>
      <c r="I349" s="110">
        <v>4357.451</v>
      </c>
      <c r="J349" s="110">
        <v>3767.922</v>
      </c>
      <c r="K349" s="110">
        <v>3164.674</v>
      </c>
      <c r="L349" s="110">
        <v>2612.2779999999998</v>
      </c>
      <c r="M349" s="110">
        <v>2270.422</v>
      </c>
      <c r="N349" s="110">
        <v>1919.2719999999999</v>
      </c>
      <c r="O349" s="110">
        <v>1600.8109999999999</v>
      </c>
      <c r="P349" s="110">
        <v>1283.421</v>
      </c>
      <c r="Q349" s="110">
        <v>991.88800000000003</v>
      </c>
      <c r="R349" s="110">
        <v>773.17200000000003</v>
      </c>
      <c r="S349" s="110">
        <v>618.1</v>
      </c>
      <c r="T349" s="110">
        <v>498.05</v>
      </c>
      <c r="U349" s="110">
        <v>391.721</v>
      </c>
      <c r="V349" s="110">
        <v>291.54000000000002</v>
      </c>
      <c r="W349" s="110">
        <v>186.00899999999999</v>
      </c>
      <c r="X349" s="110">
        <v>97.84</v>
      </c>
      <c r="Y349" s="110">
        <v>39.741</v>
      </c>
      <c r="Z349" s="110">
        <v>10.673999999999999</v>
      </c>
      <c r="AA349" s="110">
        <v>2.2919999999999998</v>
      </c>
      <c r="AB349" s="110">
        <v>0.128</v>
      </c>
      <c r="AC349" s="115">
        <f t="shared" si="15"/>
        <v>13842.766000000001</v>
      </c>
      <c r="AD349">
        <f t="shared" si="16"/>
        <v>1.0353539368983629</v>
      </c>
    </row>
    <row r="350" spans="1:30" x14ac:dyDescent="0.25">
      <c r="A350" s="104" t="str">
        <f t="shared" si="12"/>
        <v>Tanzania2019</v>
      </c>
      <c r="C350" s="107" t="s">
        <v>257</v>
      </c>
      <c r="D350" s="108" t="s">
        <v>152</v>
      </c>
      <c r="F350" s="109">
        <v>834</v>
      </c>
      <c r="G350" s="109">
        <v>2019</v>
      </c>
      <c r="H350" s="110">
        <v>5071.4129999999996</v>
      </c>
      <c r="I350" s="110">
        <v>4481.777</v>
      </c>
      <c r="J350" s="110">
        <v>3871.9140000000002</v>
      </c>
      <c r="K350" s="110">
        <v>3296.3539999999998</v>
      </c>
      <c r="L350" s="110">
        <v>2682.99</v>
      </c>
      <c r="M350" s="110">
        <v>2335.6759999999999</v>
      </c>
      <c r="N350" s="110">
        <v>1977.875</v>
      </c>
      <c r="O350" s="110">
        <v>1656.828</v>
      </c>
      <c r="P350" s="110">
        <v>1340.827</v>
      </c>
      <c r="Q350" s="110">
        <v>1038.19</v>
      </c>
      <c r="R350" s="110">
        <v>805.52200000000005</v>
      </c>
      <c r="S350" s="110">
        <v>638.89200000000005</v>
      </c>
      <c r="T350" s="110">
        <v>514.57500000000005</v>
      </c>
      <c r="U350" s="110">
        <v>402.62099999999998</v>
      </c>
      <c r="V350" s="110">
        <v>301.73599999999999</v>
      </c>
      <c r="W350" s="110">
        <v>194.43299999999999</v>
      </c>
      <c r="X350" s="110">
        <v>101.625</v>
      </c>
      <c r="Y350" s="110">
        <v>41.381</v>
      </c>
      <c r="Z350" s="110">
        <v>10.675000000000001</v>
      </c>
      <c r="AA350" s="110">
        <v>2.27</v>
      </c>
      <c r="AB350" s="110">
        <v>0.13600000000000001</v>
      </c>
      <c r="AC350" s="115">
        <f t="shared" si="15"/>
        <v>14328.739999999998</v>
      </c>
      <c r="AD350">
        <f t="shared" si="16"/>
        <v>1.0351067120545125</v>
      </c>
    </row>
    <row r="351" spans="1:30" x14ac:dyDescent="0.25">
      <c r="A351" s="104" t="str">
        <f t="shared" si="12"/>
        <v>Tanzania2020</v>
      </c>
      <c r="C351" s="107" t="s">
        <v>257</v>
      </c>
      <c r="D351" s="108" t="s">
        <v>152</v>
      </c>
      <c r="F351" s="109">
        <v>834</v>
      </c>
      <c r="G351" s="109">
        <v>2020</v>
      </c>
      <c r="H351" s="110">
        <v>5170.549</v>
      </c>
      <c r="I351" s="110">
        <v>4598.3760000000002</v>
      </c>
      <c r="J351" s="110">
        <v>3981.433</v>
      </c>
      <c r="K351" s="110">
        <v>3418.9690000000001</v>
      </c>
      <c r="L351" s="110">
        <v>2770.5810000000001</v>
      </c>
      <c r="M351" s="110">
        <v>2397.433</v>
      </c>
      <c r="N351" s="110">
        <v>2037.567</v>
      </c>
      <c r="O351" s="110">
        <v>1712.7570000000001</v>
      </c>
      <c r="P351" s="110">
        <v>1397.3230000000001</v>
      </c>
      <c r="Q351" s="110">
        <v>1087.086</v>
      </c>
      <c r="R351" s="110">
        <v>840.37</v>
      </c>
      <c r="S351" s="110">
        <v>661.69899999999996</v>
      </c>
      <c r="T351" s="110">
        <v>531.601</v>
      </c>
      <c r="U351" s="110">
        <v>415.11</v>
      </c>
      <c r="V351" s="110">
        <v>312.113</v>
      </c>
      <c r="W351" s="110">
        <v>203.279</v>
      </c>
      <c r="X351" s="110">
        <v>106.026</v>
      </c>
      <c r="Y351" s="110">
        <v>42.387999999999998</v>
      </c>
      <c r="Z351" s="110">
        <v>10.311999999999999</v>
      </c>
      <c r="AA351" s="110">
        <v>1.7470000000000001</v>
      </c>
      <c r="AB351" s="110">
        <v>0.14499999999999999</v>
      </c>
      <c r="AC351" s="115">
        <f t="shared" si="15"/>
        <v>14821.715999999999</v>
      </c>
      <c r="AD351">
        <f t="shared" si="16"/>
        <v>1.0344046999247667</v>
      </c>
    </row>
    <row r="352" spans="1:30" x14ac:dyDescent="0.25">
      <c r="A352" s="104" t="str">
        <f t="shared" si="12"/>
        <v>Tanzania2021</v>
      </c>
      <c r="C352" s="107" t="s">
        <v>257</v>
      </c>
      <c r="D352" s="108" t="s">
        <v>152</v>
      </c>
      <c r="F352" s="109">
        <v>834</v>
      </c>
      <c r="G352" s="109">
        <v>2021</v>
      </c>
      <c r="H352" s="110">
        <v>5268.6540000000005</v>
      </c>
      <c r="I352" s="110">
        <v>4714.9210000000003</v>
      </c>
      <c r="J352" s="110">
        <v>4096.4369999999999</v>
      </c>
      <c r="K352" s="110">
        <v>3532.7579999999998</v>
      </c>
      <c r="L352" s="110">
        <v>2874.7269999999999</v>
      </c>
      <c r="M352" s="110">
        <v>2457.7280000000001</v>
      </c>
      <c r="N352" s="110">
        <v>2100.248</v>
      </c>
      <c r="O352" s="110">
        <v>1769.1880000000001</v>
      </c>
      <c r="P352" s="110">
        <v>1453.595</v>
      </c>
      <c r="Q352" s="110">
        <v>1138.4079999999999</v>
      </c>
      <c r="R352" s="110">
        <v>877.23099999999999</v>
      </c>
      <c r="S352" s="110">
        <v>685.59199999999998</v>
      </c>
      <c r="T352" s="110">
        <v>547.18200000000002</v>
      </c>
      <c r="U352" s="110">
        <v>426.26400000000001</v>
      </c>
      <c r="V352" s="110">
        <v>319.63799999999998</v>
      </c>
      <c r="W352" s="110">
        <v>210.59299999999999</v>
      </c>
      <c r="X352" s="110">
        <v>111.727</v>
      </c>
      <c r="Y352" s="110">
        <v>45.856000000000002</v>
      </c>
      <c r="Z352" s="110">
        <v>12.196</v>
      </c>
      <c r="AA352" s="110">
        <v>1.962</v>
      </c>
      <c r="AB352" s="110">
        <v>0.155</v>
      </c>
      <c r="AC352" s="115">
        <f t="shared" si="15"/>
        <v>15326.651999999998</v>
      </c>
      <c r="AD352">
        <f t="shared" si="16"/>
        <v>1.0340673104247848</v>
      </c>
    </row>
    <row r="353" spans="1:30" x14ac:dyDescent="0.25">
      <c r="A353" s="104" t="str">
        <f t="shared" si="12"/>
        <v>Tanzania2022</v>
      </c>
      <c r="C353" s="107" t="s">
        <v>257</v>
      </c>
      <c r="D353" s="108" t="s">
        <v>152</v>
      </c>
      <c r="F353" s="109">
        <v>834</v>
      </c>
      <c r="G353" s="109">
        <v>2022</v>
      </c>
      <c r="H353" s="110">
        <v>5376.65</v>
      </c>
      <c r="I353" s="110">
        <v>4823.4610000000002</v>
      </c>
      <c r="J353" s="110">
        <v>4216.0190000000002</v>
      </c>
      <c r="K353" s="110">
        <v>3637.39</v>
      </c>
      <c r="L353" s="110">
        <v>2995.42</v>
      </c>
      <c r="M353" s="110">
        <v>2513.5320000000002</v>
      </c>
      <c r="N353" s="110">
        <v>2165.2649999999999</v>
      </c>
      <c r="O353" s="110">
        <v>1825.2950000000001</v>
      </c>
      <c r="P353" s="110">
        <v>1508.9780000000001</v>
      </c>
      <c r="Q353" s="110">
        <v>1192.2809999999999</v>
      </c>
      <c r="R353" s="110">
        <v>916.495</v>
      </c>
      <c r="S353" s="110">
        <v>711.69299999999998</v>
      </c>
      <c r="T353" s="110">
        <v>563.75699999999995</v>
      </c>
      <c r="U353" s="110">
        <v>439.15300000000002</v>
      </c>
      <c r="V353" s="110">
        <v>327.37299999999999</v>
      </c>
      <c r="W353" s="110">
        <v>218.136</v>
      </c>
      <c r="X353" s="110">
        <v>117.223</v>
      </c>
      <c r="Y353" s="110">
        <v>48.405000000000001</v>
      </c>
      <c r="Z353" s="110">
        <v>13.664</v>
      </c>
      <c r="AA353" s="110">
        <v>2.3460000000000001</v>
      </c>
      <c r="AB353" s="110">
        <v>0.16700000000000001</v>
      </c>
      <c r="AC353" s="115">
        <f t="shared" si="15"/>
        <v>15838.161</v>
      </c>
      <c r="AD353">
        <f t="shared" si="16"/>
        <v>1.0333738248901327</v>
      </c>
    </row>
    <row r="354" spans="1:30" x14ac:dyDescent="0.25">
      <c r="A354" s="104" t="str">
        <f t="shared" si="12"/>
        <v>Tanzania2023</v>
      </c>
      <c r="C354" s="107" t="s">
        <v>257</v>
      </c>
      <c r="D354" s="108" t="s">
        <v>152</v>
      </c>
      <c r="F354" s="109">
        <v>834</v>
      </c>
      <c r="G354" s="109">
        <v>2023</v>
      </c>
      <c r="H354" s="110">
        <v>5492.9960000000001</v>
      </c>
      <c r="I354" s="110">
        <v>4923.9380000000001</v>
      </c>
      <c r="J354" s="110">
        <v>4338.7299999999996</v>
      </c>
      <c r="K354" s="110">
        <v>3737.4029999999998</v>
      </c>
      <c r="L354" s="110">
        <v>3125.8270000000002</v>
      </c>
      <c r="M354" s="110">
        <v>2571.163</v>
      </c>
      <c r="N354" s="110">
        <v>2231.0889999999999</v>
      </c>
      <c r="O354" s="110">
        <v>1881.809</v>
      </c>
      <c r="P354" s="110">
        <v>1563.778</v>
      </c>
      <c r="Q354" s="110">
        <v>1247.8889999999999</v>
      </c>
      <c r="R354" s="110">
        <v>958.36199999999997</v>
      </c>
      <c r="S354" s="110">
        <v>740.14499999999998</v>
      </c>
      <c r="T354" s="110">
        <v>581.76800000000003</v>
      </c>
      <c r="U354" s="110">
        <v>453.52800000000002</v>
      </c>
      <c r="V354" s="110">
        <v>335.89</v>
      </c>
      <c r="W354" s="110">
        <v>226.08199999999999</v>
      </c>
      <c r="X354" s="110">
        <v>122.551</v>
      </c>
      <c r="Y354" s="110">
        <v>50.128</v>
      </c>
      <c r="Z354" s="110">
        <v>14.709</v>
      </c>
      <c r="AA354" s="110">
        <v>2.6509999999999998</v>
      </c>
      <c r="AB354" s="110">
        <v>0.17899999999999999</v>
      </c>
      <c r="AC354" s="115">
        <f t="shared" si="15"/>
        <v>16358.957999999999</v>
      </c>
      <c r="AD354">
        <f t="shared" si="16"/>
        <v>1.0328824160835339</v>
      </c>
    </row>
    <row r="355" spans="1:30" x14ac:dyDescent="0.25">
      <c r="A355" s="104" t="str">
        <f t="shared" si="12"/>
        <v>Tanzania2024</v>
      </c>
      <c r="C355" s="107" t="s">
        <v>257</v>
      </c>
      <c r="D355" s="108" t="s">
        <v>152</v>
      </c>
      <c r="F355" s="109">
        <v>834</v>
      </c>
      <c r="G355" s="109">
        <v>2024</v>
      </c>
      <c r="H355" s="110">
        <v>5612.4979999999996</v>
      </c>
      <c r="I355" s="110">
        <v>5020.1959999999999</v>
      </c>
      <c r="J355" s="110">
        <v>4460.2619999999997</v>
      </c>
      <c r="K355" s="110">
        <v>3840.674</v>
      </c>
      <c r="L355" s="110">
        <v>3255.0839999999998</v>
      </c>
      <c r="M355" s="110">
        <v>2640.5309999999999</v>
      </c>
      <c r="N355" s="110">
        <v>2295.337</v>
      </c>
      <c r="O355" s="110">
        <v>1939.78</v>
      </c>
      <c r="P355" s="110">
        <v>1618.741</v>
      </c>
      <c r="Q355" s="110">
        <v>1304.077</v>
      </c>
      <c r="R355" s="110">
        <v>1003.199</v>
      </c>
      <c r="S355" s="110">
        <v>771.23900000000003</v>
      </c>
      <c r="T355" s="110">
        <v>601.83699999999999</v>
      </c>
      <c r="U355" s="110">
        <v>469.02699999999999</v>
      </c>
      <c r="V355" s="110">
        <v>345.87400000000002</v>
      </c>
      <c r="W355" s="110">
        <v>234.38499999999999</v>
      </c>
      <c r="X355" s="110">
        <v>127.794</v>
      </c>
      <c r="Y355" s="110">
        <v>51.572000000000003</v>
      </c>
      <c r="Z355" s="110">
        <v>14.994</v>
      </c>
      <c r="AA355" s="110">
        <v>2.6429999999999998</v>
      </c>
      <c r="AB355" s="110">
        <v>0.19</v>
      </c>
      <c r="AC355" s="115">
        <f t="shared" si="15"/>
        <v>16894.224000000002</v>
      </c>
      <c r="AD355">
        <f t="shared" si="16"/>
        <v>1.0327200546636286</v>
      </c>
    </row>
    <row r="356" spans="1:30" x14ac:dyDescent="0.25">
      <c r="A356" s="104" t="str">
        <f t="shared" si="12"/>
        <v>Tanzania2025</v>
      </c>
      <c r="C356" s="107" t="s">
        <v>257</v>
      </c>
      <c r="D356" s="108" t="s">
        <v>152</v>
      </c>
      <c r="F356" s="109">
        <v>834</v>
      </c>
      <c r="G356" s="109">
        <v>2025</v>
      </c>
      <c r="H356" s="110">
        <v>5731.9889999999996</v>
      </c>
      <c r="I356" s="110">
        <v>5117.9210000000003</v>
      </c>
      <c r="J356" s="110">
        <v>4575.7839999999997</v>
      </c>
      <c r="K356" s="110">
        <v>3951.6439999999998</v>
      </c>
      <c r="L356" s="110">
        <v>3376.4409999999998</v>
      </c>
      <c r="M356" s="110">
        <v>2727.3040000000001</v>
      </c>
      <c r="N356" s="110">
        <v>2356.88</v>
      </c>
      <c r="O356" s="110">
        <v>1999.636</v>
      </c>
      <c r="P356" s="110">
        <v>1674.3340000000001</v>
      </c>
      <c r="Q356" s="110">
        <v>1360.0060000000001</v>
      </c>
      <c r="R356" s="110">
        <v>1051.0930000000001</v>
      </c>
      <c r="S356" s="110">
        <v>805.154</v>
      </c>
      <c r="T356" s="110">
        <v>624.28399999999999</v>
      </c>
      <c r="U356" s="110">
        <v>485.47699999999998</v>
      </c>
      <c r="V356" s="110">
        <v>357.67</v>
      </c>
      <c r="W356" s="110">
        <v>243.04</v>
      </c>
      <c r="X356" s="110">
        <v>133.19300000000001</v>
      </c>
      <c r="Y356" s="110">
        <v>52.982999999999997</v>
      </c>
      <c r="Z356" s="110">
        <v>14.414999999999999</v>
      </c>
      <c r="AA356" s="110">
        <v>2.113</v>
      </c>
      <c r="AB356" s="110">
        <v>0.2</v>
      </c>
      <c r="AC356" s="115">
        <f t="shared" si="15"/>
        <v>17446.245000000003</v>
      </c>
      <c r="AD356">
        <f t="shared" si="16"/>
        <v>1.0326751320451297</v>
      </c>
    </row>
    <row r="357" spans="1:30" x14ac:dyDescent="0.25">
      <c r="A357" s="104" t="str">
        <f t="shared" si="12"/>
        <v>Tanzania2026</v>
      </c>
      <c r="C357" s="107" t="s">
        <v>257</v>
      </c>
      <c r="D357" s="108" t="s">
        <v>152</v>
      </c>
      <c r="F357" s="109">
        <v>834</v>
      </c>
      <c r="G357" s="109">
        <v>2026</v>
      </c>
      <c r="H357" s="110">
        <v>5860.2879999999996</v>
      </c>
      <c r="I357" s="110">
        <v>5225.1469999999999</v>
      </c>
      <c r="J357" s="110">
        <v>4683.66</v>
      </c>
      <c r="K357" s="110">
        <v>4065.3130000000001</v>
      </c>
      <c r="L357" s="110">
        <v>3489.5410000000002</v>
      </c>
      <c r="M357" s="110">
        <v>2830.29</v>
      </c>
      <c r="N357" s="110">
        <v>2416.1170000000002</v>
      </c>
      <c r="O357" s="110">
        <v>2061.0709999999999</v>
      </c>
      <c r="P357" s="110">
        <v>1729.886</v>
      </c>
      <c r="Q357" s="110">
        <v>1414.7260000000001</v>
      </c>
      <c r="R357" s="110">
        <v>1100.675</v>
      </c>
      <c r="S357" s="110">
        <v>840.23800000000006</v>
      </c>
      <c r="T357" s="110">
        <v>646.28899999999999</v>
      </c>
      <c r="U357" s="110">
        <v>499.44400000000002</v>
      </c>
      <c r="V357" s="110">
        <v>367.322</v>
      </c>
      <c r="W357" s="110">
        <v>249.328</v>
      </c>
      <c r="X357" s="110">
        <v>139.429</v>
      </c>
      <c r="Y357" s="110">
        <v>57.594999999999999</v>
      </c>
      <c r="Z357" s="110">
        <v>16.54</v>
      </c>
      <c r="AA357" s="110">
        <v>2.5270000000000001</v>
      </c>
      <c r="AB357" s="110">
        <v>0.20899999999999999</v>
      </c>
      <c r="AC357" s="115">
        <f t="shared" si="15"/>
        <v>18006.944</v>
      </c>
      <c r="AD357">
        <f t="shared" si="16"/>
        <v>1.0321386636493983</v>
      </c>
    </row>
    <row r="358" spans="1:30" x14ac:dyDescent="0.25">
      <c r="A358" s="104" t="str">
        <f t="shared" si="12"/>
        <v>Tanzania2027</v>
      </c>
      <c r="C358" s="107" t="s">
        <v>257</v>
      </c>
      <c r="D358" s="108" t="s">
        <v>152</v>
      </c>
      <c r="F358" s="109">
        <v>834</v>
      </c>
      <c r="G358" s="109">
        <v>2027</v>
      </c>
      <c r="H358" s="110">
        <v>5984.701</v>
      </c>
      <c r="I358" s="110">
        <v>5336.2889999999998</v>
      </c>
      <c r="J358" s="110">
        <v>4787.625</v>
      </c>
      <c r="K358" s="110">
        <v>4185.5619999999999</v>
      </c>
      <c r="L358" s="110">
        <v>3594.489</v>
      </c>
      <c r="M358" s="110">
        <v>2950.627</v>
      </c>
      <c r="N358" s="110">
        <v>2471.9699999999998</v>
      </c>
      <c r="O358" s="110">
        <v>2125.7689999999998</v>
      </c>
      <c r="P358" s="110">
        <v>1785.9</v>
      </c>
      <c r="Q358" s="110">
        <v>1469.3520000000001</v>
      </c>
      <c r="R358" s="110">
        <v>1153.345</v>
      </c>
      <c r="S358" s="110">
        <v>878.20299999999997</v>
      </c>
      <c r="T358" s="110">
        <v>670.97199999999998</v>
      </c>
      <c r="U358" s="110">
        <v>514.79899999999998</v>
      </c>
      <c r="V358" s="110">
        <v>378.72899999999998</v>
      </c>
      <c r="W358" s="110">
        <v>255.69800000000001</v>
      </c>
      <c r="X358" s="110">
        <v>145.32300000000001</v>
      </c>
      <c r="Y358" s="110">
        <v>61.317999999999998</v>
      </c>
      <c r="Z358" s="110">
        <v>17.946000000000002</v>
      </c>
      <c r="AA358" s="110">
        <v>3.2309999999999999</v>
      </c>
      <c r="AB358" s="110">
        <v>0.216</v>
      </c>
      <c r="AC358" s="115">
        <f t="shared" si="15"/>
        <v>18583.668999999998</v>
      </c>
      <c r="AD358">
        <f t="shared" si="16"/>
        <v>1.0320279221171564</v>
      </c>
    </row>
    <row r="359" spans="1:30" x14ac:dyDescent="0.25">
      <c r="A359" s="104" t="str">
        <f t="shared" si="12"/>
        <v>Tanzania2028</v>
      </c>
      <c r="C359" s="107" t="s">
        <v>257</v>
      </c>
      <c r="D359" s="108" t="s">
        <v>152</v>
      </c>
      <c r="F359" s="109">
        <v>834</v>
      </c>
      <c r="G359" s="109">
        <v>2028</v>
      </c>
      <c r="H359" s="110">
        <v>6106.4880000000003</v>
      </c>
      <c r="I359" s="110">
        <v>5450.893</v>
      </c>
      <c r="J359" s="110">
        <v>4889.2960000000003</v>
      </c>
      <c r="K359" s="110">
        <v>4309.2370000000001</v>
      </c>
      <c r="L359" s="110">
        <v>3695.1529999999998</v>
      </c>
      <c r="M359" s="110">
        <v>3081.154</v>
      </c>
      <c r="N359" s="110">
        <v>2530.2640000000001</v>
      </c>
      <c r="O359" s="110">
        <v>2192.0219999999999</v>
      </c>
      <c r="P359" s="110">
        <v>1842.701</v>
      </c>
      <c r="Q359" s="110">
        <v>1524.049</v>
      </c>
      <c r="R359" s="110">
        <v>1208.1289999999999</v>
      </c>
      <c r="S359" s="110">
        <v>919.053</v>
      </c>
      <c r="T359" s="110">
        <v>698.45</v>
      </c>
      <c r="U359" s="110">
        <v>531.88400000000001</v>
      </c>
      <c r="V359" s="110">
        <v>391.73399999999998</v>
      </c>
      <c r="W359" s="110">
        <v>262.83600000000001</v>
      </c>
      <c r="X359" s="110">
        <v>150.964</v>
      </c>
      <c r="Y359" s="110">
        <v>63.996000000000002</v>
      </c>
      <c r="Z359" s="110">
        <v>18.866</v>
      </c>
      <c r="AA359" s="110">
        <v>3.7690000000000001</v>
      </c>
      <c r="AB359" s="110">
        <v>0.224</v>
      </c>
      <c r="AC359" s="115">
        <f t="shared" si="15"/>
        <v>19174.580000000002</v>
      </c>
      <c r="AD359">
        <f t="shared" si="16"/>
        <v>1.031797326997161</v>
      </c>
    </row>
    <row r="360" spans="1:30" x14ac:dyDescent="0.25">
      <c r="A360" s="104" t="str">
        <f t="shared" si="12"/>
        <v>Tanzania2029</v>
      </c>
      <c r="C360" s="107" t="s">
        <v>257</v>
      </c>
      <c r="D360" s="108" t="s">
        <v>152</v>
      </c>
      <c r="F360" s="109">
        <v>834</v>
      </c>
      <c r="G360" s="109">
        <v>2029</v>
      </c>
      <c r="H360" s="110">
        <v>6228.8810000000003</v>
      </c>
      <c r="I360" s="110">
        <v>5567.165</v>
      </c>
      <c r="J360" s="110">
        <v>4991.6610000000001</v>
      </c>
      <c r="K360" s="110">
        <v>4430.7380000000003</v>
      </c>
      <c r="L360" s="110">
        <v>3798.4470000000001</v>
      </c>
      <c r="M360" s="110">
        <v>3210.2559999999999</v>
      </c>
      <c r="N360" s="110">
        <v>2600.0529999999999</v>
      </c>
      <c r="O360" s="110">
        <v>2256.8449999999998</v>
      </c>
      <c r="P360" s="110">
        <v>1900.81</v>
      </c>
      <c r="Q360" s="110">
        <v>1579.107</v>
      </c>
      <c r="R360" s="110">
        <v>1263.58</v>
      </c>
      <c r="S360" s="110">
        <v>962.89599999999996</v>
      </c>
      <c r="T360" s="110">
        <v>728.81700000000001</v>
      </c>
      <c r="U360" s="110">
        <v>551.15599999999995</v>
      </c>
      <c r="V360" s="110">
        <v>406.01100000000002</v>
      </c>
      <c r="W360" s="110">
        <v>271.34399999999999</v>
      </c>
      <c r="X360" s="110">
        <v>156.33799999999999</v>
      </c>
      <c r="Y360" s="110">
        <v>66.116</v>
      </c>
      <c r="Z360" s="110">
        <v>19.030999999999999</v>
      </c>
      <c r="AA360" s="110">
        <v>3.7869999999999999</v>
      </c>
      <c r="AB360" s="110">
        <v>0.23499999999999999</v>
      </c>
      <c r="AC360" s="115">
        <f t="shared" si="15"/>
        <v>19776.256000000001</v>
      </c>
      <c r="AD360">
        <f t="shared" si="16"/>
        <v>1.031378835937997</v>
      </c>
    </row>
    <row r="361" spans="1:30" x14ac:dyDescent="0.25">
      <c r="A361" s="104" t="str">
        <f t="shared" si="12"/>
        <v>Tanzania2030</v>
      </c>
      <c r="C361" s="107" t="s">
        <v>257</v>
      </c>
      <c r="D361" s="108" t="s">
        <v>152</v>
      </c>
      <c r="F361" s="109">
        <v>834</v>
      </c>
      <c r="G361" s="109">
        <v>2030</v>
      </c>
      <c r="H361" s="110">
        <v>6354.6869999999999</v>
      </c>
      <c r="I361" s="110">
        <v>5682.6049999999996</v>
      </c>
      <c r="J361" s="110">
        <v>5096.8249999999998</v>
      </c>
      <c r="K361" s="110">
        <v>4546.6239999999998</v>
      </c>
      <c r="L361" s="110">
        <v>3908.701</v>
      </c>
      <c r="M361" s="110">
        <v>3330.7640000000001</v>
      </c>
      <c r="N361" s="110">
        <v>2686.6</v>
      </c>
      <c r="O361" s="110">
        <v>2318.761</v>
      </c>
      <c r="P361" s="110">
        <v>1960.5889999999999</v>
      </c>
      <c r="Q361" s="110">
        <v>1634.6890000000001</v>
      </c>
      <c r="R361" s="110">
        <v>1318.788</v>
      </c>
      <c r="S361" s="110">
        <v>1009.741</v>
      </c>
      <c r="T361" s="110">
        <v>762.07500000000005</v>
      </c>
      <c r="U361" s="110">
        <v>572.91800000000001</v>
      </c>
      <c r="V361" s="110">
        <v>421.42399999999998</v>
      </c>
      <c r="W361" s="110">
        <v>281.49299999999999</v>
      </c>
      <c r="X361" s="110">
        <v>161.66499999999999</v>
      </c>
      <c r="Y361" s="110">
        <v>67.88</v>
      </c>
      <c r="Z361" s="110">
        <v>18.449000000000002</v>
      </c>
      <c r="AA361" s="110">
        <v>3.03</v>
      </c>
      <c r="AB361" s="110">
        <v>0.249</v>
      </c>
      <c r="AC361" s="115">
        <f t="shared" si="15"/>
        <v>20386.727999999999</v>
      </c>
      <c r="AD361">
        <f t="shared" si="16"/>
        <v>1.0308689369716897</v>
      </c>
    </row>
    <row r="362" spans="1:30" x14ac:dyDescent="0.25">
      <c r="A362" s="104" t="str">
        <f t="shared" si="12"/>
        <v>Tanzania2031</v>
      </c>
      <c r="C362" s="107" t="s">
        <v>257</v>
      </c>
      <c r="D362" s="108" t="s">
        <v>152</v>
      </c>
      <c r="F362" s="109">
        <v>834</v>
      </c>
      <c r="G362" s="109">
        <v>2031</v>
      </c>
      <c r="H362" s="110">
        <v>6488.9009999999998</v>
      </c>
      <c r="I362" s="110">
        <v>5804.1610000000001</v>
      </c>
      <c r="J362" s="110">
        <v>5203.3869999999997</v>
      </c>
      <c r="K362" s="110">
        <v>4654.8440000000001</v>
      </c>
      <c r="L362" s="110">
        <v>4023.7910000000002</v>
      </c>
      <c r="M362" s="110">
        <v>3444.32</v>
      </c>
      <c r="N362" s="110">
        <v>2789.4949999999999</v>
      </c>
      <c r="O362" s="110">
        <v>2377.924</v>
      </c>
      <c r="P362" s="110">
        <v>2022.164</v>
      </c>
      <c r="Q362" s="110">
        <v>1689.748</v>
      </c>
      <c r="R362" s="110">
        <v>1372.595</v>
      </c>
      <c r="S362" s="110">
        <v>1057.7429999999999</v>
      </c>
      <c r="T362" s="110">
        <v>795.01</v>
      </c>
      <c r="U362" s="110">
        <v>593.17200000000003</v>
      </c>
      <c r="V362" s="110">
        <v>433.79399999999998</v>
      </c>
      <c r="W362" s="110">
        <v>290.01900000000001</v>
      </c>
      <c r="X362" s="110">
        <v>167.595</v>
      </c>
      <c r="Y362" s="110">
        <v>73.296999999999997</v>
      </c>
      <c r="Z362" s="110">
        <v>21.324999999999999</v>
      </c>
      <c r="AA362" s="110">
        <v>3.512</v>
      </c>
      <c r="AB362" s="110">
        <v>0.26800000000000002</v>
      </c>
      <c r="AC362" s="115">
        <f t="shared" si="15"/>
        <v>21002.286</v>
      </c>
      <c r="AD362">
        <f t="shared" si="16"/>
        <v>1.0301940556620954</v>
      </c>
    </row>
    <row r="363" spans="1:30" x14ac:dyDescent="0.25">
      <c r="A363" s="104" t="str">
        <f t="shared" si="12"/>
        <v>Tanzania2032</v>
      </c>
      <c r="C363" s="107" t="s">
        <v>257</v>
      </c>
      <c r="D363" s="108" t="s">
        <v>152</v>
      </c>
      <c r="F363" s="109">
        <v>834</v>
      </c>
      <c r="G363" s="109">
        <v>2032</v>
      </c>
      <c r="H363" s="110">
        <v>6619.357</v>
      </c>
      <c r="I363" s="110">
        <v>5928.8280000000004</v>
      </c>
      <c r="J363" s="110">
        <v>5313.777</v>
      </c>
      <c r="K363" s="110">
        <v>4758.49</v>
      </c>
      <c r="L363" s="110">
        <v>4144.6949999999997</v>
      </c>
      <c r="M363" s="110">
        <v>3549.4810000000002</v>
      </c>
      <c r="N363" s="110">
        <v>2909.5230000000001</v>
      </c>
      <c r="O363" s="110">
        <v>2433.7579999999998</v>
      </c>
      <c r="P363" s="110">
        <v>2086.9389999999999</v>
      </c>
      <c r="Q363" s="110">
        <v>1745.3710000000001</v>
      </c>
      <c r="R363" s="110">
        <v>1426.46</v>
      </c>
      <c r="S363" s="110">
        <v>1108.99</v>
      </c>
      <c r="T363" s="110">
        <v>831.06100000000004</v>
      </c>
      <c r="U363" s="110">
        <v>616.11500000000001</v>
      </c>
      <c r="V363" s="110">
        <v>447.52</v>
      </c>
      <c r="W363" s="110">
        <v>299.68900000000002</v>
      </c>
      <c r="X363" s="110">
        <v>172.94200000000001</v>
      </c>
      <c r="Y363" s="110">
        <v>77.67</v>
      </c>
      <c r="Z363" s="110">
        <v>23.34</v>
      </c>
      <c r="AA363" s="110">
        <v>4.3079999999999998</v>
      </c>
      <c r="AB363" s="110">
        <v>0.28999999999999998</v>
      </c>
      <c r="AC363" s="115">
        <f t="shared" si="15"/>
        <v>21628.256999999998</v>
      </c>
      <c r="AD363">
        <f t="shared" si="16"/>
        <v>1.0298048983810619</v>
      </c>
    </row>
    <row r="364" spans="1:30" x14ac:dyDescent="0.25">
      <c r="A364" s="104" t="str">
        <f t="shared" si="12"/>
        <v>Tanzania2033</v>
      </c>
      <c r="C364" s="107" t="s">
        <v>257</v>
      </c>
      <c r="D364" s="108" t="s">
        <v>152</v>
      </c>
      <c r="F364" s="109">
        <v>834</v>
      </c>
      <c r="G364" s="109">
        <v>2033</v>
      </c>
      <c r="H364" s="110">
        <v>6747.38</v>
      </c>
      <c r="I364" s="110">
        <v>6055.5159999999996</v>
      </c>
      <c r="J364" s="110">
        <v>5427.5559999999996</v>
      </c>
      <c r="K364" s="110">
        <v>4859.7719999999999</v>
      </c>
      <c r="L364" s="110">
        <v>4268.0789999999997</v>
      </c>
      <c r="M364" s="110">
        <v>3650.0230000000001</v>
      </c>
      <c r="N364" s="110">
        <v>3039.4769999999999</v>
      </c>
      <c r="O364" s="110">
        <v>2492.116</v>
      </c>
      <c r="P364" s="110">
        <v>2153.0540000000001</v>
      </c>
      <c r="Q364" s="110">
        <v>1801.933</v>
      </c>
      <c r="R364" s="110">
        <v>1480.4780000000001</v>
      </c>
      <c r="S364" s="110">
        <v>1162.421</v>
      </c>
      <c r="T364" s="110">
        <v>870.33799999999997</v>
      </c>
      <c r="U364" s="110">
        <v>641.86199999999997</v>
      </c>
      <c r="V364" s="110">
        <v>463.03399999999999</v>
      </c>
      <c r="W364" s="110">
        <v>310.637</v>
      </c>
      <c r="X364" s="110">
        <v>178.29400000000001</v>
      </c>
      <c r="Y364" s="110">
        <v>80.760999999999996</v>
      </c>
      <c r="Z364" s="110">
        <v>24.725000000000001</v>
      </c>
      <c r="AA364" s="110">
        <v>4.9249999999999998</v>
      </c>
      <c r="AB364" s="110">
        <v>0.316</v>
      </c>
      <c r="AC364" s="115">
        <f t="shared" si="15"/>
        <v>22264.453999999998</v>
      </c>
      <c r="AD364">
        <f t="shared" si="16"/>
        <v>1.0294150841651271</v>
      </c>
    </row>
    <row r="365" spans="1:30" x14ac:dyDescent="0.25">
      <c r="A365" s="104" t="str">
        <f t="shared" si="12"/>
        <v>Tanzania2034</v>
      </c>
      <c r="C365" s="107" t="s">
        <v>257</v>
      </c>
      <c r="D365" s="108" t="s">
        <v>152</v>
      </c>
      <c r="F365" s="109">
        <v>834</v>
      </c>
      <c r="G365" s="109">
        <v>2034</v>
      </c>
      <c r="H365" s="110">
        <v>6873.84</v>
      </c>
      <c r="I365" s="110">
        <v>6182.7190000000001</v>
      </c>
      <c r="J365" s="110">
        <v>5544.0039999999999</v>
      </c>
      <c r="K365" s="110">
        <v>4962.3320000000003</v>
      </c>
      <c r="L365" s="110">
        <v>4388.692</v>
      </c>
      <c r="M365" s="110">
        <v>3752.9290000000001</v>
      </c>
      <c r="N365" s="110">
        <v>3167.9430000000002</v>
      </c>
      <c r="O365" s="110">
        <v>2562.056</v>
      </c>
      <c r="P365" s="110">
        <v>2217.65</v>
      </c>
      <c r="Q365" s="110">
        <v>1860.0119999999999</v>
      </c>
      <c r="R365" s="110">
        <v>1534.973</v>
      </c>
      <c r="S365" s="110">
        <v>1216.6659999999999</v>
      </c>
      <c r="T365" s="110">
        <v>912.97900000000004</v>
      </c>
      <c r="U365" s="110">
        <v>670.61800000000005</v>
      </c>
      <c r="V365" s="110">
        <v>480.84399999999999</v>
      </c>
      <c r="W365" s="110">
        <v>322.77100000000002</v>
      </c>
      <c r="X365" s="110">
        <v>184.19399999999999</v>
      </c>
      <c r="Y365" s="110">
        <v>83.063000000000002</v>
      </c>
      <c r="Z365" s="110">
        <v>25.117999999999999</v>
      </c>
      <c r="AA365" s="110">
        <v>4.9560000000000004</v>
      </c>
      <c r="AB365" s="110">
        <v>0.34300000000000003</v>
      </c>
      <c r="AC365" s="115">
        <f t="shared" si="15"/>
        <v>22911.614000000001</v>
      </c>
      <c r="AD365">
        <f t="shared" si="16"/>
        <v>1.0290669602766815</v>
      </c>
    </row>
    <row r="366" spans="1:30" x14ac:dyDescent="0.25">
      <c r="A366" s="104" t="str">
        <f t="shared" si="12"/>
        <v>Tanzania2035</v>
      </c>
      <c r="C366" s="107" t="s">
        <v>257</v>
      </c>
      <c r="D366" s="108" t="s">
        <v>152</v>
      </c>
      <c r="F366" s="109">
        <v>834</v>
      </c>
      <c r="G366" s="109">
        <v>2035</v>
      </c>
      <c r="H366" s="110">
        <v>6999.9859999999999</v>
      </c>
      <c r="I366" s="110">
        <v>6308.5079999999998</v>
      </c>
      <c r="J366" s="110">
        <v>5662.51</v>
      </c>
      <c r="K366" s="110">
        <v>5068.4690000000001</v>
      </c>
      <c r="L366" s="110">
        <v>4503.5590000000002</v>
      </c>
      <c r="M366" s="110">
        <v>3862.4180000000001</v>
      </c>
      <c r="N366" s="110">
        <v>3287.8339999999998</v>
      </c>
      <c r="O366" s="110">
        <v>2648.7089999999998</v>
      </c>
      <c r="P366" s="110">
        <v>2279.4679999999998</v>
      </c>
      <c r="Q366" s="110">
        <v>1919.884</v>
      </c>
      <c r="R366" s="110">
        <v>1590.164</v>
      </c>
      <c r="S366" s="110">
        <v>1270.8989999999999</v>
      </c>
      <c r="T366" s="110">
        <v>958.89300000000003</v>
      </c>
      <c r="U366" s="110">
        <v>702.53300000000002</v>
      </c>
      <c r="V366" s="110">
        <v>501.24799999999999</v>
      </c>
      <c r="W366" s="110">
        <v>336.06599999999997</v>
      </c>
      <c r="X366" s="110">
        <v>191.053</v>
      </c>
      <c r="Y366" s="110">
        <v>84.814999999999998</v>
      </c>
      <c r="Z366" s="110">
        <v>24.57</v>
      </c>
      <c r="AA366" s="110">
        <v>4.0659999999999998</v>
      </c>
      <c r="AB366" s="110">
        <v>0.37</v>
      </c>
      <c r="AC366" s="115">
        <f t="shared" si="15"/>
        <v>23570.341</v>
      </c>
      <c r="AD366">
        <f t="shared" si="16"/>
        <v>1.0287507898832444</v>
      </c>
    </row>
    <row r="367" spans="1:30" x14ac:dyDescent="0.25">
      <c r="A367" s="104" t="str">
        <f t="shared" si="12"/>
        <v>Tanzania2036</v>
      </c>
      <c r="C367" s="107" t="s">
        <v>257</v>
      </c>
      <c r="D367" s="108" t="s">
        <v>152</v>
      </c>
      <c r="F367" s="109">
        <v>834</v>
      </c>
      <c r="G367" s="109">
        <v>2036</v>
      </c>
      <c r="H367" s="110">
        <v>7130.7489999999998</v>
      </c>
      <c r="I367" s="110">
        <v>6439.4480000000003</v>
      </c>
      <c r="J367" s="110">
        <v>5782.5649999999996</v>
      </c>
      <c r="K367" s="110">
        <v>5175.2160000000003</v>
      </c>
      <c r="L367" s="110">
        <v>4613.1279999999997</v>
      </c>
      <c r="M367" s="110">
        <v>3978.047</v>
      </c>
      <c r="N367" s="110">
        <v>3401.252</v>
      </c>
      <c r="O367" s="110">
        <v>2751.0279999999998</v>
      </c>
      <c r="P367" s="110">
        <v>2338.7179999999998</v>
      </c>
      <c r="Q367" s="110">
        <v>1980.9090000000001</v>
      </c>
      <c r="R367" s="110">
        <v>1644.5319999999999</v>
      </c>
      <c r="S367" s="110">
        <v>1323.191</v>
      </c>
      <c r="T367" s="110">
        <v>1004.16</v>
      </c>
      <c r="U367" s="110">
        <v>732.81700000000001</v>
      </c>
      <c r="V367" s="110">
        <v>519.16899999999998</v>
      </c>
      <c r="W367" s="110">
        <v>346.745</v>
      </c>
      <c r="X367" s="110">
        <v>198.90899999999999</v>
      </c>
      <c r="Y367" s="110">
        <v>90.406999999999996</v>
      </c>
      <c r="Z367" s="110">
        <v>28.184000000000001</v>
      </c>
      <c r="AA367" s="110">
        <v>4.7469999999999999</v>
      </c>
      <c r="AB367" s="110">
        <v>0.39800000000000002</v>
      </c>
      <c r="AC367" s="115">
        <f t="shared" si="15"/>
        <v>24238.297999999999</v>
      </c>
      <c r="AD367">
        <f t="shared" si="16"/>
        <v>1.0283388772355901</v>
      </c>
    </row>
    <row r="368" spans="1:30" x14ac:dyDescent="0.25">
      <c r="A368" s="104" t="str">
        <f t="shared" si="12"/>
        <v>Tanzania2037</v>
      </c>
      <c r="C368" s="107" t="s">
        <v>257</v>
      </c>
      <c r="D368" s="108" t="s">
        <v>152</v>
      </c>
      <c r="F368" s="109">
        <v>834</v>
      </c>
      <c r="G368" s="109">
        <v>2037</v>
      </c>
      <c r="H368" s="110">
        <v>7255.9030000000002</v>
      </c>
      <c r="I368" s="110">
        <v>6571.08</v>
      </c>
      <c r="J368" s="110">
        <v>5906.1509999999998</v>
      </c>
      <c r="K368" s="110">
        <v>5285.3149999999996</v>
      </c>
      <c r="L368" s="110">
        <v>4717.5249999999996</v>
      </c>
      <c r="M368" s="110">
        <v>4099.1940000000004</v>
      </c>
      <c r="N368" s="110">
        <v>3506.422</v>
      </c>
      <c r="O368" s="110">
        <v>2870.4209999999998</v>
      </c>
      <c r="P368" s="110">
        <v>2394.7310000000002</v>
      </c>
      <c r="Q368" s="110">
        <v>2045.2349999999999</v>
      </c>
      <c r="R368" s="110">
        <v>1699.6120000000001</v>
      </c>
      <c r="S368" s="110">
        <v>1375.9169999999999</v>
      </c>
      <c r="T368" s="110">
        <v>1053.059</v>
      </c>
      <c r="U368" s="110">
        <v>766.346</v>
      </c>
      <c r="V368" s="110">
        <v>539.56200000000001</v>
      </c>
      <c r="W368" s="110">
        <v>358.33600000000001</v>
      </c>
      <c r="X368" s="110">
        <v>206.82499999999999</v>
      </c>
      <c r="Y368" s="110">
        <v>94.703999999999994</v>
      </c>
      <c r="Z368" s="110">
        <v>30.667000000000002</v>
      </c>
      <c r="AA368" s="110">
        <v>5.8650000000000002</v>
      </c>
      <c r="AB368" s="110">
        <v>0.42599999999999999</v>
      </c>
      <c r="AC368" s="115">
        <f t="shared" si="15"/>
        <v>24918.842999999997</v>
      </c>
      <c r="AD368">
        <f t="shared" si="16"/>
        <v>1.0280772602102672</v>
      </c>
    </row>
    <row r="369" spans="1:30" x14ac:dyDescent="0.25">
      <c r="A369" s="104" t="str">
        <f t="shared" si="12"/>
        <v>Tanzania2038</v>
      </c>
      <c r="C369" s="107" t="s">
        <v>257</v>
      </c>
      <c r="D369" s="108" t="s">
        <v>152</v>
      </c>
      <c r="F369" s="109">
        <v>834</v>
      </c>
      <c r="G369" s="109">
        <v>2038</v>
      </c>
      <c r="H369" s="110">
        <v>7376.9859999999999</v>
      </c>
      <c r="I369" s="110">
        <v>6702.1480000000001</v>
      </c>
      <c r="J369" s="110">
        <v>6032.5770000000002</v>
      </c>
      <c r="K369" s="110">
        <v>5398.8429999999998</v>
      </c>
      <c r="L369" s="110">
        <v>4818.8459999999995</v>
      </c>
      <c r="M369" s="110">
        <v>4222.5730000000003</v>
      </c>
      <c r="N369" s="110">
        <v>3607.0250000000001</v>
      </c>
      <c r="O369" s="110">
        <v>2999.9110000000001</v>
      </c>
      <c r="P369" s="110">
        <v>2453.1880000000001</v>
      </c>
      <c r="Q369" s="110">
        <v>2111.1350000000002</v>
      </c>
      <c r="R369" s="110">
        <v>1755.741</v>
      </c>
      <c r="S369" s="110">
        <v>1429.039</v>
      </c>
      <c r="T369" s="110">
        <v>1104.702</v>
      </c>
      <c r="U369" s="110">
        <v>803.24800000000005</v>
      </c>
      <c r="V369" s="110">
        <v>562.697</v>
      </c>
      <c r="W369" s="110">
        <v>371.51499999999999</v>
      </c>
      <c r="X369" s="110">
        <v>215.024</v>
      </c>
      <c r="Y369" s="110">
        <v>97.778000000000006</v>
      </c>
      <c r="Z369" s="110">
        <v>32.298000000000002</v>
      </c>
      <c r="AA369" s="110">
        <v>6.7370000000000001</v>
      </c>
      <c r="AB369" s="110">
        <v>0.45700000000000002</v>
      </c>
      <c r="AC369" s="115">
        <f t="shared" si="15"/>
        <v>25611.521000000001</v>
      </c>
      <c r="AD369">
        <f t="shared" si="16"/>
        <v>1.0277973580073523</v>
      </c>
    </row>
    <row r="370" spans="1:30" x14ac:dyDescent="0.25">
      <c r="A370" s="104" t="str">
        <f t="shared" si="12"/>
        <v>Tanzania2039</v>
      </c>
      <c r="C370" s="107" t="s">
        <v>257</v>
      </c>
      <c r="D370" s="108" t="s">
        <v>152</v>
      </c>
      <c r="F370" s="109">
        <v>834</v>
      </c>
      <c r="G370" s="109">
        <v>2039</v>
      </c>
      <c r="H370" s="110">
        <v>7495.8389999999999</v>
      </c>
      <c r="I370" s="110">
        <v>6831.3339999999998</v>
      </c>
      <c r="J370" s="110">
        <v>6160.7259999999997</v>
      </c>
      <c r="K370" s="110">
        <v>5515.4059999999999</v>
      </c>
      <c r="L370" s="110">
        <v>4920.78</v>
      </c>
      <c r="M370" s="110">
        <v>4342.87</v>
      </c>
      <c r="N370" s="110">
        <v>3709.873</v>
      </c>
      <c r="O370" s="110">
        <v>3128.1480000000001</v>
      </c>
      <c r="P370" s="110">
        <v>2523.0210000000002</v>
      </c>
      <c r="Q370" s="110">
        <v>2175.7539999999999</v>
      </c>
      <c r="R370" s="110">
        <v>1813.4469999999999</v>
      </c>
      <c r="S370" s="110">
        <v>1482.799</v>
      </c>
      <c r="T370" s="110">
        <v>1157.7360000000001</v>
      </c>
      <c r="U370" s="110">
        <v>843.73099999999999</v>
      </c>
      <c r="V370" s="110">
        <v>588.92600000000004</v>
      </c>
      <c r="W370" s="110">
        <v>386.83199999999999</v>
      </c>
      <c r="X370" s="110">
        <v>223.58099999999999</v>
      </c>
      <c r="Y370" s="110">
        <v>100.5</v>
      </c>
      <c r="Z370" s="110">
        <v>32.71</v>
      </c>
      <c r="AA370" s="110">
        <v>6.8150000000000004</v>
      </c>
      <c r="AB370" s="110">
        <v>0.49</v>
      </c>
      <c r="AC370" s="115">
        <f t="shared" si="15"/>
        <v>26315.852000000003</v>
      </c>
      <c r="AD370">
        <f t="shared" si="16"/>
        <v>1.0275005533642458</v>
      </c>
    </row>
    <row r="371" spans="1:30" x14ac:dyDescent="0.25">
      <c r="A371" s="104" t="str">
        <f t="shared" si="12"/>
        <v>Tanzania2040</v>
      </c>
      <c r="C371" s="107" t="s">
        <v>257</v>
      </c>
      <c r="D371" s="108" t="s">
        <v>152</v>
      </c>
      <c r="F371" s="109">
        <v>834</v>
      </c>
      <c r="G371" s="109">
        <v>2040</v>
      </c>
      <c r="H371" s="110">
        <v>7614.1180000000004</v>
      </c>
      <c r="I371" s="110">
        <v>6957.33</v>
      </c>
      <c r="J371" s="110">
        <v>6289.4309999999996</v>
      </c>
      <c r="K371" s="110">
        <v>5634.643</v>
      </c>
      <c r="L371" s="110">
        <v>5025.9160000000002</v>
      </c>
      <c r="M371" s="110">
        <v>4456.96</v>
      </c>
      <c r="N371" s="110">
        <v>3819.0329999999999</v>
      </c>
      <c r="O371" s="110">
        <v>3247.9540000000002</v>
      </c>
      <c r="P371" s="110">
        <v>2609.4349999999999</v>
      </c>
      <c r="Q371" s="110">
        <v>2237.7190000000001</v>
      </c>
      <c r="R371" s="110">
        <v>1873.0329999999999</v>
      </c>
      <c r="S371" s="110">
        <v>1537.4059999999999</v>
      </c>
      <c r="T371" s="110">
        <v>1211.19</v>
      </c>
      <c r="U371" s="110">
        <v>887.83699999999999</v>
      </c>
      <c r="V371" s="110">
        <v>618.49900000000002</v>
      </c>
      <c r="W371" s="110">
        <v>404.55700000000002</v>
      </c>
      <c r="X371" s="110">
        <v>232.768</v>
      </c>
      <c r="Y371" s="110">
        <v>103.28</v>
      </c>
      <c r="Z371" s="110">
        <v>31.991</v>
      </c>
      <c r="AA371" s="110">
        <v>5.702</v>
      </c>
      <c r="AB371" s="110">
        <v>0.52700000000000002</v>
      </c>
      <c r="AC371" s="115">
        <f t="shared" si="15"/>
        <v>27031.660000000003</v>
      </c>
      <c r="AD371">
        <f t="shared" si="16"/>
        <v>1.0272006393712809</v>
      </c>
    </row>
    <row r="372" spans="1:30" x14ac:dyDescent="0.25">
      <c r="A372" s="104" t="str">
        <f t="shared" si="12"/>
        <v>Tanzania2041</v>
      </c>
      <c r="C372" s="107" t="s">
        <v>257</v>
      </c>
      <c r="D372" s="108" t="s">
        <v>152</v>
      </c>
      <c r="F372" s="109">
        <v>834</v>
      </c>
      <c r="G372" s="109">
        <v>2041</v>
      </c>
      <c r="H372" s="110">
        <v>7734.308</v>
      </c>
      <c r="I372" s="110">
        <v>7086.9830000000002</v>
      </c>
      <c r="J372" s="110">
        <v>6418.6580000000004</v>
      </c>
      <c r="K372" s="110">
        <v>5755.0919999999996</v>
      </c>
      <c r="L372" s="110">
        <v>5134.2240000000002</v>
      </c>
      <c r="M372" s="110">
        <v>4567.3429999999998</v>
      </c>
      <c r="N372" s="110">
        <v>3934.8330000000001</v>
      </c>
      <c r="O372" s="110">
        <v>3360.817</v>
      </c>
      <c r="P372" s="110">
        <v>2711.49</v>
      </c>
      <c r="Q372" s="110">
        <v>2296.5320000000002</v>
      </c>
      <c r="R372" s="110">
        <v>1933.47</v>
      </c>
      <c r="S372" s="110">
        <v>1590.606</v>
      </c>
      <c r="T372" s="110">
        <v>1260.7460000000001</v>
      </c>
      <c r="U372" s="110">
        <v>929.803</v>
      </c>
      <c r="V372" s="110">
        <v>645.40200000000004</v>
      </c>
      <c r="W372" s="110">
        <v>419.85599999999999</v>
      </c>
      <c r="X372" s="110">
        <v>242.24</v>
      </c>
      <c r="Y372" s="110">
        <v>110.455</v>
      </c>
      <c r="Z372" s="110">
        <v>36.067</v>
      </c>
      <c r="AA372" s="110">
        <v>6.5960000000000001</v>
      </c>
      <c r="AB372" s="110">
        <v>0.56899999999999995</v>
      </c>
      <c r="AC372" s="115">
        <f t="shared" si="15"/>
        <v>27760.330999999998</v>
      </c>
      <c r="AD372">
        <f t="shared" si="16"/>
        <v>1.0269562061671387</v>
      </c>
    </row>
    <row r="373" spans="1:30" x14ac:dyDescent="0.25">
      <c r="A373" s="104" t="str">
        <f t="shared" si="12"/>
        <v>Tanzania2042</v>
      </c>
      <c r="C373" s="107" t="s">
        <v>257</v>
      </c>
      <c r="D373" s="108" t="s">
        <v>152</v>
      </c>
      <c r="F373" s="109">
        <v>834</v>
      </c>
      <c r="G373" s="109">
        <v>2042</v>
      </c>
      <c r="H373" s="110">
        <v>7852.0860000000002</v>
      </c>
      <c r="I373" s="110">
        <v>7213.9679999999998</v>
      </c>
      <c r="J373" s="110">
        <v>6549.0050000000001</v>
      </c>
      <c r="K373" s="110">
        <v>5878.41</v>
      </c>
      <c r="L373" s="110">
        <v>5244.9470000000001</v>
      </c>
      <c r="M373" s="110">
        <v>4672.0810000000001</v>
      </c>
      <c r="N373" s="110">
        <v>4055.962</v>
      </c>
      <c r="O373" s="110">
        <v>3465.5329999999999</v>
      </c>
      <c r="P373" s="110">
        <v>2830.3409999999999</v>
      </c>
      <c r="Q373" s="110">
        <v>2352.1849999999999</v>
      </c>
      <c r="R373" s="110">
        <v>1997.1969999999999</v>
      </c>
      <c r="S373" s="110">
        <v>1644.7919999999999</v>
      </c>
      <c r="T373" s="110">
        <v>1311.328</v>
      </c>
      <c r="U373" s="110">
        <v>975.59199999999998</v>
      </c>
      <c r="V373" s="110">
        <v>675.37300000000005</v>
      </c>
      <c r="W373" s="110">
        <v>436.90699999999998</v>
      </c>
      <c r="X373" s="110">
        <v>251.62299999999999</v>
      </c>
      <c r="Y373" s="110">
        <v>116.476</v>
      </c>
      <c r="Z373" s="110">
        <v>38.707000000000001</v>
      </c>
      <c r="AA373" s="110">
        <v>8.0180000000000007</v>
      </c>
      <c r="AB373" s="110">
        <v>0.61399999999999999</v>
      </c>
      <c r="AC373" s="115">
        <f t="shared" si="15"/>
        <v>28499.459000000003</v>
      </c>
      <c r="AD373">
        <f t="shared" si="16"/>
        <v>1.0266253309443609</v>
      </c>
    </row>
    <row r="374" spans="1:30" x14ac:dyDescent="0.25">
      <c r="A374" s="104" t="str">
        <f t="shared" si="12"/>
        <v>Tanzania2043</v>
      </c>
      <c r="C374" s="107" t="s">
        <v>257</v>
      </c>
      <c r="D374" s="108" t="s">
        <v>152</v>
      </c>
      <c r="F374" s="109">
        <v>834</v>
      </c>
      <c r="G374" s="109">
        <v>2043</v>
      </c>
      <c r="H374" s="110">
        <v>7967.6620000000003</v>
      </c>
      <c r="I374" s="110">
        <v>7337.4560000000001</v>
      </c>
      <c r="J374" s="110">
        <v>6679.9579999999996</v>
      </c>
      <c r="K374" s="110">
        <v>6004.3689999999997</v>
      </c>
      <c r="L374" s="110">
        <v>5358.1859999999997</v>
      </c>
      <c r="M374" s="110">
        <v>4773.3900000000003</v>
      </c>
      <c r="N374" s="110">
        <v>4179.16</v>
      </c>
      <c r="O374" s="110">
        <v>3565.998</v>
      </c>
      <c r="P374" s="110">
        <v>2959.0120000000002</v>
      </c>
      <c r="Q374" s="110">
        <v>2410.4740000000002</v>
      </c>
      <c r="R374" s="110">
        <v>2062.511</v>
      </c>
      <c r="S374" s="110">
        <v>1700.1559999999999</v>
      </c>
      <c r="T374" s="110">
        <v>1363.0730000000001</v>
      </c>
      <c r="U374" s="110">
        <v>1024.3969999999999</v>
      </c>
      <c r="V374" s="110">
        <v>708.70500000000004</v>
      </c>
      <c r="W374" s="110">
        <v>456.34</v>
      </c>
      <c r="X374" s="110">
        <v>261.60700000000003</v>
      </c>
      <c r="Y374" s="110">
        <v>121.179</v>
      </c>
      <c r="Z374" s="110">
        <v>40.436999999999998</v>
      </c>
      <c r="AA374" s="110">
        <v>9.1120000000000001</v>
      </c>
      <c r="AB374" s="110">
        <v>0.66500000000000004</v>
      </c>
      <c r="AC374" s="115">
        <f t="shared" si="15"/>
        <v>29250.589</v>
      </c>
      <c r="AD374">
        <f t="shared" si="16"/>
        <v>1.0263559388969452</v>
      </c>
    </row>
    <row r="375" spans="1:30" x14ac:dyDescent="0.25">
      <c r="A375" s="104" t="str">
        <f t="shared" si="12"/>
        <v>Tanzania2044</v>
      </c>
      <c r="C375" s="107" t="s">
        <v>257</v>
      </c>
      <c r="D375" s="108" t="s">
        <v>152</v>
      </c>
      <c r="F375" s="109">
        <v>834</v>
      </c>
      <c r="G375" s="109">
        <v>2044</v>
      </c>
      <c r="H375" s="110">
        <v>8080.76</v>
      </c>
      <c r="I375" s="110">
        <v>7457.4409999999998</v>
      </c>
      <c r="J375" s="110">
        <v>6810.4229999999998</v>
      </c>
      <c r="K375" s="110">
        <v>6132.3680000000004</v>
      </c>
      <c r="L375" s="110">
        <v>5473.8779999999997</v>
      </c>
      <c r="M375" s="110">
        <v>4875.05</v>
      </c>
      <c r="N375" s="110">
        <v>4299.2340000000004</v>
      </c>
      <c r="O375" s="110">
        <v>3669.0329999999999</v>
      </c>
      <c r="P375" s="110">
        <v>3086.4119999999998</v>
      </c>
      <c r="Q375" s="110">
        <v>2480.2959999999998</v>
      </c>
      <c r="R375" s="110">
        <v>2126.6640000000002</v>
      </c>
      <c r="S375" s="110">
        <v>1757.2329999999999</v>
      </c>
      <c r="T375" s="110">
        <v>1416.1890000000001</v>
      </c>
      <c r="U375" s="110">
        <v>1075.0409999999999</v>
      </c>
      <c r="V375" s="110">
        <v>745.78599999999994</v>
      </c>
      <c r="W375" s="110">
        <v>478.71899999999999</v>
      </c>
      <c r="X375" s="110">
        <v>272.74099999999999</v>
      </c>
      <c r="Y375" s="110">
        <v>125.35899999999999</v>
      </c>
      <c r="Z375" s="110">
        <v>40.950000000000003</v>
      </c>
      <c r="AA375" s="110">
        <v>9.2040000000000006</v>
      </c>
      <c r="AB375" s="110">
        <v>0.71899999999999997</v>
      </c>
      <c r="AC375" s="115">
        <f t="shared" si="15"/>
        <v>30016.270999999997</v>
      </c>
      <c r="AD375">
        <f t="shared" si="16"/>
        <v>1.0261766352807458</v>
      </c>
    </row>
    <row r="376" spans="1:30" x14ac:dyDescent="0.25">
      <c r="A376" s="104" t="str">
        <f t="shared" si="12"/>
        <v>Tanzania2045</v>
      </c>
      <c r="C376" s="107" t="s">
        <v>257</v>
      </c>
      <c r="D376" s="108" t="s">
        <v>152</v>
      </c>
      <c r="F376" s="109">
        <v>834</v>
      </c>
      <c r="G376" s="109">
        <v>2045</v>
      </c>
      <c r="H376" s="110">
        <v>8191.4250000000002</v>
      </c>
      <c r="I376" s="110">
        <v>7574.3909999999996</v>
      </c>
      <c r="J376" s="110">
        <v>6938.9170000000004</v>
      </c>
      <c r="K376" s="110">
        <v>6261.7669999999998</v>
      </c>
      <c r="L376" s="110">
        <v>5592.116</v>
      </c>
      <c r="M376" s="110">
        <v>4979.5630000000001</v>
      </c>
      <c r="N376" s="110">
        <v>4413.0789999999997</v>
      </c>
      <c r="O376" s="110">
        <v>3778.5329999999999</v>
      </c>
      <c r="P376" s="110">
        <v>3205.6930000000002</v>
      </c>
      <c r="Q376" s="110">
        <v>2566.6959999999999</v>
      </c>
      <c r="R376" s="110">
        <v>2188.393</v>
      </c>
      <c r="S376" s="110">
        <v>1816.383</v>
      </c>
      <c r="T376" s="110">
        <v>1470.6510000000001</v>
      </c>
      <c r="U376" s="110">
        <v>1126.7719999999999</v>
      </c>
      <c r="V376" s="110">
        <v>786.80200000000002</v>
      </c>
      <c r="W376" s="110">
        <v>504.36900000000003</v>
      </c>
      <c r="X376" s="110">
        <v>285.47899999999998</v>
      </c>
      <c r="Y376" s="110">
        <v>129.393</v>
      </c>
      <c r="Z376" s="110">
        <v>40.494</v>
      </c>
      <c r="AA376" s="110">
        <v>7.7960000000000003</v>
      </c>
      <c r="AB376" s="110">
        <v>0.77800000000000002</v>
      </c>
      <c r="AC376" s="115">
        <f t="shared" si="15"/>
        <v>30797.447</v>
      </c>
      <c r="AD376">
        <f t="shared" si="16"/>
        <v>1.026025084861474</v>
      </c>
    </row>
    <row r="377" spans="1:30" x14ac:dyDescent="0.25">
      <c r="A377" s="104" t="str">
        <f t="shared" si="12"/>
        <v>Tanzania2046</v>
      </c>
      <c r="C377" s="107" t="s">
        <v>257</v>
      </c>
      <c r="D377" s="108" t="s">
        <v>152</v>
      </c>
      <c r="F377" s="109">
        <v>834</v>
      </c>
      <c r="G377" s="109">
        <v>2046</v>
      </c>
      <c r="H377" s="110">
        <v>8304.9989999999998</v>
      </c>
      <c r="I377" s="110">
        <v>7695.26</v>
      </c>
      <c r="J377" s="110">
        <v>7065.223</v>
      </c>
      <c r="K377" s="110">
        <v>6390.7650000000003</v>
      </c>
      <c r="L377" s="110">
        <v>5713.4840000000004</v>
      </c>
      <c r="M377" s="110">
        <v>5088.1610000000001</v>
      </c>
      <c r="N377" s="110">
        <v>4523.2389999999996</v>
      </c>
      <c r="O377" s="110">
        <v>3893.4760000000001</v>
      </c>
      <c r="P377" s="110">
        <v>3317.8879999999999</v>
      </c>
      <c r="Q377" s="110">
        <v>2667.6120000000001</v>
      </c>
      <c r="R377" s="110">
        <v>2246.5709999999999</v>
      </c>
      <c r="S377" s="110">
        <v>1875.6130000000001</v>
      </c>
      <c r="T377" s="110">
        <v>1521.3679999999999</v>
      </c>
      <c r="U377" s="110">
        <v>1173.0899999999999</v>
      </c>
      <c r="V377" s="110">
        <v>824.625</v>
      </c>
      <c r="W377" s="110">
        <v>527.57299999999998</v>
      </c>
      <c r="X377" s="110">
        <v>298.846</v>
      </c>
      <c r="Y377" s="110">
        <v>138.12</v>
      </c>
      <c r="Z377" s="110">
        <v>45.752000000000002</v>
      </c>
      <c r="AA377" s="110">
        <v>8.8610000000000007</v>
      </c>
      <c r="AB377" s="110">
        <v>0.84199999999999997</v>
      </c>
      <c r="AC377" s="115">
        <f t="shared" si="15"/>
        <v>31594.624999999996</v>
      </c>
      <c r="AD377">
        <f t="shared" si="16"/>
        <v>1.0258845481575143</v>
      </c>
    </row>
    <row r="378" spans="1:30" x14ac:dyDescent="0.25">
      <c r="A378" s="104" t="str">
        <f t="shared" si="12"/>
        <v>Tanzania2047</v>
      </c>
      <c r="C378" s="107" t="s">
        <v>257</v>
      </c>
      <c r="D378" s="108" t="s">
        <v>152</v>
      </c>
      <c r="F378" s="109">
        <v>834</v>
      </c>
      <c r="G378" s="109">
        <v>2047</v>
      </c>
      <c r="H378" s="110">
        <v>8413.6350000000002</v>
      </c>
      <c r="I378" s="110">
        <v>7814.1229999999996</v>
      </c>
      <c r="J378" s="110">
        <v>7190.1660000000002</v>
      </c>
      <c r="K378" s="110">
        <v>6520.9629999999997</v>
      </c>
      <c r="L378" s="110">
        <v>5837.3320000000003</v>
      </c>
      <c r="M378" s="110">
        <v>5199.107</v>
      </c>
      <c r="N378" s="110">
        <v>4628.0649999999996</v>
      </c>
      <c r="O378" s="110">
        <v>4014.0549999999998</v>
      </c>
      <c r="P378" s="110">
        <v>3422.2939999999999</v>
      </c>
      <c r="Q378" s="110">
        <v>2785.319</v>
      </c>
      <c r="R378" s="110">
        <v>2301.8789999999999</v>
      </c>
      <c r="S378" s="110">
        <v>1938.5260000000001</v>
      </c>
      <c r="T378" s="110">
        <v>1573.777</v>
      </c>
      <c r="U378" s="110">
        <v>1221.0530000000001</v>
      </c>
      <c r="V378" s="110">
        <v>866.26</v>
      </c>
      <c r="W378" s="110">
        <v>553.13900000000001</v>
      </c>
      <c r="X378" s="110">
        <v>312.649</v>
      </c>
      <c r="Y378" s="110">
        <v>145.54</v>
      </c>
      <c r="Z378" s="110">
        <v>49.430999999999997</v>
      </c>
      <c r="AA378" s="110">
        <v>10.561999999999999</v>
      </c>
      <c r="AB378" s="110">
        <v>0.91100000000000003</v>
      </c>
      <c r="AC378" s="115">
        <f t="shared" si="15"/>
        <v>32407.134999999998</v>
      </c>
      <c r="AD378">
        <f t="shared" si="16"/>
        <v>1.0257167160553418</v>
      </c>
    </row>
    <row r="379" spans="1:30" x14ac:dyDescent="0.25">
      <c r="A379" s="104" t="str">
        <f t="shared" si="12"/>
        <v>Tanzania2048</v>
      </c>
      <c r="C379" s="107" t="s">
        <v>257</v>
      </c>
      <c r="D379" s="108" t="s">
        <v>152</v>
      </c>
      <c r="F379" s="109">
        <v>834</v>
      </c>
      <c r="G379" s="109">
        <v>2048</v>
      </c>
      <c r="H379" s="110">
        <v>8518.5349999999999</v>
      </c>
      <c r="I379" s="110">
        <v>7930.2079999999996</v>
      </c>
      <c r="J379" s="110">
        <v>7313.7160000000003</v>
      </c>
      <c r="K379" s="110">
        <v>6651.7359999999999</v>
      </c>
      <c r="L379" s="110">
        <v>5963.19</v>
      </c>
      <c r="M379" s="110">
        <v>5312.42</v>
      </c>
      <c r="N379" s="110">
        <v>4729.5569999999998</v>
      </c>
      <c r="O379" s="110">
        <v>4137.1350000000002</v>
      </c>
      <c r="P379" s="110">
        <v>3522.5650000000001</v>
      </c>
      <c r="Q379" s="110">
        <v>2913.0160000000001</v>
      </c>
      <c r="R379" s="110">
        <v>2359.9459999999999</v>
      </c>
      <c r="S379" s="110">
        <v>2003.2059999999999</v>
      </c>
      <c r="T379" s="110">
        <v>1628.19</v>
      </c>
      <c r="U379" s="110">
        <v>1270.779</v>
      </c>
      <c r="V379" s="110">
        <v>911.10799999999995</v>
      </c>
      <c r="W379" s="110">
        <v>581.71400000000006</v>
      </c>
      <c r="X379" s="110">
        <v>327.654</v>
      </c>
      <c r="Y379" s="110">
        <v>151.72800000000001</v>
      </c>
      <c r="Z379" s="110">
        <v>52.085000000000001</v>
      </c>
      <c r="AA379" s="110">
        <v>11.91</v>
      </c>
      <c r="AB379" s="110">
        <v>0.98599999999999999</v>
      </c>
      <c r="AC379" s="115">
        <f t="shared" si="15"/>
        <v>33229.618999999999</v>
      </c>
      <c r="AD379">
        <f t="shared" si="16"/>
        <v>1.025379719620386</v>
      </c>
    </row>
    <row r="380" spans="1:30" x14ac:dyDescent="0.25">
      <c r="A380" s="104" t="str">
        <f t="shared" si="12"/>
        <v>Tanzania2049</v>
      </c>
      <c r="C380" s="107" t="s">
        <v>257</v>
      </c>
      <c r="D380" s="108" t="s">
        <v>152</v>
      </c>
      <c r="F380" s="109">
        <v>834</v>
      </c>
      <c r="G380" s="109">
        <v>2049</v>
      </c>
      <c r="H380" s="110">
        <v>8621.5889999999999</v>
      </c>
      <c r="I380" s="110">
        <v>8042.8729999999996</v>
      </c>
      <c r="J380" s="110">
        <v>7435.7479999999996</v>
      </c>
      <c r="K380" s="110">
        <v>6781.973</v>
      </c>
      <c r="L380" s="110">
        <v>6090.3980000000001</v>
      </c>
      <c r="M380" s="110">
        <v>5427.8389999999999</v>
      </c>
      <c r="N380" s="110">
        <v>4831.2449999999999</v>
      </c>
      <c r="O380" s="110">
        <v>4257.4059999999999</v>
      </c>
      <c r="P380" s="110">
        <v>3625.337</v>
      </c>
      <c r="Q380" s="110">
        <v>3039.6959999999999</v>
      </c>
      <c r="R380" s="110">
        <v>2429.4459999999999</v>
      </c>
      <c r="S380" s="110">
        <v>2066.8440000000001</v>
      </c>
      <c r="T380" s="110">
        <v>1685.0350000000001</v>
      </c>
      <c r="U380" s="110">
        <v>1322.424</v>
      </c>
      <c r="V380" s="110">
        <v>958.20299999999997</v>
      </c>
      <c r="W380" s="110">
        <v>613.91600000000005</v>
      </c>
      <c r="X380" s="110">
        <v>344.53699999999998</v>
      </c>
      <c r="Y380" s="110">
        <v>157.857</v>
      </c>
      <c r="Z380" s="110">
        <v>53.31</v>
      </c>
      <c r="AA380" s="110">
        <v>12.112</v>
      </c>
      <c r="AB380" s="110">
        <v>1.0660000000000001</v>
      </c>
      <c r="AC380" s="115">
        <f t="shared" si="15"/>
        <v>34053.894</v>
      </c>
      <c r="AD380">
        <f t="shared" si="16"/>
        <v>1.0248054303601857</v>
      </c>
    </row>
    <row r="381" spans="1:30" x14ac:dyDescent="0.25">
      <c r="A381" s="104" t="str">
        <f t="shared" si="12"/>
        <v>Tanzania2050</v>
      </c>
      <c r="C381" s="107" t="s">
        <v>257</v>
      </c>
      <c r="D381" s="108" t="s">
        <v>152</v>
      </c>
      <c r="F381" s="109">
        <v>834</v>
      </c>
      <c r="G381" s="109">
        <v>2050</v>
      </c>
      <c r="H381" s="110">
        <v>8724.44</v>
      </c>
      <c r="I381" s="110">
        <v>8151.64</v>
      </c>
      <c r="J381" s="110">
        <v>7555.7209999999995</v>
      </c>
      <c r="K381" s="110">
        <v>6910.7950000000001</v>
      </c>
      <c r="L381" s="110">
        <v>6218.5959999999995</v>
      </c>
      <c r="M381" s="110">
        <v>5545.2280000000001</v>
      </c>
      <c r="N381" s="110">
        <v>4935.4759999999997</v>
      </c>
      <c r="O381" s="110">
        <v>4371.5389999999998</v>
      </c>
      <c r="P381" s="110">
        <v>3734.5659999999998</v>
      </c>
      <c r="Q381" s="110">
        <v>3158.4679999999998</v>
      </c>
      <c r="R381" s="110">
        <v>2515.3440000000001</v>
      </c>
      <c r="S381" s="110">
        <v>2128.2179999999998</v>
      </c>
      <c r="T381" s="110">
        <v>1744.3820000000001</v>
      </c>
      <c r="U381" s="110">
        <v>1376.011</v>
      </c>
      <c r="V381" s="110">
        <v>1006.973</v>
      </c>
      <c r="W381" s="110">
        <v>650.05200000000002</v>
      </c>
      <c r="X381" s="110">
        <v>363.84300000000002</v>
      </c>
      <c r="Y381" s="110">
        <v>164.47499999999999</v>
      </c>
      <c r="Z381" s="110">
        <v>53.408000000000001</v>
      </c>
      <c r="AA381" s="110">
        <v>10.561</v>
      </c>
      <c r="AB381" s="110">
        <v>1.151</v>
      </c>
      <c r="AC381" s="115">
        <f t="shared" si="15"/>
        <v>34874.667999999998</v>
      </c>
      <c r="AD381">
        <f t="shared" si="16"/>
        <v>1.024102206931166</v>
      </c>
    </row>
    <row r="382" spans="1:30" x14ac:dyDescent="0.25">
      <c r="A382" s="104" t="str">
        <f t="shared" si="12"/>
        <v>Tanzania2051</v>
      </c>
      <c r="C382" s="107" t="s">
        <v>257</v>
      </c>
      <c r="D382" s="108" t="s">
        <v>152</v>
      </c>
      <c r="F382" s="109">
        <v>834</v>
      </c>
      <c r="G382" s="109">
        <v>2051</v>
      </c>
      <c r="H382" s="110">
        <v>8831.0040000000008</v>
      </c>
      <c r="I382" s="110">
        <v>8264.2459999999992</v>
      </c>
      <c r="J382" s="110">
        <v>7674.2730000000001</v>
      </c>
      <c r="K382" s="110">
        <v>7036.8940000000002</v>
      </c>
      <c r="L382" s="110">
        <v>6348.5370000000003</v>
      </c>
      <c r="M382" s="110">
        <v>5666.8980000000001</v>
      </c>
      <c r="N382" s="110">
        <v>5043.97</v>
      </c>
      <c r="O382" s="110">
        <v>4481.0280000000002</v>
      </c>
      <c r="P382" s="110">
        <v>3849.1970000000001</v>
      </c>
      <c r="Q382" s="110">
        <v>3269.5529999999999</v>
      </c>
      <c r="R382" s="110">
        <v>2615.252</v>
      </c>
      <c r="S382" s="110">
        <v>2185.4760000000001</v>
      </c>
      <c r="T382" s="110">
        <v>1801.269</v>
      </c>
      <c r="U382" s="110">
        <v>1424.019</v>
      </c>
      <c r="V382" s="110">
        <v>1049.2</v>
      </c>
      <c r="W382" s="110">
        <v>683.02200000000005</v>
      </c>
      <c r="X382" s="110">
        <v>383.63499999999999</v>
      </c>
      <c r="Y382" s="110">
        <v>176.24700000000001</v>
      </c>
      <c r="Z382" s="110">
        <v>59.975999999999999</v>
      </c>
      <c r="AA382" s="110">
        <v>12.058999999999999</v>
      </c>
      <c r="AB382" s="110">
        <v>1.242</v>
      </c>
      <c r="AC382" s="115">
        <f t="shared" si="15"/>
        <v>35696.077000000005</v>
      </c>
      <c r="AD382">
        <f t="shared" si="16"/>
        <v>1.0235531704559886</v>
      </c>
    </row>
    <row r="383" spans="1:30" x14ac:dyDescent="0.25">
      <c r="A383" s="104" t="str">
        <f t="shared" si="12"/>
        <v>Tanzania2052</v>
      </c>
      <c r="C383" s="107" t="s">
        <v>257</v>
      </c>
      <c r="D383" s="108" t="s">
        <v>152</v>
      </c>
      <c r="F383" s="109">
        <v>834</v>
      </c>
      <c r="G383" s="109">
        <v>2052</v>
      </c>
      <c r="H383" s="110">
        <v>8935.9290000000001</v>
      </c>
      <c r="I383" s="110">
        <v>8374.0169999999998</v>
      </c>
      <c r="J383" s="110">
        <v>7791.4849999999997</v>
      </c>
      <c r="K383" s="110">
        <v>7161.1890000000003</v>
      </c>
      <c r="L383" s="110">
        <v>6478.8180000000002</v>
      </c>
      <c r="M383" s="110">
        <v>5790.5690000000004</v>
      </c>
      <c r="N383" s="110">
        <v>5154.6840000000002</v>
      </c>
      <c r="O383" s="110">
        <v>4585.2539999999999</v>
      </c>
      <c r="P383" s="110">
        <v>3969.3649999999998</v>
      </c>
      <c r="Q383" s="110">
        <v>3373.0619999999999</v>
      </c>
      <c r="R383" s="110">
        <v>2731.6819999999998</v>
      </c>
      <c r="S383" s="110">
        <v>2240.2669999999998</v>
      </c>
      <c r="T383" s="110">
        <v>1862.3989999999999</v>
      </c>
      <c r="U383" s="110">
        <v>1474.2139999999999</v>
      </c>
      <c r="V383" s="110">
        <v>1093.4469999999999</v>
      </c>
      <c r="W383" s="110">
        <v>719.13099999999997</v>
      </c>
      <c r="X383" s="110">
        <v>404.267</v>
      </c>
      <c r="Y383" s="110">
        <v>186.75299999999999</v>
      </c>
      <c r="Z383" s="110">
        <v>64.61</v>
      </c>
      <c r="AA383" s="110">
        <v>14.395</v>
      </c>
      <c r="AB383" s="110">
        <v>1.339</v>
      </c>
      <c r="AC383" s="115">
        <f t="shared" si="15"/>
        <v>36512.940999999999</v>
      </c>
      <c r="AD383">
        <f t="shared" si="16"/>
        <v>1.0228838591983089</v>
      </c>
    </row>
    <row r="384" spans="1:30" x14ac:dyDescent="0.25">
      <c r="A384" s="104" t="str">
        <f t="shared" si="12"/>
        <v>Tanzania2053</v>
      </c>
      <c r="C384" s="107" t="s">
        <v>257</v>
      </c>
      <c r="D384" s="108" t="s">
        <v>152</v>
      </c>
      <c r="F384" s="109">
        <v>834</v>
      </c>
      <c r="G384" s="109">
        <v>2053</v>
      </c>
      <c r="H384" s="110">
        <v>9039.5679999999993</v>
      </c>
      <c r="I384" s="110">
        <v>8480.5010000000002</v>
      </c>
      <c r="J384" s="110">
        <v>7907.3440000000001</v>
      </c>
      <c r="K384" s="110">
        <v>7284.0129999999999</v>
      </c>
      <c r="L384" s="110">
        <v>6608.7929999999997</v>
      </c>
      <c r="M384" s="110">
        <v>5915.8649999999998</v>
      </c>
      <c r="N384" s="110">
        <v>5267.6030000000001</v>
      </c>
      <c r="O384" s="110">
        <v>4686.451</v>
      </c>
      <c r="P384" s="110">
        <v>4091.8560000000002</v>
      </c>
      <c r="Q384" s="110">
        <v>3472.7840000000001</v>
      </c>
      <c r="R384" s="110">
        <v>2857.9090000000001</v>
      </c>
      <c r="S384" s="110">
        <v>2297.9299999999998</v>
      </c>
      <c r="T384" s="110">
        <v>1926.078</v>
      </c>
      <c r="U384" s="110">
        <v>1526.9259999999999</v>
      </c>
      <c r="V384" s="110">
        <v>1139.9949999999999</v>
      </c>
      <c r="W384" s="110">
        <v>758.25199999999995</v>
      </c>
      <c r="X384" s="110">
        <v>426.61700000000002</v>
      </c>
      <c r="Y384" s="110">
        <v>196.184</v>
      </c>
      <c r="Z384" s="110">
        <v>68.174000000000007</v>
      </c>
      <c r="AA384" s="110">
        <v>16.276</v>
      </c>
      <c r="AB384" s="110">
        <v>1.446</v>
      </c>
      <c r="AC384" s="115">
        <f t="shared" si="15"/>
        <v>37327.365000000005</v>
      </c>
      <c r="AD384">
        <f t="shared" si="16"/>
        <v>1.0223050780817684</v>
      </c>
    </row>
    <row r="385" spans="1:30" x14ac:dyDescent="0.25">
      <c r="A385" s="104" t="str">
        <f t="shared" si="12"/>
        <v>Tanzania2054</v>
      </c>
      <c r="C385" s="107" t="s">
        <v>257</v>
      </c>
      <c r="D385" s="108" t="s">
        <v>152</v>
      </c>
      <c r="F385" s="109">
        <v>834</v>
      </c>
      <c r="G385" s="109">
        <v>2054</v>
      </c>
      <c r="H385" s="110">
        <v>9142.1389999999992</v>
      </c>
      <c r="I385" s="110">
        <v>8583.8960000000006</v>
      </c>
      <c r="J385" s="110">
        <v>8021.3850000000002</v>
      </c>
      <c r="K385" s="110">
        <v>7405.7110000000002</v>
      </c>
      <c r="L385" s="110">
        <v>6737.6959999999999</v>
      </c>
      <c r="M385" s="110">
        <v>6042.2560000000003</v>
      </c>
      <c r="N385" s="110">
        <v>5382.5460000000003</v>
      </c>
      <c r="O385" s="110">
        <v>4788.2240000000002</v>
      </c>
      <c r="P385" s="110">
        <v>4211.5370000000003</v>
      </c>
      <c r="Q385" s="110">
        <v>3575.3389999999999</v>
      </c>
      <c r="R385" s="110">
        <v>2983.212</v>
      </c>
      <c r="S385" s="110">
        <v>2366.971</v>
      </c>
      <c r="T385" s="110">
        <v>1989.568</v>
      </c>
      <c r="U385" s="110">
        <v>1582.6559999999999</v>
      </c>
      <c r="V385" s="110">
        <v>1189.0730000000001</v>
      </c>
      <c r="W385" s="110">
        <v>799.82500000000005</v>
      </c>
      <c r="X385" s="110">
        <v>451.53699999999998</v>
      </c>
      <c r="Y385" s="110">
        <v>206.142</v>
      </c>
      <c r="Z385" s="110">
        <v>70.302999999999997</v>
      </c>
      <c r="AA385" s="110">
        <v>16.687000000000001</v>
      </c>
      <c r="AB385" s="110">
        <v>1.5620000000000001</v>
      </c>
      <c r="AC385" s="115">
        <f t="shared" si="15"/>
        <v>38143.309000000001</v>
      </c>
      <c r="AD385">
        <f t="shared" si="16"/>
        <v>1.0218591373915624</v>
      </c>
    </row>
    <row r="386" spans="1:30" x14ac:dyDescent="0.25">
      <c r="A386" s="104" t="str">
        <f t="shared" si="12"/>
        <v>Tanzania2055</v>
      </c>
      <c r="C386" s="107" t="s">
        <v>257</v>
      </c>
      <c r="D386" s="108" t="s">
        <v>152</v>
      </c>
      <c r="F386" s="109">
        <v>834</v>
      </c>
      <c r="G386" s="109">
        <v>2055</v>
      </c>
      <c r="H386" s="110">
        <v>9244.1769999999997</v>
      </c>
      <c r="I386" s="110">
        <v>8684.732</v>
      </c>
      <c r="J386" s="110">
        <v>8132.6869999999999</v>
      </c>
      <c r="K386" s="110">
        <v>7526.2960000000003</v>
      </c>
      <c r="L386" s="110">
        <v>6865.1360000000004</v>
      </c>
      <c r="M386" s="110">
        <v>6169.3</v>
      </c>
      <c r="N386" s="110">
        <v>5499.3760000000002</v>
      </c>
      <c r="O386" s="110">
        <v>4892.7489999999998</v>
      </c>
      <c r="P386" s="110">
        <v>4325.3509999999997</v>
      </c>
      <c r="Q386" s="110">
        <v>3684.5079999999998</v>
      </c>
      <c r="R386" s="110">
        <v>3100.9580000000001</v>
      </c>
      <c r="S386" s="110">
        <v>2452.3029999999999</v>
      </c>
      <c r="T386" s="110">
        <v>2051.4349999999999</v>
      </c>
      <c r="U386" s="110">
        <v>1641.597</v>
      </c>
      <c r="V386" s="110">
        <v>1240.7370000000001</v>
      </c>
      <c r="W386" s="110">
        <v>843.54899999999998</v>
      </c>
      <c r="X386" s="110">
        <v>479.649</v>
      </c>
      <c r="Y386" s="110">
        <v>217.31100000000001</v>
      </c>
      <c r="Z386" s="110">
        <v>71.510999999999996</v>
      </c>
      <c r="AA386" s="110">
        <v>14.917999999999999</v>
      </c>
      <c r="AB386" s="110">
        <v>1.6919999999999999</v>
      </c>
      <c r="AC386" s="115">
        <f t="shared" si="15"/>
        <v>38962.716</v>
      </c>
      <c r="AD386">
        <f t="shared" si="16"/>
        <v>1.0214823260352164</v>
      </c>
    </row>
    <row r="387" spans="1:30" x14ac:dyDescent="0.25">
      <c r="A387" s="104" t="str">
        <f t="shared" si="12"/>
        <v>Tanzania2056</v>
      </c>
      <c r="C387" s="107" t="s">
        <v>257</v>
      </c>
      <c r="D387" s="108" t="s">
        <v>152</v>
      </c>
      <c r="F387" s="109">
        <v>834</v>
      </c>
      <c r="G387" s="109">
        <v>2056</v>
      </c>
      <c r="H387" s="110">
        <v>9352.6409999999996</v>
      </c>
      <c r="I387" s="110">
        <v>8791.3040000000001</v>
      </c>
      <c r="J387" s="110">
        <v>8242.1980000000003</v>
      </c>
      <c r="K387" s="110">
        <v>7644.8549999999996</v>
      </c>
      <c r="L387" s="110">
        <v>6992.4930000000004</v>
      </c>
      <c r="M387" s="110">
        <v>6299.5919999999996</v>
      </c>
      <c r="N387" s="110">
        <v>5620.799</v>
      </c>
      <c r="O387" s="110">
        <v>5000.4539999999997</v>
      </c>
      <c r="P387" s="110">
        <v>4434.4570000000003</v>
      </c>
      <c r="Q387" s="110">
        <v>3798.0830000000001</v>
      </c>
      <c r="R387" s="110">
        <v>3210.7060000000001</v>
      </c>
      <c r="S387" s="110">
        <v>2550.453</v>
      </c>
      <c r="T387" s="110">
        <v>2106.2089999999998</v>
      </c>
      <c r="U387" s="110">
        <v>1695.5509999999999</v>
      </c>
      <c r="V387" s="110">
        <v>1284.8409999999999</v>
      </c>
      <c r="W387" s="110">
        <v>880.46699999999998</v>
      </c>
      <c r="X387" s="110">
        <v>507.39</v>
      </c>
      <c r="Y387" s="110">
        <v>233.93600000000001</v>
      </c>
      <c r="Z387" s="110">
        <v>80.248999999999995</v>
      </c>
      <c r="AA387" s="110">
        <v>16.934000000000001</v>
      </c>
      <c r="AB387" s="110">
        <v>1.837</v>
      </c>
      <c r="AC387" s="115">
        <f t="shared" si="15"/>
        <v>39790.733</v>
      </c>
      <c r="AD387">
        <f t="shared" si="16"/>
        <v>1.0212515215828384</v>
      </c>
    </row>
    <row r="388" spans="1:30" x14ac:dyDescent="0.25">
      <c r="A388" s="104" t="str">
        <f t="shared" si="12"/>
        <v>Tanzania2057</v>
      </c>
      <c r="C388" s="107" t="s">
        <v>257</v>
      </c>
      <c r="D388" s="108" t="s">
        <v>152</v>
      </c>
      <c r="F388" s="109">
        <v>834</v>
      </c>
      <c r="G388" s="109">
        <v>2057</v>
      </c>
      <c r="H388" s="110">
        <v>9457.5020000000004</v>
      </c>
      <c r="I388" s="110">
        <v>8897.31</v>
      </c>
      <c r="J388" s="110">
        <v>8350.0210000000006</v>
      </c>
      <c r="K388" s="110">
        <v>7762.0950000000003</v>
      </c>
      <c r="L388" s="110">
        <v>7117.6840000000002</v>
      </c>
      <c r="M388" s="110">
        <v>6430.2479999999996</v>
      </c>
      <c r="N388" s="110">
        <v>5744.5519999999997</v>
      </c>
      <c r="O388" s="110">
        <v>5110.759</v>
      </c>
      <c r="P388" s="110">
        <v>4538.6220000000003</v>
      </c>
      <c r="Q388" s="110">
        <v>3917.4560000000001</v>
      </c>
      <c r="R388" s="110">
        <v>3313.3609999999999</v>
      </c>
      <c r="S388" s="110">
        <v>2665.2489999999998</v>
      </c>
      <c r="T388" s="110">
        <v>2159.491</v>
      </c>
      <c r="U388" s="110">
        <v>1754.354</v>
      </c>
      <c r="V388" s="110">
        <v>1331.5809999999999</v>
      </c>
      <c r="W388" s="110">
        <v>919.34500000000003</v>
      </c>
      <c r="X388" s="110">
        <v>536.66099999999994</v>
      </c>
      <c r="Y388" s="110">
        <v>249.14699999999999</v>
      </c>
      <c r="Z388" s="110">
        <v>86.659000000000006</v>
      </c>
      <c r="AA388" s="110">
        <v>19.992000000000001</v>
      </c>
      <c r="AB388" s="110">
        <v>1.9970000000000001</v>
      </c>
      <c r="AC388" s="115">
        <f t="shared" si="15"/>
        <v>40621.416000000005</v>
      </c>
      <c r="AD388">
        <f t="shared" si="16"/>
        <v>1.0208762929800768</v>
      </c>
    </row>
    <row r="389" spans="1:30" x14ac:dyDescent="0.25">
      <c r="A389" s="104" t="str">
        <f t="shared" si="12"/>
        <v>Tanzania2058</v>
      </c>
      <c r="C389" s="107" t="s">
        <v>257</v>
      </c>
      <c r="D389" s="108" t="s">
        <v>152</v>
      </c>
      <c r="F389" s="109">
        <v>834</v>
      </c>
      <c r="G389" s="109">
        <v>2058</v>
      </c>
      <c r="H389" s="110">
        <v>9559.1129999999994</v>
      </c>
      <c r="I389" s="110">
        <v>9002.1450000000004</v>
      </c>
      <c r="J389" s="110">
        <v>8456.4079999999994</v>
      </c>
      <c r="K389" s="110">
        <v>7877.9210000000003</v>
      </c>
      <c r="L389" s="110">
        <v>7240.7139999999999</v>
      </c>
      <c r="M389" s="110">
        <v>6560.4920000000002</v>
      </c>
      <c r="N389" s="110">
        <v>5870.0259999999998</v>
      </c>
      <c r="O389" s="110">
        <v>5223.7330000000002</v>
      </c>
      <c r="P389" s="110">
        <v>4639.8180000000002</v>
      </c>
      <c r="Q389" s="110">
        <v>4039.5</v>
      </c>
      <c r="R389" s="110">
        <v>3412.547</v>
      </c>
      <c r="S389" s="110">
        <v>2789.79</v>
      </c>
      <c r="T389" s="110">
        <v>2216.6239999999998</v>
      </c>
      <c r="U389" s="110">
        <v>1816.309</v>
      </c>
      <c r="V389" s="110">
        <v>1381.42</v>
      </c>
      <c r="W389" s="110">
        <v>960.851</v>
      </c>
      <c r="X389" s="110">
        <v>567.74199999999996</v>
      </c>
      <c r="Y389" s="110">
        <v>263.22699999999998</v>
      </c>
      <c r="Z389" s="110">
        <v>91.983999999999995</v>
      </c>
      <c r="AA389" s="110">
        <v>22.506</v>
      </c>
      <c r="AB389" s="110">
        <v>2.173</v>
      </c>
      <c r="AC389" s="115">
        <f t="shared" si="15"/>
        <v>41452.203999999998</v>
      </c>
      <c r="AD389">
        <f t="shared" si="16"/>
        <v>1.0204519704581443</v>
      </c>
    </row>
    <row r="390" spans="1:30" x14ac:dyDescent="0.25">
      <c r="A390" s="104" t="str">
        <f t="shared" si="12"/>
        <v>Tanzania2059</v>
      </c>
      <c r="C390" s="107" t="s">
        <v>257</v>
      </c>
      <c r="D390" s="108" t="s">
        <v>152</v>
      </c>
      <c r="F390" s="109">
        <v>834</v>
      </c>
      <c r="G390" s="109">
        <v>2059</v>
      </c>
      <c r="H390" s="110">
        <v>9657.7849999999999</v>
      </c>
      <c r="I390" s="110">
        <v>9105.0249999999996</v>
      </c>
      <c r="J390" s="110">
        <v>8561.7330000000002</v>
      </c>
      <c r="K390" s="110">
        <v>7991.9369999999999</v>
      </c>
      <c r="L390" s="110">
        <v>7361.8850000000002</v>
      </c>
      <c r="M390" s="110">
        <v>6689.3829999999998</v>
      </c>
      <c r="N390" s="110">
        <v>5996.5060000000003</v>
      </c>
      <c r="O390" s="110">
        <v>5339.0860000000002</v>
      </c>
      <c r="P390" s="110">
        <v>4741.5309999999999</v>
      </c>
      <c r="Q390" s="110">
        <v>4159.0680000000002</v>
      </c>
      <c r="R390" s="110">
        <v>3514.6579999999999</v>
      </c>
      <c r="S390" s="110">
        <v>2913.5059999999999</v>
      </c>
      <c r="T390" s="110">
        <v>2285.7930000000001</v>
      </c>
      <c r="U390" s="110">
        <v>1878.77</v>
      </c>
      <c r="V390" s="110">
        <v>1434.9349999999999</v>
      </c>
      <c r="W390" s="110">
        <v>1005.317</v>
      </c>
      <c r="X390" s="110">
        <v>600.52700000000004</v>
      </c>
      <c r="Y390" s="110">
        <v>278.471</v>
      </c>
      <c r="Z390" s="110">
        <v>95.802999999999997</v>
      </c>
      <c r="AA390" s="110">
        <v>23.231000000000002</v>
      </c>
      <c r="AB390" s="110">
        <v>2.3650000000000002</v>
      </c>
      <c r="AC390" s="115">
        <f t="shared" si="15"/>
        <v>42279.396000000008</v>
      </c>
      <c r="AD390">
        <f t="shared" si="16"/>
        <v>1.0199553201079492</v>
      </c>
    </row>
    <row r="391" spans="1:30" x14ac:dyDescent="0.25">
      <c r="A391" s="104" t="str">
        <f t="shared" si="12"/>
        <v>Tanzania2060</v>
      </c>
      <c r="C391" s="107" t="s">
        <v>257</v>
      </c>
      <c r="D391" s="108" t="s">
        <v>152</v>
      </c>
      <c r="F391" s="109">
        <v>834</v>
      </c>
      <c r="G391" s="109">
        <v>2060</v>
      </c>
      <c r="H391" s="110">
        <v>9754.17</v>
      </c>
      <c r="I391" s="110">
        <v>9204.9750000000004</v>
      </c>
      <c r="J391" s="110">
        <v>8666.0020000000004</v>
      </c>
      <c r="K391" s="110">
        <v>8103.817</v>
      </c>
      <c r="L391" s="110">
        <v>7481.5370000000003</v>
      </c>
      <c r="M391" s="110">
        <v>6816.3</v>
      </c>
      <c r="N391" s="110">
        <v>6123.4409999999998</v>
      </c>
      <c r="O391" s="110">
        <v>5456.4480000000003</v>
      </c>
      <c r="P391" s="110">
        <v>4846.0709999999999</v>
      </c>
      <c r="Q391" s="110">
        <v>4272.9690000000001</v>
      </c>
      <c r="R391" s="110">
        <v>3623.4090000000001</v>
      </c>
      <c r="S391" s="110">
        <v>3030.01</v>
      </c>
      <c r="T391" s="110">
        <v>2371.4180000000001</v>
      </c>
      <c r="U391" s="110">
        <v>1940.4760000000001</v>
      </c>
      <c r="V391" s="110">
        <v>1492.354</v>
      </c>
      <c r="W391" s="110">
        <v>1052.83</v>
      </c>
      <c r="X391" s="110">
        <v>635.21699999999998</v>
      </c>
      <c r="Y391" s="110">
        <v>295.71300000000002</v>
      </c>
      <c r="Z391" s="110">
        <v>98.968000000000004</v>
      </c>
      <c r="AA391" s="110">
        <v>21.262</v>
      </c>
      <c r="AB391" s="110">
        <v>2.5720000000000001</v>
      </c>
      <c r="AC391" s="115">
        <f t="shared" si="15"/>
        <v>43100.582999999999</v>
      </c>
      <c r="AD391">
        <f t="shared" si="16"/>
        <v>1.0194228649813255</v>
      </c>
    </row>
    <row r="392" spans="1:30" x14ac:dyDescent="0.25">
      <c r="A392" s="104" t="str">
        <f t="shared" si="12"/>
        <v>Tanzania2061</v>
      </c>
      <c r="C392" s="107" t="s">
        <v>257</v>
      </c>
      <c r="D392" s="108" t="s">
        <v>152</v>
      </c>
      <c r="F392" s="109">
        <v>834</v>
      </c>
      <c r="G392" s="109">
        <v>2061</v>
      </c>
      <c r="H392" s="110">
        <v>9856.9320000000007</v>
      </c>
      <c r="I392" s="110">
        <v>9310.3760000000002</v>
      </c>
      <c r="J392" s="110">
        <v>8770.7160000000003</v>
      </c>
      <c r="K392" s="110">
        <v>8213.4429999999993</v>
      </c>
      <c r="L392" s="110">
        <v>7601.4859999999999</v>
      </c>
      <c r="M392" s="110">
        <v>6944.1869999999999</v>
      </c>
      <c r="N392" s="110">
        <v>6253.6220000000003</v>
      </c>
      <c r="O392" s="110">
        <v>5577.1270000000004</v>
      </c>
      <c r="P392" s="110">
        <v>4953.5780000000004</v>
      </c>
      <c r="Q392" s="110">
        <v>4381.2030000000004</v>
      </c>
      <c r="R392" s="110">
        <v>3736.0189999999998</v>
      </c>
      <c r="S392" s="110">
        <v>3137.7629999999999</v>
      </c>
      <c r="T392" s="110">
        <v>2466.1469999999999</v>
      </c>
      <c r="U392" s="110">
        <v>1992.3340000000001</v>
      </c>
      <c r="V392" s="110">
        <v>1542.223</v>
      </c>
      <c r="W392" s="110">
        <v>1091.8109999999999</v>
      </c>
      <c r="X392" s="110">
        <v>666.45399999999995</v>
      </c>
      <c r="Y392" s="110">
        <v>318.791</v>
      </c>
      <c r="Z392" s="110">
        <v>111.178</v>
      </c>
      <c r="AA392" s="110">
        <v>24.129000000000001</v>
      </c>
      <c r="AB392" s="110">
        <v>2.798</v>
      </c>
      <c r="AC392" s="115">
        <f t="shared" si="15"/>
        <v>43924.646000000008</v>
      </c>
      <c r="AD392">
        <f t="shared" si="16"/>
        <v>1.0191195325594553</v>
      </c>
    </row>
    <row r="393" spans="1:30" x14ac:dyDescent="0.25">
      <c r="A393" s="104" t="str">
        <f t="shared" si="12"/>
        <v>Tanzania2062</v>
      </c>
      <c r="C393" s="107" t="s">
        <v>257</v>
      </c>
      <c r="D393" s="108" t="s">
        <v>152</v>
      </c>
      <c r="F393" s="109">
        <v>834</v>
      </c>
      <c r="G393" s="109">
        <v>2062</v>
      </c>
      <c r="H393" s="110">
        <v>9952.0470000000005</v>
      </c>
      <c r="I393" s="110">
        <v>9415.3289999999997</v>
      </c>
      <c r="J393" s="110">
        <v>8875.4480000000003</v>
      </c>
      <c r="K393" s="110">
        <v>8321.1880000000001</v>
      </c>
      <c r="L393" s="110">
        <v>7719.6790000000001</v>
      </c>
      <c r="M393" s="110">
        <v>7069.857</v>
      </c>
      <c r="N393" s="110">
        <v>6384.4290000000001</v>
      </c>
      <c r="O393" s="110">
        <v>5700.4759999999997</v>
      </c>
      <c r="P393" s="110">
        <v>5063.8639999999996</v>
      </c>
      <c r="Q393" s="110">
        <v>4484.8609999999999</v>
      </c>
      <c r="R393" s="110">
        <v>3854.6060000000002</v>
      </c>
      <c r="S393" s="110">
        <v>3239.26</v>
      </c>
      <c r="T393" s="110">
        <v>2577.9160000000002</v>
      </c>
      <c r="U393" s="110">
        <v>2043.6559999999999</v>
      </c>
      <c r="V393" s="110">
        <v>1597.357</v>
      </c>
      <c r="W393" s="110">
        <v>1133.33</v>
      </c>
      <c r="X393" s="110">
        <v>698.46500000000003</v>
      </c>
      <c r="Y393" s="110">
        <v>340.45600000000002</v>
      </c>
      <c r="Z393" s="110">
        <v>120.276</v>
      </c>
      <c r="AA393" s="110">
        <v>28.413</v>
      </c>
      <c r="AB393" s="110">
        <v>3.0449999999999999</v>
      </c>
      <c r="AC393" s="115">
        <f t="shared" si="15"/>
        <v>44744.353999999999</v>
      </c>
      <c r="AD393">
        <f t="shared" si="16"/>
        <v>1.0186616871084173</v>
      </c>
    </row>
    <row r="394" spans="1:30" x14ac:dyDescent="0.25">
      <c r="A394" s="104" t="str">
        <f t="shared" si="12"/>
        <v>Tanzania2063</v>
      </c>
      <c r="C394" s="107" t="s">
        <v>257</v>
      </c>
      <c r="D394" s="108" t="s">
        <v>152</v>
      </c>
      <c r="F394" s="109">
        <v>834</v>
      </c>
      <c r="G394" s="109">
        <v>2063</v>
      </c>
      <c r="H394" s="110">
        <v>10041.511</v>
      </c>
      <c r="I394" s="110">
        <v>9518.8529999999992</v>
      </c>
      <c r="J394" s="110">
        <v>8979.9159999999993</v>
      </c>
      <c r="K394" s="110">
        <v>8427.5499999999993</v>
      </c>
      <c r="L394" s="110">
        <v>7835.7479999999996</v>
      </c>
      <c r="M394" s="110">
        <v>7193.2259999999997</v>
      </c>
      <c r="N394" s="110">
        <v>6514.8779999999997</v>
      </c>
      <c r="O394" s="110">
        <v>5826.0010000000002</v>
      </c>
      <c r="P394" s="110">
        <v>5176.7669999999998</v>
      </c>
      <c r="Q394" s="110">
        <v>4585.9759999999997</v>
      </c>
      <c r="R394" s="110">
        <v>3975.962</v>
      </c>
      <c r="S394" s="110">
        <v>3337.7440000000001</v>
      </c>
      <c r="T394" s="110">
        <v>2700.11</v>
      </c>
      <c r="U394" s="110">
        <v>2099.59</v>
      </c>
      <c r="V394" s="110">
        <v>1656.25</v>
      </c>
      <c r="W394" s="110">
        <v>1178.3389999999999</v>
      </c>
      <c r="X394" s="110">
        <v>732.31600000000003</v>
      </c>
      <c r="Y394" s="110">
        <v>360.38600000000002</v>
      </c>
      <c r="Z394" s="110">
        <v>128.15899999999999</v>
      </c>
      <c r="AA394" s="110">
        <v>32.020000000000003</v>
      </c>
      <c r="AB394" s="110">
        <v>3.3149999999999999</v>
      </c>
      <c r="AC394" s="115">
        <f t="shared" si="15"/>
        <v>45560.146000000001</v>
      </c>
      <c r="AD394">
        <f t="shared" si="16"/>
        <v>1.0182322891509397</v>
      </c>
    </row>
    <row r="395" spans="1:30" x14ac:dyDescent="0.25">
      <c r="A395" s="104" t="str">
        <f t="shared" si="12"/>
        <v>Tanzania2064</v>
      </c>
      <c r="C395" s="107" t="s">
        <v>257</v>
      </c>
      <c r="D395" s="108" t="s">
        <v>152</v>
      </c>
      <c r="F395" s="109">
        <v>834</v>
      </c>
      <c r="G395" s="109">
        <v>2064</v>
      </c>
      <c r="H395" s="110">
        <v>10128.126</v>
      </c>
      <c r="I395" s="110">
        <v>9619.5120000000006</v>
      </c>
      <c r="J395" s="110">
        <v>9083.7279999999992</v>
      </c>
      <c r="K395" s="110">
        <v>8533.0580000000009</v>
      </c>
      <c r="L395" s="110">
        <v>7949.2669999999998</v>
      </c>
      <c r="M395" s="110">
        <v>7314.415</v>
      </c>
      <c r="N395" s="110">
        <v>6643.8440000000001</v>
      </c>
      <c r="O395" s="110">
        <v>5952.87</v>
      </c>
      <c r="P395" s="110">
        <v>5291.9340000000002</v>
      </c>
      <c r="Q395" s="110">
        <v>4687.9080000000004</v>
      </c>
      <c r="R395" s="110">
        <v>4094.9209999999998</v>
      </c>
      <c r="S395" s="110">
        <v>3439.2869999999998</v>
      </c>
      <c r="T395" s="110">
        <v>2822.4090000000001</v>
      </c>
      <c r="U395" s="110">
        <v>2168.0219999999999</v>
      </c>
      <c r="V395" s="110">
        <v>1716.4880000000001</v>
      </c>
      <c r="W395" s="110">
        <v>1227.5809999999999</v>
      </c>
      <c r="X395" s="110">
        <v>768.524</v>
      </c>
      <c r="Y395" s="110">
        <v>380.96</v>
      </c>
      <c r="Z395" s="110">
        <v>134.38200000000001</v>
      </c>
      <c r="AA395" s="110">
        <v>33.316000000000003</v>
      </c>
      <c r="AB395" s="110">
        <v>3.6110000000000002</v>
      </c>
      <c r="AC395" s="115">
        <f t="shared" si="15"/>
        <v>46373.296000000009</v>
      </c>
      <c r="AD395">
        <f t="shared" si="16"/>
        <v>1.017847835693942</v>
      </c>
    </row>
    <row r="396" spans="1:30" x14ac:dyDescent="0.25">
      <c r="A396" s="104" t="str">
        <f t="shared" si="12"/>
        <v>Tanzania2065</v>
      </c>
      <c r="C396" s="107" t="s">
        <v>257</v>
      </c>
      <c r="D396" s="108" t="s">
        <v>152</v>
      </c>
      <c r="F396" s="109">
        <v>834</v>
      </c>
      <c r="G396" s="109">
        <v>2065</v>
      </c>
      <c r="H396" s="110">
        <v>10214.209000000001</v>
      </c>
      <c r="I396" s="110">
        <v>9715.6090000000004</v>
      </c>
      <c r="J396" s="110">
        <v>9186.4549999999999</v>
      </c>
      <c r="K396" s="110">
        <v>8637.9689999999991</v>
      </c>
      <c r="L396" s="110">
        <v>8060.2079999999996</v>
      </c>
      <c r="M396" s="110">
        <v>7433.5240000000003</v>
      </c>
      <c r="N396" s="110">
        <v>6770.5950000000003</v>
      </c>
      <c r="O396" s="110">
        <v>6080.2709999999997</v>
      </c>
      <c r="P396" s="110">
        <v>5409.1719999999996</v>
      </c>
      <c r="Q396" s="110">
        <v>4792.7259999999997</v>
      </c>
      <c r="R396" s="110">
        <v>4208.3850000000002</v>
      </c>
      <c r="S396" s="110">
        <v>3547.4780000000001</v>
      </c>
      <c r="T396" s="110">
        <v>2938.3519999999999</v>
      </c>
      <c r="U396" s="110">
        <v>2253.252</v>
      </c>
      <c r="V396" s="110">
        <v>1776.971</v>
      </c>
      <c r="W396" s="110">
        <v>1281.306</v>
      </c>
      <c r="X396" s="110">
        <v>807.48199999999997</v>
      </c>
      <c r="Y396" s="110">
        <v>402.82299999999998</v>
      </c>
      <c r="Z396" s="110">
        <v>140.40199999999999</v>
      </c>
      <c r="AA396" s="110">
        <v>31.155999999999999</v>
      </c>
      <c r="AB396" s="110">
        <v>3.9359999999999999</v>
      </c>
      <c r="AC396" s="115">
        <f t="shared" si="15"/>
        <v>47184.465000000004</v>
      </c>
      <c r="AD396">
        <f t="shared" si="16"/>
        <v>1.0174921575555034</v>
      </c>
    </row>
    <row r="397" spans="1:30" x14ac:dyDescent="0.25">
      <c r="A397" s="104" t="str">
        <f t="shared" si="12"/>
        <v>Tanzania2066</v>
      </c>
      <c r="C397" s="107" t="s">
        <v>257</v>
      </c>
      <c r="D397" s="108" t="s">
        <v>152</v>
      </c>
      <c r="F397" s="109">
        <v>834</v>
      </c>
      <c r="G397" s="109">
        <v>2066</v>
      </c>
      <c r="H397" s="110">
        <v>10303.905000000001</v>
      </c>
      <c r="I397" s="110">
        <v>9815.9629999999997</v>
      </c>
      <c r="J397" s="110">
        <v>9290.9240000000009</v>
      </c>
      <c r="K397" s="110">
        <v>8743.3179999999993</v>
      </c>
      <c r="L397" s="110">
        <v>8171.7489999999998</v>
      </c>
      <c r="M397" s="110">
        <v>7554.5439999999999</v>
      </c>
      <c r="N397" s="110">
        <v>6898.8779999999997</v>
      </c>
      <c r="O397" s="110">
        <v>6210.0959999999995</v>
      </c>
      <c r="P397" s="110">
        <v>5529.9639999999999</v>
      </c>
      <c r="Q397" s="110">
        <v>4899.79</v>
      </c>
      <c r="R397" s="110">
        <v>4316.0969999999998</v>
      </c>
      <c r="S397" s="110">
        <v>3658.73</v>
      </c>
      <c r="T397" s="110">
        <v>3042.181</v>
      </c>
      <c r="U397" s="110">
        <v>2343.9189999999999</v>
      </c>
      <c r="V397" s="110">
        <v>1824.856</v>
      </c>
      <c r="W397" s="110">
        <v>1325.68</v>
      </c>
      <c r="X397" s="110">
        <v>840.99099999999999</v>
      </c>
      <c r="Y397" s="110">
        <v>429.58300000000003</v>
      </c>
      <c r="Z397" s="110">
        <v>157.60400000000001</v>
      </c>
      <c r="AA397" s="110">
        <v>35.375999999999998</v>
      </c>
      <c r="AB397" s="110">
        <v>4.2960000000000003</v>
      </c>
      <c r="AC397" s="115">
        <f t="shared" si="15"/>
        <v>48008.339</v>
      </c>
      <c r="AD397">
        <f t="shared" si="16"/>
        <v>1.0174607044924637</v>
      </c>
    </row>
    <row r="398" spans="1:30" x14ac:dyDescent="0.25">
      <c r="A398" s="104" t="str">
        <f t="shared" si="12"/>
        <v>Tanzania2067</v>
      </c>
      <c r="C398" s="107" t="s">
        <v>257</v>
      </c>
      <c r="D398" s="108" t="s">
        <v>152</v>
      </c>
      <c r="F398" s="109">
        <v>834</v>
      </c>
      <c r="G398" s="109">
        <v>2067</v>
      </c>
      <c r="H398" s="110">
        <v>10392.004999999999</v>
      </c>
      <c r="I398" s="110">
        <v>9912.4519999999993</v>
      </c>
      <c r="J398" s="110">
        <v>9395.0490000000009</v>
      </c>
      <c r="K398" s="110">
        <v>8847.857</v>
      </c>
      <c r="L398" s="110">
        <v>8280.4410000000007</v>
      </c>
      <c r="M398" s="110">
        <v>7673.2489999999998</v>
      </c>
      <c r="N398" s="110">
        <v>7024.7709999999997</v>
      </c>
      <c r="O398" s="110">
        <v>6340.4859999999999</v>
      </c>
      <c r="P398" s="110">
        <v>5653.2659999999996</v>
      </c>
      <c r="Q398" s="110">
        <v>5009.5600000000004</v>
      </c>
      <c r="R398" s="110">
        <v>4419.3149999999996</v>
      </c>
      <c r="S398" s="110">
        <v>3776.241</v>
      </c>
      <c r="T398" s="110">
        <v>3141.0529999999999</v>
      </c>
      <c r="U398" s="110">
        <v>2451.5770000000002</v>
      </c>
      <c r="V398" s="110">
        <v>1873.0350000000001</v>
      </c>
      <c r="W398" s="110">
        <v>1375.095</v>
      </c>
      <c r="X398" s="110">
        <v>875.54700000000003</v>
      </c>
      <c r="Y398" s="110">
        <v>454.096</v>
      </c>
      <c r="Z398" s="110">
        <v>170.47200000000001</v>
      </c>
      <c r="AA398" s="110">
        <v>41.523000000000003</v>
      </c>
      <c r="AB398" s="110">
        <v>4.6909999999999998</v>
      </c>
      <c r="AC398" s="115">
        <f t="shared" si="15"/>
        <v>48829.630000000005</v>
      </c>
      <c r="AD398">
        <f t="shared" si="16"/>
        <v>1.0171072571371405</v>
      </c>
    </row>
    <row r="399" spans="1:30" x14ac:dyDescent="0.25">
      <c r="A399" s="104" t="str">
        <f t="shared" si="12"/>
        <v>Tanzania2068</v>
      </c>
      <c r="C399" s="107" t="s">
        <v>257</v>
      </c>
      <c r="D399" s="108" t="s">
        <v>152</v>
      </c>
      <c r="F399" s="109">
        <v>834</v>
      </c>
      <c r="G399" s="109">
        <v>2068</v>
      </c>
      <c r="H399" s="110">
        <v>10478.039000000001</v>
      </c>
      <c r="I399" s="110">
        <v>10004.449000000001</v>
      </c>
      <c r="J399" s="110">
        <v>9498.3420000000006</v>
      </c>
      <c r="K399" s="110">
        <v>8951.9220000000005</v>
      </c>
      <c r="L399" s="110">
        <v>8386.7860000000001</v>
      </c>
      <c r="M399" s="110">
        <v>7789.424</v>
      </c>
      <c r="N399" s="110">
        <v>7148.1779999999999</v>
      </c>
      <c r="O399" s="110">
        <v>6470.7809999999999</v>
      </c>
      <c r="P399" s="110">
        <v>5778.5169999999998</v>
      </c>
      <c r="Q399" s="110">
        <v>5122.13</v>
      </c>
      <c r="R399" s="110">
        <v>4520.067</v>
      </c>
      <c r="S399" s="110">
        <v>3896.5610000000001</v>
      </c>
      <c r="T399" s="110">
        <v>3238.404</v>
      </c>
      <c r="U399" s="110">
        <v>2569.8119999999999</v>
      </c>
      <c r="V399" s="110">
        <v>1926.6089999999999</v>
      </c>
      <c r="W399" s="110">
        <v>1428.7439999999999</v>
      </c>
      <c r="X399" s="110">
        <v>912.774</v>
      </c>
      <c r="Y399" s="110">
        <v>476.38400000000001</v>
      </c>
      <c r="Z399" s="110">
        <v>181.48599999999999</v>
      </c>
      <c r="AA399" s="110">
        <v>46.756999999999998</v>
      </c>
      <c r="AB399" s="110">
        <v>5.1260000000000003</v>
      </c>
      <c r="AC399" s="115">
        <f t="shared" si="15"/>
        <v>49647.737999999998</v>
      </c>
      <c r="AD399">
        <f t="shared" si="16"/>
        <v>1.0167543354311714</v>
      </c>
    </row>
    <row r="400" spans="1:30" x14ac:dyDescent="0.25">
      <c r="A400" s="104" t="str">
        <f t="shared" si="12"/>
        <v>Tanzania2069</v>
      </c>
      <c r="C400" s="107" t="s">
        <v>257</v>
      </c>
      <c r="D400" s="108" t="s">
        <v>152</v>
      </c>
      <c r="F400" s="109">
        <v>834</v>
      </c>
      <c r="G400" s="109">
        <v>2069</v>
      </c>
      <c r="H400" s="110">
        <v>10560.502</v>
      </c>
      <c r="I400" s="110">
        <v>10092.226000000001</v>
      </c>
      <c r="J400" s="110">
        <v>9599.6110000000008</v>
      </c>
      <c r="K400" s="110">
        <v>9055.7379999999994</v>
      </c>
      <c r="L400" s="110">
        <v>8491.6689999999999</v>
      </c>
      <c r="M400" s="110">
        <v>7902.8339999999998</v>
      </c>
      <c r="N400" s="110">
        <v>7269.3630000000003</v>
      </c>
      <c r="O400" s="110">
        <v>6600.0360000000001</v>
      </c>
      <c r="P400" s="110">
        <v>5905.07</v>
      </c>
      <c r="Q400" s="110">
        <v>5237.317</v>
      </c>
      <c r="R400" s="110">
        <v>4621.7489999999998</v>
      </c>
      <c r="S400" s="110">
        <v>4014.6559999999999</v>
      </c>
      <c r="T400" s="110">
        <v>3340.038</v>
      </c>
      <c r="U400" s="110">
        <v>2688.9560000000001</v>
      </c>
      <c r="V400" s="110">
        <v>1993.222</v>
      </c>
      <c r="W400" s="110">
        <v>1484.6959999999999</v>
      </c>
      <c r="X400" s="110">
        <v>953.73699999999997</v>
      </c>
      <c r="Y400" s="110">
        <v>499.65</v>
      </c>
      <c r="Z400" s="110">
        <v>190.208</v>
      </c>
      <c r="AA400" s="110">
        <v>48.905999999999999</v>
      </c>
      <c r="AB400" s="110">
        <v>5.6070000000000002</v>
      </c>
      <c r="AC400" s="115">
        <f t="shared" si="15"/>
        <v>50462.027000000002</v>
      </c>
      <c r="AD400">
        <f t="shared" si="16"/>
        <v>1.0164013313154368</v>
      </c>
    </row>
    <row r="401" spans="1:30" x14ac:dyDescent="0.25">
      <c r="A401" s="104" t="str">
        <f t="shared" si="12"/>
        <v>Tanzania2070</v>
      </c>
      <c r="C401" s="107" t="s">
        <v>257</v>
      </c>
      <c r="D401" s="108" t="s">
        <v>152</v>
      </c>
      <c r="F401" s="109">
        <v>834</v>
      </c>
      <c r="G401" s="109">
        <v>2070</v>
      </c>
      <c r="H401" s="110">
        <v>10638.585999999999</v>
      </c>
      <c r="I401" s="110">
        <v>10176.522999999999</v>
      </c>
      <c r="J401" s="110">
        <v>9697.34</v>
      </c>
      <c r="K401" s="110">
        <v>9159.1959999999999</v>
      </c>
      <c r="L401" s="110">
        <v>8595.7810000000009</v>
      </c>
      <c r="M401" s="110">
        <v>8013.38</v>
      </c>
      <c r="N401" s="110">
        <v>7388.4549999999999</v>
      </c>
      <c r="O401" s="110">
        <v>6727.38</v>
      </c>
      <c r="P401" s="110">
        <v>6032.4049999999997</v>
      </c>
      <c r="Q401" s="110">
        <v>5354.8379999999997</v>
      </c>
      <c r="R401" s="110">
        <v>4726.4989999999998</v>
      </c>
      <c r="S401" s="110">
        <v>4127.634</v>
      </c>
      <c r="T401" s="110">
        <v>3448.9389999999999</v>
      </c>
      <c r="U401" s="110">
        <v>2803.1979999999999</v>
      </c>
      <c r="V401" s="110">
        <v>2076.9389999999999</v>
      </c>
      <c r="W401" s="110">
        <v>1542.0170000000001</v>
      </c>
      <c r="X401" s="110">
        <v>998.99400000000003</v>
      </c>
      <c r="Y401" s="110">
        <v>524.98400000000004</v>
      </c>
      <c r="Z401" s="110">
        <v>198.464</v>
      </c>
      <c r="AA401" s="110">
        <v>46.503999999999998</v>
      </c>
      <c r="AB401" s="110">
        <v>6.1369999999999996</v>
      </c>
      <c r="AC401" s="115">
        <f t="shared" si="15"/>
        <v>51271.434999999998</v>
      </c>
      <c r="AD401">
        <f t="shared" si="16"/>
        <v>1.0160399422718394</v>
      </c>
    </row>
    <row r="402" spans="1:30" x14ac:dyDescent="0.25">
      <c r="A402" s="104" t="str">
        <f t="shared" si="12"/>
        <v>Tanzania2071</v>
      </c>
      <c r="C402" s="107" t="s">
        <v>257</v>
      </c>
      <c r="D402" s="108" t="s">
        <v>152</v>
      </c>
      <c r="F402" s="109">
        <v>834</v>
      </c>
      <c r="G402" s="109">
        <v>2071</v>
      </c>
      <c r="H402" s="110">
        <v>10722.518</v>
      </c>
      <c r="I402" s="110">
        <v>10267.063</v>
      </c>
      <c r="J402" s="110">
        <v>9794.5370000000003</v>
      </c>
      <c r="K402" s="110">
        <v>9263.6200000000008</v>
      </c>
      <c r="L402" s="110">
        <v>8702.2330000000002</v>
      </c>
      <c r="M402" s="110">
        <v>8125.3090000000002</v>
      </c>
      <c r="N402" s="110">
        <v>7509.2709999999997</v>
      </c>
      <c r="O402" s="110">
        <v>6854.7529999999997</v>
      </c>
      <c r="P402" s="110">
        <v>6161.7759999999998</v>
      </c>
      <c r="Q402" s="110">
        <v>5474.5810000000001</v>
      </c>
      <c r="R402" s="110">
        <v>4832.7039999999997</v>
      </c>
      <c r="S402" s="110">
        <v>4233.6660000000002</v>
      </c>
      <c r="T402" s="110">
        <v>3556.181</v>
      </c>
      <c r="U402" s="110">
        <v>2901.4079999999999</v>
      </c>
      <c r="V402" s="110">
        <v>2161.1669999999999</v>
      </c>
      <c r="W402" s="110">
        <v>1583.8589999999999</v>
      </c>
      <c r="X402" s="110">
        <v>1037.251</v>
      </c>
      <c r="Y402" s="110">
        <v>554.68200000000002</v>
      </c>
      <c r="Z402" s="110">
        <v>219.726</v>
      </c>
      <c r="AA402" s="110">
        <v>52.709000000000003</v>
      </c>
      <c r="AB402" s="110">
        <v>6.7220000000000004</v>
      </c>
      <c r="AC402" s="115">
        <f t="shared" si="15"/>
        <v>52091.542999999998</v>
      </c>
      <c r="AD402">
        <f t="shared" si="16"/>
        <v>1.0159954173313075</v>
      </c>
    </row>
    <row r="403" spans="1:30" x14ac:dyDescent="0.25">
      <c r="A403" s="104" t="str">
        <f t="shared" si="12"/>
        <v>Tanzania2072</v>
      </c>
      <c r="C403" s="107" t="s">
        <v>257</v>
      </c>
      <c r="D403" s="108" t="s">
        <v>152</v>
      </c>
      <c r="F403" s="109">
        <v>834</v>
      </c>
      <c r="G403" s="109">
        <v>2072</v>
      </c>
      <c r="H403" s="110">
        <v>10798.359</v>
      </c>
      <c r="I403" s="110">
        <v>10355.734</v>
      </c>
      <c r="J403" s="110">
        <v>9889.1839999999993</v>
      </c>
      <c r="K403" s="110">
        <v>9367.9490000000005</v>
      </c>
      <c r="L403" s="110">
        <v>8807.7039999999997</v>
      </c>
      <c r="M403" s="110">
        <v>8234.5669999999991</v>
      </c>
      <c r="N403" s="110">
        <v>7628.2460000000001</v>
      </c>
      <c r="O403" s="110">
        <v>6980.2830000000004</v>
      </c>
      <c r="P403" s="110">
        <v>6292.1120000000001</v>
      </c>
      <c r="Q403" s="110">
        <v>5597.2749999999996</v>
      </c>
      <c r="R403" s="110">
        <v>4941.99</v>
      </c>
      <c r="S403" s="110">
        <v>4336.1589999999997</v>
      </c>
      <c r="T403" s="110">
        <v>3670.8939999999998</v>
      </c>
      <c r="U403" s="110">
        <v>2996.5059999999999</v>
      </c>
      <c r="V403" s="110">
        <v>2262.127</v>
      </c>
      <c r="W403" s="110">
        <v>1626.59</v>
      </c>
      <c r="X403" s="110">
        <v>1078.711</v>
      </c>
      <c r="Y403" s="110">
        <v>581.79</v>
      </c>
      <c r="Z403" s="110">
        <v>234.74799999999999</v>
      </c>
      <c r="AA403" s="110">
        <v>61.448</v>
      </c>
      <c r="AB403" s="110">
        <v>7.3639999999999999</v>
      </c>
      <c r="AC403" s="115">
        <f t="shared" si="15"/>
        <v>52908.136000000006</v>
      </c>
      <c r="AD403">
        <f t="shared" si="16"/>
        <v>1.015676114643024</v>
      </c>
    </row>
    <row r="404" spans="1:30" x14ac:dyDescent="0.25">
      <c r="A404" s="104" t="str">
        <f t="shared" si="12"/>
        <v>Tanzania2073</v>
      </c>
      <c r="C404" s="107" t="s">
        <v>257</v>
      </c>
      <c r="D404" s="108" t="s">
        <v>152</v>
      </c>
      <c r="F404" s="109">
        <v>834</v>
      </c>
      <c r="G404" s="109">
        <v>2073</v>
      </c>
      <c r="H404" s="110">
        <v>10867.507</v>
      </c>
      <c r="I404" s="110">
        <v>10441.643</v>
      </c>
      <c r="J404" s="110">
        <v>9981.3310000000001</v>
      </c>
      <c r="K404" s="110">
        <v>9471.4560000000001</v>
      </c>
      <c r="L404" s="110">
        <v>8912.1890000000003</v>
      </c>
      <c r="M404" s="110">
        <v>8341.4689999999991</v>
      </c>
      <c r="N404" s="110">
        <v>7744.8609999999999</v>
      </c>
      <c r="O404" s="110">
        <v>7103.9309999999996</v>
      </c>
      <c r="P404" s="110">
        <v>6422.4359999999997</v>
      </c>
      <c r="Q404" s="110">
        <v>5722.4089999999997</v>
      </c>
      <c r="R404" s="110">
        <v>5054.2809999999999</v>
      </c>
      <c r="S404" s="110">
        <v>4436.6149999999998</v>
      </c>
      <c r="T404" s="110">
        <v>3789.7939999999999</v>
      </c>
      <c r="U404" s="110">
        <v>3091.732</v>
      </c>
      <c r="V404" s="110">
        <v>2373.7449999999999</v>
      </c>
      <c r="W404" s="110">
        <v>1675.674</v>
      </c>
      <c r="X404" s="110">
        <v>1123.558</v>
      </c>
      <c r="Y404" s="110">
        <v>606.70000000000005</v>
      </c>
      <c r="Z404" s="110">
        <v>247.21700000000001</v>
      </c>
      <c r="AA404" s="110">
        <v>68.769000000000005</v>
      </c>
      <c r="AB404" s="110">
        <v>8.0679999999999996</v>
      </c>
      <c r="AC404" s="115">
        <f t="shared" si="15"/>
        <v>53718.750999999997</v>
      </c>
      <c r="AD404">
        <f t="shared" si="16"/>
        <v>1.0153211785801712</v>
      </c>
    </row>
    <row r="405" spans="1:30" x14ac:dyDescent="0.25">
      <c r="A405" s="104" t="str">
        <f t="shared" si="12"/>
        <v>Tanzania2074</v>
      </c>
      <c r="C405" s="107" t="s">
        <v>257</v>
      </c>
      <c r="D405" s="108" t="s">
        <v>152</v>
      </c>
      <c r="F405" s="109">
        <v>834</v>
      </c>
      <c r="G405" s="109">
        <v>2074</v>
      </c>
      <c r="H405" s="110">
        <v>10932.352999999999</v>
      </c>
      <c r="I405" s="110">
        <v>10523.444</v>
      </c>
      <c r="J405" s="110">
        <v>10071.206</v>
      </c>
      <c r="K405" s="110">
        <v>9572.7790000000005</v>
      </c>
      <c r="L405" s="110">
        <v>9015.6869999999999</v>
      </c>
      <c r="M405" s="110">
        <v>8446.5429999999997</v>
      </c>
      <c r="N405" s="110">
        <v>7858.5339999999997</v>
      </c>
      <c r="O405" s="110">
        <v>7225.6790000000001</v>
      </c>
      <c r="P405" s="110">
        <v>6551.5829999999996</v>
      </c>
      <c r="Q405" s="110">
        <v>5849.1270000000004</v>
      </c>
      <c r="R405" s="110">
        <v>5169.1970000000001</v>
      </c>
      <c r="S405" s="110">
        <v>4538.0730000000003</v>
      </c>
      <c r="T405" s="110">
        <v>3907.7489999999998</v>
      </c>
      <c r="U405" s="110">
        <v>3192.3850000000002</v>
      </c>
      <c r="V405" s="110">
        <v>2487.2370000000001</v>
      </c>
      <c r="W405" s="110">
        <v>1738.3420000000001</v>
      </c>
      <c r="X405" s="110">
        <v>1170.5129999999999</v>
      </c>
      <c r="Y405" s="110">
        <v>633.54700000000003</v>
      </c>
      <c r="Z405" s="110">
        <v>257.197</v>
      </c>
      <c r="AA405" s="110">
        <v>71.802999999999997</v>
      </c>
      <c r="AB405" s="110">
        <v>8.8409999999999993</v>
      </c>
      <c r="AC405" s="115">
        <f t="shared" si="15"/>
        <v>54519.931999999993</v>
      </c>
      <c r="AD405">
        <f t="shared" si="16"/>
        <v>1.0149143638875744</v>
      </c>
    </row>
    <row r="406" spans="1:30" x14ac:dyDescent="0.25">
      <c r="A406" s="104" t="str">
        <f t="shared" si="12"/>
        <v>Tanzania2075</v>
      </c>
      <c r="C406" s="107" t="s">
        <v>257</v>
      </c>
      <c r="D406" s="108" t="s">
        <v>152</v>
      </c>
      <c r="F406" s="109">
        <v>834</v>
      </c>
      <c r="G406" s="109">
        <v>2075</v>
      </c>
      <c r="H406" s="110">
        <v>10994.982</v>
      </c>
      <c r="I406" s="110">
        <v>10599.556</v>
      </c>
      <c r="J406" s="110">
        <v>10158.699000000001</v>
      </c>
      <c r="K406" s="110">
        <v>9670.9210000000003</v>
      </c>
      <c r="L406" s="110">
        <v>9118.27</v>
      </c>
      <c r="M406" s="110">
        <v>8550.1689999999999</v>
      </c>
      <c r="N406" s="110">
        <v>7968.9650000000001</v>
      </c>
      <c r="O406" s="110">
        <v>7345.2929999999997</v>
      </c>
      <c r="P406" s="110">
        <v>6678.7790000000005</v>
      </c>
      <c r="Q406" s="110">
        <v>5976.6270000000004</v>
      </c>
      <c r="R406" s="110">
        <v>5286.4350000000004</v>
      </c>
      <c r="S406" s="110">
        <v>4642.6030000000001</v>
      </c>
      <c r="T406" s="110">
        <v>4021.453</v>
      </c>
      <c r="U406" s="110">
        <v>3301.1770000000001</v>
      </c>
      <c r="V406" s="110">
        <v>2597.6</v>
      </c>
      <c r="W406" s="110">
        <v>1818.0719999999999</v>
      </c>
      <c r="X406" s="110">
        <v>1219.1679999999999</v>
      </c>
      <c r="Y406" s="110">
        <v>663.83199999999999</v>
      </c>
      <c r="Z406" s="110">
        <v>267.19600000000003</v>
      </c>
      <c r="AA406" s="110">
        <v>68.760999999999996</v>
      </c>
      <c r="AB406" s="110">
        <v>9.6890000000000001</v>
      </c>
      <c r="AC406" s="115">
        <f t="shared" si="15"/>
        <v>55309.023999999998</v>
      </c>
      <c r="AD406">
        <f t="shared" si="16"/>
        <v>1.0144734589911082</v>
      </c>
    </row>
    <row r="407" spans="1:30" x14ac:dyDescent="0.25">
      <c r="A407" s="104" t="str">
        <f t="shared" si="12"/>
        <v>Tanzania2076</v>
      </c>
      <c r="C407" s="107" t="s">
        <v>257</v>
      </c>
      <c r="D407" s="108" t="s">
        <v>152</v>
      </c>
      <c r="F407" s="109">
        <v>834</v>
      </c>
      <c r="G407" s="109">
        <v>2076</v>
      </c>
      <c r="H407" s="110">
        <v>11062.857</v>
      </c>
      <c r="I407" s="110">
        <v>10680.84</v>
      </c>
      <c r="J407" s="110">
        <v>10248.18</v>
      </c>
      <c r="K407" s="110">
        <v>9768.7090000000007</v>
      </c>
      <c r="L407" s="110">
        <v>9224.4060000000009</v>
      </c>
      <c r="M407" s="110">
        <v>8657.6170000000002</v>
      </c>
      <c r="N407" s="110">
        <v>8081.3360000000002</v>
      </c>
      <c r="O407" s="110">
        <v>7465.7709999999997</v>
      </c>
      <c r="P407" s="110">
        <v>6806.1729999999998</v>
      </c>
      <c r="Q407" s="110">
        <v>6105.2569999999996</v>
      </c>
      <c r="R407" s="110">
        <v>5405.482</v>
      </c>
      <c r="S407" s="110">
        <v>4747.4679999999998</v>
      </c>
      <c r="T407" s="110">
        <v>4123.4250000000002</v>
      </c>
      <c r="U407" s="110">
        <v>3403.1909999999998</v>
      </c>
      <c r="V407" s="110">
        <v>2687.4250000000002</v>
      </c>
      <c r="W407" s="110">
        <v>1892.902</v>
      </c>
      <c r="X407" s="110">
        <v>1254.971</v>
      </c>
      <c r="Y407" s="110">
        <v>698.38300000000004</v>
      </c>
      <c r="Z407" s="110">
        <v>292.25599999999997</v>
      </c>
      <c r="AA407" s="110">
        <v>76.635999999999996</v>
      </c>
      <c r="AB407" s="110">
        <v>10.621</v>
      </c>
      <c r="AC407" s="115">
        <f t="shared" si="15"/>
        <v>56109.269000000008</v>
      </c>
      <c r="AD407">
        <f t="shared" si="16"/>
        <v>1.014468615464992</v>
      </c>
    </row>
    <row r="408" spans="1:30" x14ac:dyDescent="0.25">
      <c r="A408" s="104" t="str">
        <f t="shared" si="12"/>
        <v>Tanzania2077</v>
      </c>
      <c r="C408" s="107" t="s">
        <v>257</v>
      </c>
      <c r="D408" s="108" t="s">
        <v>152</v>
      </c>
      <c r="F408" s="109">
        <v>834</v>
      </c>
      <c r="G408" s="109">
        <v>2077</v>
      </c>
      <c r="H408" s="110">
        <v>11126.297</v>
      </c>
      <c r="I408" s="110">
        <v>10757.88</v>
      </c>
      <c r="J408" s="110">
        <v>10335.965</v>
      </c>
      <c r="K408" s="110">
        <v>9863.2909999999993</v>
      </c>
      <c r="L408" s="110">
        <v>9329.6290000000008</v>
      </c>
      <c r="M408" s="110">
        <v>8763.6149999999998</v>
      </c>
      <c r="N408" s="110">
        <v>8190.9129999999996</v>
      </c>
      <c r="O408" s="110">
        <v>7584.4290000000001</v>
      </c>
      <c r="P408" s="110">
        <v>6931.6769999999997</v>
      </c>
      <c r="Q408" s="110">
        <v>6234.8980000000001</v>
      </c>
      <c r="R408" s="110">
        <v>5527.5249999999996</v>
      </c>
      <c r="S408" s="110">
        <v>4855.9279999999999</v>
      </c>
      <c r="T408" s="110">
        <v>4223.3130000000001</v>
      </c>
      <c r="U408" s="110">
        <v>3513.7080000000001</v>
      </c>
      <c r="V408" s="110">
        <v>2776.123</v>
      </c>
      <c r="W408" s="110">
        <v>1982.8340000000001</v>
      </c>
      <c r="X408" s="110">
        <v>1290.326</v>
      </c>
      <c r="Y408" s="110">
        <v>731.39300000000003</v>
      </c>
      <c r="Z408" s="110">
        <v>309.30200000000002</v>
      </c>
      <c r="AA408" s="110">
        <v>87.45</v>
      </c>
      <c r="AB408" s="110">
        <v>11.632</v>
      </c>
      <c r="AC408" s="115">
        <f t="shared" si="15"/>
        <v>56898.45199999999</v>
      </c>
      <c r="AD408">
        <f t="shared" si="16"/>
        <v>1.0140651092781121</v>
      </c>
    </row>
    <row r="409" spans="1:30" x14ac:dyDescent="0.25">
      <c r="A409" s="104" t="str">
        <f t="shared" ref="A409:A472" si="17">D409&amp;G409</f>
        <v>Tanzania2078</v>
      </c>
      <c r="C409" s="107" t="s">
        <v>257</v>
      </c>
      <c r="D409" s="108" t="s">
        <v>152</v>
      </c>
      <c r="F409" s="109">
        <v>834</v>
      </c>
      <c r="G409" s="109">
        <v>2078</v>
      </c>
      <c r="H409" s="110">
        <v>11185.974</v>
      </c>
      <c r="I409" s="110">
        <v>10829.977999999999</v>
      </c>
      <c r="J409" s="110">
        <v>10421.583000000001</v>
      </c>
      <c r="K409" s="110">
        <v>9955.15</v>
      </c>
      <c r="L409" s="110">
        <v>9433.1360000000004</v>
      </c>
      <c r="M409" s="110">
        <v>8868.2180000000008</v>
      </c>
      <c r="N409" s="110">
        <v>8297.91</v>
      </c>
      <c r="O409" s="110">
        <v>7700.9960000000001</v>
      </c>
      <c r="P409" s="110">
        <v>7055.0919999999996</v>
      </c>
      <c r="Q409" s="110">
        <v>6364.78</v>
      </c>
      <c r="R409" s="110">
        <v>5652.0039999999999</v>
      </c>
      <c r="S409" s="110">
        <v>4967.4719999999998</v>
      </c>
      <c r="T409" s="110">
        <v>4322.7759999999998</v>
      </c>
      <c r="U409" s="110">
        <v>3629.451</v>
      </c>
      <c r="V409" s="110">
        <v>2866.8789999999999</v>
      </c>
      <c r="W409" s="110">
        <v>2083.0590000000002</v>
      </c>
      <c r="X409" s="110">
        <v>1331.3620000000001</v>
      </c>
      <c r="Y409" s="110">
        <v>761.96799999999996</v>
      </c>
      <c r="Z409" s="110">
        <v>323.34300000000002</v>
      </c>
      <c r="AA409" s="110">
        <v>96.454999999999998</v>
      </c>
      <c r="AB409" s="110">
        <v>12.72</v>
      </c>
      <c r="AC409" s="115">
        <f t="shared" si="15"/>
        <v>57675.281999999999</v>
      </c>
      <c r="AD409">
        <f t="shared" si="16"/>
        <v>1.0136529197666047</v>
      </c>
    </row>
    <row r="410" spans="1:30" x14ac:dyDescent="0.25">
      <c r="A410" s="104" t="str">
        <f t="shared" si="17"/>
        <v>Tanzania2079</v>
      </c>
      <c r="C410" s="107" t="s">
        <v>257</v>
      </c>
      <c r="D410" s="108" t="s">
        <v>152</v>
      </c>
      <c r="F410" s="109">
        <v>834</v>
      </c>
      <c r="G410" s="109">
        <v>2079</v>
      </c>
      <c r="H410" s="110">
        <v>11242.189</v>
      </c>
      <c r="I410" s="110">
        <v>10896.975</v>
      </c>
      <c r="J410" s="110">
        <v>10504.013000000001</v>
      </c>
      <c r="K410" s="110">
        <v>10044.99</v>
      </c>
      <c r="L410" s="110">
        <v>9533.8320000000003</v>
      </c>
      <c r="M410" s="110">
        <v>8971.5439999999999</v>
      </c>
      <c r="N410" s="110">
        <v>8402.9259999999995</v>
      </c>
      <c r="O410" s="110">
        <v>7814.9949999999999</v>
      </c>
      <c r="P410" s="110">
        <v>7176.5249999999996</v>
      </c>
      <c r="Q410" s="110">
        <v>6493.8429999999998</v>
      </c>
      <c r="R410" s="110">
        <v>5778.1310000000003</v>
      </c>
      <c r="S410" s="110">
        <v>5081.7039999999997</v>
      </c>
      <c r="T410" s="110">
        <v>4424.6779999999999</v>
      </c>
      <c r="U410" s="110">
        <v>3745.569</v>
      </c>
      <c r="V410" s="110">
        <v>2964.598</v>
      </c>
      <c r="W410" s="110">
        <v>2186.4520000000002</v>
      </c>
      <c r="X410" s="110">
        <v>1384.9010000000001</v>
      </c>
      <c r="Y410" s="110">
        <v>793.05700000000002</v>
      </c>
      <c r="Z410" s="110">
        <v>334.94799999999998</v>
      </c>
      <c r="AA410" s="110">
        <v>100.154</v>
      </c>
      <c r="AB410" s="110">
        <v>13.882</v>
      </c>
      <c r="AC410" s="115">
        <f t="shared" ref="AC410:AC473" si="18">SUM(K410:Q410)</f>
        <v>58438.655000000006</v>
      </c>
      <c r="AD410">
        <f t="shared" ref="AD410:AD473" si="19">IF(D410=D409,AC410/AC409,"")</f>
        <v>1.0132357046819469</v>
      </c>
    </row>
    <row r="411" spans="1:30" x14ac:dyDescent="0.25">
      <c r="A411" s="104" t="str">
        <f t="shared" si="17"/>
        <v>Tanzania2080</v>
      </c>
      <c r="C411" s="107" t="s">
        <v>257</v>
      </c>
      <c r="D411" s="108" t="s">
        <v>152</v>
      </c>
      <c r="F411" s="109">
        <v>834</v>
      </c>
      <c r="G411" s="109">
        <v>2080</v>
      </c>
      <c r="H411" s="110">
        <v>11295.392</v>
      </c>
      <c r="I411" s="110">
        <v>10959.022999999999</v>
      </c>
      <c r="J411" s="110">
        <v>10582.018</v>
      </c>
      <c r="K411" s="110">
        <v>10133.028</v>
      </c>
      <c r="L411" s="110">
        <v>9631.1049999999996</v>
      </c>
      <c r="M411" s="110">
        <v>9073.5840000000007</v>
      </c>
      <c r="N411" s="110">
        <v>8506.3670000000002</v>
      </c>
      <c r="O411" s="110">
        <v>7925.9539999999997</v>
      </c>
      <c r="P411" s="110">
        <v>7296.01</v>
      </c>
      <c r="Q411" s="110">
        <v>6621.1880000000001</v>
      </c>
      <c r="R411" s="110">
        <v>5905.21</v>
      </c>
      <c r="S411" s="110">
        <v>5198.4650000000001</v>
      </c>
      <c r="T411" s="110">
        <v>4530.5060000000003</v>
      </c>
      <c r="U411" s="110">
        <v>3859.08</v>
      </c>
      <c r="V411" s="110">
        <v>3071.672</v>
      </c>
      <c r="W411" s="110">
        <v>2289.0929999999998</v>
      </c>
      <c r="X411" s="110">
        <v>1454.0329999999999</v>
      </c>
      <c r="Y411" s="110">
        <v>825.64599999999996</v>
      </c>
      <c r="Z411" s="110">
        <v>347.56900000000002</v>
      </c>
      <c r="AA411" s="110">
        <v>96.319000000000003</v>
      </c>
      <c r="AB411" s="110">
        <v>15.114000000000001</v>
      </c>
      <c r="AC411" s="115">
        <f t="shared" si="18"/>
        <v>59187.236000000004</v>
      </c>
      <c r="AD411">
        <f t="shared" si="19"/>
        <v>1.0128096890662523</v>
      </c>
    </row>
    <row r="412" spans="1:30" x14ac:dyDescent="0.25">
      <c r="A412" s="104" t="str">
        <f t="shared" si="17"/>
        <v>Tanzania2081</v>
      </c>
      <c r="C412" s="107" t="s">
        <v>257</v>
      </c>
      <c r="D412" s="108" t="s">
        <v>152</v>
      </c>
      <c r="F412" s="109">
        <v>834</v>
      </c>
      <c r="G412" s="109">
        <v>2081</v>
      </c>
      <c r="H412" s="110">
        <v>11354.816999999999</v>
      </c>
      <c r="I412" s="110">
        <v>11027.575000000001</v>
      </c>
      <c r="J412" s="110">
        <v>10661.037</v>
      </c>
      <c r="K412" s="110">
        <v>10222.785</v>
      </c>
      <c r="L412" s="110">
        <v>9730.2350000000006</v>
      </c>
      <c r="M412" s="110">
        <v>9180.4050000000007</v>
      </c>
      <c r="N412" s="110">
        <v>8613.9680000000008</v>
      </c>
      <c r="O412" s="110">
        <v>8037.7359999999999</v>
      </c>
      <c r="P412" s="110">
        <v>7416.3549999999996</v>
      </c>
      <c r="Q412" s="110">
        <v>6747.6869999999999</v>
      </c>
      <c r="R412" s="110">
        <v>6032.9139999999998</v>
      </c>
      <c r="S412" s="110">
        <v>5315.8509999999997</v>
      </c>
      <c r="T412" s="110">
        <v>4631.34</v>
      </c>
      <c r="U412" s="110">
        <v>3955.5909999999999</v>
      </c>
      <c r="V412" s="110">
        <v>3165.9119999999998</v>
      </c>
      <c r="W412" s="110">
        <v>2367.2930000000001</v>
      </c>
      <c r="X412" s="110">
        <v>1518.4680000000001</v>
      </c>
      <c r="Y412" s="110">
        <v>858.94399999999996</v>
      </c>
      <c r="Z412" s="110">
        <v>377.83199999999999</v>
      </c>
      <c r="AA412" s="110">
        <v>105.828</v>
      </c>
      <c r="AB412" s="110">
        <v>16.428999999999998</v>
      </c>
      <c r="AC412" s="115">
        <f t="shared" si="18"/>
        <v>59949.170999999995</v>
      </c>
      <c r="AD412">
        <f t="shared" si="19"/>
        <v>1.0128732992363418</v>
      </c>
    </row>
    <row r="413" spans="1:30" x14ac:dyDescent="0.25">
      <c r="A413" s="104" t="str">
        <f t="shared" si="17"/>
        <v>Tanzania2082</v>
      </c>
      <c r="C413" s="107" t="s">
        <v>257</v>
      </c>
      <c r="D413" s="108" t="s">
        <v>152</v>
      </c>
      <c r="F413" s="109">
        <v>834</v>
      </c>
      <c r="G413" s="109">
        <v>2082</v>
      </c>
      <c r="H413" s="110">
        <v>11409.715</v>
      </c>
      <c r="I413" s="110">
        <v>11092.449000000001</v>
      </c>
      <c r="J413" s="110">
        <v>10736.647999999999</v>
      </c>
      <c r="K413" s="110">
        <v>10310.700999999999</v>
      </c>
      <c r="L413" s="110">
        <v>9825.6910000000007</v>
      </c>
      <c r="M413" s="110">
        <v>9286.152</v>
      </c>
      <c r="N413" s="110">
        <v>8720.2839999999997</v>
      </c>
      <c r="O413" s="110">
        <v>8147.0060000000003</v>
      </c>
      <c r="P413" s="110">
        <v>7535.0590000000002</v>
      </c>
      <c r="Q413" s="110">
        <v>6872.5860000000002</v>
      </c>
      <c r="R413" s="110">
        <v>6161.902</v>
      </c>
      <c r="S413" s="110">
        <v>5436.982</v>
      </c>
      <c r="T413" s="110">
        <v>4737.2150000000001</v>
      </c>
      <c r="U413" s="110">
        <v>4051.924</v>
      </c>
      <c r="V413" s="110">
        <v>3269.7759999999998</v>
      </c>
      <c r="W413" s="110">
        <v>2446.0920000000001</v>
      </c>
      <c r="X413" s="110">
        <v>1593.6120000000001</v>
      </c>
      <c r="Y413" s="110">
        <v>887.67899999999997</v>
      </c>
      <c r="Z413" s="110">
        <v>398.90300000000002</v>
      </c>
      <c r="AA413" s="110">
        <v>118.904</v>
      </c>
      <c r="AB413" s="110">
        <v>17.82</v>
      </c>
      <c r="AC413" s="115">
        <f t="shared" si="18"/>
        <v>60697.479000000007</v>
      </c>
      <c r="AD413">
        <f t="shared" si="19"/>
        <v>1.0124823744435101</v>
      </c>
    </row>
    <row r="414" spans="1:30" x14ac:dyDescent="0.25">
      <c r="A414" s="104" t="str">
        <f t="shared" si="17"/>
        <v>Tanzania2083</v>
      </c>
      <c r="C414" s="107" t="s">
        <v>257</v>
      </c>
      <c r="D414" s="108" t="s">
        <v>152</v>
      </c>
      <c r="F414" s="109">
        <v>834</v>
      </c>
      <c r="G414" s="109">
        <v>2083</v>
      </c>
      <c r="H414" s="110">
        <v>11460.584999999999</v>
      </c>
      <c r="I414" s="110">
        <v>11153.103999999999</v>
      </c>
      <c r="J414" s="110">
        <v>10808.832</v>
      </c>
      <c r="K414" s="110">
        <v>10396.335999999999</v>
      </c>
      <c r="L414" s="110">
        <v>9917.8019999999997</v>
      </c>
      <c r="M414" s="110">
        <v>9389.9989999999998</v>
      </c>
      <c r="N414" s="110">
        <v>8825.1919999999991</v>
      </c>
      <c r="O414" s="110">
        <v>8254.1650000000009</v>
      </c>
      <c r="P414" s="110">
        <v>7651.6260000000002</v>
      </c>
      <c r="Q414" s="110">
        <v>6995.8360000000002</v>
      </c>
      <c r="R414" s="110">
        <v>6291.3249999999998</v>
      </c>
      <c r="S414" s="110">
        <v>5560.8029999999999</v>
      </c>
      <c r="T414" s="110">
        <v>4847.7700000000004</v>
      </c>
      <c r="U414" s="110">
        <v>4149.5690000000004</v>
      </c>
      <c r="V414" s="110">
        <v>3380.17</v>
      </c>
      <c r="W414" s="110">
        <v>2529.2449999999999</v>
      </c>
      <c r="X414" s="110">
        <v>1676.742</v>
      </c>
      <c r="Y414" s="110">
        <v>915.86900000000003</v>
      </c>
      <c r="Z414" s="110">
        <v>416.08199999999999</v>
      </c>
      <c r="AA414" s="110">
        <v>129.85</v>
      </c>
      <c r="AB414" s="110">
        <v>19.282</v>
      </c>
      <c r="AC414" s="115">
        <f t="shared" si="18"/>
        <v>61430.955999999998</v>
      </c>
      <c r="AD414">
        <f t="shared" si="19"/>
        <v>1.0120841427368013</v>
      </c>
    </row>
    <row r="415" spans="1:30" x14ac:dyDescent="0.25">
      <c r="A415" s="104" t="str">
        <f t="shared" si="17"/>
        <v>Tanzania2084</v>
      </c>
      <c r="C415" s="107" t="s">
        <v>257</v>
      </c>
      <c r="D415" s="108" t="s">
        <v>152</v>
      </c>
      <c r="F415" s="109">
        <v>834</v>
      </c>
      <c r="G415" s="109">
        <v>2084</v>
      </c>
      <c r="H415" s="110">
        <v>11508.218999999999</v>
      </c>
      <c r="I415" s="110">
        <v>11209.208000000001</v>
      </c>
      <c r="J415" s="110">
        <v>10877.432000000001</v>
      </c>
      <c r="K415" s="110">
        <v>10478.773999999999</v>
      </c>
      <c r="L415" s="110">
        <v>10007.286</v>
      </c>
      <c r="M415" s="110">
        <v>9490.7440000000006</v>
      </c>
      <c r="N415" s="110">
        <v>8928.6710000000003</v>
      </c>
      <c r="O415" s="110">
        <v>8359.7240000000002</v>
      </c>
      <c r="P415" s="110">
        <v>7765.5330000000004</v>
      </c>
      <c r="Q415" s="110">
        <v>7117.4790000000003</v>
      </c>
      <c r="R415" s="110">
        <v>6420.0330000000004</v>
      </c>
      <c r="S415" s="110">
        <v>5686.3450000000003</v>
      </c>
      <c r="T415" s="110">
        <v>4962.4530000000004</v>
      </c>
      <c r="U415" s="110">
        <v>4251.1459999999997</v>
      </c>
      <c r="V415" s="110">
        <v>3492.6959999999999</v>
      </c>
      <c r="W415" s="110">
        <v>2621.2579999999998</v>
      </c>
      <c r="X415" s="110">
        <v>1763.0450000000001</v>
      </c>
      <c r="Y415" s="110">
        <v>952.495</v>
      </c>
      <c r="Z415" s="110">
        <v>430.03100000000001</v>
      </c>
      <c r="AA415" s="110">
        <v>134.441</v>
      </c>
      <c r="AB415" s="110">
        <v>20.809000000000001</v>
      </c>
      <c r="AC415" s="115">
        <f t="shared" si="18"/>
        <v>62148.211000000003</v>
      </c>
      <c r="AD415">
        <f t="shared" si="19"/>
        <v>1.0116757909481338</v>
      </c>
    </row>
    <row r="416" spans="1:30" x14ac:dyDescent="0.25">
      <c r="A416" s="104" t="str">
        <f t="shared" si="17"/>
        <v>Tanzania2085</v>
      </c>
      <c r="C416" s="107" t="s">
        <v>257</v>
      </c>
      <c r="D416" s="108" t="s">
        <v>152</v>
      </c>
      <c r="F416" s="109">
        <v>834</v>
      </c>
      <c r="G416" s="109">
        <v>2085</v>
      </c>
      <c r="H416" s="110">
        <v>11553.44</v>
      </c>
      <c r="I416" s="110">
        <v>11260.556</v>
      </c>
      <c r="J416" s="110">
        <v>10941.93</v>
      </c>
      <c r="K416" s="110">
        <v>10557.251</v>
      </c>
      <c r="L416" s="110">
        <v>10094.612999999999</v>
      </c>
      <c r="M416" s="110">
        <v>9587.5939999999991</v>
      </c>
      <c r="N416" s="110">
        <v>9030.6299999999992</v>
      </c>
      <c r="O416" s="110">
        <v>8463.8050000000003</v>
      </c>
      <c r="P416" s="110">
        <v>7876.4859999999999</v>
      </c>
      <c r="Q416" s="110">
        <v>7237.3209999999999</v>
      </c>
      <c r="R416" s="110">
        <v>6547.1350000000002</v>
      </c>
      <c r="S416" s="110">
        <v>5812.9889999999996</v>
      </c>
      <c r="T416" s="110">
        <v>5080.5640000000003</v>
      </c>
      <c r="U416" s="110">
        <v>4358.0410000000002</v>
      </c>
      <c r="V416" s="110">
        <v>3604.7460000000001</v>
      </c>
      <c r="W416" s="110">
        <v>2723.951</v>
      </c>
      <c r="X416" s="110">
        <v>1850.32</v>
      </c>
      <c r="Y416" s="110">
        <v>1002.0170000000001</v>
      </c>
      <c r="Z416" s="110">
        <v>443.726</v>
      </c>
      <c r="AA416" s="110">
        <v>129.97300000000001</v>
      </c>
      <c r="AB416" s="110">
        <v>22.396000000000001</v>
      </c>
      <c r="AC416" s="115">
        <f t="shared" si="18"/>
        <v>62847.7</v>
      </c>
      <c r="AD416">
        <f t="shared" si="19"/>
        <v>1.0112551751489676</v>
      </c>
    </row>
    <row r="417" spans="1:30" x14ac:dyDescent="0.25">
      <c r="A417" s="104" t="str">
        <f t="shared" si="17"/>
        <v>Tanzania2086</v>
      </c>
      <c r="C417" s="107" t="s">
        <v>257</v>
      </c>
      <c r="D417" s="108" t="s">
        <v>152</v>
      </c>
      <c r="F417" s="109">
        <v>834</v>
      </c>
      <c r="G417" s="109">
        <v>2086</v>
      </c>
      <c r="H417" s="110">
        <v>11606.68</v>
      </c>
      <c r="I417" s="110">
        <v>11319.429</v>
      </c>
      <c r="J417" s="110">
        <v>11008.703</v>
      </c>
      <c r="K417" s="110">
        <v>10636.569</v>
      </c>
      <c r="L417" s="110">
        <v>10185.727000000001</v>
      </c>
      <c r="M417" s="110">
        <v>9687.4719999999998</v>
      </c>
      <c r="N417" s="110">
        <v>9137.6790000000001</v>
      </c>
      <c r="O417" s="110">
        <v>8570.9240000000009</v>
      </c>
      <c r="P417" s="110">
        <v>7988.2719999999999</v>
      </c>
      <c r="Q417" s="110">
        <v>7356.9229999999998</v>
      </c>
      <c r="R417" s="110">
        <v>6672.88</v>
      </c>
      <c r="S417" s="110">
        <v>5939.0450000000001</v>
      </c>
      <c r="T417" s="110">
        <v>5193.6000000000004</v>
      </c>
      <c r="U417" s="110">
        <v>4453.7790000000005</v>
      </c>
      <c r="V417" s="110">
        <v>3693.42</v>
      </c>
      <c r="W417" s="110">
        <v>2807.442</v>
      </c>
      <c r="X417" s="110">
        <v>1916.02</v>
      </c>
      <c r="Y417" s="110">
        <v>1058.6559999999999</v>
      </c>
      <c r="Z417" s="110">
        <v>475.24400000000003</v>
      </c>
      <c r="AA417" s="110">
        <v>142.00899999999999</v>
      </c>
      <c r="AB417" s="110">
        <v>24.056999999999999</v>
      </c>
      <c r="AC417" s="115">
        <f t="shared" si="18"/>
        <v>63563.565999999999</v>
      </c>
      <c r="AD417">
        <f t="shared" si="19"/>
        <v>1.0113904884347398</v>
      </c>
    </row>
    <row r="418" spans="1:30" x14ac:dyDescent="0.25">
      <c r="A418" s="104" t="str">
        <f t="shared" si="17"/>
        <v>Tanzania2087</v>
      </c>
      <c r="C418" s="107" t="s">
        <v>257</v>
      </c>
      <c r="D418" s="108" t="s">
        <v>152</v>
      </c>
      <c r="F418" s="109">
        <v>834</v>
      </c>
      <c r="G418" s="109">
        <v>2087</v>
      </c>
      <c r="H418" s="110">
        <v>11655.294</v>
      </c>
      <c r="I418" s="110">
        <v>11375.364</v>
      </c>
      <c r="J418" s="110">
        <v>11072.402</v>
      </c>
      <c r="K418" s="110">
        <v>10712.271000000001</v>
      </c>
      <c r="L418" s="110">
        <v>10274.516</v>
      </c>
      <c r="M418" s="110">
        <v>9783.4959999999992</v>
      </c>
      <c r="N418" s="110">
        <v>9243.7690000000002</v>
      </c>
      <c r="O418" s="110">
        <v>8676.9969999999994</v>
      </c>
      <c r="P418" s="110">
        <v>8097.6970000000001</v>
      </c>
      <c r="Q418" s="110">
        <v>7475.1509999999998</v>
      </c>
      <c r="R418" s="110">
        <v>6797.308</v>
      </c>
      <c r="S418" s="110">
        <v>6067.223</v>
      </c>
      <c r="T418" s="110">
        <v>5311.9849999999997</v>
      </c>
      <c r="U418" s="110">
        <v>4556.2</v>
      </c>
      <c r="V418" s="110">
        <v>3784.14</v>
      </c>
      <c r="W418" s="110">
        <v>2900.8130000000001</v>
      </c>
      <c r="X418" s="110">
        <v>1981.8530000000001</v>
      </c>
      <c r="Y418" s="110">
        <v>1116.943</v>
      </c>
      <c r="Z418" s="110">
        <v>494.642</v>
      </c>
      <c r="AA418" s="110">
        <v>158.33000000000001</v>
      </c>
      <c r="AB418" s="110">
        <v>25.785</v>
      </c>
      <c r="AC418" s="115">
        <f t="shared" si="18"/>
        <v>64263.896999999997</v>
      </c>
      <c r="AD418">
        <f t="shared" si="19"/>
        <v>1.0110178053887033</v>
      </c>
    </row>
    <row r="419" spans="1:30" x14ac:dyDescent="0.25">
      <c r="A419" s="104" t="str">
        <f t="shared" si="17"/>
        <v>Tanzania2088</v>
      </c>
      <c r="C419" s="107" t="s">
        <v>257</v>
      </c>
      <c r="D419" s="108" t="s">
        <v>152</v>
      </c>
      <c r="F419" s="109">
        <v>834</v>
      </c>
      <c r="G419" s="109">
        <v>2088</v>
      </c>
      <c r="H419" s="110">
        <v>11699.468000000001</v>
      </c>
      <c r="I419" s="110">
        <v>11427.804</v>
      </c>
      <c r="J419" s="110">
        <v>11132.984</v>
      </c>
      <c r="K419" s="110">
        <v>10784.445</v>
      </c>
      <c r="L419" s="110">
        <v>10360.375</v>
      </c>
      <c r="M419" s="110">
        <v>9875.9560000000001</v>
      </c>
      <c r="N419" s="110">
        <v>9347.8850000000002</v>
      </c>
      <c r="O419" s="110">
        <v>8782.0789999999997</v>
      </c>
      <c r="P419" s="110">
        <v>8204.9269999999997</v>
      </c>
      <c r="Q419" s="110">
        <v>7591.65</v>
      </c>
      <c r="R419" s="110">
        <v>6920.2690000000002</v>
      </c>
      <c r="S419" s="110">
        <v>6196.1130000000003</v>
      </c>
      <c r="T419" s="110">
        <v>5434.799</v>
      </c>
      <c r="U419" s="110">
        <v>4664.7730000000001</v>
      </c>
      <c r="V419" s="110">
        <v>3878.3440000000001</v>
      </c>
      <c r="W419" s="110">
        <v>3002.0720000000001</v>
      </c>
      <c r="X419" s="110">
        <v>2052.6950000000002</v>
      </c>
      <c r="Y419" s="110">
        <v>1174.162</v>
      </c>
      <c r="Z419" s="110">
        <v>511.40800000000002</v>
      </c>
      <c r="AA419" s="110">
        <v>171.73</v>
      </c>
      <c r="AB419" s="110">
        <v>27.594000000000001</v>
      </c>
      <c r="AC419" s="115">
        <f t="shared" si="18"/>
        <v>64947.317000000003</v>
      </c>
      <c r="AD419">
        <f t="shared" si="19"/>
        <v>1.0106345869438949</v>
      </c>
    </row>
    <row r="420" spans="1:30" x14ac:dyDescent="0.25">
      <c r="A420" s="104" t="str">
        <f t="shared" si="17"/>
        <v>Tanzania2089</v>
      </c>
      <c r="C420" s="107" t="s">
        <v>257</v>
      </c>
      <c r="D420" s="108" t="s">
        <v>152</v>
      </c>
      <c r="F420" s="109">
        <v>834</v>
      </c>
      <c r="G420" s="109">
        <v>2089</v>
      </c>
      <c r="H420" s="110">
        <v>11739.197</v>
      </c>
      <c r="I420" s="110">
        <v>11476.147999999999</v>
      </c>
      <c r="J420" s="110">
        <v>11190.331</v>
      </c>
      <c r="K420" s="110">
        <v>10853.117</v>
      </c>
      <c r="L420" s="110">
        <v>10442.458000000001</v>
      </c>
      <c r="M420" s="110">
        <v>9965.5020000000004</v>
      </c>
      <c r="N420" s="110">
        <v>9448.7440000000006</v>
      </c>
      <c r="O420" s="110">
        <v>8886.1010000000006</v>
      </c>
      <c r="P420" s="110">
        <v>8310.4470000000001</v>
      </c>
      <c r="Q420" s="110">
        <v>7705.8670000000002</v>
      </c>
      <c r="R420" s="110">
        <v>7041.7219999999998</v>
      </c>
      <c r="S420" s="110">
        <v>6324.3869999999997</v>
      </c>
      <c r="T420" s="110">
        <v>5560.8950000000004</v>
      </c>
      <c r="U420" s="110">
        <v>4778.951</v>
      </c>
      <c r="V420" s="110">
        <v>3978.4839999999999</v>
      </c>
      <c r="W420" s="110">
        <v>3107.7779999999998</v>
      </c>
      <c r="X420" s="110">
        <v>2132.81</v>
      </c>
      <c r="Y420" s="110">
        <v>1233.905</v>
      </c>
      <c r="Z420" s="110">
        <v>528.10199999999998</v>
      </c>
      <c r="AA420" s="110">
        <v>177.15199999999999</v>
      </c>
      <c r="AB420" s="110">
        <v>29.503</v>
      </c>
      <c r="AC420" s="115">
        <f t="shared" si="18"/>
        <v>65612.236000000004</v>
      </c>
      <c r="AD420">
        <f t="shared" si="19"/>
        <v>1.0102378209095226</v>
      </c>
    </row>
    <row r="421" spans="1:30" x14ac:dyDescent="0.25">
      <c r="A421" s="104" t="str">
        <f t="shared" si="17"/>
        <v>Tanzania2090</v>
      </c>
      <c r="C421" s="107" t="s">
        <v>257</v>
      </c>
      <c r="D421" s="108" t="s">
        <v>152</v>
      </c>
      <c r="F421" s="109">
        <v>834</v>
      </c>
      <c r="G421" s="109">
        <v>2090</v>
      </c>
      <c r="H421" s="110">
        <v>11774.777</v>
      </c>
      <c r="I421" s="110">
        <v>11519.715</v>
      </c>
      <c r="J421" s="110">
        <v>11244.041999999999</v>
      </c>
      <c r="K421" s="110">
        <v>10918.138999999999</v>
      </c>
      <c r="L421" s="110">
        <v>10520.258</v>
      </c>
      <c r="M421" s="110">
        <v>10052.439</v>
      </c>
      <c r="N421" s="110">
        <v>9545.4979999999996</v>
      </c>
      <c r="O421" s="110">
        <v>8988.6990000000005</v>
      </c>
      <c r="P421" s="110">
        <v>8414.5779999999995</v>
      </c>
      <c r="Q421" s="110">
        <v>7817.2889999999998</v>
      </c>
      <c r="R421" s="110">
        <v>7161.4889999999996</v>
      </c>
      <c r="S421" s="110">
        <v>6451.2269999999999</v>
      </c>
      <c r="T421" s="110">
        <v>5689.06</v>
      </c>
      <c r="U421" s="110">
        <v>4898.1589999999997</v>
      </c>
      <c r="V421" s="110">
        <v>4085.78</v>
      </c>
      <c r="W421" s="110">
        <v>3215.7539999999999</v>
      </c>
      <c r="X421" s="110">
        <v>2223.768</v>
      </c>
      <c r="Y421" s="110">
        <v>1295.873</v>
      </c>
      <c r="Z421" s="110">
        <v>551.75099999999998</v>
      </c>
      <c r="AA421" s="110">
        <v>171.65600000000001</v>
      </c>
      <c r="AB421" s="110">
        <v>31.527000000000001</v>
      </c>
      <c r="AC421" s="115">
        <f t="shared" si="18"/>
        <v>66256.899999999994</v>
      </c>
      <c r="AD421">
        <f t="shared" si="19"/>
        <v>1.0098253624522107</v>
      </c>
    </row>
    <row r="422" spans="1:30" x14ac:dyDescent="0.25">
      <c r="A422" s="104" t="str">
        <f t="shared" si="17"/>
        <v>Tanzania2091</v>
      </c>
      <c r="C422" s="107" t="s">
        <v>257</v>
      </c>
      <c r="D422" s="108" t="s">
        <v>152</v>
      </c>
      <c r="F422" s="109">
        <v>834</v>
      </c>
      <c r="G422" s="109">
        <v>2091</v>
      </c>
      <c r="H422" s="110">
        <v>11819.081</v>
      </c>
      <c r="I422" s="110">
        <v>11571.4</v>
      </c>
      <c r="J422" s="110">
        <v>11301.436</v>
      </c>
      <c r="K422" s="110">
        <v>10985.162</v>
      </c>
      <c r="L422" s="110">
        <v>10600.861999999999</v>
      </c>
      <c r="M422" s="110">
        <v>10144.291999999999</v>
      </c>
      <c r="N422" s="110">
        <v>9645.6129999999994</v>
      </c>
      <c r="O422" s="110">
        <v>9095.24</v>
      </c>
      <c r="P422" s="110">
        <v>8521.7279999999992</v>
      </c>
      <c r="Q422" s="110">
        <v>7928.4250000000002</v>
      </c>
      <c r="R422" s="110">
        <v>7280.4750000000004</v>
      </c>
      <c r="S422" s="110">
        <v>6575.4459999999999</v>
      </c>
      <c r="T422" s="110">
        <v>5810.5730000000003</v>
      </c>
      <c r="U422" s="110">
        <v>5005.5739999999996</v>
      </c>
      <c r="V422" s="110">
        <v>4174.1639999999998</v>
      </c>
      <c r="W422" s="110">
        <v>3293.6570000000002</v>
      </c>
      <c r="X422" s="110">
        <v>2295.556</v>
      </c>
      <c r="Y422" s="110">
        <v>1354.009</v>
      </c>
      <c r="Z422" s="110">
        <v>599.73699999999997</v>
      </c>
      <c r="AA422" s="110">
        <v>184.17</v>
      </c>
      <c r="AB422" s="110">
        <v>33.695999999999998</v>
      </c>
      <c r="AC422" s="115">
        <f t="shared" si="18"/>
        <v>66921.322</v>
      </c>
      <c r="AD422">
        <f t="shared" si="19"/>
        <v>1.0100279668985419</v>
      </c>
    </row>
    <row r="423" spans="1:30" x14ac:dyDescent="0.25">
      <c r="A423" s="104" t="str">
        <f t="shared" si="17"/>
        <v>Tanzania2092</v>
      </c>
      <c r="C423" s="107" t="s">
        <v>257</v>
      </c>
      <c r="D423" s="108" t="s">
        <v>152</v>
      </c>
      <c r="F423" s="109">
        <v>834</v>
      </c>
      <c r="G423" s="109">
        <v>2092</v>
      </c>
      <c r="H423" s="110">
        <v>11855.493</v>
      </c>
      <c r="I423" s="110">
        <v>11620.540999999999</v>
      </c>
      <c r="J423" s="110">
        <v>11356.401</v>
      </c>
      <c r="K423" s="110">
        <v>11048.960999999999</v>
      </c>
      <c r="L423" s="110">
        <v>10677.502</v>
      </c>
      <c r="M423" s="110">
        <v>10233.725</v>
      </c>
      <c r="N423" s="110">
        <v>9742.107</v>
      </c>
      <c r="O423" s="110">
        <v>9201.1460000000006</v>
      </c>
      <c r="P423" s="110">
        <v>8628.0630000000001</v>
      </c>
      <c r="Q423" s="110">
        <v>8037.5379999999996</v>
      </c>
      <c r="R423" s="110">
        <v>7398.4489999999996</v>
      </c>
      <c r="S423" s="110">
        <v>6699.32</v>
      </c>
      <c r="T423" s="110">
        <v>5936.058</v>
      </c>
      <c r="U423" s="110">
        <v>5120.29</v>
      </c>
      <c r="V423" s="110">
        <v>4271.0860000000002</v>
      </c>
      <c r="W423" s="110">
        <v>3375.4459999999999</v>
      </c>
      <c r="X423" s="110">
        <v>2374.5929999999998</v>
      </c>
      <c r="Y423" s="110">
        <v>1406.874</v>
      </c>
      <c r="Z423" s="110">
        <v>636.33399999999995</v>
      </c>
      <c r="AA423" s="110">
        <v>201.411</v>
      </c>
      <c r="AB423" s="110">
        <v>35.988</v>
      </c>
      <c r="AC423" s="115">
        <f t="shared" si="18"/>
        <v>67569.042000000001</v>
      </c>
      <c r="AD423">
        <f t="shared" si="19"/>
        <v>1.0096788285204528</v>
      </c>
    </row>
    <row r="424" spans="1:30" x14ac:dyDescent="0.25">
      <c r="A424" s="104" t="str">
        <f t="shared" si="17"/>
        <v>Tanzania2093</v>
      </c>
      <c r="C424" s="107" t="s">
        <v>257</v>
      </c>
      <c r="D424" s="108" t="s">
        <v>152</v>
      </c>
      <c r="F424" s="109">
        <v>834</v>
      </c>
      <c r="G424" s="109">
        <v>2093</v>
      </c>
      <c r="H424" s="110">
        <v>11885.011</v>
      </c>
      <c r="I424" s="110">
        <v>11666.27</v>
      </c>
      <c r="J424" s="110">
        <v>11408.642</v>
      </c>
      <c r="K424" s="110">
        <v>11109.594999999999</v>
      </c>
      <c r="L424" s="110">
        <v>10750.027</v>
      </c>
      <c r="M424" s="110">
        <v>10320.016</v>
      </c>
      <c r="N424" s="110">
        <v>9834.9850000000006</v>
      </c>
      <c r="O424" s="110">
        <v>9305.5069999999996</v>
      </c>
      <c r="P424" s="110">
        <v>8733.3230000000003</v>
      </c>
      <c r="Q424" s="110">
        <v>8144.8649999999998</v>
      </c>
      <c r="R424" s="110">
        <v>7514.8959999999997</v>
      </c>
      <c r="S424" s="110">
        <v>6822.0429999999997</v>
      </c>
      <c r="T424" s="110">
        <v>6064.1760000000004</v>
      </c>
      <c r="U424" s="110">
        <v>5241.1629999999996</v>
      </c>
      <c r="V424" s="110">
        <v>4375.9629999999997</v>
      </c>
      <c r="W424" s="110">
        <v>3463.3049999999998</v>
      </c>
      <c r="X424" s="110">
        <v>2461.165</v>
      </c>
      <c r="Y424" s="110">
        <v>1456.7619999999999</v>
      </c>
      <c r="Z424" s="110">
        <v>669.18799999999999</v>
      </c>
      <c r="AA424" s="110">
        <v>216.53899999999999</v>
      </c>
      <c r="AB424" s="110">
        <v>38.393999999999998</v>
      </c>
      <c r="AC424" s="115">
        <f t="shared" si="18"/>
        <v>68198.317999999999</v>
      </c>
      <c r="AD424">
        <f t="shared" si="19"/>
        <v>1.0093130815736591</v>
      </c>
    </row>
    <row r="425" spans="1:30" x14ac:dyDescent="0.25">
      <c r="A425" s="104" t="str">
        <f t="shared" si="17"/>
        <v>Tanzania2094</v>
      </c>
      <c r="C425" s="107" t="s">
        <v>257</v>
      </c>
      <c r="D425" s="108" t="s">
        <v>152</v>
      </c>
      <c r="F425" s="109">
        <v>834</v>
      </c>
      <c r="G425" s="109">
        <v>2094</v>
      </c>
      <c r="H425" s="110">
        <v>11909.125</v>
      </c>
      <c r="I425" s="110">
        <v>11707.364</v>
      </c>
      <c r="J425" s="110">
        <v>11457.883</v>
      </c>
      <c r="K425" s="110">
        <v>11167.072</v>
      </c>
      <c r="L425" s="110">
        <v>10818.442999999999</v>
      </c>
      <c r="M425" s="110">
        <v>10402.189</v>
      </c>
      <c r="N425" s="110">
        <v>9924.7289999999994</v>
      </c>
      <c r="O425" s="110">
        <v>9406.9369999999999</v>
      </c>
      <c r="P425" s="110">
        <v>8837.3520000000008</v>
      </c>
      <c r="Q425" s="110">
        <v>8250.8080000000009</v>
      </c>
      <c r="R425" s="110">
        <v>7629.12</v>
      </c>
      <c r="S425" s="110">
        <v>6943.3190000000004</v>
      </c>
      <c r="T425" s="110">
        <v>6193.3329999999996</v>
      </c>
      <c r="U425" s="110">
        <v>5366.9459999999999</v>
      </c>
      <c r="V425" s="110">
        <v>4488.4269999999997</v>
      </c>
      <c r="W425" s="110">
        <v>3559.7289999999998</v>
      </c>
      <c r="X425" s="110">
        <v>2553.3539999999998</v>
      </c>
      <c r="Y425" s="110">
        <v>1513.422</v>
      </c>
      <c r="Z425" s="110">
        <v>698.60500000000002</v>
      </c>
      <c r="AA425" s="110">
        <v>224.05099999999999</v>
      </c>
      <c r="AB425" s="110">
        <v>40.905999999999999</v>
      </c>
      <c r="AC425" s="115">
        <f t="shared" si="18"/>
        <v>68807.53</v>
      </c>
      <c r="AD425">
        <f t="shared" si="19"/>
        <v>1.0089329475838393</v>
      </c>
    </row>
    <row r="426" spans="1:30" x14ac:dyDescent="0.25">
      <c r="A426" s="104" t="str">
        <f t="shared" si="17"/>
        <v>Tanzania2095</v>
      </c>
      <c r="C426" s="107" t="s">
        <v>257</v>
      </c>
      <c r="D426" s="108" t="s">
        <v>152</v>
      </c>
      <c r="F426" s="109">
        <v>834</v>
      </c>
      <c r="G426" s="109">
        <v>2095</v>
      </c>
      <c r="H426" s="110">
        <v>11929.412</v>
      </c>
      <c r="I426" s="110">
        <v>11742.335999999999</v>
      </c>
      <c r="J426" s="110">
        <v>11503.764999999999</v>
      </c>
      <c r="K426" s="110">
        <v>11221.263999999999</v>
      </c>
      <c r="L426" s="110">
        <v>10882.83</v>
      </c>
      <c r="M426" s="110">
        <v>10479.602999999999</v>
      </c>
      <c r="N426" s="110">
        <v>10011.588</v>
      </c>
      <c r="O426" s="110">
        <v>9504.3269999999993</v>
      </c>
      <c r="P426" s="110">
        <v>8939.9879999999994</v>
      </c>
      <c r="Q426" s="110">
        <v>8355.4629999999997</v>
      </c>
      <c r="R426" s="110">
        <v>7740.6189999999997</v>
      </c>
      <c r="S426" s="110">
        <v>7063.0450000000001</v>
      </c>
      <c r="T426" s="110">
        <v>6322.0609999999997</v>
      </c>
      <c r="U426" s="110">
        <v>5496.491</v>
      </c>
      <c r="V426" s="110">
        <v>4608.0730000000003</v>
      </c>
      <c r="W426" s="110">
        <v>3665.6260000000002</v>
      </c>
      <c r="X426" s="110">
        <v>2649.8389999999999</v>
      </c>
      <c r="Y426" s="110">
        <v>1580.8320000000001</v>
      </c>
      <c r="Z426" s="110">
        <v>729.83500000000004</v>
      </c>
      <c r="AA426" s="110">
        <v>219.88499999999999</v>
      </c>
      <c r="AB426" s="110">
        <v>43.515000000000001</v>
      </c>
      <c r="AC426" s="115">
        <f t="shared" si="18"/>
        <v>69395.062999999995</v>
      </c>
      <c r="AD426">
        <f t="shared" si="19"/>
        <v>1.0085387892865796</v>
      </c>
    </row>
    <row r="427" spans="1:30" x14ac:dyDescent="0.25">
      <c r="A427" s="104" t="str">
        <f t="shared" si="17"/>
        <v>Tanzania2096</v>
      </c>
      <c r="C427" s="107" t="s">
        <v>257</v>
      </c>
      <c r="D427" s="108" t="s">
        <v>152</v>
      </c>
      <c r="F427" s="109">
        <v>834</v>
      </c>
      <c r="G427" s="109">
        <v>2096</v>
      </c>
      <c r="H427" s="110">
        <v>11956.14</v>
      </c>
      <c r="I427" s="110">
        <v>11784.396000000001</v>
      </c>
      <c r="J427" s="110">
        <v>11554.707</v>
      </c>
      <c r="K427" s="110">
        <v>11279.073</v>
      </c>
      <c r="L427" s="110">
        <v>10951.28</v>
      </c>
      <c r="M427" s="110">
        <v>10561.156999999999</v>
      </c>
      <c r="N427" s="110">
        <v>10103.878000000001</v>
      </c>
      <c r="O427" s="110">
        <v>9604.1569999999992</v>
      </c>
      <c r="P427" s="110">
        <v>9046.7440000000006</v>
      </c>
      <c r="Q427" s="110">
        <v>8462.1910000000007</v>
      </c>
      <c r="R427" s="110">
        <v>7851.4129999999996</v>
      </c>
      <c r="S427" s="110">
        <v>7180.8670000000002</v>
      </c>
      <c r="T427" s="110">
        <v>6441.9080000000004</v>
      </c>
      <c r="U427" s="110">
        <v>5612.1859999999997</v>
      </c>
      <c r="V427" s="110">
        <v>4707.4930000000004</v>
      </c>
      <c r="W427" s="110">
        <v>3743.8409999999999</v>
      </c>
      <c r="X427" s="110">
        <v>2716.3310000000001</v>
      </c>
      <c r="Y427" s="110">
        <v>1646.42</v>
      </c>
      <c r="Z427" s="110">
        <v>782.90499999999997</v>
      </c>
      <c r="AA427" s="110">
        <v>239.53200000000001</v>
      </c>
      <c r="AB427" s="110">
        <v>46.255000000000003</v>
      </c>
      <c r="AC427" s="115">
        <f t="shared" si="18"/>
        <v>70008.48000000001</v>
      </c>
      <c r="AD427">
        <f t="shared" si="19"/>
        <v>1.0088394904980491</v>
      </c>
    </row>
    <row r="428" spans="1:30" x14ac:dyDescent="0.25">
      <c r="A428" s="104" t="str">
        <f t="shared" si="17"/>
        <v>Tanzania2097</v>
      </c>
      <c r="C428" s="107" t="s">
        <v>257</v>
      </c>
      <c r="D428" s="108" t="s">
        <v>152</v>
      </c>
      <c r="F428" s="109">
        <v>834</v>
      </c>
      <c r="G428" s="109">
        <v>2097</v>
      </c>
      <c r="H428" s="110">
        <v>11977.217000000001</v>
      </c>
      <c r="I428" s="110">
        <v>11821.627</v>
      </c>
      <c r="J428" s="110">
        <v>11603.286</v>
      </c>
      <c r="K428" s="110">
        <v>11334.001</v>
      </c>
      <c r="L428" s="110">
        <v>11015.909</v>
      </c>
      <c r="M428" s="110">
        <v>10638.421</v>
      </c>
      <c r="N428" s="110">
        <v>10193.728999999999</v>
      </c>
      <c r="O428" s="110">
        <v>9700.4639999999999</v>
      </c>
      <c r="P428" s="110">
        <v>9152.8739999999998</v>
      </c>
      <c r="Q428" s="110">
        <v>8568.2340000000004</v>
      </c>
      <c r="R428" s="110">
        <v>7960.3670000000002</v>
      </c>
      <c r="S428" s="110">
        <v>7298.509</v>
      </c>
      <c r="T428" s="110">
        <v>6563.277</v>
      </c>
      <c r="U428" s="110">
        <v>5733.9660000000003</v>
      </c>
      <c r="V428" s="110">
        <v>4816.3360000000002</v>
      </c>
      <c r="W428" s="110">
        <v>3831.7379999999998</v>
      </c>
      <c r="X428" s="110">
        <v>2785.7020000000002</v>
      </c>
      <c r="Y428" s="110">
        <v>1710.402</v>
      </c>
      <c r="Z428" s="110">
        <v>816.97299999999996</v>
      </c>
      <c r="AA428" s="110">
        <v>267.51100000000002</v>
      </c>
      <c r="AB428" s="110">
        <v>49.094999999999999</v>
      </c>
      <c r="AC428" s="115">
        <f t="shared" si="18"/>
        <v>70603.631999999998</v>
      </c>
      <c r="AD428">
        <f t="shared" si="19"/>
        <v>1.0085011415759917</v>
      </c>
    </row>
    <row r="429" spans="1:30" x14ac:dyDescent="0.25">
      <c r="A429" s="104" t="str">
        <f t="shared" si="17"/>
        <v>Tanzania2098</v>
      </c>
      <c r="C429" s="107" t="s">
        <v>257</v>
      </c>
      <c r="D429" s="108" t="s">
        <v>152</v>
      </c>
      <c r="F429" s="109">
        <v>834</v>
      </c>
      <c r="G429" s="109">
        <v>2098</v>
      </c>
      <c r="H429" s="110">
        <v>11993.37</v>
      </c>
      <c r="I429" s="110">
        <v>11853.268</v>
      </c>
      <c r="J429" s="110">
        <v>11648.905000000001</v>
      </c>
      <c r="K429" s="110">
        <v>11386.169</v>
      </c>
      <c r="L429" s="110">
        <v>11076.749</v>
      </c>
      <c r="M429" s="110">
        <v>10711.296</v>
      </c>
      <c r="N429" s="110">
        <v>10280.32</v>
      </c>
      <c r="O429" s="110">
        <v>9793.5210000000006</v>
      </c>
      <c r="P429" s="110">
        <v>9257.3179999999993</v>
      </c>
      <c r="Q429" s="110">
        <v>8673.5470000000005</v>
      </c>
      <c r="R429" s="110">
        <v>8067.6890000000003</v>
      </c>
      <c r="S429" s="110">
        <v>7414.8689999999997</v>
      </c>
      <c r="T429" s="110">
        <v>6685.518</v>
      </c>
      <c r="U429" s="110">
        <v>5860.34</v>
      </c>
      <c r="V429" s="110">
        <v>4933.4110000000001</v>
      </c>
      <c r="W429" s="110">
        <v>3929.723</v>
      </c>
      <c r="X429" s="110">
        <v>2862.2809999999999</v>
      </c>
      <c r="Y429" s="110">
        <v>1771.7080000000001</v>
      </c>
      <c r="Z429" s="110">
        <v>845.90300000000002</v>
      </c>
      <c r="AA429" s="110">
        <v>291.81299999999999</v>
      </c>
      <c r="AB429" s="110">
        <v>52.036999999999999</v>
      </c>
      <c r="AC429" s="115">
        <f t="shared" si="18"/>
        <v>71178.92</v>
      </c>
      <c r="AD429">
        <f t="shared" si="19"/>
        <v>1.0081481360618956</v>
      </c>
    </row>
    <row r="430" spans="1:30" x14ac:dyDescent="0.25">
      <c r="A430" s="104" t="str">
        <f t="shared" si="17"/>
        <v>Tanzania2099</v>
      </c>
      <c r="C430" s="107" t="s">
        <v>257</v>
      </c>
      <c r="D430" s="108" t="s">
        <v>152</v>
      </c>
      <c r="F430" s="109">
        <v>834</v>
      </c>
      <c r="G430" s="109">
        <v>2099</v>
      </c>
      <c r="H430" s="110">
        <v>12004.361000000001</v>
      </c>
      <c r="I430" s="110">
        <v>11878.948</v>
      </c>
      <c r="J430" s="110">
        <v>11690.55</v>
      </c>
      <c r="K430" s="110">
        <v>11435.643</v>
      </c>
      <c r="L430" s="110">
        <v>11133.982</v>
      </c>
      <c r="M430" s="110">
        <v>10779.83</v>
      </c>
      <c r="N430" s="110">
        <v>10362.700000000001</v>
      </c>
      <c r="O430" s="110">
        <v>9883.8590000000004</v>
      </c>
      <c r="P430" s="110">
        <v>9358.7659999999996</v>
      </c>
      <c r="Q430" s="110">
        <v>8778.0319999999992</v>
      </c>
      <c r="R430" s="110">
        <v>8173.7730000000001</v>
      </c>
      <c r="S430" s="110">
        <v>7529.11</v>
      </c>
      <c r="T430" s="110">
        <v>6808.1329999999998</v>
      </c>
      <c r="U430" s="110">
        <v>5989.6480000000001</v>
      </c>
      <c r="V430" s="110">
        <v>5057.6610000000001</v>
      </c>
      <c r="W430" s="110">
        <v>4038.1149999999998</v>
      </c>
      <c r="X430" s="110">
        <v>2949.0569999999998</v>
      </c>
      <c r="Y430" s="110">
        <v>1837.482</v>
      </c>
      <c r="Z430" s="110">
        <v>873.64400000000001</v>
      </c>
      <c r="AA430" s="110">
        <v>303.81799999999998</v>
      </c>
      <c r="AB430" s="110">
        <v>55.085999999999999</v>
      </c>
      <c r="AC430" s="115">
        <f t="shared" si="18"/>
        <v>71732.812000000005</v>
      </c>
      <c r="AD430">
        <f t="shared" si="19"/>
        <v>1.0077816859261142</v>
      </c>
    </row>
    <row r="431" spans="1:30" x14ac:dyDescent="0.25">
      <c r="A431" s="104" t="str">
        <f t="shared" si="17"/>
        <v>Tanzania2100</v>
      </c>
      <c r="C431" s="107" t="s">
        <v>257</v>
      </c>
      <c r="D431" s="108" t="s">
        <v>152</v>
      </c>
      <c r="F431" s="109">
        <v>834</v>
      </c>
      <c r="G431" s="109">
        <v>2100</v>
      </c>
      <c r="H431" s="110">
        <v>12009.129000000001</v>
      </c>
      <c r="I431" s="110">
        <v>11898.491</v>
      </c>
      <c r="J431" s="110">
        <v>11727.034</v>
      </c>
      <c r="K431" s="110">
        <v>11482.222</v>
      </c>
      <c r="L431" s="110">
        <v>11187.746999999999</v>
      </c>
      <c r="M431" s="110">
        <v>10844.019</v>
      </c>
      <c r="N431" s="110">
        <v>10440.215</v>
      </c>
      <c r="O431" s="110">
        <v>9971.5079999999998</v>
      </c>
      <c r="P431" s="110">
        <v>9456.3420000000006</v>
      </c>
      <c r="Q431" s="110">
        <v>8881.3430000000008</v>
      </c>
      <c r="R431" s="110">
        <v>8278.7379999999994</v>
      </c>
      <c r="S431" s="110">
        <v>7640.8580000000002</v>
      </c>
      <c r="T431" s="110">
        <v>6930.3440000000001</v>
      </c>
      <c r="U431" s="110">
        <v>6120.4610000000002</v>
      </c>
      <c r="V431" s="110">
        <v>5188.1080000000002</v>
      </c>
      <c r="W431" s="110">
        <v>4156.634</v>
      </c>
      <c r="X431" s="110">
        <v>3046.82</v>
      </c>
      <c r="Y431" s="110">
        <v>1909.634</v>
      </c>
      <c r="Z431" s="110">
        <v>908.91399999999999</v>
      </c>
      <c r="AA431" s="110">
        <v>299.05700000000002</v>
      </c>
      <c r="AB431" s="110">
        <v>58.253</v>
      </c>
      <c r="AC431" s="115">
        <f t="shared" si="18"/>
        <v>72263.396000000008</v>
      </c>
      <c r="AD431">
        <f t="shared" si="19"/>
        <v>1.0073966708568458</v>
      </c>
    </row>
    <row r="432" spans="1:30" x14ac:dyDescent="0.25">
      <c r="A432" s="104" t="str">
        <f t="shared" si="17"/>
        <v>Zambia2015</v>
      </c>
      <c r="C432" s="107" t="s">
        <v>257</v>
      </c>
      <c r="D432" s="108" t="s">
        <v>219</v>
      </c>
      <c r="F432" s="109">
        <v>894</v>
      </c>
      <c r="G432" s="109">
        <v>2015</v>
      </c>
      <c r="H432" s="110">
        <v>1362.6510000000001</v>
      </c>
      <c r="I432" s="110">
        <v>1198.893</v>
      </c>
      <c r="J432" s="110">
        <v>1065.79</v>
      </c>
      <c r="K432" s="110">
        <v>904.97500000000002</v>
      </c>
      <c r="L432" s="110">
        <v>750.41</v>
      </c>
      <c r="M432" s="110">
        <v>631.351</v>
      </c>
      <c r="N432" s="110">
        <v>528.60500000000002</v>
      </c>
      <c r="O432" s="110">
        <v>433.83800000000002</v>
      </c>
      <c r="P432" s="110">
        <v>332.315</v>
      </c>
      <c r="Q432" s="110">
        <v>239.834</v>
      </c>
      <c r="R432" s="110">
        <v>181.35</v>
      </c>
      <c r="S432" s="110">
        <v>139.99299999999999</v>
      </c>
      <c r="T432" s="110">
        <v>111.107</v>
      </c>
      <c r="U432" s="110">
        <v>87.46</v>
      </c>
      <c r="V432" s="110">
        <v>65.399000000000001</v>
      </c>
      <c r="W432" s="110">
        <v>43.006999999999998</v>
      </c>
      <c r="X432" s="110">
        <v>23.300999999999998</v>
      </c>
      <c r="Y432" s="110">
        <v>9.1720000000000006</v>
      </c>
      <c r="Z432" s="110">
        <v>2.4039999999999999</v>
      </c>
      <c r="AA432" s="110">
        <v>0.35399999999999998</v>
      </c>
      <c r="AB432" s="110">
        <v>0.03</v>
      </c>
      <c r="AC432" s="115">
        <f t="shared" si="18"/>
        <v>3821.328</v>
      </c>
      <c r="AD432" t="str">
        <f t="shared" si="19"/>
        <v/>
      </c>
    </row>
    <row r="433" spans="1:30" x14ac:dyDescent="0.25">
      <c r="A433" s="104" t="str">
        <f t="shared" si="17"/>
        <v>Zambia2016</v>
      </c>
      <c r="C433" s="107" t="s">
        <v>257</v>
      </c>
      <c r="D433" s="108" t="s">
        <v>219</v>
      </c>
      <c r="F433" s="109">
        <v>894</v>
      </c>
      <c r="G433" s="109">
        <v>2016</v>
      </c>
      <c r="H433" s="110">
        <v>1396.9880000000001</v>
      </c>
      <c r="I433" s="110">
        <v>1224.769</v>
      </c>
      <c r="J433" s="110">
        <v>1091.731</v>
      </c>
      <c r="K433" s="110">
        <v>935.09699999999998</v>
      </c>
      <c r="L433" s="110">
        <v>775.63900000000001</v>
      </c>
      <c r="M433" s="110">
        <v>650.06799999999998</v>
      </c>
      <c r="N433" s="110">
        <v>544.99699999999996</v>
      </c>
      <c r="O433" s="110">
        <v>450.11799999999999</v>
      </c>
      <c r="P433" s="110">
        <v>349.80599999999998</v>
      </c>
      <c r="Q433" s="110">
        <v>253.59800000000001</v>
      </c>
      <c r="R433" s="110">
        <v>189.2</v>
      </c>
      <c r="S433" s="110">
        <v>145.14400000000001</v>
      </c>
      <c r="T433" s="110">
        <v>114.075</v>
      </c>
      <c r="U433" s="110">
        <v>89.322999999999993</v>
      </c>
      <c r="V433" s="110">
        <v>66.733000000000004</v>
      </c>
      <c r="W433" s="110">
        <v>44.171999999999997</v>
      </c>
      <c r="X433" s="110">
        <v>24.254000000000001</v>
      </c>
      <c r="Y433" s="110">
        <v>9.94</v>
      </c>
      <c r="Z433" s="110">
        <v>2.7730000000000001</v>
      </c>
      <c r="AA433" s="110">
        <v>0.42</v>
      </c>
      <c r="AB433" s="110">
        <v>3.2000000000000001E-2</v>
      </c>
      <c r="AC433" s="115">
        <f t="shared" si="18"/>
        <v>3959.3229999999999</v>
      </c>
      <c r="AD433">
        <f t="shared" si="19"/>
        <v>1.0361117915028493</v>
      </c>
    </row>
    <row r="434" spans="1:30" x14ac:dyDescent="0.25">
      <c r="A434" s="104" t="str">
        <f t="shared" si="17"/>
        <v>Zambia2017</v>
      </c>
      <c r="C434" s="107" t="s">
        <v>257</v>
      </c>
      <c r="D434" s="108" t="s">
        <v>219</v>
      </c>
      <c r="F434" s="109">
        <v>894</v>
      </c>
      <c r="G434" s="109">
        <v>2017</v>
      </c>
      <c r="H434" s="110">
        <v>1430.7829999999999</v>
      </c>
      <c r="I434" s="110">
        <v>1252.0050000000001</v>
      </c>
      <c r="J434" s="110">
        <v>1116.288</v>
      </c>
      <c r="K434" s="110">
        <v>966.11599999999999</v>
      </c>
      <c r="L434" s="110">
        <v>802.86699999999996</v>
      </c>
      <c r="M434" s="110">
        <v>669.36699999999996</v>
      </c>
      <c r="N434" s="110">
        <v>561.99400000000003</v>
      </c>
      <c r="O434" s="110">
        <v>465.923</v>
      </c>
      <c r="P434" s="110">
        <v>367.46800000000002</v>
      </c>
      <c r="Q434" s="110">
        <v>268.92</v>
      </c>
      <c r="R434" s="110">
        <v>197.51</v>
      </c>
      <c r="S434" s="110">
        <v>150.964</v>
      </c>
      <c r="T434" s="110">
        <v>117.42400000000001</v>
      </c>
      <c r="U434" s="110">
        <v>91.492999999999995</v>
      </c>
      <c r="V434" s="110">
        <v>68.191999999999993</v>
      </c>
      <c r="W434" s="110">
        <v>45.401000000000003</v>
      </c>
      <c r="X434" s="110">
        <v>25.08</v>
      </c>
      <c r="Y434" s="110">
        <v>10.526</v>
      </c>
      <c r="Z434" s="110">
        <v>3.0169999999999999</v>
      </c>
      <c r="AA434" s="110">
        <v>0.53100000000000003</v>
      </c>
      <c r="AB434" s="110">
        <v>3.4000000000000002E-2</v>
      </c>
      <c r="AC434" s="115">
        <f t="shared" si="18"/>
        <v>4102.6549999999997</v>
      </c>
      <c r="AD434">
        <f t="shared" si="19"/>
        <v>1.0362011384269483</v>
      </c>
    </row>
    <row r="435" spans="1:30" x14ac:dyDescent="0.25">
      <c r="A435" s="104" t="str">
        <f t="shared" si="17"/>
        <v>Zambia2018</v>
      </c>
      <c r="C435" s="107" t="s">
        <v>257</v>
      </c>
      <c r="D435" s="108" t="s">
        <v>219</v>
      </c>
      <c r="F435" s="109">
        <v>894</v>
      </c>
      <c r="G435" s="109">
        <v>2018</v>
      </c>
      <c r="H435" s="110">
        <v>1464.403</v>
      </c>
      <c r="I435" s="110">
        <v>1280.4960000000001</v>
      </c>
      <c r="J435" s="110">
        <v>1140.0329999999999</v>
      </c>
      <c r="K435" s="110">
        <v>997.26499999999999</v>
      </c>
      <c r="L435" s="110">
        <v>831.73500000000001</v>
      </c>
      <c r="M435" s="110">
        <v>689.66399999999999</v>
      </c>
      <c r="N435" s="110">
        <v>579.56700000000001</v>
      </c>
      <c r="O435" s="110">
        <v>481.52100000000002</v>
      </c>
      <c r="P435" s="110">
        <v>385.05700000000002</v>
      </c>
      <c r="Q435" s="110">
        <v>285.39299999999997</v>
      </c>
      <c r="R435" s="110">
        <v>206.626</v>
      </c>
      <c r="S435" s="110">
        <v>157.37799999999999</v>
      </c>
      <c r="T435" s="110">
        <v>121.21</v>
      </c>
      <c r="U435" s="110">
        <v>93.972999999999999</v>
      </c>
      <c r="V435" s="110">
        <v>69.832999999999998</v>
      </c>
      <c r="W435" s="110">
        <v>46.725000000000001</v>
      </c>
      <c r="X435" s="110">
        <v>25.838999999999999</v>
      </c>
      <c r="Y435" s="110">
        <v>10.891</v>
      </c>
      <c r="Z435" s="110">
        <v>3.1669999999999998</v>
      </c>
      <c r="AA435" s="110">
        <v>0.61399999999999999</v>
      </c>
      <c r="AB435" s="110">
        <v>3.5999999999999997E-2</v>
      </c>
      <c r="AC435" s="115">
        <f t="shared" si="18"/>
        <v>4250.2020000000002</v>
      </c>
      <c r="AD435">
        <f t="shared" si="19"/>
        <v>1.0359637844274014</v>
      </c>
    </row>
    <row r="436" spans="1:30" x14ac:dyDescent="0.25">
      <c r="A436" s="104" t="str">
        <f t="shared" si="17"/>
        <v>Zambia2019</v>
      </c>
      <c r="C436" s="107" t="s">
        <v>257</v>
      </c>
      <c r="D436" s="108" t="s">
        <v>219</v>
      </c>
      <c r="F436" s="109">
        <v>894</v>
      </c>
      <c r="G436" s="109">
        <v>2019</v>
      </c>
      <c r="H436" s="110">
        <v>1498.635</v>
      </c>
      <c r="I436" s="110">
        <v>1309.7950000000001</v>
      </c>
      <c r="J436" s="110">
        <v>1163.998</v>
      </c>
      <c r="K436" s="110">
        <v>1027.4380000000001</v>
      </c>
      <c r="L436" s="110">
        <v>861.66800000000001</v>
      </c>
      <c r="M436" s="110">
        <v>711.59699999999998</v>
      </c>
      <c r="N436" s="110">
        <v>597.62199999999996</v>
      </c>
      <c r="O436" s="110">
        <v>497.30500000000001</v>
      </c>
      <c r="P436" s="110">
        <v>402.30599999999998</v>
      </c>
      <c r="Q436" s="110">
        <v>302.39499999999998</v>
      </c>
      <c r="R436" s="110">
        <v>217.071</v>
      </c>
      <c r="S436" s="110">
        <v>164.27699999999999</v>
      </c>
      <c r="T436" s="110">
        <v>125.48699999999999</v>
      </c>
      <c r="U436" s="110">
        <v>96.760999999999996</v>
      </c>
      <c r="V436" s="110">
        <v>71.704999999999998</v>
      </c>
      <c r="W436" s="110">
        <v>48.14</v>
      </c>
      <c r="X436" s="110">
        <v>26.577999999999999</v>
      </c>
      <c r="Y436" s="110">
        <v>11.106</v>
      </c>
      <c r="Z436" s="110">
        <v>3.1640000000000001</v>
      </c>
      <c r="AA436" s="110">
        <v>0.60899999999999999</v>
      </c>
      <c r="AB436" s="110">
        <v>3.7999999999999999E-2</v>
      </c>
      <c r="AC436" s="115">
        <f t="shared" si="18"/>
        <v>4400.3310000000001</v>
      </c>
      <c r="AD436">
        <f t="shared" si="19"/>
        <v>1.0353227917167231</v>
      </c>
    </row>
    <row r="437" spans="1:30" x14ac:dyDescent="0.25">
      <c r="A437" s="104" t="str">
        <f t="shared" si="17"/>
        <v>Zambia2020</v>
      </c>
      <c r="C437" s="107" t="s">
        <v>257</v>
      </c>
      <c r="D437" s="108" t="s">
        <v>219</v>
      </c>
      <c r="F437" s="109">
        <v>894</v>
      </c>
      <c r="G437" s="109">
        <v>2020</v>
      </c>
      <c r="H437" s="110">
        <v>1534.3</v>
      </c>
      <c r="I437" s="110">
        <v>1339.2170000000001</v>
      </c>
      <c r="J437" s="110">
        <v>1188.8920000000001</v>
      </c>
      <c r="K437" s="110">
        <v>1055.982</v>
      </c>
      <c r="L437" s="110">
        <v>892.22400000000005</v>
      </c>
      <c r="M437" s="110">
        <v>735.572</v>
      </c>
      <c r="N437" s="110">
        <v>616.15599999999995</v>
      </c>
      <c r="O437" s="110">
        <v>513.52599999999995</v>
      </c>
      <c r="P437" s="110">
        <v>419.08800000000002</v>
      </c>
      <c r="Q437" s="110">
        <v>319.49799999999999</v>
      </c>
      <c r="R437" s="110">
        <v>229.12700000000001</v>
      </c>
      <c r="S437" s="110">
        <v>171.63200000000001</v>
      </c>
      <c r="T437" s="110">
        <v>130.29499999999999</v>
      </c>
      <c r="U437" s="110">
        <v>99.866</v>
      </c>
      <c r="V437" s="110">
        <v>73.843000000000004</v>
      </c>
      <c r="W437" s="110">
        <v>49.655999999999999</v>
      </c>
      <c r="X437" s="110">
        <v>27.359000000000002</v>
      </c>
      <c r="Y437" s="110">
        <v>11.205</v>
      </c>
      <c r="Z437" s="110">
        <v>2.988</v>
      </c>
      <c r="AA437" s="110">
        <v>0.47099999999999997</v>
      </c>
      <c r="AB437" s="110">
        <v>0.04</v>
      </c>
      <c r="AC437" s="115">
        <f t="shared" si="18"/>
        <v>4552.0459999999994</v>
      </c>
      <c r="AD437">
        <f t="shared" si="19"/>
        <v>1.034478088125643</v>
      </c>
    </row>
    <row r="438" spans="1:30" x14ac:dyDescent="0.25">
      <c r="A438" s="104" t="str">
        <f t="shared" si="17"/>
        <v>Zambia2021</v>
      </c>
      <c r="C438" s="107" t="s">
        <v>257</v>
      </c>
      <c r="D438" s="108" t="s">
        <v>219</v>
      </c>
      <c r="F438" s="109">
        <v>894</v>
      </c>
      <c r="G438" s="109">
        <v>2021</v>
      </c>
      <c r="H438" s="110">
        <v>1573.6590000000001</v>
      </c>
      <c r="I438" s="110">
        <v>1371.6379999999999</v>
      </c>
      <c r="J438" s="110">
        <v>1214.443</v>
      </c>
      <c r="K438" s="110">
        <v>1081.8389999999999</v>
      </c>
      <c r="L438" s="110">
        <v>922.38900000000001</v>
      </c>
      <c r="M438" s="110">
        <v>760.94799999999998</v>
      </c>
      <c r="N438" s="110">
        <v>634.92700000000002</v>
      </c>
      <c r="O438" s="110">
        <v>529.86800000000005</v>
      </c>
      <c r="P438" s="110">
        <v>435.197</v>
      </c>
      <c r="Q438" s="110">
        <v>336.44</v>
      </c>
      <c r="R438" s="110">
        <v>242.33600000000001</v>
      </c>
      <c r="S438" s="110">
        <v>179.05500000000001</v>
      </c>
      <c r="T438" s="110">
        <v>135.011</v>
      </c>
      <c r="U438" s="110">
        <v>102.505</v>
      </c>
      <c r="V438" s="110">
        <v>75.460999999999999</v>
      </c>
      <c r="W438" s="110">
        <v>50.816000000000003</v>
      </c>
      <c r="X438" s="110">
        <v>28.425999999999998</v>
      </c>
      <c r="Y438" s="110">
        <v>12.047000000000001</v>
      </c>
      <c r="Z438" s="110">
        <v>3.4489999999999998</v>
      </c>
      <c r="AA438" s="110">
        <v>0.54600000000000004</v>
      </c>
      <c r="AB438" s="110">
        <v>4.2000000000000003E-2</v>
      </c>
      <c r="AC438" s="115">
        <f t="shared" si="18"/>
        <v>4701.6079999999993</v>
      </c>
      <c r="AD438">
        <f t="shared" si="19"/>
        <v>1.0328559948647267</v>
      </c>
    </row>
    <row r="439" spans="1:30" x14ac:dyDescent="0.25">
      <c r="A439" s="104" t="str">
        <f t="shared" si="17"/>
        <v>Zambia2022</v>
      </c>
      <c r="C439" s="107" t="s">
        <v>257</v>
      </c>
      <c r="D439" s="108" t="s">
        <v>219</v>
      </c>
      <c r="F439" s="109">
        <v>894</v>
      </c>
      <c r="G439" s="109">
        <v>2022</v>
      </c>
      <c r="H439" s="110">
        <v>1610.9179999999999</v>
      </c>
      <c r="I439" s="110">
        <v>1405.9469999999999</v>
      </c>
      <c r="J439" s="110">
        <v>1241.5029999999999</v>
      </c>
      <c r="K439" s="110">
        <v>1106.345</v>
      </c>
      <c r="L439" s="110">
        <v>953.37699999999995</v>
      </c>
      <c r="M439" s="110">
        <v>788.22</v>
      </c>
      <c r="N439" s="110">
        <v>654.28399999999999</v>
      </c>
      <c r="O439" s="110">
        <v>546.85199999999998</v>
      </c>
      <c r="P439" s="110">
        <v>450.9</v>
      </c>
      <c r="Q439" s="110">
        <v>353.62099999999998</v>
      </c>
      <c r="R439" s="110">
        <v>257.08100000000002</v>
      </c>
      <c r="S439" s="110">
        <v>186.971</v>
      </c>
      <c r="T439" s="110">
        <v>140.428</v>
      </c>
      <c r="U439" s="110">
        <v>105.536</v>
      </c>
      <c r="V439" s="110">
        <v>77.344999999999999</v>
      </c>
      <c r="W439" s="110">
        <v>52.015999999999998</v>
      </c>
      <c r="X439" s="110">
        <v>29.396999999999998</v>
      </c>
      <c r="Y439" s="110">
        <v>12.66</v>
      </c>
      <c r="Z439" s="110">
        <v>3.7559999999999998</v>
      </c>
      <c r="AA439" s="110">
        <v>0.67500000000000004</v>
      </c>
      <c r="AB439" s="110">
        <v>4.4999999999999998E-2</v>
      </c>
      <c r="AC439" s="115">
        <f t="shared" si="18"/>
        <v>4853.5990000000002</v>
      </c>
      <c r="AD439">
        <f t="shared" si="19"/>
        <v>1.0323274505233104</v>
      </c>
    </row>
    <row r="440" spans="1:30" x14ac:dyDescent="0.25">
      <c r="A440" s="104" t="str">
        <f t="shared" si="17"/>
        <v>Zambia2023</v>
      </c>
      <c r="C440" s="107" t="s">
        <v>257</v>
      </c>
      <c r="D440" s="108" t="s">
        <v>219</v>
      </c>
      <c r="F440" s="109">
        <v>894</v>
      </c>
      <c r="G440" s="109">
        <v>2023</v>
      </c>
      <c r="H440" s="110">
        <v>1647.0070000000001</v>
      </c>
      <c r="I440" s="110">
        <v>1441.712</v>
      </c>
      <c r="J440" s="110">
        <v>1269.9570000000001</v>
      </c>
      <c r="K440" s="110">
        <v>1130.17</v>
      </c>
      <c r="L440" s="110">
        <v>984.42700000000002</v>
      </c>
      <c r="M440" s="110">
        <v>816.96600000000001</v>
      </c>
      <c r="N440" s="110">
        <v>674.58799999999997</v>
      </c>
      <c r="O440" s="110">
        <v>564.44100000000003</v>
      </c>
      <c r="P440" s="110">
        <v>466.39400000000001</v>
      </c>
      <c r="Q440" s="110">
        <v>370.81599999999997</v>
      </c>
      <c r="R440" s="110">
        <v>272.959</v>
      </c>
      <c r="S440" s="110">
        <v>195.68299999999999</v>
      </c>
      <c r="T440" s="110">
        <v>146.488</v>
      </c>
      <c r="U440" s="110">
        <v>109.00700000000001</v>
      </c>
      <c r="V440" s="110">
        <v>79.524000000000001</v>
      </c>
      <c r="W440" s="110">
        <v>53.341999999999999</v>
      </c>
      <c r="X440" s="110">
        <v>30.300999999999998</v>
      </c>
      <c r="Y440" s="110">
        <v>13.025</v>
      </c>
      <c r="Z440" s="110">
        <v>3.94</v>
      </c>
      <c r="AA440" s="110">
        <v>0.77100000000000002</v>
      </c>
      <c r="AB440" s="110">
        <v>4.8000000000000001E-2</v>
      </c>
      <c r="AC440" s="115">
        <f t="shared" si="18"/>
        <v>5007.8019999999997</v>
      </c>
      <c r="AD440">
        <f t="shared" si="19"/>
        <v>1.0317708570485529</v>
      </c>
    </row>
    <row r="441" spans="1:30" x14ac:dyDescent="0.25">
      <c r="A441" s="104" t="str">
        <f t="shared" si="17"/>
        <v>Zambia2024</v>
      </c>
      <c r="C441" s="107" t="s">
        <v>257</v>
      </c>
      <c r="D441" s="108" t="s">
        <v>219</v>
      </c>
      <c r="F441" s="109">
        <v>894</v>
      </c>
      <c r="G441" s="109">
        <v>2024</v>
      </c>
      <c r="H441" s="110">
        <v>1682.9829999999999</v>
      </c>
      <c r="I441" s="110">
        <v>1478.116</v>
      </c>
      <c r="J441" s="110">
        <v>1299.722</v>
      </c>
      <c r="K441" s="110">
        <v>1154.45</v>
      </c>
      <c r="L441" s="110">
        <v>1014.487</v>
      </c>
      <c r="M441" s="110">
        <v>846.61599999999999</v>
      </c>
      <c r="N441" s="110">
        <v>696.452</v>
      </c>
      <c r="O441" s="110">
        <v>582.51599999999996</v>
      </c>
      <c r="P441" s="110">
        <v>482.04300000000001</v>
      </c>
      <c r="Q441" s="110">
        <v>387.75099999999998</v>
      </c>
      <c r="R441" s="110">
        <v>289.37200000000001</v>
      </c>
      <c r="S441" s="110">
        <v>205.68799999999999</v>
      </c>
      <c r="T441" s="110">
        <v>153.078</v>
      </c>
      <c r="U441" s="110">
        <v>112.99</v>
      </c>
      <c r="V441" s="110">
        <v>82.010999999999996</v>
      </c>
      <c r="W441" s="110">
        <v>54.856000000000002</v>
      </c>
      <c r="X441" s="110">
        <v>31.155999999999999</v>
      </c>
      <c r="Y441" s="110">
        <v>13.244999999999999</v>
      </c>
      <c r="Z441" s="110">
        <v>3.9319999999999999</v>
      </c>
      <c r="AA441" s="110">
        <v>0.76500000000000001</v>
      </c>
      <c r="AB441" s="110">
        <v>0.05</v>
      </c>
      <c r="AC441" s="115">
        <f t="shared" si="18"/>
        <v>5164.3149999999996</v>
      </c>
      <c r="AD441">
        <f t="shared" si="19"/>
        <v>1.0312538315212942</v>
      </c>
    </row>
    <row r="442" spans="1:30" x14ac:dyDescent="0.25">
      <c r="A442" s="104" t="str">
        <f t="shared" si="17"/>
        <v>Zambia2025</v>
      </c>
      <c r="C442" s="107" t="s">
        <v>257</v>
      </c>
      <c r="D442" s="108" t="s">
        <v>219</v>
      </c>
      <c r="F442" s="109">
        <v>894</v>
      </c>
      <c r="G442" s="109">
        <v>2025</v>
      </c>
      <c r="H442" s="110">
        <v>1719.8389999999999</v>
      </c>
      <c r="I442" s="110">
        <v>1514.0709999999999</v>
      </c>
      <c r="J442" s="110">
        <v>1330.8040000000001</v>
      </c>
      <c r="K442" s="110">
        <v>1179.952</v>
      </c>
      <c r="L442" s="110">
        <v>1042.9680000000001</v>
      </c>
      <c r="M442" s="110">
        <v>876.78099999999995</v>
      </c>
      <c r="N442" s="110">
        <v>720.23400000000004</v>
      </c>
      <c r="O442" s="110">
        <v>601.03899999999999</v>
      </c>
      <c r="P442" s="110">
        <v>498.12299999999999</v>
      </c>
      <c r="Q442" s="110">
        <v>404.26400000000001</v>
      </c>
      <c r="R442" s="110">
        <v>305.93</v>
      </c>
      <c r="S442" s="110">
        <v>217.25899999999999</v>
      </c>
      <c r="T442" s="110">
        <v>160.15</v>
      </c>
      <c r="U442" s="110">
        <v>117.533</v>
      </c>
      <c r="V442" s="110">
        <v>84.826999999999998</v>
      </c>
      <c r="W442" s="110">
        <v>56.594999999999999</v>
      </c>
      <c r="X442" s="110">
        <v>32.01</v>
      </c>
      <c r="Y442" s="110">
        <v>13.371</v>
      </c>
      <c r="Z442" s="110">
        <v>3.714</v>
      </c>
      <c r="AA442" s="110">
        <v>0.59799999999999998</v>
      </c>
      <c r="AB442" s="110">
        <v>5.2999999999999999E-2</v>
      </c>
      <c r="AC442" s="115">
        <f t="shared" si="18"/>
        <v>5323.3609999999999</v>
      </c>
      <c r="AD442">
        <f t="shared" si="19"/>
        <v>1.0307971144285351</v>
      </c>
    </row>
    <row r="443" spans="1:30" x14ac:dyDescent="0.25">
      <c r="A443" s="104" t="str">
        <f t="shared" si="17"/>
        <v>Zambia2026</v>
      </c>
      <c r="C443" s="107" t="s">
        <v>257</v>
      </c>
      <c r="D443" s="108" t="s">
        <v>219</v>
      </c>
      <c r="F443" s="109">
        <v>894</v>
      </c>
      <c r="G443" s="109">
        <v>2026</v>
      </c>
      <c r="H443" s="110">
        <v>1758.087</v>
      </c>
      <c r="I443" s="110">
        <v>1551.8820000000001</v>
      </c>
      <c r="J443" s="110">
        <v>1363.2760000000001</v>
      </c>
      <c r="K443" s="110">
        <v>1205.806</v>
      </c>
      <c r="L443" s="110">
        <v>1069.4110000000001</v>
      </c>
      <c r="M443" s="110">
        <v>907.41899999999998</v>
      </c>
      <c r="N443" s="110">
        <v>745.82500000000005</v>
      </c>
      <c r="O443" s="110">
        <v>619.93600000000004</v>
      </c>
      <c r="P443" s="110">
        <v>514.59100000000001</v>
      </c>
      <c r="Q443" s="110">
        <v>420.14600000000002</v>
      </c>
      <c r="R443" s="110">
        <v>322.37200000000001</v>
      </c>
      <c r="S443" s="110">
        <v>229.88499999999999</v>
      </c>
      <c r="T443" s="110">
        <v>167.024</v>
      </c>
      <c r="U443" s="110">
        <v>121.813</v>
      </c>
      <c r="V443" s="110">
        <v>87.158000000000001</v>
      </c>
      <c r="W443" s="110">
        <v>58.023000000000003</v>
      </c>
      <c r="X443" s="110">
        <v>33.11</v>
      </c>
      <c r="Y443" s="110">
        <v>14.351000000000001</v>
      </c>
      <c r="Z443" s="110">
        <v>4.2489999999999997</v>
      </c>
      <c r="AA443" s="110">
        <v>0.69099999999999995</v>
      </c>
      <c r="AB443" s="110">
        <v>5.6000000000000001E-2</v>
      </c>
      <c r="AC443" s="115">
        <f t="shared" si="18"/>
        <v>5483.134</v>
      </c>
      <c r="AD443">
        <f t="shared" si="19"/>
        <v>1.0300135572244677</v>
      </c>
    </row>
    <row r="444" spans="1:30" x14ac:dyDescent="0.25">
      <c r="A444" s="104" t="str">
        <f t="shared" si="17"/>
        <v>Zambia2027</v>
      </c>
      <c r="C444" s="107" t="s">
        <v>257</v>
      </c>
      <c r="D444" s="108" t="s">
        <v>219</v>
      </c>
      <c r="F444" s="109">
        <v>894</v>
      </c>
      <c r="G444" s="109">
        <v>2027</v>
      </c>
      <c r="H444" s="110">
        <v>1795.4670000000001</v>
      </c>
      <c r="I444" s="110">
        <v>1589.9059999999999</v>
      </c>
      <c r="J444" s="110">
        <v>1397.566</v>
      </c>
      <c r="K444" s="110">
        <v>1232.9179999999999</v>
      </c>
      <c r="L444" s="110">
        <v>1094.2739999999999</v>
      </c>
      <c r="M444" s="110">
        <v>938.7</v>
      </c>
      <c r="N444" s="110">
        <v>773.21500000000003</v>
      </c>
      <c r="O444" s="110">
        <v>639.37099999999998</v>
      </c>
      <c r="P444" s="110">
        <v>531.66200000000003</v>
      </c>
      <c r="Q444" s="110">
        <v>435.666</v>
      </c>
      <c r="R444" s="110">
        <v>339.08</v>
      </c>
      <c r="S444" s="110">
        <v>244.011</v>
      </c>
      <c r="T444" s="110">
        <v>174.42699999999999</v>
      </c>
      <c r="U444" s="110">
        <v>126.76900000000001</v>
      </c>
      <c r="V444" s="110">
        <v>89.817999999999998</v>
      </c>
      <c r="W444" s="110">
        <v>59.598999999999997</v>
      </c>
      <c r="X444" s="110">
        <v>34.085999999999999</v>
      </c>
      <c r="Y444" s="110">
        <v>15.087</v>
      </c>
      <c r="Z444" s="110">
        <v>4.5940000000000003</v>
      </c>
      <c r="AA444" s="110">
        <v>0.85199999999999998</v>
      </c>
      <c r="AB444" s="110">
        <v>5.8999999999999997E-2</v>
      </c>
      <c r="AC444" s="115">
        <f t="shared" si="18"/>
        <v>5645.8060000000005</v>
      </c>
      <c r="AD444">
        <f t="shared" si="19"/>
        <v>1.0296677046375304</v>
      </c>
    </row>
    <row r="445" spans="1:30" x14ac:dyDescent="0.25">
      <c r="A445" s="104" t="str">
        <f t="shared" si="17"/>
        <v>Zambia2028</v>
      </c>
      <c r="C445" s="107" t="s">
        <v>257</v>
      </c>
      <c r="D445" s="108" t="s">
        <v>219</v>
      </c>
      <c r="F445" s="109">
        <v>894</v>
      </c>
      <c r="G445" s="109">
        <v>2028</v>
      </c>
      <c r="H445" s="110">
        <v>1832.3240000000001</v>
      </c>
      <c r="I445" s="110">
        <v>1627.7339999999999</v>
      </c>
      <c r="J445" s="110">
        <v>1433.3040000000001</v>
      </c>
      <c r="K445" s="110">
        <v>1261.4359999999999</v>
      </c>
      <c r="L445" s="110">
        <v>1118.3030000000001</v>
      </c>
      <c r="M445" s="110">
        <v>969.88099999999997</v>
      </c>
      <c r="N445" s="110">
        <v>802.02200000000005</v>
      </c>
      <c r="O445" s="110">
        <v>659.77</v>
      </c>
      <c r="P445" s="110">
        <v>549.27099999999996</v>
      </c>
      <c r="Q445" s="110">
        <v>451.06099999999998</v>
      </c>
      <c r="R445" s="110">
        <v>355.84300000000002</v>
      </c>
      <c r="S445" s="110">
        <v>259.24700000000001</v>
      </c>
      <c r="T445" s="110">
        <v>182.684</v>
      </c>
      <c r="U445" s="110">
        <v>132.36000000000001</v>
      </c>
      <c r="V445" s="110">
        <v>92.882999999999996</v>
      </c>
      <c r="W445" s="110">
        <v>61.399000000000001</v>
      </c>
      <c r="X445" s="110">
        <v>35.021000000000001</v>
      </c>
      <c r="Y445" s="110">
        <v>15.539</v>
      </c>
      <c r="Z445" s="110">
        <v>4.79</v>
      </c>
      <c r="AA445" s="110">
        <v>0.97199999999999998</v>
      </c>
      <c r="AB445" s="110">
        <v>6.0999999999999999E-2</v>
      </c>
      <c r="AC445" s="115">
        <f t="shared" si="18"/>
        <v>5811.7439999999997</v>
      </c>
      <c r="AD445">
        <f t="shared" si="19"/>
        <v>1.0293913747656223</v>
      </c>
    </row>
    <row r="446" spans="1:30" x14ac:dyDescent="0.25">
      <c r="A446" s="104" t="str">
        <f t="shared" si="17"/>
        <v>Zambia2029</v>
      </c>
      <c r="C446" s="107" t="s">
        <v>257</v>
      </c>
      <c r="D446" s="108" t="s">
        <v>219</v>
      </c>
      <c r="F446" s="109">
        <v>894</v>
      </c>
      <c r="G446" s="109">
        <v>2029</v>
      </c>
      <c r="H446" s="110">
        <v>1868.799</v>
      </c>
      <c r="I446" s="110">
        <v>1665.1110000000001</v>
      </c>
      <c r="J446" s="110">
        <v>1469.854</v>
      </c>
      <c r="K446" s="110">
        <v>1291.4680000000001</v>
      </c>
      <c r="L446" s="110">
        <v>1142.713</v>
      </c>
      <c r="M446" s="110">
        <v>999.95600000000002</v>
      </c>
      <c r="N446" s="110">
        <v>831.71100000000001</v>
      </c>
      <c r="O446" s="110">
        <v>681.75400000000002</v>
      </c>
      <c r="P446" s="110">
        <v>567.33000000000004</v>
      </c>
      <c r="Q446" s="110">
        <v>466.68799999999999</v>
      </c>
      <c r="R446" s="110">
        <v>372.40600000000001</v>
      </c>
      <c r="S446" s="110">
        <v>275.03899999999999</v>
      </c>
      <c r="T446" s="110">
        <v>192.27199999999999</v>
      </c>
      <c r="U446" s="110">
        <v>138.50399999999999</v>
      </c>
      <c r="V446" s="110">
        <v>96.448999999999998</v>
      </c>
      <c r="W446" s="110">
        <v>63.466000000000001</v>
      </c>
      <c r="X446" s="110">
        <v>35.984999999999999</v>
      </c>
      <c r="Y446" s="110">
        <v>15.805999999999999</v>
      </c>
      <c r="Z446" s="110">
        <v>4.7709999999999999</v>
      </c>
      <c r="AA446" s="110">
        <v>0.96499999999999997</v>
      </c>
      <c r="AB446" s="110">
        <v>6.5000000000000002E-2</v>
      </c>
      <c r="AC446" s="115">
        <f t="shared" si="18"/>
        <v>5981.62</v>
      </c>
      <c r="AD446">
        <f t="shared" si="19"/>
        <v>1.0292297802518486</v>
      </c>
    </row>
    <row r="447" spans="1:30" x14ac:dyDescent="0.25">
      <c r="A447" s="104" t="str">
        <f t="shared" si="17"/>
        <v>Zambia2030</v>
      </c>
      <c r="C447" s="107" t="s">
        <v>257</v>
      </c>
      <c r="D447" s="108" t="s">
        <v>219</v>
      </c>
      <c r="F447" s="109">
        <v>894</v>
      </c>
      <c r="G447" s="109">
        <v>2030</v>
      </c>
      <c r="H447" s="110">
        <v>1905.1210000000001</v>
      </c>
      <c r="I447" s="110">
        <v>1701.865</v>
      </c>
      <c r="J447" s="110">
        <v>1506.6030000000001</v>
      </c>
      <c r="K447" s="110">
        <v>1323.0419999999999</v>
      </c>
      <c r="L447" s="110">
        <v>1168.3219999999999</v>
      </c>
      <c r="M447" s="110">
        <v>1028.3679999999999</v>
      </c>
      <c r="N447" s="110">
        <v>861.86699999999996</v>
      </c>
      <c r="O447" s="110">
        <v>705.64700000000005</v>
      </c>
      <c r="P447" s="110">
        <v>585.84100000000001</v>
      </c>
      <c r="Q447" s="110">
        <v>482.77600000000001</v>
      </c>
      <c r="R447" s="110">
        <v>388.63099999999997</v>
      </c>
      <c r="S447" s="110">
        <v>291.03399999999999</v>
      </c>
      <c r="T447" s="110">
        <v>203.42599999999999</v>
      </c>
      <c r="U447" s="110">
        <v>145.17500000000001</v>
      </c>
      <c r="V447" s="110">
        <v>100.575</v>
      </c>
      <c r="W447" s="110">
        <v>65.822000000000003</v>
      </c>
      <c r="X447" s="110">
        <v>37.042999999999999</v>
      </c>
      <c r="Y447" s="110">
        <v>15.944000000000001</v>
      </c>
      <c r="Z447" s="110">
        <v>4.5289999999999999</v>
      </c>
      <c r="AA447" s="110">
        <v>0.75800000000000001</v>
      </c>
      <c r="AB447" s="110">
        <v>6.8000000000000005E-2</v>
      </c>
      <c r="AC447" s="115">
        <f t="shared" si="18"/>
        <v>6155.8629999999994</v>
      </c>
      <c r="AD447">
        <f t="shared" si="19"/>
        <v>1.0291297340854149</v>
      </c>
    </row>
    <row r="448" spans="1:30" x14ac:dyDescent="0.25">
      <c r="A448" s="104" t="str">
        <f t="shared" si="17"/>
        <v>Zambia2031</v>
      </c>
      <c r="C448" s="107" t="s">
        <v>257</v>
      </c>
      <c r="D448" s="108" t="s">
        <v>219</v>
      </c>
      <c r="F448" s="109">
        <v>894</v>
      </c>
      <c r="G448" s="109">
        <v>2031</v>
      </c>
      <c r="H448" s="110">
        <v>1942.297</v>
      </c>
      <c r="I448" s="110">
        <v>1740.37</v>
      </c>
      <c r="J448" s="110">
        <v>1543.6379999999999</v>
      </c>
      <c r="K448" s="110">
        <v>1355.5219999999999</v>
      </c>
      <c r="L448" s="110">
        <v>1194.453</v>
      </c>
      <c r="M448" s="110">
        <v>1055.047</v>
      </c>
      <c r="N448" s="110">
        <v>892.44600000000003</v>
      </c>
      <c r="O448" s="110">
        <v>731.09799999999996</v>
      </c>
      <c r="P448" s="110">
        <v>604.75599999999997</v>
      </c>
      <c r="Q448" s="110">
        <v>499.06599999999997</v>
      </c>
      <c r="R448" s="110">
        <v>404.16699999999997</v>
      </c>
      <c r="S448" s="110">
        <v>306.78899999999999</v>
      </c>
      <c r="T448" s="110">
        <v>215.191</v>
      </c>
      <c r="U448" s="110">
        <v>151.40299999999999</v>
      </c>
      <c r="V448" s="110">
        <v>104.32899999999999</v>
      </c>
      <c r="W448" s="110">
        <v>67.784000000000006</v>
      </c>
      <c r="X448" s="110">
        <v>38.375</v>
      </c>
      <c r="Y448" s="110">
        <v>17.001999999999999</v>
      </c>
      <c r="Z448" s="110">
        <v>5.1740000000000004</v>
      </c>
      <c r="AA448" s="110">
        <v>0.86899999999999999</v>
      </c>
      <c r="AB448" s="110">
        <v>7.1999999999999995E-2</v>
      </c>
      <c r="AC448" s="115">
        <f t="shared" si="18"/>
        <v>6332.3879999999999</v>
      </c>
      <c r="AD448">
        <f t="shared" si="19"/>
        <v>1.0286759143275281</v>
      </c>
    </row>
    <row r="449" spans="1:30" x14ac:dyDescent="0.25">
      <c r="A449" s="104" t="str">
        <f t="shared" si="17"/>
        <v>Zambia2032</v>
      </c>
      <c r="C449" s="107" t="s">
        <v>257</v>
      </c>
      <c r="D449" s="108" t="s">
        <v>219</v>
      </c>
      <c r="F449" s="109">
        <v>894</v>
      </c>
      <c r="G449" s="109">
        <v>2032</v>
      </c>
      <c r="H449" s="110">
        <v>1978.307</v>
      </c>
      <c r="I449" s="110">
        <v>1778.501</v>
      </c>
      <c r="J449" s="110">
        <v>1581.1759999999999</v>
      </c>
      <c r="K449" s="110">
        <v>1389.7729999999999</v>
      </c>
      <c r="L449" s="110">
        <v>1221.675</v>
      </c>
      <c r="M449" s="110">
        <v>1080.0519999999999</v>
      </c>
      <c r="N449" s="110">
        <v>923.63</v>
      </c>
      <c r="O449" s="110">
        <v>758.3</v>
      </c>
      <c r="P449" s="110">
        <v>624.17700000000002</v>
      </c>
      <c r="Q449" s="110">
        <v>515.971</v>
      </c>
      <c r="R449" s="110">
        <v>419.41199999999998</v>
      </c>
      <c r="S449" s="110">
        <v>322.89</v>
      </c>
      <c r="T449" s="110">
        <v>228.464</v>
      </c>
      <c r="U449" s="110">
        <v>158.166</v>
      </c>
      <c r="V449" s="110">
        <v>108.68600000000001</v>
      </c>
      <c r="W449" s="110">
        <v>69.950999999999993</v>
      </c>
      <c r="X449" s="110">
        <v>39.637</v>
      </c>
      <c r="Y449" s="110">
        <v>17.785</v>
      </c>
      <c r="Z449" s="110">
        <v>5.5940000000000003</v>
      </c>
      <c r="AA449" s="110">
        <v>1.0609999999999999</v>
      </c>
      <c r="AB449" s="110">
        <v>7.5999999999999998E-2</v>
      </c>
      <c r="AC449" s="115">
        <f t="shared" si="18"/>
        <v>6513.5779999999995</v>
      </c>
      <c r="AD449">
        <f t="shared" si="19"/>
        <v>1.0286132182677372</v>
      </c>
    </row>
    <row r="450" spans="1:30" x14ac:dyDescent="0.25">
      <c r="A450" s="104" t="str">
        <f t="shared" si="17"/>
        <v>Zambia2033</v>
      </c>
      <c r="C450" s="107" t="s">
        <v>257</v>
      </c>
      <c r="D450" s="108" t="s">
        <v>219</v>
      </c>
      <c r="F450" s="109">
        <v>894</v>
      </c>
      <c r="G450" s="109">
        <v>2033</v>
      </c>
      <c r="H450" s="110">
        <v>2013.51</v>
      </c>
      <c r="I450" s="110">
        <v>1815.963</v>
      </c>
      <c r="J450" s="110">
        <v>1619.077</v>
      </c>
      <c r="K450" s="110">
        <v>1425.47</v>
      </c>
      <c r="L450" s="110">
        <v>1250.194</v>
      </c>
      <c r="M450" s="110">
        <v>1104.1179999999999</v>
      </c>
      <c r="N450" s="110">
        <v>954.69600000000003</v>
      </c>
      <c r="O450" s="110">
        <v>786.94399999999996</v>
      </c>
      <c r="P450" s="110">
        <v>644.48900000000003</v>
      </c>
      <c r="Q450" s="110">
        <v>533.47500000000002</v>
      </c>
      <c r="R450" s="110">
        <v>434.58300000000003</v>
      </c>
      <c r="S450" s="110">
        <v>339.11599999999999</v>
      </c>
      <c r="T450" s="110">
        <v>242.911</v>
      </c>
      <c r="U450" s="110">
        <v>165.78800000000001</v>
      </c>
      <c r="V450" s="110">
        <v>113.633</v>
      </c>
      <c r="W450" s="110">
        <v>72.460999999999999</v>
      </c>
      <c r="X450" s="110">
        <v>40.908999999999999</v>
      </c>
      <c r="Y450" s="110">
        <v>18.265000000000001</v>
      </c>
      <c r="Z450" s="110">
        <v>5.8330000000000002</v>
      </c>
      <c r="AA450" s="110">
        <v>1.202</v>
      </c>
      <c r="AB450" s="110">
        <v>0.08</v>
      </c>
      <c r="AC450" s="115">
        <f t="shared" si="18"/>
        <v>6699.3860000000004</v>
      </c>
      <c r="AD450">
        <f t="shared" si="19"/>
        <v>1.0285262569973064</v>
      </c>
    </row>
    <row r="451" spans="1:30" x14ac:dyDescent="0.25">
      <c r="A451" s="104" t="str">
        <f t="shared" si="17"/>
        <v>Zambia2034</v>
      </c>
      <c r="C451" s="107" t="s">
        <v>257</v>
      </c>
      <c r="D451" s="108" t="s">
        <v>219</v>
      </c>
      <c r="F451" s="109">
        <v>894</v>
      </c>
      <c r="G451" s="109">
        <v>2034</v>
      </c>
      <c r="H451" s="110">
        <v>2048.3589999999999</v>
      </c>
      <c r="I451" s="110">
        <v>1852.587</v>
      </c>
      <c r="J451" s="110">
        <v>1657.097</v>
      </c>
      <c r="K451" s="110">
        <v>1462.058</v>
      </c>
      <c r="L451" s="110">
        <v>1280.1759999999999</v>
      </c>
      <c r="M451" s="110">
        <v>1128.4549999999999</v>
      </c>
      <c r="N451" s="110">
        <v>984.64599999999996</v>
      </c>
      <c r="O451" s="110">
        <v>816.5</v>
      </c>
      <c r="P451" s="110">
        <v>666.30799999999999</v>
      </c>
      <c r="Q451" s="110">
        <v>551.47900000000004</v>
      </c>
      <c r="R451" s="110">
        <v>450.02199999999999</v>
      </c>
      <c r="S451" s="110">
        <v>355.214</v>
      </c>
      <c r="T451" s="110">
        <v>258.02699999999999</v>
      </c>
      <c r="U451" s="110">
        <v>174.733</v>
      </c>
      <c r="V451" s="110">
        <v>119.119</v>
      </c>
      <c r="W451" s="110">
        <v>75.424999999999997</v>
      </c>
      <c r="X451" s="110">
        <v>42.25</v>
      </c>
      <c r="Y451" s="110">
        <v>18.588000000000001</v>
      </c>
      <c r="Z451" s="110">
        <v>5.8120000000000003</v>
      </c>
      <c r="AA451" s="110">
        <v>1.194</v>
      </c>
      <c r="AB451" s="110">
        <v>8.4000000000000005E-2</v>
      </c>
      <c r="AC451" s="115">
        <f t="shared" si="18"/>
        <v>6889.6220000000003</v>
      </c>
      <c r="AD451">
        <f t="shared" si="19"/>
        <v>1.028396035099336</v>
      </c>
    </row>
    <row r="452" spans="1:30" x14ac:dyDescent="0.25">
      <c r="A452" s="104" t="str">
        <f t="shared" si="17"/>
        <v>Zambia2035</v>
      </c>
      <c r="C452" s="107" t="s">
        <v>257</v>
      </c>
      <c r="D452" s="108" t="s">
        <v>219</v>
      </c>
      <c r="F452" s="109">
        <v>894</v>
      </c>
      <c r="G452" s="109">
        <v>2035</v>
      </c>
      <c r="H452" s="110">
        <v>2083.299</v>
      </c>
      <c r="I452" s="110">
        <v>1888.3119999999999</v>
      </c>
      <c r="J452" s="110">
        <v>1694.88</v>
      </c>
      <c r="K452" s="110">
        <v>1499.125</v>
      </c>
      <c r="L452" s="110">
        <v>1311.7170000000001</v>
      </c>
      <c r="M452" s="110">
        <v>1153.902</v>
      </c>
      <c r="N452" s="110">
        <v>1012.908</v>
      </c>
      <c r="O452" s="110">
        <v>846.53200000000004</v>
      </c>
      <c r="P452" s="110">
        <v>690.00300000000004</v>
      </c>
      <c r="Q452" s="110">
        <v>569.94899999999996</v>
      </c>
      <c r="R452" s="110">
        <v>465.959</v>
      </c>
      <c r="S452" s="110">
        <v>371.053</v>
      </c>
      <c r="T452" s="110">
        <v>273.45400000000001</v>
      </c>
      <c r="U452" s="110">
        <v>185.24799999999999</v>
      </c>
      <c r="V452" s="110">
        <v>125.154</v>
      </c>
      <c r="W452" s="110">
        <v>78.900000000000006</v>
      </c>
      <c r="X452" s="110">
        <v>43.732999999999997</v>
      </c>
      <c r="Y452" s="110">
        <v>18.821000000000002</v>
      </c>
      <c r="Z452" s="110">
        <v>5.5309999999999997</v>
      </c>
      <c r="AA452" s="110">
        <v>0.94899999999999995</v>
      </c>
      <c r="AB452" s="110">
        <v>8.8999999999999996E-2</v>
      </c>
      <c r="AC452" s="115">
        <f t="shared" si="18"/>
        <v>7084.1359999999995</v>
      </c>
      <c r="AD452">
        <f t="shared" si="19"/>
        <v>1.0282328986989415</v>
      </c>
    </row>
    <row r="453" spans="1:30" x14ac:dyDescent="0.25">
      <c r="A453" s="104" t="str">
        <f t="shared" si="17"/>
        <v>Zambia2036</v>
      </c>
      <c r="C453" s="107" t="s">
        <v>257</v>
      </c>
      <c r="D453" s="108" t="s">
        <v>219</v>
      </c>
      <c r="F453" s="109">
        <v>894</v>
      </c>
      <c r="G453" s="109">
        <v>2036</v>
      </c>
      <c r="H453" s="110">
        <v>2119.2840000000001</v>
      </c>
      <c r="I453" s="110">
        <v>1925.6010000000001</v>
      </c>
      <c r="J453" s="110">
        <v>1732.568</v>
      </c>
      <c r="K453" s="110">
        <v>1536.0989999999999</v>
      </c>
      <c r="L453" s="110">
        <v>1344.414</v>
      </c>
      <c r="M453" s="110">
        <v>1180.317</v>
      </c>
      <c r="N453" s="110">
        <v>1039.6379999999999</v>
      </c>
      <c r="O453" s="110">
        <v>876.90899999999999</v>
      </c>
      <c r="P453" s="110">
        <v>715.35799999999995</v>
      </c>
      <c r="Q453" s="110">
        <v>588.65</v>
      </c>
      <c r="R453" s="110">
        <v>482.012</v>
      </c>
      <c r="S453" s="110">
        <v>386.08100000000002</v>
      </c>
      <c r="T453" s="110">
        <v>288.173</v>
      </c>
      <c r="U453" s="110">
        <v>195.99199999999999</v>
      </c>
      <c r="V453" s="110">
        <v>130.58799999999999</v>
      </c>
      <c r="W453" s="110">
        <v>82.058000000000007</v>
      </c>
      <c r="X453" s="110">
        <v>45.509</v>
      </c>
      <c r="Y453" s="110">
        <v>20.100000000000001</v>
      </c>
      <c r="Z453" s="110">
        <v>6.2720000000000002</v>
      </c>
      <c r="AA453" s="110">
        <v>1.0880000000000001</v>
      </c>
      <c r="AB453" s="110">
        <v>9.4E-2</v>
      </c>
      <c r="AC453" s="115">
        <f t="shared" si="18"/>
        <v>7281.3849999999993</v>
      </c>
      <c r="AD453">
        <f t="shared" si="19"/>
        <v>1.0278437624574119</v>
      </c>
    </row>
    <row r="454" spans="1:30" x14ac:dyDescent="0.25">
      <c r="A454" s="104" t="str">
        <f t="shared" si="17"/>
        <v>Zambia2037</v>
      </c>
      <c r="C454" s="107" t="s">
        <v>257</v>
      </c>
      <c r="D454" s="108" t="s">
        <v>219</v>
      </c>
      <c r="F454" s="109">
        <v>894</v>
      </c>
      <c r="G454" s="109">
        <v>2037</v>
      </c>
      <c r="H454" s="110">
        <v>2154.5819999999999</v>
      </c>
      <c r="I454" s="110">
        <v>1962.306</v>
      </c>
      <c r="J454" s="110">
        <v>1770.204</v>
      </c>
      <c r="K454" s="110">
        <v>1573.587</v>
      </c>
      <c r="L454" s="110">
        <v>1378.7370000000001</v>
      </c>
      <c r="M454" s="110">
        <v>1207.7139999999999</v>
      </c>
      <c r="N454" s="110">
        <v>1064.711</v>
      </c>
      <c r="O454" s="110">
        <v>907.90899999999999</v>
      </c>
      <c r="P454" s="110">
        <v>742.43399999999997</v>
      </c>
      <c r="Q454" s="110">
        <v>607.88599999999997</v>
      </c>
      <c r="R454" s="110">
        <v>498.71</v>
      </c>
      <c r="S454" s="110">
        <v>400.94600000000003</v>
      </c>
      <c r="T454" s="110">
        <v>303.392</v>
      </c>
      <c r="U454" s="110">
        <v>208.19</v>
      </c>
      <c r="V454" s="110">
        <v>136.50800000000001</v>
      </c>
      <c r="W454" s="110">
        <v>85.644000000000005</v>
      </c>
      <c r="X454" s="110">
        <v>47.241</v>
      </c>
      <c r="Y454" s="110">
        <v>21.103000000000002</v>
      </c>
      <c r="Z454" s="110">
        <v>6.75</v>
      </c>
      <c r="AA454" s="110">
        <v>1.325</v>
      </c>
      <c r="AB454" s="110">
        <v>9.9000000000000005E-2</v>
      </c>
      <c r="AC454" s="115">
        <f t="shared" si="18"/>
        <v>7482.978000000001</v>
      </c>
      <c r="AD454">
        <f t="shared" si="19"/>
        <v>1.0276860789533862</v>
      </c>
    </row>
    <row r="455" spans="1:30" x14ac:dyDescent="0.25">
      <c r="A455" s="104" t="str">
        <f t="shared" si="17"/>
        <v>Zambia2038</v>
      </c>
      <c r="C455" s="107" t="s">
        <v>257</v>
      </c>
      <c r="D455" s="108" t="s">
        <v>219</v>
      </c>
      <c r="F455" s="109">
        <v>894</v>
      </c>
      <c r="G455" s="109">
        <v>2038</v>
      </c>
      <c r="H455" s="110">
        <v>2189.5430000000001</v>
      </c>
      <c r="I455" s="110">
        <v>1998.2339999999999</v>
      </c>
      <c r="J455" s="110">
        <v>1807.7249999999999</v>
      </c>
      <c r="K455" s="110">
        <v>1611.451</v>
      </c>
      <c r="L455" s="110">
        <v>1414.394</v>
      </c>
      <c r="M455" s="110">
        <v>1236.28</v>
      </c>
      <c r="N455" s="110">
        <v>1088.8440000000001</v>
      </c>
      <c r="O455" s="110">
        <v>938.86300000000006</v>
      </c>
      <c r="P455" s="110">
        <v>770.87900000000002</v>
      </c>
      <c r="Q455" s="110">
        <v>628.07100000000003</v>
      </c>
      <c r="R455" s="110">
        <v>516.02300000000002</v>
      </c>
      <c r="S455" s="110">
        <v>415.81700000000001</v>
      </c>
      <c r="T455" s="110">
        <v>318.947</v>
      </c>
      <c r="U455" s="110">
        <v>221.55199999999999</v>
      </c>
      <c r="V455" s="110">
        <v>143.238</v>
      </c>
      <c r="W455" s="110">
        <v>89.718000000000004</v>
      </c>
      <c r="X455" s="110">
        <v>49.061999999999998</v>
      </c>
      <c r="Y455" s="110">
        <v>21.803000000000001</v>
      </c>
      <c r="Z455" s="110">
        <v>7.0309999999999997</v>
      </c>
      <c r="AA455" s="110">
        <v>1.504</v>
      </c>
      <c r="AB455" s="110">
        <v>0.104</v>
      </c>
      <c r="AC455" s="115">
        <f t="shared" si="18"/>
        <v>7688.7820000000002</v>
      </c>
      <c r="AD455">
        <f t="shared" si="19"/>
        <v>1.0275029540378176</v>
      </c>
    </row>
    <row r="456" spans="1:30" x14ac:dyDescent="0.25">
      <c r="A456" s="104" t="str">
        <f t="shared" si="17"/>
        <v>Zambia2039</v>
      </c>
      <c r="C456" s="107" t="s">
        <v>257</v>
      </c>
      <c r="D456" s="108" t="s">
        <v>219</v>
      </c>
      <c r="F456" s="109">
        <v>894</v>
      </c>
      <c r="G456" s="109">
        <v>2039</v>
      </c>
      <c r="H456" s="110">
        <v>2224.5790000000002</v>
      </c>
      <c r="I456" s="110">
        <v>2033.3620000000001</v>
      </c>
      <c r="J456" s="110">
        <v>1844.9749999999999</v>
      </c>
      <c r="K456" s="110">
        <v>1649.519</v>
      </c>
      <c r="L456" s="110">
        <v>1450.894</v>
      </c>
      <c r="M456" s="110">
        <v>1266.1880000000001</v>
      </c>
      <c r="N456" s="110">
        <v>1113.223</v>
      </c>
      <c r="O456" s="110">
        <v>968.78099999999995</v>
      </c>
      <c r="P456" s="110">
        <v>800.18799999999999</v>
      </c>
      <c r="Q456" s="110">
        <v>649.80899999999997</v>
      </c>
      <c r="R456" s="110">
        <v>533.85699999999997</v>
      </c>
      <c r="S456" s="110">
        <v>431.01</v>
      </c>
      <c r="T456" s="110">
        <v>334.57600000000002</v>
      </c>
      <c r="U456" s="110">
        <v>235.64099999999999</v>
      </c>
      <c r="V456" s="110">
        <v>151.24299999999999</v>
      </c>
      <c r="W456" s="110">
        <v>94.28</v>
      </c>
      <c r="X456" s="110">
        <v>51.091000000000001</v>
      </c>
      <c r="Y456" s="110">
        <v>22.353000000000002</v>
      </c>
      <c r="Z456" s="110">
        <v>7.0339999999999998</v>
      </c>
      <c r="AA456" s="110">
        <v>1.496</v>
      </c>
      <c r="AB456" s="110">
        <v>0.11</v>
      </c>
      <c r="AC456" s="115">
        <f t="shared" si="18"/>
        <v>7898.6020000000008</v>
      </c>
      <c r="AD456">
        <f t="shared" si="19"/>
        <v>1.0272891076896185</v>
      </c>
    </row>
    <row r="457" spans="1:30" x14ac:dyDescent="0.25">
      <c r="A457" s="104" t="str">
        <f t="shared" si="17"/>
        <v>Zambia2040</v>
      </c>
      <c r="C457" s="107" t="s">
        <v>257</v>
      </c>
      <c r="D457" s="108" t="s">
        <v>219</v>
      </c>
      <c r="F457" s="109">
        <v>894</v>
      </c>
      <c r="G457" s="109">
        <v>2040</v>
      </c>
      <c r="H457" s="110">
        <v>2260.1129999999998</v>
      </c>
      <c r="I457" s="110">
        <v>2067.7750000000001</v>
      </c>
      <c r="J457" s="110">
        <v>1881.67</v>
      </c>
      <c r="K457" s="110">
        <v>1687.616</v>
      </c>
      <c r="L457" s="110">
        <v>1487.896</v>
      </c>
      <c r="M457" s="110">
        <v>1297.5550000000001</v>
      </c>
      <c r="N457" s="110">
        <v>1138.6469999999999</v>
      </c>
      <c r="O457" s="110">
        <v>997.05399999999997</v>
      </c>
      <c r="P457" s="110">
        <v>829.97900000000004</v>
      </c>
      <c r="Q457" s="110">
        <v>673.41600000000005</v>
      </c>
      <c r="R457" s="110">
        <v>552.18600000000004</v>
      </c>
      <c r="S457" s="110">
        <v>446.74900000000002</v>
      </c>
      <c r="T457" s="110">
        <v>350.09500000000003</v>
      </c>
      <c r="U457" s="110">
        <v>250.19200000000001</v>
      </c>
      <c r="V457" s="110">
        <v>160.77199999999999</v>
      </c>
      <c r="W457" s="110">
        <v>99.343000000000004</v>
      </c>
      <c r="X457" s="110">
        <v>53.432000000000002</v>
      </c>
      <c r="Y457" s="110">
        <v>22.835999999999999</v>
      </c>
      <c r="Z457" s="110">
        <v>6.7690000000000001</v>
      </c>
      <c r="AA457" s="110">
        <v>1.2090000000000001</v>
      </c>
      <c r="AB457" s="110">
        <v>0.11600000000000001</v>
      </c>
      <c r="AC457" s="115">
        <f t="shared" si="18"/>
        <v>8112.1630000000005</v>
      </c>
      <c r="AD457">
        <f t="shared" si="19"/>
        <v>1.0270378226425385</v>
      </c>
    </row>
    <row r="458" spans="1:30" x14ac:dyDescent="0.25">
      <c r="A458" s="104" t="str">
        <f t="shared" si="17"/>
        <v>Zambia2041</v>
      </c>
      <c r="C458" s="107" t="s">
        <v>257</v>
      </c>
      <c r="D458" s="108" t="s">
        <v>219</v>
      </c>
      <c r="F458" s="109">
        <v>894</v>
      </c>
      <c r="G458" s="109">
        <v>2041</v>
      </c>
      <c r="H458" s="110">
        <v>2297.386</v>
      </c>
      <c r="I458" s="110">
        <v>2104.0639999999999</v>
      </c>
      <c r="J458" s="110">
        <v>1918.164</v>
      </c>
      <c r="K458" s="110">
        <v>1725.2380000000001</v>
      </c>
      <c r="L458" s="110">
        <v>1525.0820000000001</v>
      </c>
      <c r="M458" s="110">
        <v>1330.51</v>
      </c>
      <c r="N458" s="110">
        <v>1165.193</v>
      </c>
      <c r="O458" s="110">
        <v>1023.6950000000001</v>
      </c>
      <c r="P458" s="110">
        <v>860.22</v>
      </c>
      <c r="Q458" s="110">
        <v>698.44399999999996</v>
      </c>
      <c r="R458" s="110">
        <v>570.63300000000004</v>
      </c>
      <c r="S458" s="110">
        <v>462.399</v>
      </c>
      <c r="T458" s="110">
        <v>364.23</v>
      </c>
      <c r="U458" s="110">
        <v>263.65600000000001</v>
      </c>
      <c r="V458" s="110">
        <v>170.202</v>
      </c>
      <c r="W458" s="110">
        <v>103.836</v>
      </c>
      <c r="X458" s="110">
        <v>56.136000000000003</v>
      </c>
      <c r="Y458" s="110">
        <v>24.459</v>
      </c>
      <c r="Z458" s="110">
        <v>7.67</v>
      </c>
      <c r="AA458" s="110">
        <v>1.381</v>
      </c>
      <c r="AB458" s="110">
        <v>0.123</v>
      </c>
      <c r="AC458" s="115">
        <f t="shared" si="18"/>
        <v>8328.3819999999996</v>
      </c>
      <c r="AD458">
        <f t="shared" si="19"/>
        <v>1.0266536804055835</v>
      </c>
    </row>
    <row r="459" spans="1:30" x14ac:dyDescent="0.25">
      <c r="A459" s="104" t="str">
        <f t="shared" si="17"/>
        <v>Zambia2042</v>
      </c>
      <c r="C459" s="107" t="s">
        <v>257</v>
      </c>
      <c r="D459" s="108" t="s">
        <v>219</v>
      </c>
      <c r="F459" s="109">
        <v>894</v>
      </c>
      <c r="G459" s="109">
        <v>2042</v>
      </c>
      <c r="H459" s="110">
        <v>2334.4259999999999</v>
      </c>
      <c r="I459" s="110">
        <v>2140.1080000000002</v>
      </c>
      <c r="J459" s="110">
        <v>1954.386</v>
      </c>
      <c r="K459" s="110">
        <v>1762.8219999999999</v>
      </c>
      <c r="L459" s="110">
        <v>1562.65</v>
      </c>
      <c r="M459" s="110">
        <v>1364.971</v>
      </c>
      <c r="N459" s="110">
        <v>1192.703</v>
      </c>
      <c r="O459" s="110">
        <v>1048.741</v>
      </c>
      <c r="P459" s="110">
        <v>891.09199999999998</v>
      </c>
      <c r="Q459" s="110">
        <v>725.19899999999996</v>
      </c>
      <c r="R459" s="110">
        <v>589.64300000000003</v>
      </c>
      <c r="S459" s="110">
        <v>478.78399999999999</v>
      </c>
      <c r="T459" s="110">
        <v>378.41300000000001</v>
      </c>
      <c r="U459" s="110">
        <v>277.745</v>
      </c>
      <c r="V459" s="110">
        <v>180.94499999999999</v>
      </c>
      <c r="W459" s="110">
        <v>108.625</v>
      </c>
      <c r="X459" s="110">
        <v>58.939</v>
      </c>
      <c r="Y459" s="110">
        <v>25.783000000000001</v>
      </c>
      <c r="Z459" s="110">
        <v>8.2799999999999994</v>
      </c>
      <c r="AA459" s="110">
        <v>1.665</v>
      </c>
      <c r="AB459" s="110">
        <v>0.13</v>
      </c>
      <c r="AC459" s="115">
        <f t="shared" si="18"/>
        <v>8548.1779999999981</v>
      </c>
      <c r="AD459">
        <f t="shared" si="19"/>
        <v>1.0263912005957458</v>
      </c>
    </row>
    <row r="460" spans="1:30" x14ac:dyDescent="0.25">
      <c r="A460" s="104" t="str">
        <f t="shared" si="17"/>
        <v>Zambia2043</v>
      </c>
      <c r="C460" s="107" t="s">
        <v>257</v>
      </c>
      <c r="D460" s="108" t="s">
        <v>219</v>
      </c>
      <c r="F460" s="109">
        <v>894</v>
      </c>
      <c r="G460" s="109">
        <v>2043</v>
      </c>
      <c r="H460" s="110">
        <v>2371.3809999999999</v>
      </c>
      <c r="I460" s="110">
        <v>2175.7930000000001</v>
      </c>
      <c r="J460" s="110">
        <v>1990.37</v>
      </c>
      <c r="K460" s="110">
        <v>1800.306</v>
      </c>
      <c r="L460" s="110">
        <v>1600.4829999999999</v>
      </c>
      <c r="M460" s="110">
        <v>1400.626</v>
      </c>
      <c r="N460" s="110">
        <v>1221.3409999999999</v>
      </c>
      <c r="O460" s="110">
        <v>1072.941</v>
      </c>
      <c r="P460" s="110">
        <v>921.88499999999999</v>
      </c>
      <c r="Q460" s="110">
        <v>753.38</v>
      </c>
      <c r="R460" s="110">
        <v>609.60500000000002</v>
      </c>
      <c r="S460" s="110">
        <v>495.82</v>
      </c>
      <c r="T460" s="110">
        <v>392.85399999999998</v>
      </c>
      <c r="U460" s="110">
        <v>292.30700000000002</v>
      </c>
      <c r="V460" s="110">
        <v>192.77600000000001</v>
      </c>
      <c r="W460" s="110">
        <v>114.101</v>
      </c>
      <c r="X460" s="110">
        <v>61.917999999999999</v>
      </c>
      <c r="Y460" s="110">
        <v>26.817</v>
      </c>
      <c r="Z460" s="110">
        <v>8.6769999999999996</v>
      </c>
      <c r="AA460" s="110">
        <v>1.8819999999999999</v>
      </c>
      <c r="AB460" s="110">
        <v>0.13800000000000001</v>
      </c>
      <c r="AC460" s="115">
        <f t="shared" si="18"/>
        <v>8770.9619999999995</v>
      </c>
      <c r="AD460">
        <f t="shared" si="19"/>
        <v>1.0260621620186199</v>
      </c>
    </row>
    <row r="461" spans="1:30" x14ac:dyDescent="0.25">
      <c r="A461" s="104" t="str">
        <f t="shared" si="17"/>
        <v>Zambia2044</v>
      </c>
      <c r="C461" s="107" t="s">
        <v>257</v>
      </c>
      <c r="D461" s="108" t="s">
        <v>219</v>
      </c>
      <c r="F461" s="109">
        <v>894</v>
      </c>
      <c r="G461" s="109">
        <v>2044</v>
      </c>
      <c r="H461" s="110">
        <v>2408.3809999999999</v>
      </c>
      <c r="I461" s="110">
        <v>2211.0880000000002</v>
      </c>
      <c r="J461" s="110">
        <v>2026.13</v>
      </c>
      <c r="K461" s="110">
        <v>1837.597</v>
      </c>
      <c r="L461" s="110">
        <v>1638.463</v>
      </c>
      <c r="M461" s="110">
        <v>1437.0039999999999</v>
      </c>
      <c r="N461" s="110">
        <v>1251.27</v>
      </c>
      <c r="O461" s="110">
        <v>1097.46</v>
      </c>
      <c r="P461" s="110">
        <v>951.62699999999995</v>
      </c>
      <c r="Q461" s="110">
        <v>782.49199999999996</v>
      </c>
      <c r="R461" s="110">
        <v>631.11400000000003</v>
      </c>
      <c r="S461" s="110">
        <v>513.404</v>
      </c>
      <c r="T461" s="110">
        <v>407.83199999999999</v>
      </c>
      <c r="U461" s="110">
        <v>307.10700000000003</v>
      </c>
      <c r="V461" s="110">
        <v>205.37700000000001</v>
      </c>
      <c r="W461" s="110">
        <v>120.72799999999999</v>
      </c>
      <c r="X461" s="110">
        <v>65.096999999999994</v>
      </c>
      <c r="Y461" s="110">
        <v>27.773</v>
      </c>
      <c r="Z461" s="110">
        <v>8.7669999999999995</v>
      </c>
      <c r="AA461" s="110">
        <v>1.8859999999999999</v>
      </c>
      <c r="AB461" s="110">
        <v>0.14699999999999999</v>
      </c>
      <c r="AC461" s="115">
        <f t="shared" si="18"/>
        <v>8995.9130000000005</v>
      </c>
      <c r="AD461">
        <f t="shared" si="19"/>
        <v>1.0256472437116932</v>
      </c>
    </row>
    <row r="462" spans="1:30" x14ac:dyDescent="0.25">
      <c r="A462" s="104" t="str">
        <f t="shared" si="17"/>
        <v>Zambia2045</v>
      </c>
      <c r="C462" s="107" t="s">
        <v>257</v>
      </c>
      <c r="D462" s="108" t="s">
        <v>219</v>
      </c>
      <c r="F462" s="109">
        <v>894</v>
      </c>
      <c r="G462" s="109">
        <v>2045</v>
      </c>
      <c r="H462" s="110">
        <v>2445.652</v>
      </c>
      <c r="I462" s="110">
        <v>2246.0030000000002</v>
      </c>
      <c r="J462" s="110">
        <v>2061.5630000000001</v>
      </c>
      <c r="K462" s="110">
        <v>1874.595</v>
      </c>
      <c r="L462" s="110">
        <v>1676.4860000000001</v>
      </c>
      <c r="M462" s="110">
        <v>1473.7950000000001</v>
      </c>
      <c r="N462" s="110">
        <v>1282.586</v>
      </c>
      <c r="O462" s="110">
        <v>1123.0340000000001</v>
      </c>
      <c r="P462" s="110">
        <v>979.77300000000002</v>
      </c>
      <c r="Q462" s="110">
        <v>812.13</v>
      </c>
      <c r="R462" s="110">
        <v>654.49800000000005</v>
      </c>
      <c r="S462" s="110">
        <v>531.53200000000004</v>
      </c>
      <c r="T462" s="110">
        <v>423.48700000000002</v>
      </c>
      <c r="U462" s="110">
        <v>321.99900000000002</v>
      </c>
      <c r="V462" s="110">
        <v>218.57</v>
      </c>
      <c r="W462" s="110">
        <v>128.74799999999999</v>
      </c>
      <c r="X462" s="110">
        <v>68.56</v>
      </c>
      <c r="Y462" s="110">
        <v>28.763999999999999</v>
      </c>
      <c r="Z462" s="110">
        <v>8.5630000000000006</v>
      </c>
      <c r="AA462" s="110">
        <v>1.56</v>
      </c>
      <c r="AB462" s="110">
        <v>0.156</v>
      </c>
      <c r="AC462" s="115">
        <f t="shared" si="18"/>
        <v>9222.3989999999994</v>
      </c>
      <c r="AD462">
        <f t="shared" si="19"/>
        <v>1.0251765440595078</v>
      </c>
    </row>
    <row r="463" spans="1:30" x14ac:dyDescent="0.25">
      <c r="A463" s="104" t="str">
        <f t="shared" si="17"/>
        <v>Zambia2046</v>
      </c>
      <c r="C463" s="107" t="s">
        <v>257</v>
      </c>
      <c r="D463" s="108" t="s">
        <v>219</v>
      </c>
      <c r="F463" s="109">
        <v>894</v>
      </c>
      <c r="G463" s="109">
        <v>2046</v>
      </c>
      <c r="H463" s="110">
        <v>2485.2939999999999</v>
      </c>
      <c r="I463" s="110">
        <v>2283.1030000000001</v>
      </c>
      <c r="J463" s="110">
        <v>2097.1390000000001</v>
      </c>
      <c r="K463" s="110">
        <v>1910.9449999999999</v>
      </c>
      <c r="L463" s="110">
        <v>1714.259</v>
      </c>
      <c r="M463" s="110">
        <v>1511.163</v>
      </c>
      <c r="N463" s="110">
        <v>1315.576</v>
      </c>
      <c r="O463" s="110">
        <v>1149.501</v>
      </c>
      <c r="P463" s="110">
        <v>1006.362</v>
      </c>
      <c r="Q463" s="110">
        <v>841.94600000000003</v>
      </c>
      <c r="R463" s="110">
        <v>679.12599999999998</v>
      </c>
      <c r="S463" s="110">
        <v>549.52099999999996</v>
      </c>
      <c r="T463" s="110">
        <v>438.30799999999999</v>
      </c>
      <c r="U463" s="110">
        <v>335.04</v>
      </c>
      <c r="V463" s="110">
        <v>230.41</v>
      </c>
      <c r="W463" s="110">
        <v>136.655</v>
      </c>
      <c r="X463" s="110">
        <v>72.212000000000003</v>
      </c>
      <c r="Y463" s="110">
        <v>31.045999999999999</v>
      </c>
      <c r="Z463" s="110">
        <v>9.6910000000000007</v>
      </c>
      <c r="AA463" s="110">
        <v>1.78</v>
      </c>
      <c r="AB463" s="110">
        <v>0.16500000000000001</v>
      </c>
      <c r="AC463" s="115">
        <f t="shared" si="18"/>
        <v>9449.7520000000004</v>
      </c>
      <c r="AD463">
        <f t="shared" si="19"/>
        <v>1.0246522623885608</v>
      </c>
    </row>
    <row r="464" spans="1:30" x14ac:dyDescent="0.25">
      <c r="A464" s="104" t="str">
        <f t="shared" si="17"/>
        <v>Zambia2047</v>
      </c>
      <c r="C464" s="107" t="s">
        <v>257</v>
      </c>
      <c r="D464" s="108" t="s">
        <v>219</v>
      </c>
      <c r="F464" s="109">
        <v>894</v>
      </c>
      <c r="G464" s="109">
        <v>2047</v>
      </c>
      <c r="H464" s="110">
        <v>2523.7429999999999</v>
      </c>
      <c r="I464" s="110">
        <v>2320.5830000000001</v>
      </c>
      <c r="J464" s="110">
        <v>2132.7579999999998</v>
      </c>
      <c r="K464" s="110">
        <v>1947.095</v>
      </c>
      <c r="L464" s="110">
        <v>1751.924</v>
      </c>
      <c r="M464" s="110">
        <v>1548.866</v>
      </c>
      <c r="N464" s="110">
        <v>1350.097</v>
      </c>
      <c r="O464" s="110">
        <v>1177.002</v>
      </c>
      <c r="P464" s="110">
        <v>1031.4459999999999</v>
      </c>
      <c r="Q464" s="110">
        <v>872.47900000000004</v>
      </c>
      <c r="R464" s="110">
        <v>705.50800000000004</v>
      </c>
      <c r="S464" s="110">
        <v>568.19399999999996</v>
      </c>
      <c r="T464" s="110">
        <v>454.05700000000002</v>
      </c>
      <c r="U464" s="110">
        <v>348.33100000000002</v>
      </c>
      <c r="V464" s="110">
        <v>242.94</v>
      </c>
      <c r="W464" s="110">
        <v>145.53399999999999</v>
      </c>
      <c r="X464" s="110">
        <v>75.84</v>
      </c>
      <c r="Y464" s="110">
        <v>33.064</v>
      </c>
      <c r="Z464" s="110">
        <v>10.48</v>
      </c>
      <c r="AA464" s="110">
        <v>2.1440000000000001</v>
      </c>
      <c r="AB464" s="110">
        <v>0.17599999999999999</v>
      </c>
      <c r="AC464" s="115">
        <f t="shared" si="18"/>
        <v>9678.9089999999997</v>
      </c>
      <c r="AD464">
        <f t="shared" si="19"/>
        <v>1.0242500543929618</v>
      </c>
    </row>
    <row r="465" spans="1:30" x14ac:dyDescent="0.25">
      <c r="A465" s="104" t="str">
        <f t="shared" si="17"/>
        <v>Zambia2048</v>
      </c>
      <c r="C465" s="107" t="s">
        <v>257</v>
      </c>
      <c r="D465" s="108" t="s">
        <v>219</v>
      </c>
      <c r="F465" s="109">
        <v>894</v>
      </c>
      <c r="G465" s="109">
        <v>2048</v>
      </c>
      <c r="H465" s="110">
        <v>2561.415</v>
      </c>
      <c r="I465" s="110">
        <v>2358.2539999999999</v>
      </c>
      <c r="J465" s="110">
        <v>2168.433</v>
      </c>
      <c r="K465" s="110">
        <v>1983.0840000000001</v>
      </c>
      <c r="L465" s="110">
        <v>1789.4069999999999</v>
      </c>
      <c r="M465" s="110">
        <v>1586.7339999999999</v>
      </c>
      <c r="N465" s="110">
        <v>1385.799</v>
      </c>
      <c r="O465" s="110">
        <v>1205.7149999999999</v>
      </c>
      <c r="P465" s="110">
        <v>1055.6880000000001</v>
      </c>
      <c r="Q465" s="110">
        <v>903.053</v>
      </c>
      <c r="R465" s="110">
        <v>733.31899999999996</v>
      </c>
      <c r="S465" s="110">
        <v>587.86199999999997</v>
      </c>
      <c r="T465" s="110">
        <v>470.68599999999998</v>
      </c>
      <c r="U465" s="110">
        <v>362.06799999999998</v>
      </c>
      <c r="V465" s="110">
        <v>256.072</v>
      </c>
      <c r="W465" s="110">
        <v>155.28</v>
      </c>
      <c r="X465" s="110">
        <v>79.823999999999998</v>
      </c>
      <c r="Y465" s="110">
        <v>34.765000000000001</v>
      </c>
      <c r="Z465" s="110">
        <v>11.045999999999999</v>
      </c>
      <c r="AA465" s="110">
        <v>2.4289999999999998</v>
      </c>
      <c r="AB465" s="110">
        <v>0.187</v>
      </c>
      <c r="AC465" s="115">
        <f t="shared" si="18"/>
        <v>9909.48</v>
      </c>
      <c r="AD465">
        <f t="shared" si="19"/>
        <v>1.0238220030790661</v>
      </c>
    </row>
    <row r="466" spans="1:30" x14ac:dyDescent="0.25">
      <c r="A466" s="104" t="str">
        <f t="shared" si="17"/>
        <v>Zambia2049</v>
      </c>
      <c r="C466" s="107" t="s">
        <v>257</v>
      </c>
      <c r="D466" s="108" t="s">
        <v>219</v>
      </c>
      <c r="F466" s="109">
        <v>894</v>
      </c>
      <c r="G466" s="109">
        <v>2049</v>
      </c>
      <c r="H466" s="110">
        <v>2598.8679999999999</v>
      </c>
      <c r="I466" s="110">
        <v>2395.7840000000001</v>
      </c>
      <c r="J466" s="110">
        <v>2204.2269999999999</v>
      </c>
      <c r="K466" s="110">
        <v>2018.9480000000001</v>
      </c>
      <c r="L466" s="110">
        <v>1826.624</v>
      </c>
      <c r="M466" s="110">
        <v>1624.615</v>
      </c>
      <c r="N466" s="110">
        <v>1422.1690000000001</v>
      </c>
      <c r="O466" s="110">
        <v>1235.7750000000001</v>
      </c>
      <c r="P466" s="110">
        <v>1080.212</v>
      </c>
      <c r="Q466" s="110">
        <v>932.68899999999996</v>
      </c>
      <c r="R466" s="110">
        <v>762.07100000000003</v>
      </c>
      <c r="S466" s="110">
        <v>609.07500000000005</v>
      </c>
      <c r="T466" s="110">
        <v>488.07799999999997</v>
      </c>
      <c r="U466" s="110">
        <v>376.51</v>
      </c>
      <c r="V466" s="110">
        <v>269.59800000000001</v>
      </c>
      <c r="W466" s="110">
        <v>165.73099999999999</v>
      </c>
      <c r="X466" s="110">
        <v>84.587000000000003</v>
      </c>
      <c r="Y466" s="110">
        <v>36.356000000000002</v>
      </c>
      <c r="Z466" s="110">
        <v>11.275</v>
      </c>
      <c r="AA466" s="110">
        <v>2.452</v>
      </c>
      <c r="AB466" s="110">
        <v>0.19900000000000001</v>
      </c>
      <c r="AC466" s="115">
        <f t="shared" si="18"/>
        <v>10141.031999999999</v>
      </c>
      <c r="AD466">
        <f t="shared" si="19"/>
        <v>1.0233667155087856</v>
      </c>
    </row>
    <row r="467" spans="1:30" x14ac:dyDescent="0.25">
      <c r="A467" s="104" t="str">
        <f t="shared" si="17"/>
        <v>Zambia2050</v>
      </c>
      <c r="C467" s="107" t="s">
        <v>257</v>
      </c>
      <c r="D467" s="108" t="s">
        <v>219</v>
      </c>
      <c r="F467" s="109">
        <v>894</v>
      </c>
      <c r="G467" s="109">
        <v>2050</v>
      </c>
      <c r="H467" s="110">
        <v>2636.6149999999998</v>
      </c>
      <c r="I467" s="110">
        <v>2432.7469999999998</v>
      </c>
      <c r="J467" s="110">
        <v>2240.1770000000001</v>
      </c>
      <c r="K467" s="110">
        <v>2054.692</v>
      </c>
      <c r="L467" s="110">
        <v>1863.5409999999999</v>
      </c>
      <c r="M467" s="110">
        <v>1662.42</v>
      </c>
      <c r="N467" s="110">
        <v>1458.8679999999999</v>
      </c>
      <c r="O467" s="110">
        <v>1267.212</v>
      </c>
      <c r="P467" s="110">
        <v>1105.787</v>
      </c>
      <c r="Q467" s="110">
        <v>960.79899999999998</v>
      </c>
      <c r="R467" s="110">
        <v>791.38400000000001</v>
      </c>
      <c r="S467" s="110">
        <v>632.16200000000003</v>
      </c>
      <c r="T467" s="110">
        <v>506.15100000000001</v>
      </c>
      <c r="U467" s="110">
        <v>391.80500000000001</v>
      </c>
      <c r="V467" s="110">
        <v>283.40300000000002</v>
      </c>
      <c r="W467" s="110">
        <v>176.83500000000001</v>
      </c>
      <c r="X467" s="110">
        <v>90.364000000000004</v>
      </c>
      <c r="Y467" s="110">
        <v>37.942999999999998</v>
      </c>
      <c r="Z467" s="110">
        <v>11.207000000000001</v>
      </c>
      <c r="AA467" s="110">
        <v>2.0710000000000002</v>
      </c>
      <c r="AB467" s="110">
        <v>0.21199999999999999</v>
      </c>
      <c r="AC467" s="115">
        <f t="shared" si="18"/>
        <v>10373.319</v>
      </c>
      <c r="AD467">
        <f t="shared" si="19"/>
        <v>1.0229056569390571</v>
      </c>
    </row>
    <row r="468" spans="1:30" x14ac:dyDescent="0.25">
      <c r="A468" s="104" t="str">
        <f t="shared" si="17"/>
        <v>Zambia2051</v>
      </c>
      <c r="C468" s="107" t="s">
        <v>257</v>
      </c>
      <c r="D468" s="108" t="s">
        <v>219</v>
      </c>
      <c r="F468" s="109">
        <v>894</v>
      </c>
      <c r="G468" s="109">
        <v>2051</v>
      </c>
      <c r="H468" s="110">
        <v>2676.1790000000001</v>
      </c>
      <c r="I468" s="110">
        <v>2471.5230000000001</v>
      </c>
      <c r="J468" s="110">
        <v>2276.9409999999998</v>
      </c>
      <c r="K468" s="110">
        <v>2090.181</v>
      </c>
      <c r="L468" s="110">
        <v>1900.127</v>
      </c>
      <c r="M468" s="110">
        <v>1700.4280000000001</v>
      </c>
      <c r="N468" s="110">
        <v>1496.277</v>
      </c>
      <c r="O468" s="110">
        <v>1300.0840000000001</v>
      </c>
      <c r="P468" s="110">
        <v>1132.3050000000001</v>
      </c>
      <c r="Q468" s="110">
        <v>987.14800000000002</v>
      </c>
      <c r="R468" s="110">
        <v>820.80700000000002</v>
      </c>
      <c r="S468" s="110">
        <v>656.26700000000005</v>
      </c>
      <c r="T468" s="110">
        <v>523.33199999999999</v>
      </c>
      <c r="U468" s="110">
        <v>405.77</v>
      </c>
      <c r="V468" s="110">
        <v>295.16800000000001</v>
      </c>
      <c r="W468" s="110">
        <v>186.96299999999999</v>
      </c>
      <c r="X468" s="110">
        <v>96.850999999999999</v>
      </c>
      <c r="Y468" s="110">
        <v>40.985999999999997</v>
      </c>
      <c r="Z468" s="110">
        <v>12.775</v>
      </c>
      <c r="AA468" s="110">
        <v>2.371</v>
      </c>
      <c r="AB468" s="110">
        <v>0.22700000000000001</v>
      </c>
      <c r="AC468" s="115">
        <f t="shared" si="18"/>
        <v>10606.55</v>
      </c>
      <c r="AD468">
        <f t="shared" si="19"/>
        <v>1.0224837392930846</v>
      </c>
    </row>
    <row r="469" spans="1:30" x14ac:dyDescent="0.25">
      <c r="A469" s="104" t="str">
        <f t="shared" si="17"/>
        <v>Zambia2052</v>
      </c>
      <c r="C469" s="107" t="s">
        <v>257</v>
      </c>
      <c r="D469" s="108" t="s">
        <v>219</v>
      </c>
      <c r="F469" s="109">
        <v>894</v>
      </c>
      <c r="G469" s="109">
        <v>2052</v>
      </c>
      <c r="H469" s="110">
        <v>2714.998</v>
      </c>
      <c r="I469" s="110">
        <v>2510.221</v>
      </c>
      <c r="J469" s="110">
        <v>2314.165</v>
      </c>
      <c r="K469" s="110">
        <v>2125.6329999999998</v>
      </c>
      <c r="L469" s="110">
        <v>1936.355</v>
      </c>
      <c r="M469" s="110">
        <v>1738.2059999999999</v>
      </c>
      <c r="N469" s="110">
        <v>1533.9929999999999</v>
      </c>
      <c r="O469" s="110">
        <v>1334.4860000000001</v>
      </c>
      <c r="P469" s="110">
        <v>1159.829</v>
      </c>
      <c r="Q469" s="110">
        <v>1012.066</v>
      </c>
      <c r="R469" s="110">
        <v>850.976</v>
      </c>
      <c r="S469" s="110">
        <v>682.18499999999995</v>
      </c>
      <c r="T469" s="110">
        <v>541.37800000000004</v>
      </c>
      <c r="U469" s="110">
        <v>420.77100000000002</v>
      </c>
      <c r="V469" s="110">
        <v>307.298</v>
      </c>
      <c r="W469" s="110">
        <v>197.65299999999999</v>
      </c>
      <c r="X469" s="110">
        <v>103.753</v>
      </c>
      <c r="Y469" s="110">
        <v>43.622999999999998</v>
      </c>
      <c r="Z469" s="110">
        <v>13.967000000000001</v>
      </c>
      <c r="AA469" s="110">
        <v>2.86</v>
      </c>
      <c r="AB469" s="110">
        <v>0.24399999999999999</v>
      </c>
      <c r="AC469" s="115">
        <f t="shared" si="18"/>
        <v>10840.568000000001</v>
      </c>
      <c r="AD469">
        <f t="shared" si="19"/>
        <v>1.022063536211115</v>
      </c>
    </row>
    <row r="470" spans="1:30" x14ac:dyDescent="0.25">
      <c r="A470" s="104" t="str">
        <f t="shared" si="17"/>
        <v>Zambia2053</v>
      </c>
      <c r="C470" s="107" t="s">
        <v>257</v>
      </c>
      <c r="D470" s="108" t="s">
        <v>219</v>
      </c>
      <c r="F470" s="109">
        <v>894</v>
      </c>
      <c r="G470" s="109">
        <v>2053</v>
      </c>
      <c r="H470" s="110">
        <v>2753.0770000000002</v>
      </c>
      <c r="I470" s="110">
        <v>2548.627</v>
      </c>
      <c r="J470" s="110">
        <v>2351.712</v>
      </c>
      <c r="K470" s="110">
        <v>2161.1959999999999</v>
      </c>
      <c r="L470" s="110">
        <v>1972.288</v>
      </c>
      <c r="M470" s="110">
        <v>1775.662</v>
      </c>
      <c r="N470" s="110">
        <v>1571.836</v>
      </c>
      <c r="O470" s="110">
        <v>1370.13</v>
      </c>
      <c r="P470" s="110">
        <v>1188.4939999999999</v>
      </c>
      <c r="Q470" s="110">
        <v>1036.2529999999999</v>
      </c>
      <c r="R470" s="110">
        <v>881.21199999999999</v>
      </c>
      <c r="S470" s="110">
        <v>709.53200000000004</v>
      </c>
      <c r="T470" s="110">
        <v>560.64700000000005</v>
      </c>
      <c r="U470" s="110">
        <v>436.76799999999997</v>
      </c>
      <c r="V470" s="110">
        <v>320.04300000000001</v>
      </c>
      <c r="W470" s="110">
        <v>208.89699999999999</v>
      </c>
      <c r="X470" s="110">
        <v>111.078</v>
      </c>
      <c r="Y470" s="110">
        <v>46.027999999999999</v>
      </c>
      <c r="Z470" s="110">
        <v>14.911</v>
      </c>
      <c r="AA470" s="110">
        <v>3.2559999999999998</v>
      </c>
      <c r="AB470" s="110">
        <v>0.26200000000000001</v>
      </c>
      <c r="AC470" s="115">
        <f t="shared" si="18"/>
        <v>11075.859000000002</v>
      </c>
      <c r="AD470">
        <f t="shared" si="19"/>
        <v>1.0217046745152101</v>
      </c>
    </row>
    <row r="471" spans="1:30" x14ac:dyDescent="0.25">
      <c r="A471" s="104" t="str">
        <f t="shared" si="17"/>
        <v>Zambia2054</v>
      </c>
      <c r="C471" s="107" t="s">
        <v>257</v>
      </c>
      <c r="D471" s="108" t="s">
        <v>219</v>
      </c>
      <c r="F471" s="109">
        <v>894</v>
      </c>
      <c r="G471" s="109">
        <v>2054</v>
      </c>
      <c r="H471" s="110">
        <v>2790.201</v>
      </c>
      <c r="I471" s="110">
        <v>2586.558</v>
      </c>
      <c r="J471" s="110">
        <v>2389.3780000000002</v>
      </c>
      <c r="K471" s="110">
        <v>2197.067</v>
      </c>
      <c r="L471" s="110">
        <v>2008.037</v>
      </c>
      <c r="M471" s="110">
        <v>1812.751</v>
      </c>
      <c r="N471" s="110">
        <v>1609.6690000000001</v>
      </c>
      <c r="O471" s="110">
        <v>1406.5329999999999</v>
      </c>
      <c r="P471" s="110">
        <v>1218.46</v>
      </c>
      <c r="Q471" s="110">
        <v>1060.8209999999999</v>
      </c>
      <c r="R471" s="110">
        <v>910.56299999999999</v>
      </c>
      <c r="S471" s="110">
        <v>737.84500000000003</v>
      </c>
      <c r="T471" s="110">
        <v>581.67200000000003</v>
      </c>
      <c r="U471" s="110">
        <v>453.678</v>
      </c>
      <c r="V471" s="110">
        <v>333.66199999999998</v>
      </c>
      <c r="W471" s="110">
        <v>220.566</v>
      </c>
      <c r="X471" s="110">
        <v>118.821</v>
      </c>
      <c r="Y471" s="110">
        <v>48.732999999999997</v>
      </c>
      <c r="Z471" s="110">
        <v>15.446999999999999</v>
      </c>
      <c r="AA471" s="110">
        <v>3.33</v>
      </c>
      <c r="AB471" s="110">
        <v>0.28199999999999997</v>
      </c>
      <c r="AC471" s="115">
        <f t="shared" si="18"/>
        <v>11313.338</v>
      </c>
      <c r="AD471">
        <f t="shared" si="19"/>
        <v>1.0214411360780231</v>
      </c>
    </row>
    <row r="472" spans="1:30" x14ac:dyDescent="0.25">
      <c r="A472" s="104" t="str">
        <f t="shared" si="17"/>
        <v>Zambia2055</v>
      </c>
      <c r="C472" s="107" t="s">
        <v>257</v>
      </c>
      <c r="D472" s="108" t="s">
        <v>219</v>
      </c>
      <c r="F472" s="109">
        <v>894</v>
      </c>
      <c r="G472" s="109">
        <v>2055</v>
      </c>
      <c r="H472" s="110">
        <v>2826.3420000000001</v>
      </c>
      <c r="I472" s="110">
        <v>2623.8220000000001</v>
      </c>
      <c r="J472" s="110">
        <v>2426.9349999999999</v>
      </c>
      <c r="K472" s="110">
        <v>2233.335</v>
      </c>
      <c r="L472" s="110">
        <v>2043.702</v>
      </c>
      <c r="M472" s="110">
        <v>1849.471</v>
      </c>
      <c r="N472" s="110">
        <v>1647.3889999999999</v>
      </c>
      <c r="O472" s="110">
        <v>1443.3140000000001</v>
      </c>
      <c r="P472" s="110">
        <v>1249.83</v>
      </c>
      <c r="Q472" s="110">
        <v>1086.48</v>
      </c>
      <c r="R472" s="110">
        <v>938.47699999999998</v>
      </c>
      <c r="S472" s="110">
        <v>766.78399999999999</v>
      </c>
      <c r="T472" s="110">
        <v>604.69100000000003</v>
      </c>
      <c r="U472" s="110">
        <v>471.48</v>
      </c>
      <c r="V472" s="110">
        <v>348.28399999999999</v>
      </c>
      <c r="W472" s="110">
        <v>232.62299999999999</v>
      </c>
      <c r="X472" s="110">
        <v>127.07</v>
      </c>
      <c r="Y472" s="110">
        <v>51.972999999999999</v>
      </c>
      <c r="Z472" s="110">
        <v>15.622</v>
      </c>
      <c r="AA472" s="110">
        <v>2.9140000000000001</v>
      </c>
      <c r="AB472" s="110">
        <v>0.30499999999999999</v>
      </c>
      <c r="AC472" s="115">
        <f t="shared" si="18"/>
        <v>11553.520999999999</v>
      </c>
      <c r="AD472">
        <f t="shared" si="19"/>
        <v>1.0212300737412776</v>
      </c>
    </row>
    <row r="473" spans="1:30" x14ac:dyDescent="0.25">
      <c r="A473" s="104" t="str">
        <f t="shared" ref="A473:A536" si="20">D473&amp;G473</f>
        <v>Zambia2056</v>
      </c>
      <c r="C473" s="107" t="s">
        <v>257</v>
      </c>
      <c r="D473" s="108" t="s">
        <v>219</v>
      </c>
      <c r="F473" s="109">
        <v>894</v>
      </c>
      <c r="G473" s="109">
        <v>2056</v>
      </c>
      <c r="H473" s="110">
        <v>2864.056</v>
      </c>
      <c r="I473" s="110">
        <v>2662.8470000000002</v>
      </c>
      <c r="J473" s="110">
        <v>2465.0540000000001</v>
      </c>
      <c r="K473" s="110">
        <v>2269.8980000000001</v>
      </c>
      <c r="L473" s="110">
        <v>2079.3119999999999</v>
      </c>
      <c r="M473" s="110">
        <v>1886.191</v>
      </c>
      <c r="N473" s="110">
        <v>1685.33</v>
      </c>
      <c r="O473" s="110">
        <v>1480.4670000000001</v>
      </c>
      <c r="P473" s="110">
        <v>1282.617</v>
      </c>
      <c r="Q473" s="110">
        <v>1112.771</v>
      </c>
      <c r="R473" s="110">
        <v>964.54100000000005</v>
      </c>
      <c r="S473" s="110">
        <v>795.56500000000005</v>
      </c>
      <c r="T473" s="110">
        <v>627.75599999999997</v>
      </c>
      <c r="U473" s="110">
        <v>487.70600000000002</v>
      </c>
      <c r="V473" s="110">
        <v>361.089</v>
      </c>
      <c r="W473" s="110">
        <v>242.92500000000001</v>
      </c>
      <c r="X473" s="110">
        <v>135.381</v>
      </c>
      <c r="Y473" s="110">
        <v>57.094999999999999</v>
      </c>
      <c r="Z473" s="110">
        <v>17.713000000000001</v>
      </c>
      <c r="AA473" s="110">
        <v>3.375</v>
      </c>
      <c r="AB473" s="110">
        <v>0.33</v>
      </c>
      <c r="AC473" s="115">
        <f t="shared" si="18"/>
        <v>11796.586000000001</v>
      </c>
      <c r="AD473">
        <f t="shared" si="19"/>
        <v>1.0210381752887283</v>
      </c>
    </row>
    <row r="474" spans="1:30" x14ac:dyDescent="0.25">
      <c r="A474" s="104" t="str">
        <f t="shared" si="20"/>
        <v>Zambia2057</v>
      </c>
      <c r="C474" s="107" t="s">
        <v>257</v>
      </c>
      <c r="D474" s="108" t="s">
        <v>219</v>
      </c>
      <c r="F474" s="109">
        <v>894</v>
      </c>
      <c r="G474" s="109">
        <v>2057</v>
      </c>
      <c r="H474" s="110">
        <v>2899.2260000000001</v>
      </c>
      <c r="I474" s="110">
        <v>2701.7240000000002</v>
      </c>
      <c r="J474" s="110">
        <v>2503.3739999999998</v>
      </c>
      <c r="K474" s="110">
        <v>2307.0160000000001</v>
      </c>
      <c r="L474" s="110">
        <v>2114.8620000000001</v>
      </c>
      <c r="M474" s="110">
        <v>1922.557</v>
      </c>
      <c r="N474" s="110">
        <v>1723.1310000000001</v>
      </c>
      <c r="O474" s="110">
        <v>1518.039</v>
      </c>
      <c r="P474" s="110">
        <v>1316.9860000000001</v>
      </c>
      <c r="Q474" s="110">
        <v>1140.153</v>
      </c>
      <c r="R474" s="110">
        <v>989.31399999999996</v>
      </c>
      <c r="S474" s="110">
        <v>825.26900000000001</v>
      </c>
      <c r="T474" s="110">
        <v>652.83600000000001</v>
      </c>
      <c r="U474" s="110">
        <v>504.96699999999998</v>
      </c>
      <c r="V474" s="110">
        <v>374.97800000000001</v>
      </c>
      <c r="W474" s="110">
        <v>253.55600000000001</v>
      </c>
      <c r="X474" s="110">
        <v>143.90700000000001</v>
      </c>
      <c r="Y474" s="110">
        <v>61.911999999999999</v>
      </c>
      <c r="Z474" s="110">
        <v>19.283999999999999</v>
      </c>
      <c r="AA474" s="110">
        <v>4.093</v>
      </c>
      <c r="AB474" s="110">
        <v>0.35799999999999998</v>
      </c>
      <c r="AC474" s="115">
        <f t="shared" ref="AC474:AC537" si="21">SUM(K474:Q474)</f>
        <v>12042.744000000002</v>
      </c>
      <c r="AD474">
        <f t="shared" ref="AD474:AD537" si="22">IF(D474=D473,AC474/AC473,"")</f>
        <v>1.0208668847071518</v>
      </c>
    </row>
    <row r="475" spans="1:30" x14ac:dyDescent="0.25">
      <c r="A475" s="104" t="str">
        <f t="shared" si="20"/>
        <v>Zambia2058</v>
      </c>
      <c r="C475" s="107" t="s">
        <v>257</v>
      </c>
      <c r="D475" s="108" t="s">
        <v>219</v>
      </c>
      <c r="F475" s="109">
        <v>894</v>
      </c>
      <c r="G475" s="109">
        <v>2058</v>
      </c>
      <c r="H475" s="110">
        <v>2932.558</v>
      </c>
      <c r="I475" s="110">
        <v>2740.1309999999999</v>
      </c>
      <c r="J475" s="110">
        <v>2541.7350000000001</v>
      </c>
      <c r="K475" s="110">
        <v>2344.5740000000001</v>
      </c>
      <c r="L475" s="110">
        <v>2150.4720000000002</v>
      </c>
      <c r="M475" s="110">
        <v>1958.5730000000001</v>
      </c>
      <c r="N475" s="110">
        <v>1760.644</v>
      </c>
      <c r="O475" s="110">
        <v>1555.877</v>
      </c>
      <c r="P475" s="110">
        <v>1352.57</v>
      </c>
      <c r="Q475" s="110">
        <v>1168.7819999999999</v>
      </c>
      <c r="R475" s="110">
        <v>1013.441</v>
      </c>
      <c r="S475" s="110">
        <v>855.13900000000001</v>
      </c>
      <c r="T475" s="110">
        <v>679.61</v>
      </c>
      <c r="U475" s="110">
        <v>523.59900000000005</v>
      </c>
      <c r="V475" s="110">
        <v>389.98599999999999</v>
      </c>
      <c r="W475" s="110">
        <v>264.82400000000001</v>
      </c>
      <c r="X475" s="110">
        <v>152.71700000000001</v>
      </c>
      <c r="Y475" s="110">
        <v>66.349999999999994</v>
      </c>
      <c r="Z475" s="110">
        <v>20.654</v>
      </c>
      <c r="AA475" s="110">
        <v>4.681</v>
      </c>
      <c r="AB475" s="110">
        <v>0.39</v>
      </c>
      <c r="AC475" s="115">
        <f t="shared" si="21"/>
        <v>12291.492</v>
      </c>
      <c r="AD475">
        <f t="shared" si="22"/>
        <v>1.0206554253748148</v>
      </c>
    </row>
    <row r="476" spans="1:30" x14ac:dyDescent="0.25">
      <c r="A476" s="104" t="str">
        <f t="shared" si="20"/>
        <v>Zambia2059</v>
      </c>
      <c r="C476" s="107" t="s">
        <v>257</v>
      </c>
      <c r="D476" s="108" t="s">
        <v>219</v>
      </c>
      <c r="F476" s="109">
        <v>894</v>
      </c>
      <c r="G476" s="109">
        <v>2059</v>
      </c>
      <c r="H476" s="110">
        <v>2965.1149999999998</v>
      </c>
      <c r="I476" s="110">
        <v>2777.6010000000001</v>
      </c>
      <c r="J476" s="110">
        <v>2579.9870000000001</v>
      </c>
      <c r="K476" s="110">
        <v>2382.3409999999999</v>
      </c>
      <c r="L476" s="110">
        <v>2186.297</v>
      </c>
      <c r="M476" s="110">
        <v>1994.2729999999999</v>
      </c>
      <c r="N476" s="110">
        <v>1797.7439999999999</v>
      </c>
      <c r="O476" s="110">
        <v>1593.7829999999999</v>
      </c>
      <c r="P476" s="110">
        <v>1388.8430000000001</v>
      </c>
      <c r="Q476" s="110">
        <v>1198.7739999999999</v>
      </c>
      <c r="R476" s="110">
        <v>1037.9590000000001</v>
      </c>
      <c r="S476" s="110">
        <v>884.18299999999999</v>
      </c>
      <c r="T476" s="110">
        <v>707.59900000000005</v>
      </c>
      <c r="U476" s="110">
        <v>544.11800000000005</v>
      </c>
      <c r="V476" s="110">
        <v>406.07499999999999</v>
      </c>
      <c r="W476" s="110">
        <v>276.98599999999999</v>
      </c>
      <c r="X476" s="110">
        <v>161.755</v>
      </c>
      <c r="Y476" s="110">
        <v>70.927999999999997</v>
      </c>
      <c r="Z476" s="110">
        <v>21.672000000000001</v>
      </c>
      <c r="AA476" s="110">
        <v>4.84</v>
      </c>
      <c r="AB476" s="110">
        <v>0.42499999999999999</v>
      </c>
      <c r="AC476" s="115">
        <f t="shared" si="21"/>
        <v>12542.055</v>
      </c>
      <c r="AD476">
        <f t="shared" si="22"/>
        <v>1.0203850761160647</v>
      </c>
    </row>
    <row r="477" spans="1:30" x14ac:dyDescent="0.25">
      <c r="A477" s="104" t="str">
        <f t="shared" si="20"/>
        <v>Zambia2060</v>
      </c>
      <c r="C477" s="107" t="s">
        <v>257</v>
      </c>
      <c r="D477" s="108" t="s">
        <v>219</v>
      </c>
      <c r="F477" s="109">
        <v>894</v>
      </c>
      <c r="G477" s="109">
        <v>2060</v>
      </c>
      <c r="H477" s="110">
        <v>2997.7170000000001</v>
      </c>
      <c r="I477" s="110">
        <v>2813.6219999999998</v>
      </c>
      <c r="J477" s="110">
        <v>2617.9830000000002</v>
      </c>
      <c r="K477" s="110">
        <v>2420.1350000000002</v>
      </c>
      <c r="L477" s="110">
        <v>2222.4560000000001</v>
      </c>
      <c r="M477" s="110">
        <v>2029.731</v>
      </c>
      <c r="N477" s="110">
        <v>1834.3689999999999</v>
      </c>
      <c r="O477" s="110">
        <v>1631.5630000000001</v>
      </c>
      <c r="P477" s="110">
        <v>1425.4739999999999</v>
      </c>
      <c r="Q477" s="110">
        <v>1230.152</v>
      </c>
      <c r="R477" s="110">
        <v>1063.56</v>
      </c>
      <c r="S477" s="110">
        <v>911.86199999999997</v>
      </c>
      <c r="T477" s="110">
        <v>736.38</v>
      </c>
      <c r="U477" s="110">
        <v>566.78899999999999</v>
      </c>
      <c r="V477" s="110">
        <v>423.23099999999999</v>
      </c>
      <c r="W477" s="110">
        <v>290.19299999999998</v>
      </c>
      <c r="X477" s="110">
        <v>171.07599999999999</v>
      </c>
      <c r="Y477" s="110">
        <v>75.781999999999996</v>
      </c>
      <c r="Z477" s="110">
        <v>22.548999999999999</v>
      </c>
      <c r="AA477" s="110">
        <v>4.3520000000000003</v>
      </c>
      <c r="AB477" s="110">
        <v>0.46400000000000002</v>
      </c>
      <c r="AC477" s="115">
        <f t="shared" si="21"/>
        <v>12793.880000000001</v>
      </c>
      <c r="AD477">
        <f t="shared" si="22"/>
        <v>1.0200784480693157</v>
      </c>
    </row>
    <row r="478" spans="1:30" x14ac:dyDescent="0.25">
      <c r="A478" s="104" t="str">
        <f t="shared" si="20"/>
        <v>Zambia2061</v>
      </c>
      <c r="C478" s="107" t="s">
        <v>257</v>
      </c>
      <c r="D478" s="108" t="s">
        <v>219</v>
      </c>
      <c r="F478" s="109">
        <v>894</v>
      </c>
      <c r="G478" s="109">
        <v>2061</v>
      </c>
      <c r="H478" s="110">
        <v>3030.9879999999998</v>
      </c>
      <c r="I478" s="110">
        <v>2850.83</v>
      </c>
      <c r="J478" s="110">
        <v>2656.8040000000001</v>
      </c>
      <c r="K478" s="110">
        <v>2458.297</v>
      </c>
      <c r="L478" s="110">
        <v>2259.3789999999999</v>
      </c>
      <c r="M478" s="110">
        <v>2065.7020000000002</v>
      </c>
      <c r="N478" s="110">
        <v>1871.2460000000001</v>
      </c>
      <c r="O478" s="110">
        <v>1669.441</v>
      </c>
      <c r="P478" s="110">
        <v>1462.671</v>
      </c>
      <c r="Q478" s="110">
        <v>1262.777</v>
      </c>
      <c r="R478" s="110">
        <v>1089.7660000000001</v>
      </c>
      <c r="S478" s="110">
        <v>937.548</v>
      </c>
      <c r="T478" s="110">
        <v>764.02300000000002</v>
      </c>
      <c r="U478" s="110">
        <v>588.67700000000002</v>
      </c>
      <c r="V478" s="110">
        <v>438.17500000000001</v>
      </c>
      <c r="W478" s="110">
        <v>301.61200000000002</v>
      </c>
      <c r="X478" s="110">
        <v>179.744</v>
      </c>
      <c r="Y478" s="110">
        <v>82.465000000000003</v>
      </c>
      <c r="Z478" s="110">
        <v>25.956</v>
      </c>
      <c r="AA478" s="110">
        <v>5.01</v>
      </c>
      <c r="AB478" s="110">
        <v>0.50800000000000001</v>
      </c>
      <c r="AC478" s="115">
        <f t="shared" si="21"/>
        <v>13049.513000000001</v>
      </c>
      <c r="AD478">
        <f t="shared" si="22"/>
        <v>1.0199808814839595</v>
      </c>
    </row>
    <row r="479" spans="1:30" x14ac:dyDescent="0.25">
      <c r="A479" s="104" t="str">
        <f t="shared" si="20"/>
        <v>Zambia2062</v>
      </c>
      <c r="C479" s="107" t="s">
        <v>257</v>
      </c>
      <c r="D479" s="108" t="s">
        <v>219</v>
      </c>
      <c r="F479" s="109">
        <v>894</v>
      </c>
      <c r="G479" s="109">
        <v>2062</v>
      </c>
      <c r="H479" s="110">
        <v>3064.4560000000001</v>
      </c>
      <c r="I479" s="110">
        <v>2886.5039999999999</v>
      </c>
      <c r="J479" s="110">
        <v>2695.49</v>
      </c>
      <c r="K479" s="110">
        <v>2496.4409999999998</v>
      </c>
      <c r="L479" s="110">
        <v>2296.5700000000002</v>
      </c>
      <c r="M479" s="110">
        <v>2101.3719999999998</v>
      </c>
      <c r="N479" s="110">
        <v>1907.6410000000001</v>
      </c>
      <c r="O479" s="110">
        <v>1707.0989999999999</v>
      </c>
      <c r="P479" s="110">
        <v>1500.19</v>
      </c>
      <c r="Q479" s="110">
        <v>1296.9159999999999</v>
      </c>
      <c r="R479" s="110">
        <v>1117.0119999999999</v>
      </c>
      <c r="S479" s="110">
        <v>962.09</v>
      </c>
      <c r="T479" s="110">
        <v>792.81899999999996</v>
      </c>
      <c r="U479" s="110">
        <v>612.654</v>
      </c>
      <c r="V479" s="110">
        <v>454.19099999999997</v>
      </c>
      <c r="W479" s="110">
        <v>313.935</v>
      </c>
      <c r="X479" s="110">
        <v>188.422</v>
      </c>
      <c r="Y479" s="110">
        <v>88.64</v>
      </c>
      <c r="Z479" s="110">
        <v>28.661999999999999</v>
      </c>
      <c r="AA479" s="110">
        <v>6.0179999999999998</v>
      </c>
      <c r="AB479" s="110">
        <v>0.55900000000000005</v>
      </c>
      <c r="AC479" s="115">
        <f t="shared" si="21"/>
        <v>13306.228999999999</v>
      </c>
      <c r="AD479">
        <f t="shared" si="22"/>
        <v>1.0196724582748795</v>
      </c>
    </row>
    <row r="480" spans="1:30" x14ac:dyDescent="0.25">
      <c r="A480" s="104" t="str">
        <f t="shared" si="20"/>
        <v>Zambia2063</v>
      </c>
      <c r="C480" s="107" t="s">
        <v>257</v>
      </c>
      <c r="D480" s="108" t="s">
        <v>219</v>
      </c>
      <c r="F480" s="109">
        <v>894</v>
      </c>
      <c r="G480" s="109">
        <v>2063</v>
      </c>
      <c r="H480" s="110">
        <v>3097.9059999999999</v>
      </c>
      <c r="I480" s="110">
        <v>2920.5340000000001</v>
      </c>
      <c r="J480" s="110">
        <v>2733.8629999999998</v>
      </c>
      <c r="K480" s="110">
        <v>2534.6170000000002</v>
      </c>
      <c r="L480" s="110">
        <v>2334.0120000000002</v>
      </c>
      <c r="M480" s="110">
        <v>2136.9180000000001</v>
      </c>
      <c r="N480" s="110">
        <v>1943.6020000000001</v>
      </c>
      <c r="O480" s="110">
        <v>1744.5129999999999</v>
      </c>
      <c r="P480" s="110">
        <v>1537.8789999999999</v>
      </c>
      <c r="Q480" s="110">
        <v>1332.3040000000001</v>
      </c>
      <c r="R480" s="110">
        <v>1145.47</v>
      </c>
      <c r="S480" s="110">
        <v>986.05200000000002</v>
      </c>
      <c r="T480" s="110">
        <v>822.12</v>
      </c>
      <c r="U480" s="110">
        <v>638.43499999999995</v>
      </c>
      <c r="V480" s="110">
        <v>471.702</v>
      </c>
      <c r="W480" s="110">
        <v>327.31700000000001</v>
      </c>
      <c r="X480" s="110">
        <v>197.517</v>
      </c>
      <c r="Y480" s="110">
        <v>94.176000000000002</v>
      </c>
      <c r="Z480" s="110">
        <v>31.050999999999998</v>
      </c>
      <c r="AA480" s="110">
        <v>6.8860000000000001</v>
      </c>
      <c r="AB480" s="110">
        <v>0.61399999999999999</v>
      </c>
      <c r="AC480" s="115">
        <f t="shared" si="21"/>
        <v>13563.845000000001</v>
      </c>
      <c r="AD480">
        <f t="shared" si="22"/>
        <v>1.0193605566235184</v>
      </c>
    </row>
    <row r="481" spans="1:30" x14ac:dyDescent="0.25">
      <c r="A481" s="104" t="str">
        <f t="shared" si="20"/>
        <v>Zambia2064</v>
      </c>
      <c r="C481" s="107" t="s">
        <v>257</v>
      </c>
      <c r="D481" s="108" t="s">
        <v>219</v>
      </c>
      <c r="F481" s="109">
        <v>894</v>
      </c>
      <c r="G481" s="109">
        <v>2064</v>
      </c>
      <c r="H481" s="110">
        <v>3130.7840000000001</v>
      </c>
      <c r="I481" s="110">
        <v>2953.239</v>
      </c>
      <c r="J481" s="110">
        <v>2771.489</v>
      </c>
      <c r="K481" s="110">
        <v>2572.8919999999998</v>
      </c>
      <c r="L481" s="110">
        <v>2371.6439999999998</v>
      </c>
      <c r="M481" s="110">
        <v>2172.6129999999998</v>
      </c>
      <c r="N481" s="110">
        <v>1979.2529999999999</v>
      </c>
      <c r="O481" s="110">
        <v>1781.645</v>
      </c>
      <c r="P481" s="110">
        <v>1575.6179999999999</v>
      </c>
      <c r="Q481" s="110">
        <v>1368.4970000000001</v>
      </c>
      <c r="R481" s="110">
        <v>1175.3040000000001</v>
      </c>
      <c r="S481" s="110">
        <v>1010.466</v>
      </c>
      <c r="T481" s="110">
        <v>850.97299999999996</v>
      </c>
      <c r="U481" s="110">
        <v>665.63800000000003</v>
      </c>
      <c r="V481" s="110">
        <v>491.27499999999998</v>
      </c>
      <c r="W481" s="110">
        <v>341.81799999999998</v>
      </c>
      <c r="X481" s="110">
        <v>207.29599999999999</v>
      </c>
      <c r="Y481" s="110">
        <v>99.686000000000007</v>
      </c>
      <c r="Z481" s="110">
        <v>32.877000000000002</v>
      </c>
      <c r="AA481" s="110">
        <v>7.2080000000000002</v>
      </c>
      <c r="AB481" s="110">
        <v>0.67600000000000005</v>
      </c>
      <c r="AC481" s="115">
        <f t="shared" si="21"/>
        <v>13822.162</v>
      </c>
      <c r="AD481">
        <f t="shared" si="22"/>
        <v>1.0190445260912373</v>
      </c>
    </row>
    <row r="482" spans="1:30" x14ac:dyDescent="0.25">
      <c r="A482" s="104" t="str">
        <f t="shared" si="20"/>
        <v>Zambia2065</v>
      </c>
      <c r="C482" s="107" t="s">
        <v>257</v>
      </c>
      <c r="D482" s="108" t="s">
        <v>219</v>
      </c>
      <c r="F482" s="109">
        <v>894</v>
      </c>
      <c r="G482" s="109">
        <v>2065</v>
      </c>
      <c r="H482" s="110">
        <v>3162.7890000000002</v>
      </c>
      <c r="I482" s="110">
        <v>2985.1770000000001</v>
      </c>
      <c r="J482" s="110">
        <v>2807.8130000000001</v>
      </c>
      <c r="K482" s="110">
        <v>2611.212</v>
      </c>
      <c r="L482" s="110">
        <v>2409.395</v>
      </c>
      <c r="M482" s="110">
        <v>2208.6370000000002</v>
      </c>
      <c r="N482" s="110">
        <v>2014.6880000000001</v>
      </c>
      <c r="O482" s="110">
        <v>1818.4110000000001</v>
      </c>
      <c r="P482" s="110">
        <v>1613.317</v>
      </c>
      <c r="Q482" s="110">
        <v>1405.1389999999999</v>
      </c>
      <c r="R482" s="110">
        <v>1206.5940000000001</v>
      </c>
      <c r="S482" s="110">
        <v>1036.039</v>
      </c>
      <c r="T482" s="110">
        <v>878.75199999999995</v>
      </c>
      <c r="U482" s="110">
        <v>693.94799999999998</v>
      </c>
      <c r="V482" s="110">
        <v>513.18200000000002</v>
      </c>
      <c r="W482" s="110">
        <v>357.50900000000001</v>
      </c>
      <c r="X482" s="110">
        <v>217.941</v>
      </c>
      <c r="Y482" s="110">
        <v>105.337</v>
      </c>
      <c r="Z482" s="110">
        <v>34.448</v>
      </c>
      <c r="AA482" s="110">
        <v>6.6879999999999997</v>
      </c>
      <c r="AB482" s="110">
        <v>0.74399999999999999</v>
      </c>
      <c r="AC482" s="115">
        <f t="shared" si="21"/>
        <v>14080.798999999999</v>
      </c>
      <c r="AD482">
        <f t="shared" si="22"/>
        <v>1.0187117615898293</v>
      </c>
    </row>
    <row r="483" spans="1:30" x14ac:dyDescent="0.25">
      <c r="A483" s="104" t="str">
        <f t="shared" si="20"/>
        <v>Zambia2066</v>
      </c>
      <c r="C483" s="107" t="s">
        <v>257</v>
      </c>
      <c r="D483" s="108" t="s">
        <v>219</v>
      </c>
      <c r="F483" s="109">
        <v>894</v>
      </c>
      <c r="G483" s="109">
        <v>2066</v>
      </c>
      <c r="H483" s="110">
        <v>3196.8420000000001</v>
      </c>
      <c r="I483" s="110">
        <v>3019.2750000000001</v>
      </c>
      <c r="J483" s="110">
        <v>2843.8209999999999</v>
      </c>
      <c r="K483" s="110">
        <v>2649.7849999999999</v>
      </c>
      <c r="L483" s="110">
        <v>2447.585</v>
      </c>
      <c r="M483" s="110">
        <v>2245.627</v>
      </c>
      <c r="N483" s="110">
        <v>2050.5680000000002</v>
      </c>
      <c r="O483" s="110">
        <v>1855.0070000000001</v>
      </c>
      <c r="P483" s="110">
        <v>1651.048</v>
      </c>
      <c r="Q483" s="110">
        <v>1441.952</v>
      </c>
      <c r="R483" s="110">
        <v>1238.9000000000001</v>
      </c>
      <c r="S483" s="110">
        <v>1061.8320000000001</v>
      </c>
      <c r="T483" s="110">
        <v>903.33699999999999</v>
      </c>
      <c r="U483" s="110">
        <v>720.08900000000006</v>
      </c>
      <c r="V483" s="110">
        <v>533.32500000000005</v>
      </c>
      <c r="W483" s="110">
        <v>370.76299999999998</v>
      </c>
      <c r="X483" s="110">
        <v>227.68600000000001</v>
      </c>
      <c r="Y483" s="110">
        <v>112.66800000000001</v>
      </c>
      <c r="Z483" s="110">
        <v>39.188000000000002</v>
      </c>
      <c r="AA483" s="110">
        <v>7.8239999999999998</v>
      </c>
      <c r="AB483" s="110">
        <v>0.81899999999999995</v>
      </c>
      <c r="AC483" s="115">
        <f t="shared" si="21"/>
        <v>14341.571999999998</v>
      </c>
      <c r="AD483">
        <f t="shared" si="22"/>
        <v>1.0185197587153967</v>
      </c>
    </row>
    <row r="484" spans="1:30" x14ac:dyDescent="0.25">
      <c r="A484" s="104" t="str">
        <f t="shared" si="20"/>
        <v>Zambia2067</v>
      </c>
      <c r="C484" s="107" t="s">
        <v>257</v>
      </c>
      <c r="D484" s="108" t="s">
        <v>219</v>
      </c>
      <c r="F484" s="109">
        <v>894</v>
      </c>
      <c r="G484" s="109">
        <v>2067</v>
      </c>
      <c r="H484" s="110">
        <v>3229.0360000000001</v>
      </c>
      <c r="I484" s="110">
        <v>3053.0859999999998</v>
      </c>
      <c r="J484" s="110">
        <v>2878.8229999999999</v>
      </c>
      <c r="K484" s="110">
        <v>2688.4679999999998</v>
      </c>
      <c r="L484" s="110">
        <v>2485.8119999999999</v>
      </c>
      <c r="M484" s="110">
        <v>2282.96</v>
      </c>
      <c r="N484" s="110">
        <v>2086.3049999999998</v>
      </c>
      <c r="O484" s="110">
        <v>1891.3050000000001</v>
      </c>
      <c r="P484" s="110">
        <v>1688.6969999999999</v>
      </c>
      <c r="Q484" s="110">
        <v>1479.25</v>
      </c>
      <c r="R484" s="110">
        <v>1272.835</v>
      </c>
      <c r="S484" s="110">
        <v>1088.8910000000001</v>
      </c>
      <c r="T484" s="110">
        <v>927.23699999999997</v>
      </c>
      <c r="U484" s="110">
        <v>747.71199999999999</v>
      </c>
      <c r="V484" s="110">
        <v>555.61699999999996</v>
      </c>
      <c r="W484" s="110">
        <v>385.005</v>
      </c>
      <c r="X484" s="110">
        <v>237.85599999999999</v>
      </c>
      <c r="Y484" s="110">
        <v>119.267</v>
      </c>
      <c r="Z484" s="110">
        <v>42.762</v>
      </c>
      <c r="AA484" s="110">
        <v>9.4990000000000006</v>
      </c>
      <c r="AB484" s="110">
        <v>0.90100000000000002</v>
      </c>
      <c r="AC484" s="115">
        <f t="shared" si="21"/>
        <v>14602.797</v>
      </c>
      <c r="AD484">
        <f t="shared" si="22"/>
        <v>1.0182145304573307</v>
      </c>
    </row>
    <row r="485" spans="1:30" x14ac:dyDescent="0.25">
      <c r="A485" s="104" t="str">
        <f t="shared" si="20"/>
        <v>Zambia2068</v>
      </c>
      <c r="C485" s="107" t="s">
        <v>257</v>
      </c>
      <c r="D485" s="108" t="s">
        <v>219</v>
      </c>
      <c r="F485" s="109">
        <v>894</v>
      </c>
      <c r="G485" s="109">
        <v>2068</v>
      </c>
      <c r="H485" s="110">
        <v>3259.7840000000001</v>
      </c>
      <c r="I485" s="110">
        <v>3086.453</v>
      </c>
      <c r="J485" s="110">
        <v>2912.931</v>
      </c>
      <c r="K485" s="110">
        <v>2726.92</v>
      </c>
      <c r="L485" s="110">
        <v>2524.0729999999999</v>
      </c>
      <c r="M485" s="110">
        <v>2320.5300000000002</v>
      </c>
      <c r="N485" s="110">
        <v>2121.9830000000002</v>
      </c>
      <c r="O485" s="110">
        <v>1927.355</v>
      </c>
      <c r="P485" s="110">
        <v>1726.124</v>
      </c>
      <c r="Q485" s="110">
        <v>1516.886</v>
      </c>
      <c r="R485" s="110">
        <v>1308.076</v>
      </c>
      <c r="S485" s="110">
        <v>1117.2349999999999</v>
      </c>
      <c r="T485" s="110">
        <v>951.03700000000003</v>
      </c>
      <c r="U485" s="110">
        <v>776.16</v>
      </c>
      <c r="V485" s="110">
        <v>579.86500000000001</v>
      </c>
      <c r="W485" s="110">
        <v>400.75599999999997</v>
      </c>
      <c r="X485" s="110">
        <v>248.79900000000001</v>
      </c>
      <c r="Y485" s="110">
        <v>125.185</v>
      </c>
      <c r="Z485" s="110">
        <v>45.771000000000001</v>
      </c>
      <c r="AA485" s="110">
        <v>10.916</v>
      </c>
      <c r="AB485" s="110">
        <v>0.99399999999999999</v>
      </c>
      <c r="AC485" s="115">
        <f t="shared" si="21"/>
        <v>14863.871000000001</v>
      </c>
      <c r="AD485">
        <f t="shared" si="22"/>
        <v>1.0178783557697886</v>
      </c>
    </row>
    <row r="486" spans="1:30" x14ac:dyDescent="0.25">
      <c r="A486" s="104" t="str">
        <f t="shared" si="20"/>
        <v>Zambia2069</v>
      </c>
      <c r="C486" s="107" t="s">
        <v>257</v>
      </c>
      <c r="D486" s="108" t="s">
        <v>219</v>
      </c>
      <c r="F486" s="109">
        <v>894</v>
      </c>
      <c r="G486" s="109">
        <v>2069</v>
      </c>
      <c r="H486" s="110">
        <v>3289.835</v>
      </c>
      <c r="I486" s="110">
        <v>3119.0430000000001</v>
      </c>
      <c r="J486" s="110">
        <v>2946.4140000000002</v>
      </c>
      <c r="K486" s="110">
        <v>2764.5949999999998</v>
      </c>
      <c r="L486" s="110">
        <v>2562.3560000000002</v>
      </c>
      <c r="M486" s="110">
        <v>2358.1660000000002</v>
      </c>
      <c r="N486" s="110">
        <v>2157.7620000000002</v>
      </c>
      <c r="O486" s="110">
        <v>1963.1859999999999</v>
      </c>
      <c r="P486" s="110">
        <v>1763.2190000000001</v>
      </c>
      <c r="Q486" s="110">
        <v>1554.6659999999999</v>
      </c>
      <c r="R486" s="110">
        <v>1344.124</v>
      </c>
      <c r="S486" s="110">
        <v>1146.9559999999999</v>
      </c>
      <c r="T486" s="110">
        <v>975.65200000000004</v>
      </c>
      <c r="U486" s="110">
        <v>804.48099999999999</v>
      </c>
      <c r="V486" s="110">
        <v>605.77599999999995</v>
      </c>
      <c r="W486" s="110">
        <v>418.60199999999998</v>
      </c>
      <c r="X486" s="110">
        <v>260.65899999999999</v>
      </c>
      <c r="Y486" s="110">
        <v>131.33600000000001</v>
      </c>
      <c r="Z486" s="110">
        <v>48.021000000000001</v>
      </c>
      <c r="AA486" s="110">
        <v>11.484</v>
      </c>
      <c r="AB486" s="110">
        <v>1.101</v>
      </c>
      <c r="AC486" s="115">
        <f t="shared" si="21"/>
        <v>15123.949999999999</v>
      </c>
      <c r="AD486">
        <f t="shared" si="22"/>
        <v>1.0174973935120937</v>
      </c>
    </row>
    <row r="487" spans="1:30" x14ac:dyDescent="0.25">
      <c r="A487" s="104" t="str">
        <f t="shared" si="20"/>
        <v>Zambia2070</v>
      </c>
      <c r="C487" s="107" t="s">
        <v>257</v>
      </c>
      <c r="D487" s="108" t="s">
        <v>219</v>
      </c>
      <c r="F487" s="109">
        <v>894</v>
      </c>
      <c r="G487" s="109">
        <v>2070</v>
      </c>
      <c r="H487" s="110">
        <v>3319.8029999999999</v>
      </c>
      <c r="I487" s="110">
        <v>3150.4290000000001</v>
      </c>
      <c r="J487" s="110">
        <v>2979.433</v>
      </c>
      <c r="K487" s="110">
        <v>2801.1179999999999</v>
      </c>
      <c r="L487" s="110">
        <v>2600.6210000000001</v>
      </c>
      <c r="M487" s="110">
        <v>2395.7689999999998</v>
      </c>
      <c r="N487" s="110">
        <v>2193.7570000000001</v>
      </c>
      <c r="O487" s="110">
        <v>1998.7850000000001</v>
      </c>
      <c r="P487" s="110">
        <v>1799.9259999999999</v>
      </c>
      <c r="Q487" s="110">
        <v>1592.405</v>
      </c>
      <c r="R487" s="110">
        <v>1380.6220000000001</v>
      </c>
      <c r="S487" s="110">
        <v>1178.136</v>
      </c>
      <c r="T487" s="110">
        <v>1001.603</v>
      </c>
      <c r="U487" s="110">
        <v>832.09100000000001</v>
      </c>
      <c r="V487" s="110">
        <v>633.10299999999995</v>
      </c>
      <c r="W487" s="110">
        <v>438.83600000000001</v>
      </c>
      <c r="X487" s="110">
        <v>273.56799999999998</v>
      </c>
      <c r="Y487" s="110">
        <v>138.05500000000001</v>
      </c>
      <c r="Z487" s="110">
        <v>49.932000000000002</v>
      </c>
      <c r="AA487" s="110">
        <v>10.821</v>
      </c>
      <c r="AB487" s="110">
        <v>1.224</v>
      </c>
      <c r="AC487" s="115">
        <f t="shared" si="21"/>
        <v>15382.380999999999</v>
      </c>
      <c r="AD487">
        <f t="shared" si="22"/>
        <v>1.0170875333494227</v>
      </c>
    </row>
    <row r="488" spans="1:30" x14ac:dyDescent="0.25">
      <c r="A488" s="104" t="str">
        <f t="shared" si="20"/>
        <v>Zambia2071</v>
      </c>
      <c r="C488" s="107" t="s">
        <v>257</v>
      </c>
      <c r="D488" s="108" t="s">
        <v>219</v>
      </c>
      <c r="F488" s="109">
        <v>894</v>
      </c>
      <c r="G488" s="109">
        <v>2071</v>
      </c>
      <c r="H488" s="110">
        <v>3351.6680000000001</v>
      </c>
      <c r="I488" s="110">
        <v>3183.5859999999998</v>
      </c>
      <c r="J488" s="110">
        <v>3013.2959999999998</v>
      </c>
      <c r="K488" s="110">
        <v>2837.1019999999999</v>
      </c>
      <c r="L488" s="110">
        <v>2639.4690000000001</v>
      </c>
      <c r="M488" s="110">
        <v>2434.2530000000002</v>
      </c>
      <c r="N488" s="110">
        <v>2230.875</v>
      </c>
      <c r="O488" s="110">
        <v>2034.597</v>
      </c>
      <c r="P488" s="110">
        <v>1836.5940000000001</v>
      </c>
      <c r="Q488" s="110">
        <v>1629.934</v>
      </c>
      <c r="R488" s="110">
        <v>1417.2239999999999</v>
      </c>
      <c r="S488" s="110">
        <v>1210.0429999999999</v>
      </c>
      <c r="T488" s="110">
        <v>1026.4960000000001</v>
      </c>
      <c r="U488" s="110">
        <v>855.452</v>
      </c>
      <c r="V488" s="110">
        <v>657.23599999999999</v>
      </c>
      <c r="W488" s="110">
        <v>456.74599999999998</v>
      </c>
      <c r="X488" s="110">
        <v>284.88299999999998</v>
      </c>
      <c r="Y488" s="110">
        <v>146.577</v>
      </c>
      <c r="Z488" s="110">
        <v>55.631999999999998</v>
      </c>
      <c r="AA488" s="110">
        <v>12.462</v>
      </c>
      <c r="AB488" s="110">
        <v>1.365</v>
      </c>
      <c r="AC488" s="115">
        <f t="shared" si="21"/>
        <v>15642.823999999999</v>
      </c>
      <c r="AD488">
        <f t="shared" si="22"/>
        <v>1.0169312540106763</v>
      </c>
    </row>
    <row r="489" spans="1:30" x14ac:dyDescent="0.25">
      <c r="A489" s="104" t="str">
        <f t="shared" si="20"/>
        <v>Zambia2072</v>
      </c>
      <c r="C489" s="107" t="s">
        <v>257</v>
      </c>
      <c r="D489" s="108" t="s">
        <v>219</v>
      </c>
      <c r="F489" s="109">
        <v>894</v>
      </c>
      <c r="G489" s="109">
        <v>2072</v>
      </c>
      <c r="H489" s="110">
        <v>3382.6280000000002</v>
      </c>
      <c r="I489" s="110">
        <v>3216.0120000000002</v>
      </c>
      <c r="J489" s="110">
        <v>3046.9340000000002</v>
      </c>
      <c r="K489" s="110">
        <v>2871.989</v>
      </c>
      <c r="L489" s="110">
        <v>2678.259</v>
      </c>
      <c r="M489" s="110">
        <v>2472.643</v>
      </c>
      <c r="N489" s="110">
        <v>2268.3009999999999</v>
      </c>
      <c r="O489" s="110">
        <v>2070.2689999999998</v>
      </c>
      <c r="P489" s="110">
        <v>1872.9469999999999</v>
      </c>
      <c r="Q489" s="110">
        <v>1667.4090000000001</v>
      </c>
      <c r="R489" s="110">
        <v>1454.337</v>
      </c>
      <c r="S489" s="110">
        <v>1243.7090000000001</v>
      </c>
      <c r="T489" s="110">
        <v>1052.942</v>
      </c>
      <c r="U489" s="110">
        <v>878.53800000000001</v>
      </c>
      <c r="V489" s="110">
        <v>683.07399999999996</v>
      </c>
      <c r="W489" s="110">
        <v>476.59399999999999</v>
      </c>
      <c r="X489" s="110">
        <v>296.64999999999998</v>
      </c>
      <c r="Y489" s="110">
        <v>154.447</v>
      </c>
      <c r="Z489" s="110">
        <v>59.658000000000001</v>
      </c>
      <c r="AA489" s="110">
        <v>14.763999999999999</v>
      </c>
      <c r="AB489" s="110">
        <v>1.5229999999999999</v>
      </c>
      <c r="AC489" s="115">
        <f t="shared" si="21"/>
        <v>15901.816999999999</v>
      </c>
      <c r="AD489">
        <f t="shared" si="22"/>
        <v>1.0165566652159483</v>
      </c>
    </row>
    <row r="490" spans="1:30" x14ac:dyDescent="0.25">
      <c r="A490" s="104" t="str">
        <f t="shared" si="20"/>
        <v>Zambia2073</v>
      </c>
      <c r="C490" s="107" t="s">
        <v>257</v>
      </c>
      <c r="D490" s="108" t="s">
        <v>219</v>
      </c>
      <c r="F490" s="109">
        <v>894</v>
      </c>
      <c r="G490" s="109">
        <v>2073</v>
      </c>
      <c r="H490" s="110">
        <v>3412.8319999999999</v>
      </c>
      <c r="I490" s="110">
        <v>3247.5549999999998</v>
      </c>
      <c r="J490" s="110">
        <v>3080.2220000000002</v>
      </c>
      <c r="K490" s="110">
        <v>2906.018</v>
      </c>
      <c r="L490" s="110">
        <v>2716.6770000000001</v>
      </c>
      <c r="M490" s="110">
        <v>2510.9180000000001</v>
      </c>
      <c r="N490" s="110">
        <v>2305.904</v>
      </c>
      <c r="O490" s="110">
        <v>2105.9560000000001</v>
      </c>
      <c r="P490" s="110">
        <v>1908.97</v>
      </c>
      <c r="Q490" s="110">
        <v>1704.7560000000001</v>
      </c>
      <c r="R490" s="110">
        <v>1491.7950000000001</v>
      </c>
      <c r="S490" s="110">
        <v>1278.703</v>
      </c>
      <c r="T490" s="110">
        <v>1081.021</v>
      </c>
      <c r="U490" s="110">
        <v>901.90200000000004</v>
      </c>
      <c r="V490" s="110">
        <v>710.05100000000004</v>
      </c>
      <c r="W490" s="110">
        <v>498.38400000000001</v>
      </c>
      <c r="X490" s="110">
        <v>309.61599999999999</v>
      </c>
      <c r="Y490" s="110">
        <v>161.68299999999999</v>
      </c>
      <c r="Z490" s="110">
        <v>62.962000000000003</v>
      </c>
      <c r="AA490" s="110">
        <v>16.672999999999998</v>
      </c>
      <c r="AB490" s="110">
        <v>1.6990000000000001</v>
      </c>
      <c r="AC490" s="115">
        <f t="shared" si="21"/>
        <v>16159.198999999999</v>
      </c>
      <c r="AD490">
        <f t="shared" si="22"/>
        <v>1.0161856975212329</v>
      </c>
    </row>
    <row r="491" spans="1:30" x14ac:dyDescent="0.25">
      <c r="A491" s="104" t="str">
        <f t="shared" si="20"/>
        <v>Zambia2074</v>
      </c>
      <c r="C491" s="107" t="s">
        <v>257</v>
      </c>
      <c r="D491" s="108" t="s">
        <v>219</v>
      </c>
      <c r="F491" s="109">
        <v>894</v>
      </c>
      <c r="G491" s="109">
        <v>2074</v>
      </c>
      <c r="H491" s="110">
        <v>3442.3139999999999</v>
      </c>
      <c r="I491" s="110">
        <v>3278.1309999999999</v>
      </c>
      <c r="J491" s="110">
        <v>3112.9250000000002</v>
      </c>
      <c r="K491" s="110">
        <v>2939.5819999999999</v>
      </c>
      <c r="L491" s="110">
        <v>2754.26</v>
      </c>
      <c r="M491" s="110">
        <v>2549.1089999999999</v>
      </c>
      <c r="N491" s="110">
        <v>2343.5360000000001</v>
      </c>
      <c r="O491" s="110">
        <v>2141.848</v>
      </c>
      <c r="P491" s="110">
        <v>1944.7239999999999</v>
      </c>
      <c r="Q491" s="110">
        <v>1741.88</v>
      </c>
      <c r="R491" s="110">
        <v>1529.4179999999999</v>
      </c>
      <c r="S491" s="110">
        <v>1314.5250000000001</v>
      </c>
      <c r="T491" s="110">
        <v>1110.8230000000001</v>
      </c>
      <c r="U491" s="110">
        <v>926.42</v>
      </c>
      <c r="V491" s="110">
        <v>737.31399999999996</v>
      </c>
      <c r="W491" s="110">
        <v>522.00900000000001</v>
      </c>
      <c r="X491" s="110">
        <v>324.43299999999999</v>
      </c>
      <c r="Y491" s="110">
        <v>169.303</v>
      </c>
      <c r="Z491" s="110">
        <v>65.501000000000005</v>
      </c>
      <c r="AA491" s="110">
        <v>17.417999999999999</v>
      </c>
      <c r="AB491" s="110">
        <v>1.8919999999999999</v>
      </c>
      <c r="AC491" s="115">
        <f t="shared" si="21"/>
        <v>16414.939000000002</v>
      </c>
      <c r="AD491">
        <f t="shared" si="22"/>
        <v>1.0158262795080377</v>
      </c>
    </row>
    <row r="492" spans="1:30" x14ac:dyDescent="0.25">
      <c r="A492" s="104" t="str">
        <f t="shared" si="20"/>
        <v>Zambia2075</v>
      </c>
      <c r="C492" s="107" t="s">
        <v>257</v>
      </c>
      <c r="D492" s="108" t="s">
        <v>219</v>
      </c>
      <c r="F492" s="109">
        <v>894</v>
      </c>
      <c r="G492" s="109">
        <v>2075</v>
      </c>
      <c r="H492" s="110">
        <v>3471.1959999999999</v>
      </c>
      <c r="I492" s="110">
        <v>3307.7060000000001</v>
      </c>
      <c r="J492" s="110">
        <v>3144.7710000000002</v>
      </c>
      <c r="K492" s="110">
        <v>2972.8829999999998</v>
      </c>
      <c r="L492" s="110">
        <v>2790.7089999999998</v>
      </c>
      <c r="M492" s="110">
        <v>2587.2040000000002</v>
      </c>
      <c r="N492" s="110">
        <v>2381.09</v>
      </c>
      <c r="O492" s="110">
        <v>2178</v>
      </c>
      <c r="P492" s="110">
        <v>1980.2760000000001</v>
      </c>
      <c r="Q492" s="110">
        <v>1778.673</v>
      </c>
      <c r="R492" s="110">
        <v>1567.047</v>
      </c>
      <c r="S492" s="110">
        <v>1350.855</v>
      </c>
      <c r="T492" s="110">
        <v>1142.309</v>
      </c>
      <c r="U492" s="110">
        <v>952.59799999999996</v>
      </c>
      <c r="V492" s="110">
        <v>764.33500000000004</v>
      </c>
      <c r="W492" s="110">
        <v>547.35500000000002</v>
      </c>
      <c r="X492" s="110">
        <v>341.43</v>
      </c>
      <c r="Y492" s="110">
        <v>177.68600000000001</v>
      </c>
      <c r="Z492" s="110">
        <v>67.918000000000006</v>
      </c>
      <c r="AA492" s="110">
        <v>16.506</v>
      </c>
      <c r="AB492" s="110">
        <v>2.1019999999999999</v>
      </c>
      <c r="AC492" s="115">
        <f t="shared" si="21"/>
        <v>16668.834999999999</v>
      </c>
      <c r="AD492">
        <f t="shared" si="22"/>
        <v>1.0154673739573443</v>
      </c>
    </row>
    <row r="493" spans="1:30" x14ac:dyDescent="0.25">
      <c r="A493" s="104" t="str">
        <f t="shared" si="20"/>
        <v>Zambia2076</v>
      </c>
      <c r="C493" s="107" t="s">
        <v>257</v>
      </c>
      <c r="D493" s="108" t="s">
        <v>219</v>
      </c>
      <c r="F493" s="109">
        <v>894</v>
      </c>
      <c r="G493" s="109">
        <v>2076</v>
      </c>
      <c r="H493" s="110">
        <v>3502.2959999999998</v>
      </c>
      <c r="I493" s="110">
        <v>3339.53</v>
      </c>
      <c r="J493" s="110">
        <v>3177.3530000000001</v>
      </c>
      <c r="K493" s="110">
        <v>3006.67</v>
      </c>
      <c r="L493" s="110">
        <v>2826.8980000000001</v>
      </c>
      <c r="M493" s="110">
        <v>2626.2689999999998</v>
      </c>
      <c r="N493" s="110">
        <v>2419.6260000000002</v>
      </c>
      <c r="O493" s="110">
        <v>2214.9929999999999</v>
      </c>
      <c r="P493" s="110">
        <v>2016.123</v>
      </c>
      <c r="Q493" s="110">
        <v>1815.11</v>
      </c>
      <c r="R493" s="110">
        <v>1604.3309999999999</v>
      </c>
      <c r="S493" s="110">
        <v>1386.9380000000001</v>
      </c>
      <c r="T493" s="110">
        <v>1173.049</v>
      </c>
      <c r="U493" s="110">
        <v>976.28899999999999</v>
      </c>
      <c r="V493" s="110">
        <v>785.81399999999996</v>
      </c>
      <c r="W493" s="110">
        <v>568.65499999999997</v>
      </c>
      <c r="X493" s="110">
        <v>356.649</v>
      </c>
      <c r="Y493" s="110">
        <v>187.667</v>
      </c>
      <c r="Z493" s="110">
        <v>74.864999999999995</v>
      </c>
      <c r="AA493" s="110">
        <v>18.530999999999999</v>
      </c>
      <c r="AB493" s="110">
        <v>2.331</v>
      </c>
      <c r="AC493" s="115">
        <f t="shared" si="21"/>
        <v>16925.688999999998</v>
      </c>
      <c r="AD493">
        <f t="shared" si="22"/>
        <v>1.0154092352584929</v>
      </c>
    </row>
    <row r="494" spans="1:30" x14ac:dyDescent="0.25">
      <c r="A494" s="104" t="str">
        <f t="shared" si="20"/>
        <v>Zambia2077</v>
      </c>
      <c r="C494" s="107" t="s">
        <v>257</v>
      </c>
      <c r="D494" s="108" t="s">
        <v>219</v>
      </c>
      <c r="F494" s="109">
        <v>894</v>
      </c>
      <c r="G494" s="109">
        <v>2077</v>
      </c>
      <c r="H494" s="110">
        <v>3531.8969999999999</v>
      </c>
      <c r="I494" s="110">
        <v>3370.8290000000002</v>
      </c>
      <c r="J494" s="110">
        <v>3209.433</v>
      </c>
      <c r="K494" s="110">
        <v>3040.2640000000001</v>
      </c>
      <c r="L494" s="110">
        <v>2861.915</v>
      </c>
      <c r="M494" s="110">
        <v>2665.2249999999999</v>
      </c>
      <c r="N494" s="110">
        <v>2458.105</v>
      </c>
      <c r="O494" s="110">
        <v>2252.357</v>
      </c>
      <c r="P494" s="110">
        <v>2051.8710000000001</v>
      </c>
      <c r="Q494" s="110">
        <v>1851.317</v>
      </c>
      <c r="R494" s="110">
        <v>1641.6489999999999</v>
      </c>
      <c r="S494" s="110">
        <v>1423.7550000000001</v>
      </c>
      <c r="T494" s="110">
        <v>1205.9179999999999</v>
      </c>
      <c r="U494" s="110">
        <v>1001.862</v>
      </c>
      <c r="V494" s="110">
        <v>807.49800000000005</v>
      </c>
      <c r="W494" s="110">
        <v>591.71100000000001</v>
      </c>
      <c r="X494" s="110">
        <v>373.02699999999999</v>
      </c>
      <c r="Y494" s="110">
        <v>196.82300000000001</v>
      </c>
      <c r="Z494" s="110">
        <v>79.775999999999996</v>
      </c>
      <c r="AA494" s="110">
        <v>21.347999999999999</v>
      </c>
      <c r="AB494" s="110">
        <v>2.5779999999999998</v>
      </c>
      <c r="AC494" s="115">
        <f t="shared" si="21"/>
        <v>17181.054</v>
      </c>
      <c r="AD494">
        <f t="shared" si="22"/>
        <v>1.0150874212565291</v>
      </c>
    </row>
    <row r="495" spans="1:30" x14ac:dyDescent="0.25">
      <c r="A495" s="104" t="str">
        <f t="shared" si="20"/>
        <v>Zambia2078</v>
      </c>
      <c r="C495" s="107" t="s">
        <v>257</v>
      </c>
      <c r="D495" s="108" t="s">
        <v>219</v>
      </c>
      <c r="F495" s="109">
        <v>894</v>
      </c>
      <c r="G495" s="109">
        <v>2078</v>
      </c>
      <c r="H495" s="110">
        <v>3560.1350000000002</v>
      </c>
      <c r="I495" s="110">
        <v>3401.4029999999998</v>
      </c>
      <c r="J495" s="110">
        <v>3240.9540000000002</v>
      </c>
      <c r="K495" s="110">
        <v>3073.55</v>
      </c>
      <c r="L495" s="110">
        <v>2895.9810000000002</v>
      </c>
      <c r="M495" s="110">
        <v>2703.7130000000002</v>
      </c>
      <c r="N495" s="110">
        <v>2496.4540000000002</v>
      </c>
      <c r="O495" s="110">
        <v>2290.0039999999999</v>
      </c>
      <c r="P495" s="110">
        <v>2087.59</v>
      </c>
      <c r="Q495" s="110">
        <v>1887.3209999999999</v>
      </c>
      <c r="R495" s="110">
        <v>1678.8820000000001</v>
      </c>
      <c r="S495" s="110">
        <v>1460.9970000000001</v>
      </c>
      <c r="T495" s="110">
        <v>1240.5329999999999</v>
      </c>
      <c r="U495" s="110">
        <v>1029.3589999999999</v>
      </c>
      <c r="V495" s="110">
        <v>829.95</v>
      </c>
      <c r="W495" s="110">
        <v>616.18399999999997</v>
      </c>
      <c r="X495" s="110">
        <v>390.94099999999997</v>
      </c>
      <c r="Y495" s="110">
        <v>205.48500000000001</v>
      </c>
      <c r="Z495" s="110">
        <v>83.844999999999999</v>
      </c>
      <c r="AA495" s="110">
        <v>23.695</v>
      </c>
      <c r="AB495" s="110">
        <v>2.8420000000000001</v>
      </c>
      <c r="AC495" s="115">
        <f t="shared" si="21"/>
        <v>17434.613000000001</v>
      </c>
      <c r="AD495">
        <f t="shared" si="22"/>
        <v>1.0147580584986231</v>
      </c>
    </row>
    <row r="496" spans="1:30" x14ac:dyDescent="0.25">
      <c r="A496" s="104" t="str">
        <f t="shared" si="20"/>
        <v>Zambia2079</v>
      </c>
      <c r="C496" s="107" t="s">
        <v>257</v>
      </c>
      <c r="D496" s="108" t="s">
        <v>219</v>
      </c>
      <c r="F496" s="109">
        <v>894</v>
      </c>
      <c r="G496" s="109">
        <v>2079</v>
      </c>
      <c r="H496" s="110">
        <v>3587.1570000000002</v>
      </c>
      <c r="I496" s="110">
        <v>3430.998</v>
      </c>
      <c r="J496" s="110">
        <v>3271.8780000000002</v>
      </c>
      <c r="K496" s="110">
        <v>3106.3009999999999</v>
      </c>
      <c r="L496" s="110">
        <v>2929.4920000000002</v>
      </c>
      <c r="M496" s="110">
        <v>2741.232</v>
      </c>
      <c r="N496" s="110">
        <v>2534.6559999999999</v>
      </c>
      <c r="O496" s="110">
        <v>2327.7530000000002</v>
      </c>
      <c r="P496" s="110">
        <v>2123.4340000000002</v>
      </c>
      <c r="Q496" s="110">
        <v>1923.153</v>
      </c>
      <c r="R496" s="110">
        <v>1715.8979999999999</v>
      </c>
      <c r="S496" s="110">
        <v>1498.425</v>
      </c>
      <c r="T496" s="110">
        <v>1276.3589999999999</v>
      </c>
      <c r="U496" s="110">
        <v>1058.8869999999999</v>
      </c>
      <c r="V496" s="110">
        <v>853.98800000000006</v>
      </c>
      <c r="W496" s="110">
        <v>641.36099999999999</v>
      </c>
      <c r="X496" s="110">
        <v>410.548</v>
      </c>
      <c r="Y496" s="110">
        <v>215.23099999999999</v>
      </c>
      <c r="Z496" s="110">
        <v>87.093000000000004</v>
      </c>
      <c r="AA496" s="110">
        <v>24.62</v>
      </c>
      <c r="AB496" s="110">
        <v>3.1219999999999999</v>
      </c>
      <c r="AC496" s="115">
        <f t="shared" si="21"/>
        <v>17686.021000000001</v>
      </c>
      <c r="AD496">
        <f t="shared" si="22"/>
        <v>1.0144200505052794</v>
      </c>
    </row>
    <row r="497" spans="1:30" x14ac:dyDescent="0.25">
      <c r="A497" s="104" t="str">
        <f t="shared" si="20"/>
        <v>Zambia2080</v>
      </c>
      <c r="C497" s="107" t="s">
        <v>257</v>
      </c>
      <c r="D497" s="108" t="s">
        <v>219</v>
      </c>
      <c r="F497" s="109">
        <v>894</v>
      </c>
      <c r="G497" s="109">
        <v>2080</v>
      </c>
      <c r="H497" s="110">
        <v>3613.1559999999999</v>
      </c>
      <c r="I497" s="110">
        <v>3459.3180000000002</v>
      </c>
      <c r="J497" s="110">
        <v>3302.12</v>
      </c>
      <c r="K497" s="110">
        <v>3138.337</v>
      </c>
      <c r="L497" s="110">
        <v>2962.692</v>
      </c>
      <c r="M497" s="110">
        <v>2777.49</v>
      </c>
      <c r="N497" s="110">
        <v>2572.6680000000001</v>
      </c>
      <c r="O497" s="110">
        <v>2365.4209999999998</v>
      </c>
      <c r="P497" s="110">
        <v>2159.5219999999999</v>
      </c>
      <c r="Q497" s="110">
        <v>1958.8030000000001</v>
      </c>
      <c r="R497" s="110">
        <v>1752.6030000000001</v>
      </c>
      <c r="S497" s="110">
        <v>1535.896</v>
      </c>
      <c r="T497" s="110">
        <v>1312.933</v>
      </c>
      <c r="U497" s="110">
        <v>1090.4549999999999</v>
      </c>
      <c r="V497" s="110">
        <v>880.05899999999997</v>
      </c>
      <c r="W497" s="110">
        <v>666.81299999999999</v>
      </c>
      <c r="X497" s="110">
        <v>431.92099999999999</v>
      </c>
      <c r="Y497" s="110">
        <v>226.69200000000001</v>
      </c>
      <c r="Z497" s="110">
        <v>90.323999999999998</v>
      </c>
      <c r="AA497" s="110">
        <v>23.492000000000001</v>
      </c>
      <c r="AB497" s="110">
        <v>3.4180000000000001</v>
      </c>
      <c r="AC497" s="115">
        <f t="shared" si="21"/>
        <v>17934.933000000001</v>
      </c>
      <c r="AD497">
        <f t="shared" si="22"/>
        <v>1.0140739400908774</v>
      </c>
    </row>
    <row r="498" spans="1:30" x14ac:dyDescent="0.25">
      <c r="A498" s="104" t="str">
        <f t="shared" si="20"/>
        <v>Zambia2081</v>
      </c>
      <c r="C498" s="107" t="s">
        <v>257</v>
      </c>
      <c r="D498" s="108" t="s">
        <v>219</v>
      </c>
      <c r="F498" s="109">
        <v>894</v>
      </c>
      <c r="G498" s="109">
        <v>2081</v>
      </c>
      <c r="H498" s="110">
        <v>3641.3180000000002</v>
      </c>
      <c r="I498" s="110">
        <v>3489.8510000000001</v>
      </c>
      <c r="J498" s="110">
        <v>3333.5549999999998</v>
      </c>
      <c r="K498" s="110">
        <v>3170.8409999999999</v>
      </c>
      <c r="L498" s="110">
        <v>2996.6959999999999</v>
      </c>
      <c r="M498" s="110">
        <v>2813.913</v>
      </c>
      <c r="N498" s="110">
        <v>2611.7939999999999</v>
      </c>
      <c r="O498" s="110">
        <v>2403.8240000000001</v>
      </c>
      <c r="P498" s="110">
        <v>2196.5320000000002</v>
      </c>
      <c r="Q498" s="110">
        <v>1994.421</v>
      </c>
      <c r="R498" s="110">
        <v>1788.8019999999999</v>
      </c>
      <c r="S498" s="110">
        <v>1572.636</v>
      </c>
      <c r="T498" s="110">
        <v>1347.6210000000001</v>
      </c>
      <c r="U498" s="110">
        <v>1119.5930000000001</v>
      </c>
      <c r="V498" s="110">
        <v>901.83600000000001</v>
      </c>
      <c r="W498" s="110">
        <v>685.61699999999996</v>
      </c>
      <c r="X498" s="110">
        <v>449.92700000000002</v>
      </c>
      <c r="Y498" s="110">
        <v>239.923</v>
      </c>
      <c r="Z498" s="110">
        <v>98.709000000000003</v>
      </c>
      <c r="AA498" s="110">
        <v>26.053000000000001</v>
      </c>
      <c r="AB498" s="110">
        <v>3.7309999999999999</v>
      </c>
      <c r="AC498" s="115">
        <f t="shared" si="21"/>
        <v>18188.021000000001</v>
      </c>
      <c r="AD498">
        <f t="shared" si="22"/>
        <v>1.0141114550023689</v>
      </c>
    </row>
    <row r="499" spans="1:30" x14ac:dyDescent="0.25">
      <c r="A499" s="104" t="str">
        <f t="shared" si="20"/>
        <v>Zambia2082</v>
      </c>
      <c r="C499" s="107" t="s">
        <v>257</v>
      </c>
      <c r="D499" s="108" t="s">
        <v>219</v>
      </c>
      <c r="F499" s="109">
        <v>894</v>
      </c>
      <c r="G499" s="109">
        <v>2082</v>
      </c>
      <c r="H499" s="110">
        <v>3667.3310000000001</v>
      </c>
      <c r="I499" s="110">
        <v>3519.605</v>
      </c>
      <c r="J499" s="110">
        <v>3364.6010000000001</v>
      </c>
      <c r="K499" s="110">
        <v>3202.826</v>
      </c>
      <c r="L499" s="110">
        <v>3030.3969999999999</v>
      </c>
      <c r="M499" s="110">
        <v>2849.09</v>
      </c>
      <c r="N499" s="110">
        <v>2650.826</v>
      </c>
      <c r="O499" s="110">
        <v>2442.2179999999998</v>
      </c>
      <c r="P499" s="110">
        <v>2233.9369999999999</v>
      </c>
      <c r="Q499" s="110">
        <v>2030.01</v>
      </c>
      <c r="R499" s="110">
        <v>1824.8520000000001</v>
      </c>
      <c r="S499" s="110">
        <v>1609.6510000000001</v>
      </c>
      <c r="T499" s="110">
        <v>1383.5039999999999</v>
      </c>
      <c r="U499" s="110">
        <v>1151.2470000000001</v>
      </c>
      <c r="V499" s="110">
        <v>925.79700000000003</v>
      </c>
      <c r="W499" s="110">
        <v>704.93100000000004</v>
      </c>
      <c r="X499" s="110">
        <v>469.06700000000001</v>
      </c>
      <c r="Y499" s="110">
        <v>252.511</v>
      </c>
      <c r="Z499" s="110">
        <v>104.5</v>
      </c>
      <c r="AA499" s="110">
        <v>29.635000000000002</v>
      </c>
      <c r="AB499" s="110">
        <v>4.0620000000000003</v>
      </c>
      <c r="AC499" s="115">
        <f t="shared" si="21"/>
        <v>18439.304</v>
      </c>
      <c r="AD499">
        <f t="shared" si="22"/>
        <v>1.0138158516531293</v>
      </c>
    </row>
    <row r="500" spans="1:30" x14ac:dyDescent="0.25">
      <c r="A500" s="104" t="str">
        <f t="shared" si="20"/>
        <v>Zambia2083</v>
      </c>
      <c r="C500" s="107" t="s">
        <v>257</v>
      </c>
      <c r="D500" s="108" t="s">
        <v>219</v>
      </c>
      <c r="F500" s="109">
        <v>894</v>
      </c>
      <c r="G500" s="109">
        <v>2083</v>
      </c>
      <c r="H500" s="110">
        <v>3691.5520000000001</v>
      </c>
      <c r="I500" s="110">
        <v>3548.3359999999998</v>
      </c>
      <c r="J500" s="110">
        <v>3395.1149999999998</v>
      </c>
      <c r="K500" s="110">
        <v>3234.3029999999999</v>
      </c>
      <c r="L500" s="110">
        <v>3063.6869999999999</v>
      </c>
      <c r="M500" s="110">
        <v>2883.2139999999999</v>
      </c>
      <c r="N500" s="110">
        <v>2689.3620000000001</v>
      </c>
      <c r="O500" s="110">
        <v>2480.585</v>
      </c>
      <c r="P500" s="110">
        <v>2271.5700000000002</v>
      </c>
      <c r="Q500" s="110">
        <v>2065.6889999999999</v>
      </c>
      <c r="R500" s="110">
        <v>1860.7439999999999</v>
      </c>
      <c r="S500" s="110">
        <v>1646.6679999999999</v>
      </c>
      <c r="T500" s="110">
        <v>1420.3230000000001</v>
      </c>
      <c r="U500" s="110">
        <v>1185.0129999999999</v>
      </c>
      <c r="V500" s="110">
        <v>952.03899999999999</v>
      </c>
      <c r="W500" s="110">
        <v>725.50099999999998</v>
      </c>
      <c r="X500" s="110">
        <v>489.44099999999997</v>
      </c>
      <c r="Y500" s="110">
        <v>264.50799999999998</v>
      </c>
      <c r="Z500" s="110">
        <v>109.437</v>
      </c>
      <c r="AA500" s="110">
        <v>32.627000000000002</v>
      </c>
      <c r="AB500" s="110">
        <v>4.4109999999999996</v>
      </c>
      <c r="AC500" s="115">
        <f t="shared" si="21"/>
        <v>18688.409999999996</v>
      </c>
      <c r="AD500">
        <f t="shared" si="22"/>
        <v>1.0135095120726898</v>
      </c>
    </row>
    <row r="501" spans="1:30" x14ac:dyDescent="0.25">
      <c r="A501" s="104" t="str">
        <f t="shared" si="20"/>
        <v>Zambia2084</v>
      </c>
      <c r="C501" s="107" t="s">
        <v>257</v>
      </c>
      <c r="D501" s="108" t="s">
        <v>219</v>
      </c>
      <c r="F501" s="109">
        <v>894</v>
      </c>
      <c r="G501" s="109">
        <v>2084</v>
      </c>
      <c r="H501" s="110">
        <v>3714.4250000000002</v>
      </c>
      <c r="I501" s="110">
        <v>3575.74</v>
      </c>
      <c r="J501" s="110">
        <v>3424.9160000000002</v>
      </c>
      <c r="K501" s="110">
        <v>3265.2950000000001</v>
      </c>
      <c r="L501" s="110">
        <v>3096.366</v>
      </c>
      <c r="M501" s="110">
        <v>2916.6660000000002</v>
      </c>
      <c r="N501" s="110">
        <v>2726.8820000000001</v>
      </c>
      <c r="O501" s="110">
        <v>2518.8960000000002</v>
      </c>
      <c r="P501" s="110">
        <v>2309.2440000000001</v>
      </c>
      <c r="Q501" s="110">
        <v>2101.6</v>
      </c>
      <c r="R501" s="110">
        <v>1896.4839999999999</v>
      </c>
      <c r="S501" s="110">
        <v>1683.5060000000001</v>
      </c>
      <c r="T501" s="110">
        <v>1457.789</v>
      </c>
      <c r="U501" s="110">
        <v>1220.3699999999999</v>
      </c>
      <c r="V501" s="110">
        <v>980.73800000000006</v>
      </c>
      <c r="W501" s="110">
        <v>748.13</v>
      </c>
      <c r="X501" s="110">
        <v>510.61500000000001</v>
      </c>
      <c r="Y501" s="110">
        <v>277.60899999999998</v>
      </c>
      <c r="Z501" s="110">
        <v>113.702</v>
      </c>
      <c r="AA501" s="110">
        <v>33.841999999999999</v>
      </c>
      <c r="AB501" s="110">
        <v>4.782</v>
      </c>
      <c r="AC501" s="115">
        <f t="shared" si="21"/>
        <v>18934.949000000001</v>
      </c>
      <c r="AD501">
        <f t="shared" si="22"/>
        <v>1.0131920800110874</v>
      </c>
    </row>
    <row r="502" spans="1:30" x14ac:dyDescent="0.25">
      <c r="A502" s="104" t="str">
        <f t="shared" si="20"/>
        <v>Zambia2085</v>
      </c>
      <c r="C502" s="107" t="s">
        <v>257</v>
      </c>
      <c r="D502" s="108" t="s">
        <v>219</v>
      </c>
      <c r="F502" s="109">
        <v>894</v>
      </c>
      <c r="G502" s="109">
        <v>2085</v>
      </c>
      <c r="H502" s="110">
        <v>3736.3380000000002</v>
      </c>
      <c r="I502" s="110">
        <v>3601.4830000000002</v>
      </c>
      <c r="J502" s="110">
        <v>3453.8110000000001</v>
      </c>
      <c r="K502" s="110">
        <v>3295.7620000000002</v>
      </c>
      <c r="L502" s="110">
        <v>3128.3069999999998</v>
      </c>
      <c r="M502" s="110">
        <v>2949.6970000000001</v>
      </c>
      <c r="N502" s="110">
        <v>2763.0709999999999</v>
      </c>
      <c r="O502" s="110">
        <v>2557.0329999999999</v>
      </c>
      <c r="P502" s="110">
        <v>2346.8429999999998</v>
      </c>
      <c r="Q502" s="110">
        <v>2137.7869999999998</v>
      </c>
      <c r="R502" s="110">
        <v>1932.0740000000001</v>
      </c>
      <c r="S502" s="110">
        <v>1720.09</v>
      </c>
      <c r="T502" s="110">
        <v>1495.58</v>
      </c>
      <c r="U502" s="110">
        <v>1256.9179999999999</v>
      </c>
      <c r="V502" s="110">
        <v>1011.95</v>
      </c>
      <c r="W502" s="110">
        <v>773.197</v>
      </c>
      <c r="X502" s="110">
        <v>532.34400000000005</v>
      </c>
      <c r="Y502" s="110">
        <v>292.28300000000002</v>
      </c>
      <c r="Z502" s="110">
        <v>118.557</v>
      </c>
      <c r="AA502" s="110">
        <v>32.509</v>
      </c>
      <c r="AB502" s="110">
        <v>5.1749999999999998</v>
      </c>
      <c r="AC502" s="115">
        <f t="shared" si="21"/>
        <v>19178.5</v>
      </c>
      <c r="AD502">
        <f t="shared" si="22"/>
        <v>1.0128625115388481</v>
      </c>
    </row>
    <row r="503" spans="1:30" x14ac:dyDescent="0.25">
      <c r="A503" s="104" t="str">
        <f t="shared" si="20"/>
        <v>Zambia2086</v>
      </c>
      <c r="C503" s="107" t="s">
        <v>257</v>
      </c>
      <c r="D503" s="108" t="s">
        <v>219</v>
      </c>
      <c r="F503" s="109">
        <v>894</v>
      </c>
      <c r="G503" s="109">
        <v>2086</v>
      </c>
      <c r="H503" s="110">
        <v>3759.9769999999999</v>
      </c>
      <c r="I503" s="110">
        <v>3629.2420000000002</v>
      </c>
      <c r="J503" s="110">
        <v>3483.982</v>
      </c>
      <c r="K503" s="110">
        <v>3327.1509999999998</v>
      </c>
      <c r="L503" s="110">
        <v>3161.0439999999999</v>
      </c>
      <c r="M503" s="110">
        <v>2983.95</v>
      </c>
      <c r="N503" s="110">
        <v>2799.59</v>
      </c>
      <c r="O503" s="110">
        <v>2596.0459999999998</v>
      </c>
      <c r="P503" s="110">
        <v>2385.2829999999999</v>
      </c>
      <c r="Q503" s="110">
        <v>2174.5889999999999</v>
      </c>
      <c r="R503" s="110">
        <v>1967.5060000000001</v>
      </c>
      <c r="S503" s="110">
        <v>1755.817</v>
      </c>
      <c r="T503" s="110">
        <v>1530.9269999999999</v>
      </c>
      <c r="U503" s="110">
        <v>1289.8209999999999</v>
      </c>
      <c r="V503" s="110">
        <v>1038.789</v>
      </c>
      <c r="W503" s="110">
        <v>792.505</v>
      </c>
      <c r="X503" s="110">
        <v>548.34799999999996</v>
      </c>
      <c r="Y503" s="110">
        <v>308.07900000000001</v>
      </c>
      <c r="Z503" s="110">
        <v>129.595</v>
      </c>
      <c r="AA503" s="110">
        <v>35.698</v>
      </c>
      <c r="AB503" s="110">
        <v>5.5970000000000004</v>
      </c>
      <c r="AC503" s="115">
        <f t="shared" si="21"/>
        <v>19427.653000000002</v>
      </c>
      <c r="AD503">
        <f t="shared" si="22"/>
        <v>1.0129912662616993</v>
      </c>
    </row>
    <row r="504" spans="1:30" x14ac:dyDescent="0.25">
      <c r="A504" s="104" t="str">
        <f t="shared" si="20"/>
        <v>Zambia2087</v>
      </c>
      <c r="C504" s="107" t="s">
        <v>257</v>
      </c>
      <c r="D504" s="108" t="s">
        <v>219</v>
      </c>
      <c r="F504" s="109">
        <v>894</v>
      </c>
      <c r="G504" s="109">
        <v>2087</v>
      </c>
      <c r="H504" s="110">
        <v>3782.2260000000001</v>
      </c>
      <c r="I504" s="110">
        <v>3655.5920000000001</v>
      </c>
      <c r="J504" s="110">
        <v>3513.51</v>
      </c>
      <c r="K504" s="110">
        <v>3358.098</v>
      </c>
      <c r="L504" s="110">
        <v>3193.1210000000001</v>
      </c>
      <c r="M504" s="110">
        <v>3017.7919999999999</v>
      </c>
      <c r="N504" s="110">
        <v>2834.848</v>
      </c>
      <c r="O504" s="110">
        <v>2634.9859999999999</v>
      </c>
      <c r="P504" s="110">
        <v>2423.7170000000001</v>
      </c>
      <c r="Q504" s="110">
        <v>2211.83</v>
      </c>
      <c r="R504" s="110">
        <v>2002.97</v>
      </c>
      <c r="S504" s="110">
        <v>1791.635</v>
      </c>
      <c r="T504" s="110">
        <v>1567.0419999999999</v>
      </c>
      <c r="U504" s="110">
        <v>1324.4259999999999</v>
      </c>
      <c r="V504" s="110">
        <v>1068.5</v>
      </c>
      <c r="W504" s="110">
        <v>814.01</v>
      </c>
      <c r="X504" s="110">
        <v>564.53200000000004</v>
      </c>
      <c r="Y504" s="110">
        <v>323.10599999999999</v>
      </c>
      <c r="Z504" s="110">
        <v>137.45699999999999</v>
      </c>
      <c r="AA504" s="110">
        <v>40.145000000000003</v>
      </c>
      <c r="AB504" s="110">
        <v>6.0460000000000003</v>
      </c>
      <c r="AC504" s="115">
        <f t="shared" si="21"/>
        <v>19674.392</v>
      </c>
      <c r="AD504">
        <f t="shared" si="22"/>
        <v>1.0127004018447312</v>
      </c>
    </row>
    <row r="505" spans="1:30" x14ac:dyDescent="0.25">
      <c r="A505" s="104" t="str">
        <f t="shared" si="20"/>
        <v>Zambia2088</v>
      </c>
      <c r="C505" s="107" t="s">
        <v>257</v>
      </c>
      <c r="D505" s="108" t="s">
        <v>219</v>
      </c>
      <c r="F505" s="109">
        <v>894</v>
      </c>
      <c r="G505" s="109">
        <v>2088</v>
      </c>
      <c r="H505" s="110">
        <v>3803.1729999999998</v>
      </c>
      <c r="I505" s="110">
        <v>3680.3389999999999</v>
      </c>
      <c r="J505" s="110">
        <v>3542.23</v>
      </c>
      <c r="K505" s="110">
        <v>3388.5520000000001</v>
      </c>
      <c r="L505" s="110">
        <v>3224.5880000000002</v>
      </c>
      <c r="M505" s="110">
        <v>3051.1149999999998</v>
      </c>
      <c r="N505" s="110">
        <v>2869.018</v>
      </c>
      <c r="O505" s="110">
        <v>2673.53</v>
      </c>
      <c r="P505" s="110">
        <v>2462.0630000000001</v>
      </c>
      <c r="Q505" s="110">
        <v>2249.4119999999998</v>
      </c>
      <c r="R505" s="110">
        <v>2038.56</v>
      </c>
      <c r="S505" s="110">
        <v>1827.377</v>
      </c>
      <c r="T505" s="110">
        <v>1603.7170000000001</v>
      </c>
      <c r="U505" s="110">
        <v>1360.4490000000001</v>
      </c>
      <c r="V505" s="110">
        <v>1100.752</v>
      </c>
      <c r="W505" s="110">
        <v>838.04899999999998</v>
      </c>
      <c r="X505" s="110">
        <v>582.06200000000001</v>
      </c>
      <c r="Y505" s="110">
        <v>337.05099999999999</v>
      </c>
      <c r="Z505" s="110">
        <v>144.26900000000001</v>
      </c>
      <c r="AA505" s="110">
        <v>43.944000000000003</v>
      </c>
      <c r="AB505" s="110">
        <v>6.5229999999999997</v>
      </c>
      <c r="AC505" s="115">
        <f t="shared" si="21"/>
        <v>19918.278000000002</v>
      </c>
      <c r="AD505">
        <f t="shared" si="22"/>
        <v>1.0123961136893076</v>
      </c>
    </row>
    <row r="506" spans="1:30" x14ac:dyDescent="0.25">
      <c r="A506" s="104" t="str">
        <f t="shared" si="20"/>
        <v>Zambia2089</v>
      </c>
      <c r="C506" s="107" t="s">
        <v>257</v>
      </c>
      <c r="D506" s="108" t="s">
        <v>219</v>
      </c>
      <c r="F506" s="109">
        <v>894</v>
      </c>
      <c r="G506" s="109">
        <v>2089</v>
      </c>
      <c r="H506" s="110">
        <v>3822.8389999999999</v>
      </c>
      <c r="I506" s="110">
        <v>3703.4380000000001</v>
      </c>
      <c r="J506" s="110">
        <v>3569.8609999999999</v>
      </c>
      <c r="K506" s="110">
        <v>3418.4189999999999</v>
      </c>
      <c r="L506" s="110">
        <v>3255.518</v>
      </c>
      <c r="M506" s="110">
        <v>3083.739</v>
      </c>
      <c r="N506" s="110">
        <v>2902.4859999999999</v>
      </c>
      <c r="O506" s="110">
        <v>2711.1759999999999</v>
      </c>
      <c r="P506" s="110">
        <v>2500.3090000000002</v>
      </c>
      <c r="Q506" s="110">
        <v>2287.1619999999998</v>
      </c>
      <c r="R506" s="110">
        <v>2074.4160000000002</v>
      </c>
      <c r="S506" s="110">
        <v>1863.0139999999999</v>
      </c>
      <c r="T506" s="110">
        <v>1640.7270000000001</v>
      </c>
      <c r="U506" s="110">
        <v>1397.5930000000001</v>
      </c>
      <c r="V506" s="110">
        <v>1135.1220000000001</v>
      </c>
      <c r="W506" s="110">
        <v>864.99</v>
      </c>
      <c r="X506" s="110">
        <v>601.77599999999995</v>
      </c>
      <c r="Y506" s="110">
        <v>351.44200000000001</v>
      </c>
      <c r="Z506" s="110">
        <v>150.22499999999999</v>
      </c>
      <c r="AA506" s="110">
        <v>45.642000000000003</v>
      </c>
      <c r="AB506" s="110">
        <v>7.0270000000000001</v>
      </c>
      <c r="AC506" s="115">
        <f t="shared" si="21"/>
        <v>20158.809000000001</v>
      </c>
      <c r="AD506">
        <f t="shared" si="22"/>
        <v>1.0120758933076444</v>
      </c>
    </row>
    <row r="507" spans="1:30" x14ac:dyDescent="0.25">
      <c r="A507" s="104" t="str">
        <f t="shared" si="20"/>
        <v>Zambia2090</v>
      </c>
      <c r="C507" s="107" t="s">
        <v>257</v>
      </c>
      <c r="D507" s="108" t="s">
        <v>219</v>
      </c>
      <c r="F507" s="109">
        <v>894</v>
      </c>
      <c r="G507" s="109">
        <v>2090</v>
      </c>
      <c r="H507" s="110">
        <v>3841.308</v>
      </c>
      <c r="I507" s="110">
        <v>3724.9380000000001</v>
      </c>
      <c r="J507" s="110">
        <v>3596.0569999999998</v>
      </c>
      <c r="K507" s="110">
        <v>3447.569</v>
      </c>
      <c r="L507" s="110">
        <v>3285.9389999999999</v>
      </c>
      <c r="M507" s="110">
        <v>3115.5569999999998</v>
      </c>
      <c r="N507" s="110">
        <v>2935.4929999999999</v>
      </c>
      <c r="O507" s="110">
        <v>2747.538</v>
      </c>
      <c r="P507" s="110">
        <v>2538.4160000000002</v>
      </c>
      <c r="Q507" s="110">
        <v>2324.8969999999999</v>
      </c>
      <c r="R507" s="110">
        <v>2110.5970000000002</v>
      </c>
      <c r="S507" s="110">
        <v>1898.5740000000001</v>
      </c>
      <c r="T507" s="110">
        <v>1677.8109999999999</v>
      </c>
      <c r="U507" s="110">
        <v>1435.569</v>
      </c>
      <c r="V507" s="110">
        <v>1171.277</v>
      </c>
      <c r="W507" s="110">
        <v>894.97900000000004</v>
      </c>
      <c r="X507" s="110">
        <v>623.98</v>
      </c>
      <c r="Y507" s="110">
        <v>366.59800000000001</v>
      </c>
      <c r="Z507" s="110">
        <v>156.917</v>
      </c>
      <c r="AA507" s="110">
        <v>44.273000000000003</v>
      </c>
      <c r="AB507" s="110">
        <v>7.5609999999999999</v>
      </c>
      <c r="AC507" s="115">
        <f t="shared" si="21"/>
        <v>20395.409</v>
      </c>
      <c r="AD507">
        <f t="shared" si="22"/>
        <v>1.0117368044907811</v>
      </c>
    </row>
    <row r="508" spans="1:30" x14ac:dyDescent="0.25">
      <c r="A508" s="104" t="str">
        <f t="shared" si="20"/>
        <v>Zambia2091</v>
      </c>
      <c r="C508" s="107" t="s">
        <v>257</v>
      </c>
      <c r="D508" s="108" t="s">
        <v>219</v>
      </c>
      <c r="F508" s="109">
        <v>894</v>
      </c>
      <c r="G508" s="109">
        <v>2091</v>
      </c>
      <c r="H508" s="110">
        <v>3861.902</v>
      </c>
      <c r="I508" s="110">
        <v>3748.7640000000001</v>
      </c>
      <c r="J508" s="110">
        <v>3623.154</v>
      </c>
      <c r="K508" s="110">
        <v>3477.634</v>
      </c>
      <c r="L508" s="110">
        <v>3317.4780000000001</v>
      </c>
      <c r="M508" s="110">
        <v>3148.4690000000001</v>
      </c>
      <c r="N508" s="110">
        <v>2969.7869999999998</v>
      </c>
      <c r="O508" s="110">
        <v>2783.8960000000002</v>
      </c>
      <c r="P508" s="110">
        <v>2577.4209999999998</v>
      </c>
      <c r="Q508" s="110">
        <v>2363.08</v>
      </c>
      <c r="R508" s="110">
        <v>2147.1909999999998</v>
      </c>
      <c r="S508" s="110">
        <v>1933.5540000000001</v>
      </c>
      <c r="T508" s="110">
        <v>1712.15</v>
      </c>
      <c r="U508" s="110">
        <v>1469.095</v>
      </c>
      <c r="V508" s="110">
        <v>1201.586</v>
      </c>
      <c r="W508" s="110">
        <v>918.79100000000005</v>
      </c>
      <c r="X508" s="110">
        <v>640.67700000000002</v>
      </c>
      <c r="Y508" s="110">
        <v>381.39499999999998</v>
      </c>
      <c r="Z508" s="110">
        <v>170.59100000000001</v>
      </c>
      <c r="AA508" s="110">
        <v>48.645000000000003</v>
      </c>
      <c r="AB508" s="110">
        <v>8.1319999999999997</v>
      </c>
      <c r="AC508" s="115">
        <f t="shared" si="21"/>
        <v>20637.764999999999</v>
      </c>
      <c r="AD508">
        <f t="shared" si="22"/>
        <v>1.011882870306744</v>
      </c>
    </row>
    <row r="509" spans="1:30" x14ac:dyDescent="0.25">
      <c r="A509" s="104" t="str">
        <f t="shared" si="20"/>
        <v>Zambia2092</v>
      </c>
      <c r="C509" s="107" t="s">
        <v>257</v>
      </c>
      <c r="D509" s="108" t="s">
        <v>219</v>
      </c>
      <c r="F509" s="109">
        <v>894</v>
      </c>
      <c r="G509" s="109">
        <v>2092</v>
      </c>
      <c r="H509" s="110">
        <v>3880.78</v>
      </c>
      <c r="I509" s="110">
        <v>3771.377</v>
      </c>
      <c r="J509" s="110">
        <v>3649.1239999999998</v>
      </c>
      <c r="K509" s="110">
        <v>3507.1260000000002</v>
      </c>
      <c r="L509" s="110">
        <v>3348.5239999999999</v>
      </c>
      <c r="M509" s="110">
        <v>3180.6979999999999</v>
      </c>
      <c r="N509" s="110">
        <v>3003.7350000000001</v>
      </c>
      <c r="O509" s="110">
        <v>2819.0909999999999</v>
      </c>
      <c r="P509" s="110">
        <v>2616.4169999999999</v>
      </c>
      <c r="Q509" s="110">
        <v>2401.3620000000001</v>
      </c>
      <c r="R509" s="110">
        <v>2184.3229999999999</v>
      </c>
      <c r="S509" s="110">
        <v>1968.8630000000001</v>
      </c>
      <c r="T509" s="110">
        <v>1747.1569999999999</v>
      </c>
      <c r="U509" s="110">
        <v>1504.0119999999999</v>
      </c>
      <c r="V509" s="110">
        <v>1234.1690000000001</v>
      </c>
      <c r="W509" s="110">
        <v>945.577</v>
      </c>
      <c r="X509" s="110">
        <v>658.803</v>
      </c>
      <c r="Y509" s="110">
        <v>394.69499999999999</v>
      </c>
      <c r="Z509" s="110">
        <v>180.08099999999999</v>
      </c>
      <c r="AA509" s="110">
        <v>54.677999999999997</v>
      </c>
      <c r="AB509" s="110">
        <v>8.7390000000000008</v>
      </c>
      <c r="AC509" s="115">
        <f t="shared" si="21"/>
        <v>20876.953000000001</v>
      </c>
      <c r="AD509">
        <f t="shared" si="22"/>
        <v>1.0115898208938807</v>
      </c>
    </row>
    <row r="510" spans="1:30" x14ac:dyDescent="0.25">
      <c r="A510" s="104" t="str">
        <f t="shared" si="20"/>
        <v>Zambia2093</v>
      </c>
      <c r="C510" s="107" t="s">
        <v>257</v>
      </c>
      <c r="D510" s="108" t="s">
        <v>219</v>
      </c>
      <c r="F510" s="109">
        <v>894</v>
      </c>
      <c r="G510" s="109">
        <v>2093</v>
      </c>
      <c r="H510" s="110">
        <v>3898.1060000000002</v>
      </c>
      <c r="I510" s="110">
        <v>3792.6</v>
      </c>
      <c r="J510" s="110">
        <v>3673.913</v>
      </c>
      <c r="K510" s="110">
        <v>3535.8620000000001</v>
      </c>
      <c r="L510" s="110">
        <v>3379.0219999999999</v>
      </c>
      <c r="M510" s="110">
        <v>3212.2530000000002</v>
      </c>
      <c r="N510" s="110">
        <v>3037.16</v>
      </c>
      <c r="O510" s="110">
        <v>2853.346</v>
      </c>
      <c r="P510" s="110">
        <v>2655</v>
      </c>
      <c r="Q510" s="110">
        <v>2439.7139999999999</v>
      </c>
      <c r="R510" s="110">
        <v>2221.866</v>
      </c>
      <c r="S510" s="110">
        <v>2004.402</v>
      </c>
      <c r="T510" s="110">
        <v>1782.7070000000001</v>
      </c>
      <c r="U510" s="110">
        <v>1540.057</v>
      </c>
      <c r="V510" s="110">
        <v>1268.7860000000001</v>
      </c>
      <c r="W510" s="110">
        <v>975.25099999999998</v>
      </c>
      <c r="X510" s="110">
        <v>679.31399999999996</v>
      </c>
      <c r="Y510" s="110">
        <v>406.96899999999999</v>
      </c>
      <c r="Z510" s="110">
        <v>187.96299999999999</v>
      </c>
      <c r="AA510" s="110">
        <v>59.795000000000002</v>
      </c>
      <c r="AB510" s="110">
        <v>9.3859999999999992</v>
      </c>
      <c r="AC510" s="115">
        <f t="shared" si="21"/>
        <v>21112.357</v>
      </c>
      <c r="AD510">
        <f t="shared" si="22"/>
        <v>1.011275783396169</v>
      </c>
    </row>
    <row r="511" spans="1:30" x14ac:dyDescent="0.25">
      <c r="A511" s="104" t="str">
        <f t="shared" si="20"/>
        <v>Zambia2094</v>
      </c>
      <c r="C511" s="107" t="s">
        <v>257</v>
      </c>
      <c r="D511" s="108" t="s">
        <v>219</v>
      </c>
      <c r="F511" s="109">
        <v>894</v>
      </c>
      <c r="G511" s="109">
        <v>2094</v>
      </c>
      <c r="H511" s="110">
        <v>3914.0889999999999</v>
      </c>
      <c r="I511" s="110">
        <v>3812.2719999999999</v>
      </c>
      <c r="J511" s="110">
        <v>3697.4679999999998</v>
      </c>
      <c r="K511" s="110">
        <v>3563.5639999999999</v>
      </c>
      <c r="L511" s="110">
        <v>3408.877</v>
      </c>
      <c r="M511" s="110">
        <v>3243.1770000000001</v>
      </c>
      <c r="N511" s="110">
        <v>3069.8449999999998</v>
      </c>
      <c r="O511" s="110">
        <v>2887.009</v>
      </c>
      <c r="P511" s="110">
        <v>2692.6320000000001</v>
      </c>
      <c r="Q511" s="110">
        <v>2478.0920000000001</v>
      </c>
      <c r="R511" s="110">
        <v>2259.598</v>
      </c>
      <c r="S511" s="110">
        <v>2040.2349999999999</v>
      </c>
      <c r="T511" s="110">
        <v>1818.683</v>
      </c>
      <c r="U511" s="110">
        <v>1576.9659999999999</v>
      </c>
      <c r="V511" s="110">
        <v>1305.1669999999999</v>
      </c>
      <c r="W511" s="110">
        <v>1007.605</v>
      </c>
      <c r="X511" s="110">
        <v>702.85400000000004</v>
      </c>
      <c r="Y511" s="110">
        <v>420.637</v>
      </c>
      <c r="Z511" s="110">
        <v>194.62200000000001</v>
      </c>
      <c r="AA511" s="110">
        <v>62.145000000000003</v>
      </c>
      <c r="AB511" s="110">
        <v>10.077999999999999</v>
      </c>
      <c r="AC511" s="115">
        <f t="shared" si="21"/>
        <v>21343.196</v>
      </c>
      <c r="AD511">
        <f t="shared" si="22"/>
        <v>1.0109338336785418</v>
      </c>
    </row>
    <row r="512" spans="1:30" x14ac:dyDescent="0.25">
      <c r="A512" s="104" t="str">
        <f t="shared" si="20"/>
        <v>Zambia2095</v>
      </c>
      <c r="C512" s="107" t="s">
        <v>257</v>
      </c>
      <c r="D512" s="108" t="s">
        <v>219</v>
      </c>
      <c r="F512" s="109">
        <v>894</v>
      </c>
      <c r="G512" s="109">
        <v>2095</v>
      </c>
      <c r="H512" s="110">
        <v>3928.9079999999999</v>
      </c>
      <c r="I512" s="110">
        <v>3830.2359999999999</v>
      </c>
      <c r="J512" s="110">
        <v>3719.6439999999998</v>
      </c>
      <c r="K512" s="110">
        <v>3589.9769999999999</v>
      </c>
      <c r="L512" s="110">
        <v>3437.9859999999999</v>
      </c>
      <c r="M512" s="110">
        <v>3273.4810000000002</v>
      </c>
      <c r="N512" s="110">
        <v>3101.645</v>
      </c>
      <c r="O512" s="110">
        <v>2920.22</v>
      </c>
      <c r="P512" s="110">
        <v>2728.9920000000002</v>
      </c>
      <c r="Q512" s="110">
        <v>2516.3620000000001</v>
      </c>
      <c r="R512" s="110">
        <v>2297.3429999999998</v>
      </c>
      <c r="S512" s="110">
        <v>2076.4319999999998</v>
      </c>
      <c r="T512" s="110">
        <v>1854.904</v>
      </c>
      <c r="U512" s="110">
        <v>1614.492</v>
      </c>
      <c r="V512" s="110">
        <v>1343.0309999999999</v>
      </c>
      <c r="W512" s="110">
        <v>1042.43</v>
      </c>
      <c r="X512" s="110">
        <v>729.62900000000002</v>
      </c>
      <c r="Y512" s="110">
        <v>436.71899999999999</v>
      </c>
      <c r="Z512" s="110">
        <v>201.667</v>
      </c>
      <c r="AA512" s="110">
        <v>60.639000000000003</v>
      </c>
      <c r="AB512" s="110">
        <v>10.819000000000001</v>
      </c>
      <c r="AC512" s="115">
        <f t="shared" si="21"/>
        <v>21568.663</v>
      </c>
      <c r="AD512">
        <f t="shared" si="22"/>
        <v>1.0105638818103906</v>
      </c>
    </row>
    <row r="513" spans="1:30" x14ac:dyDescent="0.25">
      <c r="A513" s="104" t="str">
        <f t="shared" si="20"/>
        <v>Zambia2096</v>
      </c>
      <c r="C513" s="107" t="s">
        <v>257</v>
      </c>
      <c r="D513" s="108" t="s">
        <v>219</v>
      </c>
      <c r="F513" s="109">
        <v>894</v>
      </c>
      <c r="G513" s="109">
        <v>2096</v>
      </c>
      <c r="H513" s="110">
        <v>3946.1219999999998</v>
      </c>
      <c r="I513" s="110">
        <v>3850.5880000000002</v>
      </c>
      <c r="J513" s="110">
        <v>3743.018</v>
      </c>
      <c r="K513" s="110">
        <v>3617.002</v>
      </c>
      <c r="L513" s="110">
        <v>3468.248</v>
      </c>
      <c r="M513" s="110">
        <v>3305.2420000000002</v>
      </c>
      <c r="N513" s="110">
        <v>3134.6460000000002</v>
      </c>
      <c r="O513" s="110">
        <v>2954.413</v>
      </c>
      <c r="P513" s="110">
        <v>2765.4</v>
      </c>
      <c r="Q513" s="110">
        <v>2555.1570000000002</v>
      </c>
      <c r="R513" s="110">
        <v>2335.3510000000001</v>
      </c>
      <c r="S513" s="110">
        <v>2112.6080000000002</v>
      </c>
      <c r="T513" s="110">
        <v>1888.549</v>
      </c>
      <c r="U513" s="110">
        <v>1647.08</v>
      </c>
      <c r="V513" s="110">
        <v>1373.952</v>
      </c>
      <c r="W513" s="110">
        <v>1069.2940000000001</v>
      </c>
      <c r="X513" s="110">
        <v>750.11599999999999</v>
      </c>
      <c r="Y513" s="110">
        <v>452.6</v>
      </c>
      <c r="Z513" s="110">
        <v>215.89500000000001</v>
      </c>
      <c r="AA513" s="110">
        <v>66.209999999999994</v>
      </c>
      <c r="AB513" s="110">
        <v>11.622</v>
      </c>
      <c r="AC513" s="115">
        <f t="shared" si="21"/>
        <v>21800.108</v>
      </c>
      <c r="AD513">
        <f t="shared" si="22"/>
        <v>1.0107306141321788</v>
      </c>
    </row>
    <row r="514" spans="1:30" x14ac:dyDescent="0.25">
      <c r="A514" s="104" t="str">
        <f t="shared" si="20"/>
        <v>Zambia2097</v>
      </c>
      <c r="C514" s="107" t="s">
        <v>257</v>
      </c>
      <c r="D514" s="108" t="s">
        <v>219</v>
      </c>
      <c r="F514" s="109">
        <v>894</v>
      </c>
      <c r="G514" s="109">
        <v>2097</v>
      </c>
      <c r="H514" s="110">
        <v>3961.5619999999999</v>
      </c>
      <c r="I514" s="110">
        <v>3869.76</v>
      </c>
      <c r="J514" s="110">
        <v>3765.366</v>
      </c>
      <c r="K514" s="110">
        <v>3642.9209999999998</v>
      </c>
      <c r="L514" s="110">
        <v>3497.8589999999999</v>
      </c>
      <c r="M514" s="110">
        <v>3336.46</v>
      </c>
      <c r="N514" s="110">
        <v>3166.998</v>
      </c>
      <c r="O514" s="110">
        <v>2988.3209999999999</v>
      </c>
      <c r="P514" s="110">
        <v>2800.703</v>
      </c>
      <c r="Q514" s="110">
        <v>2594.0329999999999</v>
      </c>
      <c r="R514" s="110">
        <v>2373.556</v>
      </c>
      <c r="S514" s="110">
        <v>2149.6120000000001</v>
      </c>
      <c r="T514" s="110">
        <v>1923.115</v>
      </c>
      <c r="U514" s="110">
        <v>1681.0129999999999</v>
      </c>
      <c r="V514" s="110">
        <v>1406.944</v>
      </c>
      <c r="W514" s="110">
        <v>1098.7750000000001</v>
      </c>
      <c r="X514" s="110">
        <v>772.75300000000004</v>
      </c>
      <c r="Y514" s="110">
        <v>467.52100000000002</v>
      </c>
      <c r="Z514" s="110">
        <v>224.721</v>
      </c>
      <c r="AA514" s="110">
        <v>73.623999999999995</v>
      </c>
      <c r="AB514" s="110">
        <v>12.484999999999999</v>
      </c>
      <c r="AC514" s="115">
        <f t="shared" si="21"/>
        <v>22027.295000000002</v>
      </c>
      <c r="AD514">
        <f t="shared" si="22"/>
        <v>1.0104213703895413</v>
      </c>
    </row>
    <row r="515" spans="1:30" x14ac:dyDescent="0.25">
      <c r="A515" s="104" t="str">
        <f t="shared" si="20"/>
        <v>Zambia2098</v>
      </c>
      <c r="C515" s="107" t="s">
        <v>257</v>
      </c>
      <c r="D515" s="108" t="s">
        <v>219</v>
      </c>
      <c r="F515" s="109">
        <v>894</v>
      </c>
      <c r="G515" s="109">
        <v>2098</v>
      </c>
      <c r="H515" s="110">
        <v>3975.33</v>
      </c>
      <c r="I515" s="110">
        <v>3887.5619999999999</v>
      </c>
      <c r="J515" s="110">
        <v>3786.5929999999998</v>
      </c>
      <c r="K515" s="110">
        <v>3667.7069999999999</v>
      </c>
      <c r="L515" s="110">
        <v>3526.6329999999998</v>
      </c>
      <c r="M515" s="110">
        <v>3367.0419999999999</v>
      </c>
      <c r="N515" s="110">
        <v>3198.6559999999999</v>
      </c>
      <c r="O515" s="110">
        <v>3021.826</v>
      </c>
      <c r="P515" s="110">
        <v>2835.0329999999999</v>
      </c>
      <c r="Q515" s="110">
        <v>2632.6260000000002</v>
      </c>
      <c r="R515" s="110">
        <v>2411.8919999999998</v>
      </c>
      <c r="S515" s="110">
        <v>2187.1089999999999</v>
      </c>
      <c r="T515" s="110">
        <v>1958.53</v>
      </c>
      <c r="U515" s="110">
        <v>1716.0920000000001</v>
      </c>
      <c r="V515" s="110">
        <v>1441.771</v>
      </c>
      <c r="W515" s="110">
        <v>1130.866</v>
      </c>
      <c r="X515" s="110">
        <v>798.18100000000004</v>
      </c>
      <c r="Y515" s="110">
        <v>481.94200000000001</v>
      </c>
      <c r="Z515" s="110">
        <v>231.761</v>
      </c>
      <c r="AA515" s="110">
        <v>79.777000000000001</v>
      </c>
      <c r="AB515" s="110">
        <v>13.413</v>
      </c>
      <c r="AC515" s="115">
        <f t="shared" si="21"/>
        <v>22249.523000000001</v>
      </c>
      <c r="AD515">
        <f t="shared" si="22"/>
        <v>1.0100887557913942</v>
      </c>
    </row>
    <row r="516" spans="1:30" x14ac:dyDescent="0.25">
      <c r="A516" s="104" t="str">
        <f t="shared" si="20"/>
        <v>Zambia2099</v>
      </c>
      <c r="C516" s="107" t="s">
        <v>257</v>
      </c>
      <c r="D516" s="108" t="s">
        <v>219</v>
      </c>
      <c r="F516" s="109">
        <v>894</v>
      </c>
      <c r="G516" s="109">
        <v>2099</v>
      </c>
      <c r="H516" s="110">
        <v>3987.5740000000001</v>
      </c>
      <c r="I516" s="110">
        <v>3903.7979999999998</v>
      </c>
      <c r="J516" s="110">
        <v>3806.5709999999999</v>
      </c>
      <c r="K516" s="110">
        <v>3691.3440000000001</v>
      </c>
      <c r="L516" s="110">
        <v>3554.308</v>
      </c>
      <c r="M516" s="110">
        <v>3396.884</v>
      </c>
      <c r="N516" s="110">
        <v>3229.636</v>
      </c>
      <c r="O516" s="110">
        <v>3054.6970000000001</v>
      </c>
      <c r="P516" s="110">
        <v>2868.7170000000001</v>
      </c>
      <c r="Q516" s="110">
        <v>2670.3980000000001</v>
      </c>
      <c r="R516" s="110">
        <v>2450.279</v>
      </c>
      <c r="S516" s="110">
        <v>2224.8209999999999</v>
      </c>
      <c r="T516" s="110">
        <v>1994.78</v>
      </c>
      <c r="U516" s="110">
        <v>1752.163</v>
      </c>
      <c r="V516" s="110">
        <v>1478.2</v>
      </c>
      <c r="W516" s="110">
        <v>1165.4570000000001</v>
      </c>
      <c r="X516" s="110">
        <v>826.58299999999997</v>
      </c>
      <c r="Y516" s="110">
        <v>498.54199999999997</v>
      </c>
      <c r="Z516" s="110">
        <v>238.041</v>
      </c>
      <c r="AA516" s="110">
        <v>82.480999999999995</v>
      </c>
      <c r="AB516" s="110">
        <v>14.407999999999999</v>
      </c>
      <c r="AC516" s="115">
        <f t="shared" si="21"/>
        <v>22465.984</v>
      </c>
      <c r="AD516">
        <f t="shared" si="22"/>
        <v>1.0097287928374914</v>
      </c>
    </row>
    <row r="517" spans="1:30" x14ac:dyDescent="0.25">
      <c r="A517" s="104" t="str">
        <f t="shared" si="20"/>
        <v>Zambia2100</v>
      </c>
      <c r="C517" s="107" t="s">
        <v>257</v>
      </c>
      <c r="D517" s="108" t="s">
        <v>219</v>
      </c>
      <c r="F517" s="109">
        <v>894</v>
      </c>
      <c r="G517" s="109">
        <v>2100</v>
      </c>
      <c r="H517" s="110">
        <v>3998.5709999999999</v>
      </c>
      <c r="I517" s="110">
        <v>3918.2449999999999</v>
      </c>
      <c r="J517" s="110">
        <v>3825.1170000000002</v>
      </c>
      <c r="K517" s="110">
        <v>3713.7449999999999</v>
      </c>
      <c r="L517" s="110">
        <v>3580.6669999999999</v>
      </c>
      <c r="M517" s="110">
        <v>3425.875</v>
      </c>
      <c r="N517" s="110">
        <v>3259.9229999999998</v>
      </c>
      <c r="O517" s="110">
        <v>3086.6970000000001</v>
      </c>
      <c r="P517" s="110">
        <v>2901.95</v>
      </c>
      <c r="Q517" s="110">
        <v>2706.9380000000001</v>
      </c>
      <c r="R517" s="110">
        <v>2488.5830000000001</v>
      </c>
      <c r="S517" s="110">
        <v>2262.5859999999998</v>
      </c>
      <c r="T517" s="110">
        <v>2031.7190000000001</v>
      </c>
      <c r="U517" s="110">
        <v>1789.05</v>
      </c>
      <c r="V517" s="110">
        <v>1515.98</v>
      </c>
      <c r="W517" s="110">
        <v>1202.345</v>
      </c>
      <c r="X517" s="110">
        <v>857.89</v>
      </c>
      <c r="Y517" s="110">
        <v>518.38199999999995</v>
      </c>
      <c r="Z517" s="110">
        <v>245.744</v>
      </c>
      <c r="AA517" s="110">
        <v>80.468999999999994</v>
      </c>
      <c r="AB517" s="110">
        <v>15.475</v>
      </c>
      <c r="AC517" s="115">
        <f t="shared" si="21"/>
        <v>22675.794999999998</v>
      </c>
      <c r="AD517">
        <f t="shared" si="22"/>
        <v>1.0093390523201653</v>
      </c>
    </row>
    <row r="518" spans="1:30" x14ac:dyDescent="0.25">
      <c r="A518" s="104" t="str">
        <f t="shared" si="20"/>
        <v>Rwanda2015</v>
      </c>
      <c r="C518" s="107" t="s">
        <v>257</v>
      </c>
      <c r="D518" s="108" t="s">
        <v>214</v>
      </c>
      <c r="E518" s="109"/>
      <c r="F518" s="109">
        <v>646</v>
      </c>
      <c r="G518" s="109">
        <v>2015</v>
      </c>
      <c r="H518" s="110">
        <v>864.64499999999998</v>
      </c>
      <c r="I518" s="110">
        <v>807.34199999999998</v>
      </c>
      <c r="J518" s="110">
        <v>702.62199999999996</v>
      </c>
      <c r="K518" s="110">
        <v>606.67200000000003</v>
      </c>
      <c r="L518" s="110">
        <v>515.30100000000004</v>
      </c>
      <c r="M518" s="110">
        <v>534.54999999999995</v>
      </c>
      <c r="N518" s="110">
        <v>483.06</v>
      </c>
      <c r="O518" s="110">
        <v>336.84500000000003</v>
      </c>
      <c r="P518" s="110">
        <v>252.71600000000001</v>
      </c>
      <c r="Q518" s="110">
        <v>184.52199999999999</v>
      </c>
      <c r="R518" s="110">
        <v>192.41200000000001</v>
      </c>
      <c r="S518" s="110">
        <v>144.33000000000001</v>
      </c>
      <c r="T518" s="110">
        <v>113.726</v>
      </c>
      <c r="U518" s="110">
        <v>77.286000000000001</v>
      </c>
      <c r="V518" s="110">
        <v>54.39</v>
      </c>
      <c r="W518" s="110">
        <v>26.295999999999999</v>
      </c>
      <c r="X518" s="110">
        <v>23.045999999999999</v>
      </c>
      <c r="Y518" s="110">
        <v>4.9459999999999997</v>
      </c>
      <c r="Z518" s="110">
        <v>3.2080000000000002</v>
      </c>
      <c r="AA518" s="110">
        <v>0.39400000000000002</v>
      </c>
      <c r="AB518" s="110">
        <v>7.0000000000000001E-3</v>
      </c>
      <c r="AC518" s="115">
        <f t="shared" si="21"/>
        <v>2913.6659999999997</v>
      </c>
      <c r="AD518" t="str">
        <f t="shared" si="22"/>
        <v/>
      </c>
    </row>
    <row r="519" spans="1:30" x14ac:dyDescent="0.25">
      <c r="A519" s="104" t="str">
        <f t="shared" si="20"/>
        <v>Rwanda2016</v>
      </c>
      <c r="C519" s="107" t="s">
        <v>257</v>
      </c>
      <c r="D519" s="108" t="s">
        <v>214</v>
      </c>
      <c r="E519" s="109"/>
      <c r="F519" s="109">
        <v>646</v>
      </c>
      <c r="G519" s="109">
        <v>2016</v>
      </c>
      <c r="H519" s="110">
        <v>866.54499999999996</v>
      </c>
      <c r="I519" s="110">
        <v>823.274</v>
      </c>
      <c r="J519" s="110">
        <v>723.05600000000004</v>
      </c>
      <c r="K519" s="110">
        <v>625.303</v>
      </c>
      <c r="L519" s="110">
        <v>523.13199999999995</v>
      </c>
      <c r="M519" s="110">
        <v>530.59500000000003</v>
      </c>
      <c r="N519" s="110">
        <v>501.27499999999998</v>
      </c>
      <c r="O519" s="110">
        <v>362.52199999999999</v>
      </c>
      <c r="P519" s="110">
        <v>266.59199999999998</v>
      </c>
      <c r="Q519" s="110">
        <v>190.589</v>
      </c>
      <c r="R519" s="110">
        <v>191.93799999999999</v>
      </c>
      <c r="S519" s="110">
        <v>152.42099999999999</v>
      </c>
      <c r="T519" s="110">
        <v>118.054</v>
      </c>
      <c r="U519" s="110">
        <v>81.58</v>
      </c>
      <c r="V519" s="110">
        <v>56.889000000000003</v>
      </c>
      <c r="W519" s="110">
        <v>28.207999999999998</v>
      </c>
      <c r="X519" s="110">
        <v>22.036999999999999</v>
      </c>
      <c r="Y519" s="110">
        <v>6.8010000000000002</v>
      </c>
      <c r="Z519" s="110">
        <v>2.8769999999999998</v>
      </c>
      <c r="AA519" s="110">
        <v>0.56899999999999995</v>
      </c>
      <c r="AB519" s="110">
        <v>1.0999999999999999E-2</v>
      </c>
      <c r="AC519" s="115">
        <f t="shared" si="21"/>
        <v>3000.0079999999998</v>
      </c>
      <c r="AD519">
        <f t="shared" si="22"/>
        <v>1.0296334583305018</v>
      </c>
    </row>
    <row r="520" spans="1:30" x14ac:dyDescent="0.25">
      <c r="A520" s="104" t="str">
        <f t="shared" si="20"/>
        <v>Rwanda2017</v>
      </c>
      <c r="C520" s="107" t="s">
        <v>257</v>
      </c>
      <c r="D520" s="108" t="s">
        <v>214</v>
      </c>
      <c r="E520" s="109"/>
      <c r="F520" s="109">
        <v>646</v>
      </c>
      <c r="G520" s="109">
        <v>2017</v>
      </c>
      <c r="H520" s="110">
        <v>870.63900000000001</v>
      </c>
      <c r="I520" s="110">
        <v>835.57100000000003</v>
      </c>
      <c r="J520" s="110">
        <v>744.31299999999999</v>
      </c>
      <c r="K520" s="110">
        <v>642.65599999999995</v>
      </c>
      <c r="L520" s="110">
        <v>538.149</v>
      </c>
      <c r="M520" s="110">
        <v>522.01400000000001</v>
      </c>
      <c r="N520" s="110">
        <v>514.46400000000006</v>
      </c>
      <c r="O520" s="110">
        <v>392.41800000000001</v>
      </c>
      <c r="P520" s="110">
        <v>279.226</v>
      </c>
      <c r="Q520" s="110">
        <v>201.816</v>
      </c>
      <c r="R520" s="110">
        <v>187.19300000000001</v>
      </c>
      <c r="S520" s="110">
        <v>162.661</v>
      </c>
      <c r="T520" s="110">
        <v>121.536</v>
      </c>
      <c r="U520" s="110">
        <v>86.933999999999997</v>
      </c>
      <c r="V520" s="110">
        <v>58.68</v>
      </c>
      <c r="W520" s="110">
        <v>31.608000000000001</v>
      </c>
      <c r="X520" s="110">
        <v>19.841999999999999</v>
      </c>
      <c r="Y520" s="110">
        <v>9.0839999999999996</v>
      </c>
      <c r="Z520" s="110">
        <v>2.258</v>
      </c>
      <c r="AA520" s="110">
        <v>0.80400000000000005</v>
      </c>
      <c r="AB520" s="110">
        <v>1.7999999999999999E-2</v>
      </c>
      <c r="AC520" s="115">
        <f t="shared" si="21"/>
        <v>3090.7429999999999</v>
      </c>
      <c r="AD520">
        <f t="shared" si="22"/>
        <v>1.0302449193468819</v>
      </c>
    </row>
    <row r="521" spans="1:30" x14ac:dyDescent="0.25">
      <c r="A521" s="104" t="str">
        <f t="shared" si="20"/>
        <v>Rwanda2018</v>
      </c>
      <c r="C521" s="107" t="s">
        <v>257</v>
      </c>
      <c r="D521" s="108" t="s">
        <v>214</v>
      </c>
      <c r="E521" s="109"/>
      <c r="F521" s="109">
        <v>646</v>
      </c>
      <c r="G521" s="109">
        <v>2018</v>
      </c>
      <c r="H521" s="110">
        <v>876.24400000000003</v>
      </c>
      <c r="I521" s="110">
        <v>844.11199999999997</v>
      </c>
      <c r="J521" s="110">
        <v>765.755</v>
      </c>
      <c r="K521" s="110">
        <v>659.52</v>
      </c>
      <c r="L521" s="110">
        <v>558.11400000000003</v>
      </c>
      <c r="M521" s="110">
        <v>512.21900000000005</v>
      </c>
      <c r="N521" s="110">
        <v>522.71</v>
      </c>
      <c r="O521" s="110">
        <v>423.77600000000001</v>
      </c>
      <c r="P521" s="110">
        <v>292.33499999999998</v>
      </c>
      <c r="Q521" s="110">
        <v>216.54900000000001</v>
      </c>
      <c r="R521" s="110">
        <v>180.87700000000001</v>
      </c>
      <c r="S521" s="110">
        <v>173.148</v>
      </c>
      <c r="T521" s="110">
        <v>124.98699999999999</v>
      </c>
      <c r="U521" s="110">
        <v>92.849000000000004</v>
      </c>
      <c r="V521" s="110">
        <v>60.386000000000003</v>
      </c>
      <c r="W521" s="110">
        <v>35.64</v>
      </c>
      <c r="X521" s="110">
        <v>17.611999999999998</v>
      </c>
      <c r="Y521" s="110">
        <v>10.945</v>
      </c>
      <c r="Z521" s="110">
        <v>1.768</v>
      </c>
      <c r="AA521" s="110">
        <v>0.94299999999999995</v>
      </c>
      <c r="AB521" s="110">
        <v>2.5000000000000001E-2</v>
      </c>
      <c r="AC521" s="115">
        <f t="shared" si="21"/>
        <v>3185.223</v>
      </c>
      <c r="AD521">
        <f t="shared" si="22"/>
        <v>1.0305687014416922</v>
      </c>
    </row>
    <row r="522" spans="1:30" x14ac:dyDescent="0.25">
      <c r="A522" s="104" t="str">
        <f t="shared" si="20"/>
        <v>Rwanda2019</v>
      </c>
      <c r="C522" s="107" t="s">
        <v>257</v>
      </c>
      <c r="D522" s="108" t="s">
        <v>214</v>
      </c>
      <c r="E522" s="109"/>
      <c r="F522" s="109">
        <v>646</v>
      </c>
      <c r="G522" s="109">
        <v>2019</v>
      </c>
      <c r="H522" s="110">
        <v>881.46600000000001</v>
      </c>
      <c r="I522" s="110">
        <v>850.024</v>
      </c>
      <c r="J522" s="110">
        <v>785.89499999999998</v>
      </c>
      <c r="K522" s="110">
        <v>677.43100000000004</v>
      </c>
      <c r="L522" s="110">
        <v>579.18499999999995</v>
      </c>
      <c r="M522" s="110">
        <v>506.30700000000002</v>
      </c>
      <c r="N522" s="110">
        <v>526.51800000000003</v>
      </c>
      <c r="O522" s="110">
        <v>452.36700000000002</v>
      </c>
      <c r="P522" s="110">
        <v>308.79700000000003</v>
      </c>
      <c r="Q522" s="110">
        <v>231.97200000000001</v>
      </c>
      <c r="R522" s="110">
        <v>177.18299999999999</v>
      </c>
      <c r="S522" s="110">
        <v>180.97900000000001</v>
      </c>
      <c r="T522" s="110">
        <v>129.672</v>
      </c>
      <c r="U522" s="110">
        <v>98.585999999999999</v>
      </c>
      <c r="V522" s="110">
        <v>62.831000000000003</v>
      </c>
      <c r="W522" s="110">
        <v>39.283999999999999</v>
      </c>
      <c r="X522" s="110">
        <v>16.57</v>
      </c>
      <c r="Y522" s="110">
        <v>11.773</v>
      </c>
      <c r="Z522" s="110">
        <v>1.546</v>
      </c>
      <c r="AA522" s="110">
        <v>0.89600000000000002</v>
      </c>
      <c r="AB522" s="110">
        <v>3.4000000000000002E-2</v>
      </c>
      <c r="AC522" s="115">
        <f t="shared" si="21"/>
        <v>3282.5770000000002</v>
      </c>
      <c r="AD522">
        <f t="shared" si="22"/>
        <v>1.030564265045179</v>
      </c>
    </row>
    <row r="523" spans="1:30" x14ac:dyDescent="0.25">
      <c r="A523" s="104" t="str">
        <f t="shared" si="20"/>
        <v>Rwanda2020</v>
      </c>
      <c r="C523" s="107" t="s">
        <v>257</v>
      </c>
      <c r="D523" s="108" t="s">
        <v>214</v>
      </c>
      <c r="E523" s="109"/>
      <c r="F523" s="109">
        <v>646</v>
      </c>
      <c r="G523" s="109">
        <v>2020</v>
      </c>
      <c r="H523" s="110">
        <v>885</v>
      </c>
      <c r="I523" s="110">
        <v>855.14400000000001</v>
      </c>
      <c r="J523" s="110">
        <v>803.11199999999997</v>
      </c>
      <c r="K523" s="110">
        <v>697.14200000000005</v>
      </c>
      <c r="L523" s="110">
        <v>598.904</v>
      </c>
      <c r="M523" s="110">
        <v>507.392</v>
      </c>
      <c r="N523" s="110">
        <v>526.47799999999995</v>
      </c>
      <c r="O523" s="110">
        <v>475.43</v>
      </c>
      <c r="P523" s="110">
        <v>330.11900000000003</v>
      </c>
      <c r="Q523" s="110">
        <v>246.399</v>
      </c>
      <c r="R523" s="110">
        <v>178.64</v>
      </c>
      <c r="S523" s="110">
        <v>184.57400000000001</v>
      </c>
      <c r="T523" s="110">
        <v>136.20400000000001</v>
      </c>
      <c r="U523" s="110">
        <v>103.759</v>
      </c>
      <c r="V523" s="110">
        <v>66.397999999999996</v>
      </c>
      <c r="W523" s="110">
        <v>42.145000000000003</v>
      </c>
      <c r="X523" s="110">
        <v>17.114999999999998</v>
      </c>
      <c r="Y523" s="110">
        <v>11.414</v>
      </c>
      <c r="Z523" s="110">
        <v>1.663</v>
      </c>
      <c r="AA523" s="110">
        <v>0.64900000000000002</v>
      </c>
      <c r="AB523" s="110">
        <v>4.2000000000000003E-2</v>
      </c>
      <c r="AC523" s="115">
        <f t="shared" si="21"/>
        <v>3381.864</v>
      </c>
      <c r="AD523">
        <f t="shared" si="22"/>
        <v>1.0302466629114868</v>
      </c>
    </row>
    <row r="524" spans="1:30" x14ac:dyDescent="0.25">
      <c r="A524" s="104" t="str">
        <f t="shared" si="20"/>
        <v>Rwanda2021</v>
      </c>
      <c r="C524" s="107" t="s">
        <v>257</v>
      </c>
      <c r="D524" s="108" t="s">
        <v>214</v>
      </c>
      <c r="E524" s="109"/>
      <c r="F524" s="109">
        <v>646</v>
      </c>
      <c r="G524" s="109">
        <v>2021</v>
      </c>
      <c r="H524" s="110">
        <v>888.62199999999996</v>
      </c>
      <c r="I524" s="110">
        <v>861.04600000000005</v>
      </c>
      <c r="J524" s="110">
        <v>817.00099999999998</v>
      </c>
      <c r="K524" s="110">
        <v>717.51199999999994</v>
      </c>
      <c r="L524" s="110">
        <v>617.55200000000002</v>
      </c>
      <c r="M524" s="110">
        <v>515.202</v>
      </c>
      <c r="N524" s="110">
        <v>522.54700000000003</v>
      </c>
      <c r="O524" s="110">
        <v>493.33600000000001</v>
      </c>
      <c r="P524" s="110">
        <v>355.47300000000001</v>
      </c>
      <c r="Q524" s="110">
        <v>259.95499999999998</v>
      </c>
      <c r="R524" s="110">
        <v>184.57599999999999</v>
      </c>
      <c r="S524" s="110">
        <v>184.01</v>
      </c>
      <c r="T524" s="110">
        <v>143.81</v>
      </c>
      <c r="U524" s="110">
        <v>107.617</v>
      </c>
      <c r="V524" s="110">
        <v>70.186999999999998</v>
      </c>
      <c r="W524" s="110">
        <v>44.039000000000001</v>
      </c>
      <c r="X524" s="110">
        <v>18.846</v>
      </c>
      <c r="Y524" s="110">
        <v>10.95</v>
      </c>
      <c r="Z524" s="110">
        <v>2.5390000000000001</v>
      </c>
      <c r="AA524" s="110">
        <v>0.55400000000000005</v>
      </c>
      <c r="AB524" s="110">
        <v>5.0999999999999997E-2</v>
      </c>
      <c r="AC524" s="115">
        <f t="shared" si="21"/>
        <v>3481.5770000000002</v>
      </c>
      <c r="AD524">
        <f t="shared" si="22"/>
        <v>1.0294846274125748</v>
      </c>
    </row>
    <row r="525" spans="1:30" x14ac:dyDescent="0.25">
      <c r="A525" s="104" t="str">
        <f t="shared" si="20"/>
        <v>Rwanda2022</v>
      </c>
      <c r="C525" s="107" t="s">
        <v>257</v>
      </c>
      <c r="D525" s="108" t="s">
        <v>214</v>
      </c>
      <c r="E525" s="109"/>
      <c r="F525" s="109">
        <v>646</v>
      </c>
      <c r="G525" s="109">
        <v>2022</v>
      </c>
      <c r="H525" s="110">
        <v>890.61</v>
      </c>
      <c r="I525" s="110">
        <v>866.21</v>
      </c>
      <c r="J525" s="110">
        <v>828.17600000000004</v>
      </c>
      <c r="K525" s="110">
        <v>739.07799999999997</v>
      </c>
      <c r="L525" s="110">
        <v>635.029</v>
      </c>
      <c r="M525" s="110">
        <v>530.25199999999995</v>
      </c>
      <c r="N525" s="110">
        <v>514.21299999999997</v>
      </c>
      <c r="O525" s="110">
        <v>506.47399999999999</v>
      </c>
      <c r="P525" s="110">
        <v>385.101</v>
      </c>
      <c r="Q525" s="110">
        <v>272.42</v>
      </c>
      <c r="R525" s="110">
        <v>195.58</v>
      </c>
      <c r="S525" s="110">
        <v>179.46899999999999</v>
      </c>
      <c r="T525" s="110">
        <v>153.57</v>
      </c>
      <c r="U525" s="110">
        <v>110.801</v>
      </c>
      <c r="V525" s="110">
        <v>74.91</v>
      </c>
      <c r="W525" s="110">
        <v>45.44</v>
      </c>
      <c r="X525" s="110">
        <v>21.323</v>
      </c>
      <c r="Y525" s="110">
        <v>9.8960000000000008</v>
      </c>
      <c r="Z525" s="110">
        <v>3.4590000000000001</v>
      </c>
      <c r="AA525" s="110">
        <v>0.45700000000000002</v>
      </c>
      <c r="AB525" s="110">
        <v>0.06</v>
      </c>
      <c r="AC525" s="115">
        <f t="shared" si="21"/>
        <v>3582.5670000000005</v>
      </c>
      <c r="AD525">
        <f t="shared" si="22"/>
        <v>1.0290069701172775</v>
      </c>
    </row>
    <row r="526" spans="1:30" x14ac:dyDescent="0.25">
      <c r="A526" s="104" t="str">
        <f t="shared" si="20"/>
        <v>Rwanda2023</v>
      </c>
      <c r="C526" s="107" t="s">
        <v>257</v>
      </c>
      <c r="D526" s="108" t="s">
        <v>214</v>
      </c>
      <c r="E526" s="109"/>
      <c r="F526" s="109">
        <v>646</v>
      </c>
      <c r="G526" s="109">
        <v>2023</v>
      </c>
      <c r="H526" s="110">
        <v>891.50800000000004</v>
      </c>
      <c r="I526" s="110">
        <v>870.65099999999995</v>
      </c>
      <c r="J526" s="110">
        <v>837.11500000000001</v>
      </c>
      <c r="K526" s="110">
        <v>760.73299999999995</v>
      </c>
      <c r="L526" s="110">
        <v>652.01700000000005</v>
      </c>
      <c r="M526" s="110">
        <v>550.27300000000002</v>
      </c>
      <c r="N526" s="110">
        <v>504.755</v>
      </c>
      <c r="O526" s="110">
        <v>514.89700000000005</v>
      </c>
      <c r="P526" s="110">
        <v>416.23599999999999</v>
      </c>
      <c r="Q526" s="110">
        <v>285.471</v>
      </c>
      <c r="R526" s="110">
        <v>210.01599999999999</v>
      </c>
      <c r="S526" s="110">
        <v>173.518</v>
      </c>
      <c r="T526" s="110">
        <v>163.65100000000001</v>
      </c>
      <c r="U526" s="110">
        <v>114.07599999999999</v>
      </c>
      <c r="V526" s="110">
        <v>80.131</v>
      </c>
      <c r="W526" s="110">
        <v>46.881999999999998</v>
      </c>
      <c r="X526" s="110">
        <v>23.975000000000001</v>
      </c>
      <c r="Y526" s="110">
        <v>8.8550000000000004</v>
      </c>
      <c r="Z526" s="110">
        <v>4.1239999999999997</v>
      </c>
      <c r="AA526" s="110">
        <v>0.41</v>
      </c>
      <c r="AB526" s="110">
        <v>6.8000000000000005E-2</v>
      </c>
      <c r="AC526" s="115">
        <f t="shared" si="21"/>
        <v>3684.3820000000001</v>
      </c>
      <c r="AD526">
        <f t="shared" si="22"/>
        <v>1.0284195661937374</v>
      </c>
    </row>
    <row r="527" spans="1:30" x14ac:dyDescent="0.25">
      <c r="A527" s="104" t="str">
        <f t="shared" si="20"/>
        <v>Rwanda2024</v>
      </c>
      <c r="C527" s="107" t="s">
        <v>257</v>
      </c>
      <c r="D527" s="108" t="s">
        <v>214</v>
      </c>
      <c r="E527" s="109"/>
      <c r="F527" s="109">
        <v>646</v>
      </c>
      <c r="G527" s="109">
        <v>2024</v>
      </c>
      <c r="H527" s="110">
        <v>892.72699999999998</v>
      </c>
      <c r="I527" s="110">
        <v>874.21900000000005</v>
      </c>
      <c r="J527" s="110">
        <v>844.65700000000004</v>
      </c>
      <c r="K527" s="110">
        <v>780.66800000000001</v>
      </c>
      <c r="L527" s="110">
        <v>669.86</v>
      </c>
      <c r="M527" s="110">
        <v>571.28800000000001</v>
      </c>
      <c r="N527" s="110">
        <v>499.05900000000003</v>
      </c>
      <c r="O527" s="110">
        <v>518.91600000000005</v>
      </c>
      <c r="P527" s="110">
        <v>444.58300000000003</v>
      </c>
      <c r="Q527" s="110">
        <v>301.84199999999998</v>
      </c>
      <c r="R527" s="110">
        <v>225.11</v>
      </c>
      <c r="S527" s="110">
        <v>170.136</v>
      </c>
      <c r="T527" s="110">
        <v>171.22399999999999</v>
      </c>
      <c r="U527" s="110">
        <v>118.595</v>
      </c>
      <c r="V527" s="110">
        <v>85.21</v>
      </c>
      <c r="W527" s="110">
        <v>48.984999999999999</v>
      </c>
      <c r="X527" s="110">
        <v>26.202000000000002</v>
      </c>
      <c r="Y527" s="110">
        <v>8.3940000000000001</v>
      </c>
      <c r="Z527" s="110">
        <v>4.2949999999999999</v>
      </c>
      <c r="AA527" s="110">
        <v>0.39500000000000002</v>
      </c>
      <c r="AB527" s="110">
        <v>7.2999999999999995E-2</v>
      </c>
      <c r="AC527" s="115">
        <f t="shared" si="21"/>
        <v>3786.2160000000003</v>
      </c>
      <c r="AD527">
        <f t="shared" si="22"/>
        <v>1.0276393707275739</v>
      </c>
    </row>
    <row r="528" spans="1:30" x14ac:dyDescent="0.25">
      <c r="A528" s="104" t="str">
        <f t="shared" si="20"/>
        <v>Rwanda2025</v>
      </c>
      <c r="C528" s="107" t="s">
        <v>257</v>
      </c>
      <c r="D528" s="108" t="s">
        <v>214</v>
      </c>
      <c r="E528" s="109"/>
      <c r="F528" s="109">
        <v>646</v>
      </c>
      <c r="G528" s="109">
        <v>2025</v>
      </c>
      <c r="H528" s="110">
        <v>895.322</v>
      </c>
      <c r="I528" s="110">
        <v>876.726</v>
      </c>
      <c r="J528" s="110">
        <v>851.35799999999995</v>
      </c>
      <c r="K528" s="110">
        <v>797.73299999999995</v>
      </c>
      <c r="L528" s="110">
        <v>689.31700000000001</v>
      </c>
      <c r="M528" s="110">
        <v>590.78300000000002</v>
      </c>
      <c r="N528" s="110">
        <v>500.16800000000001</v>
      </c>
      <c r="O528" s="110">
        <v>519.03399999999999</v>
      </c>
      <c r="P528" s="110">
        <v>467.40499999999997</v>
      </c>
      <c r="Q528" s="110">
        <v>322.95400000000001</v>
      </c>
      <c r="R528" s="110">
        <v>239.23699999999999</v>
      </c>
      <c r="S528" s="110">
        <v>171.71799999999999</v>
      </c>
      <c r="T528" s="110">
        <v>174.76300000000001</v>
      </c>
      <c r="U528" s="110">
        <v>124.904</v>
      </c>
      <c r="V528" s="110">
        <v>89.841999999999999</v>
      </c>
      <c r="W528" s="110">
        <v>52.017000000000003</v>
      </c>
      <c r="X528" s="110">
        <v>27.864999999999998</v>
      </c>
      <c r="Y528" s="110">
        <v>8.6479999999999997</v>
      </c>
      <c r="Z528" s="110">
        <v>3.9329999999999998</v>
      </c>
      <c r="AA528" s="110">
        <v>0.34499999999999997</v>
      </c>
      <c r="AB528" s="110">
        <v>7.3999999999999996E-2</v>
      </c>
      <c r="AC528" s="115">
        <f t="shared" si="21"/>
        <v>3887.3940000000007</v>
      </c>
      <c r="AD528">
        <f t="shared" si="22"/>
        <v>1.0267227226338911</v>
      </c>
    </row>
    <row r="529" spans="1:30" x14ac:dyDescent="0.25">
      <c r="A529" s="104" t="str">
        <f t="shared" si="20"/>
        <v>Rwanda2026</v>
      </c>
      <c r="C529" s="107" t="s">
        <v>257</v>
      </c>
      <c r="D529" s="108" t="s">
        <v>214</v>
      </c>
      <c r="E529" s="109"/>
      <c r="F529" s="109">
        <v>646</v>
      </c>
      <c r="G529" s="109">
        <v>2026</v>
      </c>
      <c r="H529" s="110">
        <v>899.08799999999997</v>
      </c>
      <c r="I529" s="110">
        <v>879.67600000000004</v>
      </c>
      <c r="J529" s="110">
        <v>857.18299999999999</v>
      </c>
      <c r="K529" s="110">
        <v>811.80100000000004</v>
      </c>
      <c r="L529" s="110">
        <v>710.03399999999999</v>
      </c>
      <c r="M529" s="110">
        <v>609.58299999999997</v>
      </c>
      <c r="N529" s="110">
        <v>508.113</v>
      </c>
      <c r="O529" s="110">
        <v>515.28599999999994</v>
      </c>
      <c r="P529" s="110">
        <v>485.28699999999998</v>
      </c>
      <c r="Q529" s="110">
        <v>348.02699999999999</v>
      </c>
      <c r="R529" s="110">
        <v>252.54599999999999</v>
      </c>
      <c r="S529" s="110">
        <v>177.583</v>
      </c>
      <c r="T529" s="110">
        <v>174.06299999999999</v>
      </c>
      <c r="U529" s="110">
        <v>131.999</v>
      </c>
      <c r="V529" s="110">
        <v>93.156000000000006</v>
      </c>
      <c r="W529" s="110">
        <v>55.247</v>
      </c>
      <c r="X529" s="110">
        <v>29.303000000000001</v>
      </c>
      <c r="Y529" s="110">
        <v>9.9920000000000009</v>
      </c>
      <c r="Z529" s="110">
        <v>3.9460000000000002</v>
      </c>
      <c r="AA529" s="110">
        <v>0.53600000000000003</v>
      </c>
      <c r="AB529" s="110">
        <v>7.0000000000000007E-2</v>
      </c>
      <c r="AC529" s="115">
        <f t="shared" si="21"/>
        <v>3988.1309999999999</v>
      </c>
      <c r="AD529">
        <f t="shared" si="22"/>
        <v>1.0259137612498241</v>
      </c>
    </row>
    <row r="530" spans="1:30" x14ac:dyDescent="0.25">
      <c r="A530" s="104" t="str">
        <f t="shared" si="20"/>
        <v>Rwanda2027</v>
      </c>
      <c r="C530" s="107" t="s">
        <v>257</v>
      </c>
      <c r="D530" s="108" t="s">
        <v>214</v>
      </c>
      <c r="E530" s="109"/>
      <c r="F530" s="109">
        <v>646</v>
      </c>
      <c r="G530" s="109">
        <v>2027</v>
      </c>
      <c r="H530" s="110">
        <v>904.18100000000004</v>
      </c>
      <c r="I530" s="110">
        <v>882.07500000000005</v>
      </c>
      <c r="J530" s="110">
        <v>862.21699999999998</v>
      </c>
      <c r="K530" s="110">
        <v>822.93299999999999</v>
      </c>
      <c r="L530" s="110">
        <v>731.697</v>
      </c>
      <c r="M530" s="110">
        <v>627.072</v>
      </c>
      <c r="N530" s="110">
        <v>523.14700000000005</v>
      </c>
      <c r="O530" s="110">
        <v>507.09199999999998</v>
      </c>
      <c r="P530" s="110">
        <v>498.40499999999997</v>
      </c>
      <c r="Q530" s="110">
        <v>377.26299999999998</v>
      </c>
      <c r="R530" s="110">
        <v>264.78800000000001</v>
      </c>
      <c r="S530" s="110">
        <v>188.31399999999999</v>
      </c>
      <c r="T530" s="110">
        <v>169.67699999999999</v>
      </c>
      <c r="U530" s="110">
        <v>141.125</v>
      </c>
      <c r="V530" s="110">
        <v>95.903999999999996</v>
      </c>
      <c r="W530" s="110">
        <v>59.131999999999998</v>
      </c>
      <c r="X530" s="110">
        <v>30.347999999999999</v>
      </c>
      <c r="Y530" s="110">
        <v>11.488</v>
      </c>
      <c r="Z530" s="110">
        <v>3.657</v>
      </c>
      <c r="AA530" s="110">
        <v>0.86199999999999999</v>
      </c>
      <c r="AB530" s="110">
        <v>6.2E-2</v>
      </c>
      <c r="AC530" s="115">
        <f t="shared" si="21"/>
        <v>4087.6090000000004</v>
      </c>
      <c r="AD530">
        <f t="shared" si="22"/>
        <v>1.0249435136408509</v>
      </c>
    </row>
    <row r="531" spans="1:30" x14ac:dyDescent="0.25">
      <c r="A531" s="104" t="str">
        <f t="shared" si="20"/>
        <v>Rwanda2028</v>
      </c>
      <c r="C531" s="107" t="s">
        <v>257</v>
      </c>
      <c r="D531" s="108" t="s">
        <v>214</v>
      </c>
      <c r="E531" s="109"/>
      <c r="F531" s="109">
        <v>646</v>
      </c>
      <c r="G531" s="109">
        <v>2028</v>
      </c>
      <c r="H531" s="110">
        <v>910.41499999999996</v>
      </c>
      <c r="I531" s="110">
        <v>884.05700000000002</v>
      </c>
      <c r="J531" s="110">
        <v>866.60400000000004</v>
      </c>
      <c r="K531" s="110">
        <v>831.75300000000004</v>
      </c>
      <c r="L531" s="110">
        <v>753.21699999999998</v>
      </c>
      <c r="M531" s="110">
        <v>643.96799999999996</v>
      </c>
      <c r="N531" s="110">
        <v>543.03099999999995</v>
      </c>
      <c r="O531" s="110">
        <v>497.77800000000002</v>
      </c>
      <c r="P531" s="110">
        <v>506.81099999999998</v>
      </c>
      <c r="Q531" s="110">
        <v>407.96300000000002</v>
      </c>
      <c r="R531" s="110">
        <v>277.62299999999999</v>
      </c>
      <c r="S531" s="110">
        <v>202.30199999999999</v>
      </c>
      <c r="T531" s="110">
        <v>164.11600000000001</v>
      </c>
      <c r="U531" s="110">
        <v>150.542</v>
      </c>
      <c r="V531" s="110">
        <v>98.843000000000004</v>
      </c>
      <c r="W531" s="110">
        <v>63.35</v>
      </c>
      <c r="X531" s="110">
        <v>31.390999999999998</v>
      </c>
      <c r="Y531" s="110">
        <v>12.81</v>
      </c>
      <c r="Z531" s="110">
        <v>3.3519999999999999</v>
      </c>
      <c r="AA531" s="110">
        <v>1.0920000000000001</v>
      </c>
      <c r="AB531" s="110">
        <v>5.2999999999999999E-2</v>
      </c>
      <c r="AC531" s="115">
        <f t="shared" si="21"/>
        <v>4184.5210000000006</v>
      </c>
      <c r="AD531">
        <f t="shared" si="22"/>
        <v>1.0237087255654835</v>
      </c>
    </row>
    <row r="532" spans="1:30" x14ac:dyDescent="0.25">
      <c r="A532" s="104" t="str">
        <f t="shared" si="20"/>
        <v>Rwanda2029</v>
      </c>
      <c r="C532" s="107" t="s">
        <v>257</v>
      </c>
      <c r="D532" s="108" t="s">
        <v>214</v>
      </c>
      <c r="E532" s="109"/>
      <c r="F532" s="109">
        <v>646</v>
      </c>
      <c r="G532" s="109">
        <v>2029</v>
      </c>
      <c r="H532" s="110">
        <v>917.25</v>
      </c>
      <c r="I532" s="110">
        <v>885.96299999999997</v>
      </c>
      <c r="J532" s="110">
        <v>870.35199999999998</v>
      </c>
      <c r="K532" s="110">
        <v>839.31799999999998</v>
      </c>
      <c r="L532" s="110">
        <v>772.95699999999999</v>
      </c>
      <c r="M532" s="110">
        <v>661.721</v>
      </c>
      <c r="N532" s="110">
        <v>563.91499999999996</v>
      </c>
      <c r="O532" s="110">
        <v>492.28100000000001</v>
      </c>
      <c r="P532" s="110">
        <v>510.89299999999997</v>
      </c>
      <c r="Q532" s="110">
        <v>435.97800000000001</v>
      </c>
      <c r="R532" s="110">
        <v>293.77300000000002</v>
      </c>
      <c r="S532" s="110">
        <v>216.93600000000001</v>
      </c>
      <c r="T532" s="110">
        <v>161.179</v>
      </c>
      <c r="U532" s="110">
        <v>157.63200000000001</v>
      </c>
      <c r="V532" s="110">
        <v>103.038</v>
      </c>
      <c r="W532" s="110">
        <v>67.435000000000002</v>
      </c>
      <c r="X532" s="110">
        <v>32.868000000000002</v>
      </c>
      <c r="Y532" s="110">
        <v>13.807</v>
      </c>
      <c r="Z532" s="110">
        <v>3.13</v>
      </c>
      <c r="AA532" s="110">
        <v>1.0960000000000001</v>
      </c>
      <c r="AB532" s="110">
        <v>4.5999999999999999E-2</v>
      </c>
      <c r="AC532" s="115">
        <f t="shared" si="21"/>
        <v>4277.0630000000001</v>
      </c>
      <c r="AD532">
        <f t="shared" si="22"/>
        <v>1.0221153149906523</v>
      </c>
    </row>
    <row r="533" spans="1:30" x14ac:dyDescent="0.25">
      <c r="A533" s="104" t="str">
        <f t="shared" si="20"/>
        <v>Rwanda2030</v>
      </c>
      <c r="C533" s="107" t="s">
        <v>257</v>
      </c>
      <c r="D533" s="108" t="s">
        <v>214</v>
      </c>
      <c r="E533" s="109"/>
      <c r="F533" s="109">
        <v>646</v>
      </c>
      <c r="G533" s="109">
        <v>2030</v>
      </c>
      <c r="H533" s="110">
        <v>924.44</v>
      </c>
      <c r="I533" s="110">
        <v>888.20100000000002</v>
      </c>
      <c r="J533" s="110">
        <v>873.36</v>
      </c>
      <c r="K533" s="110">
        <v>846.27499999999998</v>
      </c>
      <c r="L533" s="110">
        <v>789.89200000000005</v>
      </c>
      <c r="M533" s="110">
        <v>681.08799999999997</v>
      </c>
      <c r="N533" s="110">
        <v>583.34799999999996</v>
      </c>
      <c r="O533" s="110">
        <v>493.61</v>
      </c>
      <c r="P533" s="110">
        <v>511.18900000000002</v>
      </c>
      <c r="Q533" s="110">
        <v>458.64</v>
      </c>
      <c r="R533" s="110">
        <v>314.63900000000001</v>
      </c>
      <c r="S533" s="110">
        <v>230.71799999999999</v>
      </c>
      <c r="T533" s="110">
        <v>163.08199999999999</v>
      </c>
      <c r="U533" s="110">
        <v>161.03100000000001</v>
      </c>
      <c r="V533" s="110">
        <v>108.964</v>
      </c>
      <c r="W533" s="110">
        <v>71.206999999999994</v>
      </c>
      <c r="X533" s="110">
        <v>34.976999999999997</v>
      </c>
      <c r="Y533" s="110">
        <v>14.41</v>
      </c>
      <c r="Z533" s="110">
        <v>3.069</v>
      </c>
      <c r="AA533" s="110">
        <v>0.84599999999999997</v>
      </c>
      <c r="AB533" s="110">
        <v>4.5999999999999999E-2</v>
      </c>
      <c r="AC533" s="115">
        <f t="shared" si="21"/>
        <v>4364.0420000000004</v>
      </c>
      <c r="AD533">
        <f t="shared" si="22"/>
        <v>1.0203361512327502</v>
      </c>
    </row>
    <row r="534" spans="1:30" x14ac:dyDescent="0.25">
      <c r="A534" s="104" t="str">
        <f t="shared" si="20"/>
        <v>Rwanda2031</v>
      </c>
      <c r="C534" s="107" t="s">
        <v>257</v>
      </c>
      <c r="D534" s="108" t="s">
        <v>214</v>
      </c>
      <c r="E534" s="109"/>
      <c r="F534" s="109">
        <v>646</v>
      </c>
      <c r="G534" s="109">
        <v>2031</v>
      </c>
      <c r="H534" s="110">
        <v>934.18299999999999</v>
      </c>
      <c r="I534" s="110">
        <v>892.154</v>
      </c>
      <c r="J534" s="110">
        <v>875.57600000000002</v>
      </c>
      <c r="K534" s="110">
        <v>852.00099999999998</v>
      </c>
      <c r="L534" s="110">
        <v>804.04200000000003</v>
      </c>
      <c r="M534" s="110">
        <v>701.71799999999996</v>
      </c>
      <c r="N534" s="110">
        <v>601.976</v>
      </c>
      <c r="O534" s="110">
        <v>501.42</v>
      </c>
      <c r="P534" s="110">
        <v>507.49700000000001</v>
      </c>
      <c r="Q534" s="110">
        <v>476.16800000000001</v>
      </c>
      <c r="R534" s="110">
        <v>339.21</v>
      </c>
      <c r="S534" s="110">
        <v>243.542</v>
      </c>
      <c r="T534" s="110">
        <v>168.696</v>
      </c>
      <c r="U534" s="110">
        <v>160.12799999999999</v>
      </c>
      <c r="V534" s="110">
        <v>115.364</v>
      </c>
      <c r="W534" s="110">
        <v>73.924999999999997</v>
      </c>
      <c r="X534" s="110">
        <v>37.65</v>
      </c>
      <c r="Y534" s="110">
        <v>15.525</v>
      </c>
      <c r="Z534" s="110">
        <v>3.7850000000000001</v>
      </c>
      <c r="AA534" s="110">
        <v>0.84099999999999997</v>
      </c>
      <c r="AB534" s="110">
        <v>5.2999999999999999E-2</v>
      </c>
      <c r="AC534" s="115">
        <f t="shared" si="21"/>
        <v>4444.8220000000001</v>
      </c>
      <c r="AD534">
        <f t="shared" si="22"/>
        <v>1.0185103626408727</v>
      </c>
    </row>
    <row r="535" spans="1:30" x14ac:dyDescent="0.25">
      <c r="A535" s="104" t="str">
        <f t="shared" si="20"/>
        <v>Rwanda2032</v>
      </c>
      <c r="C535" s="107" t="s">
        <v>257</v>
      </c>
      <c r="D535" s="108" t="s">
        <v>214</v>
      </c>
      <c r="E535" s="109"/>
      <c r="F535" s="109">
        <v>646</v>
      </c>
      <c r="G535" s="109">
        <v>2032</v>
      </c>
      <c r="H535" s="110">
        <v>942.67399999999998</v>
      </c>
      <c r="I535" s="110">
        <v>897.45799999999997</v>
      </c>
      <c r="J535" s="110">
        <v>877.57100000000003</v>
      </c>
      <c r="K535" s="110">
        <v>857.12400000000002</v>
      </c>
      <c r="L535" s="110">
        <v>815.36800000000005</v>
      </c>
      <c r="M535" s="110">
        <v>723.42399999999998</v>
      </c>
      <c r="N535" s="110">
        <v>619.47500000000002</v>
      </c>
      <c r="O535" s="110">
        <v>516.39099999999996</v>
      </c>
      <c r="P535" s="110">
        <v>499.553</v>
      </c>
      <c r="Q535" s="110">
        <v>489.19200000000001</v>
      </c>
      <c r="R535" s="110">
        <v>367.96300000000002</v>
      </c>
      <c r="S535" s="110">
        <v>255.48</v>
      </c>
      <c r="T535" s="110">
        <v>179.00299999999999</v>
      </c>
      <c r="U535" s="110">
        <v>155.995</v>
      </c>
      <c r="V535" s="110">
        <v>123.62</v>
      </c>
      <c r="W535" s="110">
        <v>76.177000000000007</v>
      </c>
      <c r="X535" s="110">
        <v>40.618000000000002</v>
      </c>
      <c r="Y535" s="110">
        <v>16.292000000000002</v>
      </c>
      <c r="Z535" s="110">
        <v>4.484</v>
      </c>
      <c r="AA535" s="110">
        <v>0.83399999999999996</v>
      </c>
      <c r="AB535" s="110">
        <v>6.6000000000000003E-2</v>
      </c>
      <c r="AC535" s="115">
        <f t="shared" si="21"/>
        <v>4520.527</v>
      </c>
      <c r="AD535">
        <f t="shared" si="22"/>
        <v>1.0170321781164691</v>
      </c>
    </row>
    <row r="536" spans="1:30" x14ac:dyDescent="0.25">
      <c r="A536" s="104" t="str">
        <f t="shared" si="20"/>
        <v>Rwanda2033</v>
      </c>
      <c r="C536" s="107" t="s">
        <v>257</v>
      </c>
      <c r="D536" s="108" t="s">
        <v>214</v>
      </c>
      <c r="E536" s="109"/>
      <c r="F536" s="109">
        <v>646</v>
      </c>
      <c r="G536" s="109">
        <v>2033</v>
      </c>
      <c r="H536" s="110">
        <v>950.19399999999996</v>
      </c>
      <c r="I536" s="110">
        <v>903.99400000000003</v>
      </c>
      <c r="J536" s="110">
        <v>879.54</v>
      </c>
      <c r="K536" s="110">
        <v>861.65300000000002</v>
      </c>
      <c r="L536" s="110">
        <v>824.34799999999996</v>
      </c>
      <c r="M536" s="110">
        <v>745.02800000000002</v>
      </c>
      <c r="N536" s="110">
        <v>636.45799999999997</v>
      </c>
      <c r="O536" s="110">
        <v>536.27</v>
      </c>
      <c r="P536" s="110">
        <v>490.54300000000001</v>
      </c>
      <c r="Q536" s="110">
        <v>497.70800000000003</v>
      </c>
      <c r="R536" s="110">
        <v>398.19299999999998</v>
      </c>
      <c r="S536" s="110">
        <v>268.10500000000002</v>
      </c>
      <c r="T536" s="110">
        <v>192.447</v>
      </c>
      <c r="U536" s="110">
        <v>151.006</v>
      </c>
      <c r="V536" s="110">
        <v>132.12</v>
      </c>
      <c r="W536" s="110">
        <v>78.680000000000007</v>
      </c>
      <c r="X536" s="110">
        <v>43.64</v>
      </c>
      <c r="Y536" s="110">
        <v>16.887</v>
      </c>
      <c r="Z536" s="110">
        <v>5.07</v>
      </c>
      <c r="AA536" s="110">
        <v>0.84099999999999997</v>
      </c>
      <c r="AB536" s="110">
        <v>8.2000000000000003E-2</v>
      </c>
      <c r="AC536" s="115">
        <f t="shared" si="21"/>
        <v>4592.0079999999998</v>
      </c>
      <c r="AD536">
        <f t="shared" si="22"/>
        <v>1.0158125369011179</v>
      </c>
    </row>
    <row r="537" spans="1:30" x14ac:dyDescent="0.25">
      <c r="A537" s="104" t="str">
        <f t="shared" ref="A537:A600" si="23">D537&amp;G537</f>
        <v>Rwanda2034</v>
      </c>
      <c r="C537" s="107" t="s">
        <v>257</v>
      </c>
      <c r="D537" s="108" t="s">
        <v>214</v>
      </c>
      <c r="E537" s="109"/>
      <c r="F537" s="109">
        <v>646</v>
      </c>
      <c r="G537" s="109">
        <v>2034</v>
      </c>
      <c r="H537" s="110">
        <v>957.23500000000001</v>
      </c>
      <c r="I537" s="110">
        <v>911.20399999999995</v>
      </c>
      <c r="J537" s="110">
        <v>881.94200000000001</v>
      </c>
      <c r="K537" s="110">
        <v>865.47900000000004</v>
      </c>
      <c r="L537" s="110">
        <v>831.91099999999994</v>
      </c>
      <c r="M537" s="110">
        <v>764.77700000000004</v>
      </c>
      <c r="N537" s="110">
        <v>654.24599999999998</v>
      </c>
      <c r="O537" s="110">
        <v>557.16600000000005</v>
      </c>
      <c r="P537" s="110">
        <v>485.27699999999999</v>
      </c>
      <c r="Q537" s="110">
        <v>501.98700000000002</v>
      </c>
      <c r="R537" s="110">
        <v>425.78100000000001</v>
      </c>
      <c r="S537" s="110">
        <v>284.00099999999998</v>
      </c>
      <c r="T537" s="110">
        <v>206.55699999999999</v>
      </c>
      <c r="U537" s="110">
        <v>148.65100000000001</v>
      </c>
      <c r="V537" s="110">
        <v>138.49</v>
      </c>
      <c r="W537" s="110">
        <v>82.349000000000004</v>
      </c>
      <c r="X537" s="110">
        <v>46.417000000000002</v>
      </c>
      <c r="Y537" s="110">
        <v>17.631</v>
      </c>
      <c r="Z537" s="110">
        <v>5.3769999999999998</v>
      </c>
      <c r="AA537" s="110">
        <v>0.82299999999999995</v>
      </c>
      <c r="AB537" s="110">
        <v>9.5000000000000001E-2</v>
      </c>
      <c r="AC537" s="115">
        <f t="shared" si="21"/>
        <v>4660.8429999999998</v>
      </c>
      <c r="AD537">
        <f t="shared" si="22"/>
        <v>1.014990174233146</v>
      </c>
    </row>
    <row r="538" spans="1:30" x14ac:dyDescent="0.25">
      <c r="A538" s="104" t="str">
        <f t="shared" si="23"/>
        <v>Rwanda2035</v>
      </c>
      <c r="C538" s="107" t="s">
        <v>257</v>
      </c>
      <c r="D538" s="108" t="s">
        <v>214</v>
      </c>
      <c r="E538" s="109"/>
      <c r="F538" s="109">
        <v>646</v>
      </c>
      <c r="G538" s="109">
        <v>2035</v>
      </c>
      <c r="H538" s="110">
        <v>964.26199999999994</v>
      </c>
      <c r="I538" s="110">
        <v>918.22799999999995</v>
      </c>
      <c r="J538" s="110">
        <v>885.25099999999998</v>
      </c>
      <c r="K538" s="110">
        <v>868.61199999999997</v>
      </c>
      <c r="L538" s="110">
        <v>838.73099999999999</v>
      </c>
      <c r="M538" s="110">
        <v>781.58600000000001</v>
      </c>
      <c r="N538" s="110">
        <v>673.54200000000003</v>
      </c>
      <c r="O538" s="110">
        <v>576.59500000000003</v>
      </c>
      <c r="P538" s="110">
        <v>486.74</v>
      </c>
      <c r="Q538" s="110">
        <v>502.49400000000003</v>
      </c>
      <c r="R538" s="110">
        <v>448.11900000000003</v>
      </c>
      <c r="S538" s="110">
        <v>304.505</v>
      </c>
      <c r="T538" s="110">
        <v>219.93700000000001</v>
      </c>
      <c r="U538" s="110">
        <v>150.91300000000001</v>
      </c>
      <c r="V538" s="110">
        <v>141.56399999999999</v>
      </c>
      <c r="W538" s="110">
        <v>87.561000000000007</v>
      </c>
      <c r="X538" s="110">
        <v>48.914000000000001</v>
      </c>
      <c r="Y538" s="110">
        <v>18.664000000000001</v>
      </c>
      <c r="Z538" s="110">
        <v>5.3380000000000001</v>
      </c>
      <c r="AA538" s="110">
        <v>0.69699999999999995</v>
      </c>
      <c r="AB538" s="110">
        <v>0.104</v>
      </c>
      <c r="AC538" s="115">
        <f t="shared" ref="AC538:AC601" si="24">SUM(K538:Q538)</f>
        <v>4728.2999999999993</v>
      </c>
      <c r="AD538">
        <f t="shared" ref="AD538:AD601" si="25">IF(D538=D537,AC538/AC537,"")</f>
        <v>1.0144731328645911</v>
      </c>
    </row>
    <row r="539" spans="1:30" x14ac:dyDescent="0.25">
      <c r="A539" s="104" t="str">
        <f t="shared" si="23"/>
        <v>Rwanda2036</v>
      </c>
      <c r="C539" s="107" t="s">
        <v>257</v>
      </c>
      <c r="D539" s="108" t="s">
        <v>214</v>
      </c>
      <c r="E539" s="109"/>
      <c r="F539" s="109">
        <v>646</v>
      </c>
      <c r="G539" s="109">
        <v>2036</v>
      </c>
      <c r="H539" s="110">
        <v>972.53099999999995</v>
      </c>
      <c r="I539" s="110">
        <v>926.08299999999997</v>
      </c>
      <c r="J539" s="110">
        <v>889.52300000000002</v>
      </c>
      <c r="K539" s="110">
        <v>870.93399999999997</v>
      </c>
      <c r="L539" s="110">
        <v>844.827</v>
      </c>
      <c r="M539" s="110">
        <v>795.92899999999997</v>
      </c>
      <c r="N539" s="110">
        <v>694.20799999999997</v>
      </c>
      <c r="O539" s="110">
        <v>595.125</v>
      </c>
      <c r="P539" s="110">
        <v>494.63799999999998</v>
      </c>
      <c r="Q539" s="110">
        <v>498.94400000000002</v>
      </c>
      <c r="R539" s="110">
        <v>465.38299999999998</v>
      </c>
      <c r="S539" s="110">
        <v>328.49599999999998</v>
      </c>
      <c r="T539" s="110">
        <v>232.04599999999999</v>
      </c>
      <c r="U539" s="110">
        <v>156.33000000000001</v>
      </c>
      <c r="V539" s="110">
        <v>140.512</v>
      </c>
      <c r="W539" s="110">
        <v>93.120999999999995</v>
      </c>
      <c r="X539" s="110">
        <v>51.148000000000003</v>
      </c>
      <c r="Y539" s="110">
        <v>20.738</v>
      </c>
      <c r="Z539" s="110">
        <v>6.06</v>
      </c>
      <c r="AA539" s="110">
        <v>0.878</v>
      </c>
      <c r="AB539" s="110">
        <v>0.106</v>
      </c>
      <c r="AC539" s="115">
        <f t="shared" si="24"/>
        <v>4794.6050000000005</v>
      </c>
      <c r="AD539">
        <f t="shared" si="25"/>
        <v>1.0140230103842822</v>
      </c>
    </row>
    <row r="540" spans="1:30" x14ac:dyDescent="0.25">
      <c r="A540" s="104" t="str">
        <f t="shared" si="23"/>
        <v>Rwanda2037</v>
      </c>
      <c r="C540" s="107" t="s">
        <v>257</v>
      </c>
      <c r="D540" s="108" t="s">
        <v>214</v>
      </c>
      <c r="E540" s="109"/>
      <c r="F540" s="109">
        <v>646</v>
      </c>
      <c r="G540" s="109">
        <v>2037</v>
      </c>
      <c r="H540" s="110">
        <v>979.096</v>
      </c>
      <c r="I540" s="110">
        <v>934.43499999999995</v>
      </c>
      <c r="J540" s="110">
        <v>894.95500000000004</v>
      </c>
      <c r="K540" s="110">
        <v>872.846</v>
      </c>
      <c r="L540" s="110">
        <v>850.16</v>
      </c>
      <c r="M540" s="110">
        <v>807.38</v>
      </c>
      <c r="N540" s="110">
        <v>715.92200000000003</v>
      </c>
      <c r="O540" s="110">
        <v>612.54999999999995</v>
      </c>
      <c r="P540" s="110">
        <v>509.59</v>
      </c>
      <c r="Q540" s="110">
        <v>491.19600000000003</v>
      </c>
      <c r="R540" s="110">
        <v>478.28300000000002</v>
      </c>
      <c r="S540" s="110">
        <v>356.59300000000002</v>
      </c>
      <c r="T540" s="110">
        <v>243.44800000000001</v>
      </c>
      <c r="U540" s="110">
        <v>166.059</v>
      </c>
      <c r="V540" s="110">
        <v>136.738</v>
      </c>
      <c r="W540" s="110">
        <v>100.164</v>
      </c>
      <c r="X540" s="110">
        <v>52.88</v>
      </c>
      <c r="Y540" s="110">
        <v>22.716000000000001</v>
      </c>
      <c r="Z540" s="110">
        <v>6.516</v>
      </c>
      <c r="AA540" s="110">
        <v>1.2010000000000001</v>
      </c>
      <c r="AB540" s="110">
        <v>0.10299999999999999</v>
      </c>
      <c r="AC540" s="115">
        <f t="shared" si="24"/>
        <v>4859.6440000000002</v>
      </c>
      <c r="AD540">
        <f t="shared" si="25"/>
        <v>1.0135650382043984</v>
      </c>
    </row>
    <row r="541" spans="1:30" x14ac:dyDescent="0.25">
      <c r="A541" s="104" t="str">
        <f t="shared" si="23"/>
        <v>Rwanda2038</v>
      </c>
      <c r="C541" s="107" t="s">
        <v>257</v>
      </c>
      <c r="D541" s="108" t="s">
        <v>214</v>
      </c>
      <c r="E541" s="109"/>
      <c r="F541" s="109">
        <v>646</v>
      </c>
      <c r="G541" s="109">
        <v>2038</v>
      </c>
      <c r="H541" s="110">
        <v>984.25699999999995</v>
      </c>
      <c r="I541" s="110">
        <v>942.99599999999998</v>
      </c>
      <c r="J541" s="110">
        <v>901.30600000000004</v>
      </c>
      <c r="K541" s="110">
        <v>874.774</v>
      </c>
      <c r="L541" s="110">
        <v>854.726</v>
      </c>
      <c r="M541" s="110">
        <v>816.41899999999998</v>
      </c>
      <c r="N541" s="110">
        <v>737.5</v>
      </c>
      <c r="O541" s="110">
        <v>629.51300000000003</v>
      </c>
      <c r="P541" s="110">
        <v>529.34500000000003</v>
      </c>
      <c r="Q541" s="110">
        <v>482.43099999999998</v>
      </c>
      <c r="R541" s="110">
        <v>486.80500000000001</v>
      </c>
      <c r="S541" s="110">
        <v>386.12700000000001</v>
      </c>
      <c r="T541" s="110">
        <v>255.708</v>
      </c>
      <c r="U541" s="110">
        <v>178.62299999999999</v>
      </c>
      <c r="V541" s="110">
        <v>132.482</v>
      </c>
      <c r="W541" s="110">
        <v>107.316</v>
      </c>
      <c r="X541" s="110">
        <v>54.716999999999999</v>
      </c>
      <c r="Y541" s="110">
        <v>24.382000000000001</v>
      </c>
      <c r="Z541" s="110">
        <v>6.8719999999999999</v>
      </c>
      <c r="AA541" s="110">
        <v>1.458</v>
      </c>
      <c r="AB541" s="110">
        <v>9.8000000000000004E-2</v>
      </c>
      <c r="AC541" s="115">
        <f t="shared" si="24"/>
        <v>4924.7079999999996</v>
      </c>
      <c r="AD541">
        <f t="shared" si="25"/>
        <v>1.0133886350522794</v>
      </c>
    </row>
    <row r="542" spans="1:30" x14ac:dyDescent="0.25">
      <c r="A542" s="104" t="str">
        <f t="shared" si="23"/>
        <v>Rwanda2039</v>
      </c>
      <c r="C542" s="107" t="s">
        <v>257</v>
      </c>
      <c r="D542" s="108" t="s">
        <v>214</v>
      </c>
      <c r="E542" s="109"/>
      <c r="F542" s="109">
        <v>646</v>
      </c>
      <c r="G542" s="109">
        <v>2039</v>
      </c>
      <c r="H542" s="110">
        <v>988.18600000000004</v>
      </c>
      <c r="I542" s="110">
        <v>951.31500000000005</v>
      </c>
      <c r="J542" s="110">
        <v>908.25099999999998</v>
      </c>
      <c r="K542" s="110">
        <v>877.30899999999997</v>
      </c>
      <c r="L542" s="110">
        <v>858.46400000000006</v>
      </c>
      <c r="M542" s="110">
        <v>823.98699999999997</v>
      </c>
      <c r="N542" s="110">
        <v>757.2</v>
      </c>
      <c r="O542" s="110">
        <v>647.32600000000002</v>
      </c>
      <c r="P542" s="110">
        <v>550.08399999999995</v>
      </c>
      <c r="Q542" s="110">
        <v>477.416</v>
      </c>
      <c r="R542" s="110">
        <v>491.18200000000002</v>
      </c>
      <c r="S542" s="110">
        <v>413.09</v>
      </c>
      <c r="T542" s="110">
        <v>271.29199999999997</v>
      </c>
      <c r="U542" s="110">
        <v>191.82400000000001</v>
      </c>
      <c r="V542" s="110">
        <v>130.851</v>
      </c>
      <c r="W542" s="110">
        <v>112.57</v>
      </c>
      <c r="X542" s="110">
        <v>57.417999999999999</v>
      </c>
      <c r="Y542" s="110">
        <v>25.759</v>
      </c>
      <c r="Z542" s="110">
        <v>7.0730000000000004</v>
      </c>
      <c r="AA542" s="110">
        <v>1.504</v>
      </c>
      <c r="AB542" s="110">
        <v>9.5000000000000001E-2</v>
      </c>
      <c r="AC542" s="115">
        <f t="shared" si="24"/>
        <v>4991.7860000000001</v>
      </c>
      <c r="AD542">
        <f t="shared" si="25"/>
        <v>1.0136207060398303</v>
      </c>
    </row>
    <row r="543" spans="1:30" x14ac:dyDescent="0.25">
      <c r="A543" s="104" t="str">
        <f t="shared" si="23"/>
        <v>Rwanda2040</v>
      </c>
      <c r="C543" s="107" t="s">
        <v>257</v>
      </c>
      <c r="D543" s="108" t="s">
        <v>214</v>
      </c>
      <c r="E543" s="109"/>
      <c r="F543" s="109">
        <v>646</v>
      </c>
      <c r="G543" s="109">
        <v>2040</v>
      </c>
      <c r="H543" s="110">
        <v>991.06899999999996</v>
      </c>
      <c r="I543" s="110">
        <v>958.81399999999996</v>
      </c>
      <c r="J543" s="110">
        <v>915.58299999999997</v>
      </c>
      <c r="K543" s="110">
        <v>880.82500000000005</v>
      </c>
      <c r="L543" s="110">
        <v>861.447</v>
      </c>
      <c r="M543" s="110">
        <v>830.72900000000004</v>
      </c>
      <c r="N543" s="110">
        <v>773.94899999999996</v>
      </c>
      <c r="O543" s="110">
        <v>666.65599999999995</v>
      </c>
      <c r="P543" s="110">
        <v>569.404</v>
      </c>
      <c r="Q543" s="110">
        <v>479.077</v>
      </c>
      <c r="R543" s="110">
        <v>491.85599999999999</v>
      </c>
      <c r="S543" s="110">
        <v>434.97699999999998</v>
      </c>
      <c r="T543" s="110">
        <v>291.41699999999997</v>
      </c>
      <c r="U543" s="110">
        <v>204.505</v>
      </c>
      <c r="V543" s="110">
        <v>133.495</v>
      </c>
      <c r="W543" s="110">
        <v>115.029</v>
      </c>
      <c r="X543" s="110">
        <v>61.298999999999999</v>
      </c>
      <c r="Y543" s="110">
        <v>26.850999999999999</v>
      </c>
      <c r="Z543" s="110">
        <v>7.19</v>
      </c>
      <c r="AA543" s="110">
        <v>1.2709999999999999</v>
      </c>
      <c r="AB543" s="110">
        <v>9.8000000000000004E-2</v>
      </c>
      <c r="AC543" s="115">
        <f t="shared" si="24"/>
        <v>5062.0870000000004</v>
      </c>
      <c r="AD543">
        <f t="shared" si="25"/>
        <v>1.0140833361045527</v>
      </c>
    </row>
    <row r="544" spans="1:30" x14ac:dyDescent="0.25">
      <c r="A544" s="104" t="str">
        <f t="shared" si="23"/>
        <v>Rwanda2041</v>
      </c>
      <c r="C544" s="107" t="s">
        <v>257</v>
      </c>
      <c r="D544" s="108" t="s">
        <v>214</v>
      </c>
      <c r="E544" s="109"/>
      <c r="F544" s="109">
        <v>646</v>
      </c>
      <c r="G544" s="109">
        <v>2041</v>
      </c>
      <c r="H544" s="110">
        <v>993.45399999999995</v>
      </c>
      <c r="I544" s="110">
        <v>966.37300000000005</v>
      </c>
      <c r="J544" s="110">
        <v>923.428</v>
      </c>
      <c r="K544" s="110">
        <v>885.17899999999997</v>
      </c>
      <c r="L544" s="110">
        <v>864.09400000000005</v>
      </c>
      <c r="M544" s="110">
        <v>837.01599999999996</v>
      </c>
      <c r="N544" s="110">
        <v>788.34400000000005</v>
      </c>
      <c r="O544" s="110">
        <v>687.202</v>
      </c>
      <c r="P544" s="110">
        <v>587.85500000000002</v>
      </c>
      <c r="Q544" s="110">
        <v>486.96499999999997</v>
      </c>
      <c r="R544" s="110">
        <v>488.47899999999998</v>
      </c>
      <c r="S544" s="110">
        <v>451.79199999999997</v>
      </c>
      <c r="T544" s="110">
        <v>314.41800000000001</v>
      </c>
      <c r="U544" s="110">
        <v>215.68199999999999</v>
      </c>
      <c r="V544" s="110">
        <v>138.65199999999999</v>
      </c>
      <c r="W544" s="110">
        <v>113.97199999999999</v>
      </c>
      <c r="X544" s="110">
        <v>66.022000000000006</v>
      </c>
      <c r="Y544" s="110">
        <v>28.724</v>
      </c>
      <c r="Z544" s="110">
        <v>8.4580000000000002</v>
      </c>
      <c r="AA544" s="110">
        <v>1.4670000000000001</v>
      </c>
      <c r="AB544" s="110">
        <v>0.107</v>
      </c>
      <c r="AC544" s="115">
        <f t="shared" si="24"/>
        <v>5136.6550000000007</v>
      </c>
      <c r="AD544">
        <f t="shared" si="25"/>
        <v>1.0147306832142553</v>
      </c>
    </row>
    <row r="545" spans="1:30" x14ac:dyDescent="0.25">
      <c r="A545" s="104" t="str">
        <f t="shared" si="23"/>
        <v>Rwanda2042</v>
      </c>
      <c r="C545" s="107" t="s">
        <v>257</v>
      </c>
      <c r="D545" s="108" t="s">
        <v>214</v>
      </c>
      <c r="E545" s="109"/>
      <c r="F545" s="109">
        <v>646</v>
      </c>
      <c r="G545" s="109">
        <v>2042</v>
      </c>
      <c r="H545" s="110">
        <v>994.28800000000001</v>
      </c>
      <c r="I545" s="110">
        <v>973.05799999999999</v>
      </c>
      <c r="J545" s="110">
        <v>931.74900000000002</v>
      </c>
      <c r="K545" s="110">
        <v>890.54600000000005</v>
      </c>
      <c r="L545" s="110">
        <v>866.17600000000004</v>
      </c>
      <c r="M545" s="110">
        <v>842.45699999999999</v>
      </c>
      <c r="N545" s="110">
        <v>799.83900000000006</v>
      </c>
      <c r="O545" s="110">
        <v>708.78700000000003</v>
      </c>
      <c r="P545" s="110">
        <v>605.21</v>
      </c>
      <c r="Q545" s="110">
        <v>501.79</v>
      </c>
      <c r="R545" s="110">
        <v>480.97800000000001</v>
      </c>
      <c r="S545" s="110">
        <v>464.48500000000001</v>
      </c>
      <c r="T545" s="110">
        <v>341.47699999999998</v>
      </c>
      <c r="U545" s="110">
        <v>226.328</v>
      </c>
      <c r="V545" s="110">
        <v>147.52099999999999</v>
      </c>
      <c r="W545" s="110">
        <v>110.767</v>
      </c>
      <c r="X545" s="110">
        <v>71.653999999999996</v>
      </c>
      <c r="Y545" s="110">
        <v>29.984999999999999</v>
      </c>
      <c r="Z545" s="110">
        <v>9.4879999999999995</v>
      </c>
      <c r="AA545" s="110">
        <v>1.7609999999999999</v>
      </c>
      <c r="AB545" s="110">
        <v>0.122</v>
      </c>
      <c r="AC545" s="115">
        <f t="shared" si="24"/>
        <v>5214.8050000000003</v>
      </c>
      <c r="AD545">
        <f t="shared" si="25"/>
        <v>1.0152141812132602</v>
      </c>
    </row>
    <row r="546" spans="1:30" x14ac:dyDescent="0.25">
      <c r="A546" s="104" t="str">
        <f t="shared" si="23"/>
        <v>Rwanda2043</v>
      </c>
      <c r="C546" s="107" t="s">
        <v>257</v>
      </c>
      <c r="D546" s="108" t="s">
        <v>214</v>
      </c>
      <c r="E546" s="109"/>
      <c r="F546" s="109">
        <v>646</v>
      </c>
      <c r="G546" s="109">
        <v>2043</v>
      </c>
      <c r="H546" s="110">
        <v>993.78</v>
      </c>
      <c r="I546" s="110">
        <v>978.61099999999999</v>
      </c>
      <c r="J546" s="110">
        <v>940.28200000000004</v>
      </c>
      <c r="K546" s="110">
        <v>896.84</v>
      </c>
      <c r="L546" s="110">
        <v>868.12099999999998</v>
      </c>
      <c r="M546" s="110">
        <v>847.06899999999996</v>
      </c>
      <c r="N546" s="110">
        <v>808.91399999999999</v>
      </c>
      <c r="O546" s="110">
        <v>730.29</v>
      </c>
      <c r="P546" s="110">
        <v>622.09699999999998</v>
      </c>
      <c r="Q546" s="110">
        <v>521.36</v>
      </c>
      <c r="R546" s="110">
        <v>472.49400000000003</v>
      </c>
      <c r="S546" s="110">
        <v>472.99599999999998</v>
      </c>
      <c r="T546" s="110">
        <v>370.04599999999999</v>
      </c>
      <c r="U546" s="110">
        <v>237.964</v>
      </c>
      <c r="V546" s="110">
        <v>158.792</v>
      </c>
      <c r="W546" s="110">
        <v>107.482</v>
      </c>
      <c r="X546" s="110">
        <v>77.064999999999998</v>
      </c>
      <c r="Y546" s="110">
        <v>31.001000000000001</v>
      </c>
      <c r="Z546" s="110">
        <v>10.304</v>
      </c>
      <c r="AA546" s="110">
        <v>2.0070000000000001</v>
      </c>
      <c r="AB546" s="110">
        <v>0.14000000000000001</v>
      </c>
      <c r="AC546" s="115">
        <f t="shared" si="24"/>
        <v>5294.6909999999989</v>
      </c>
      <c r="AD546">
        <f t="shared" si="25"/>
        <v>1.0153190771275242</v>
      </c>
    </row>
    <row r="547" spans="1:30" x14ac:dyDescent="0.25">
      <c r="A547" s="104" t="str">
        <f t="shared" si="23"/>
        <v>Rwanda2044</v>
      </c>
      <c r="C547" s="107" t="s">
        <v>257</v>
      </c>
      <c r="D547" s="108" t="s">
        <v>214</v>
      </c>
      <c r="E547" s="109"/>
      <c r="F547" s="109">
        <v>646</v>
      </c>
      <c r="G547" s="109">
        <v>2044</v>
      </c>
      <c r="H547" s="110">
        <v>992.13699999999994</v>
      </c>
      <c r="I547" s="110">
        <v>982.90899999999999</v>
      </c>
      <c r="J547" s="110">
        <v>948.59500000000003</v>
      </c>
      <c r="K547" s="110">
        <v>903.81899999999996</v>
      </c>
      <c r="L547" s="110">
        <v>870.55100000000004</v>
      </c>
      <c r="M547" s="110">
        <v>850.80200000000002</v>
      </c>
      <c r="N547" s="110">
        <v>816.49699999999996</v>
      </c>
      <c r="O547" s="110">
        <v>749.98900000000003</v>
      </c>
      <c r="P547" s="110">
        <v>639.822</v>
      </c>
      <c r="Q547" s="110">
        <v>541.93299999999999</v>
      </c>
      <c r="R547" s="110">
        <v>467.72800000000001</v>
      </c>
      <c r="S547" s="110">
        <v>477.505</v>
      </c>
      <c r="T547" s="110">
        <v>396.27100000000002</v>
      </c>
      <c r="U547" s="110">
        <v>252.929</v>
      </c>
      <c r="V547" s="110">
        <v>170.64400000000001</v>
      </c>
      <c r="W547" s="110">
        <v>106.694</v>
      </c>
      <c r="X547" s="110">
        <v>80.707999999999998</v>
      </c>
      <c r="Y547" s="110">
        <v>32.472000000000001</v>
      </c>
      <c r="Z547" s="110">
        <v>10.74</v>
      </c>
      <c r="AA547" s="110">
        <v>2.0630000000000002</v>
      </c>
      <c r="AB547" s="110">
        <v>0.159</v>
      </c>
      <c r="AC547" s="115">
        <f t="shared" si="24"/>
        <v>5373.4129999999996</v>
      </c>
      <c r="AD547">
        <f t="shared" si="25"/>
        <v>1.0148681008957843</v>
      </c>
    </row>
    <row r="548" spans="1:30" x14ac:dyDescent="0.25">
      <c r="A548" s="104" t="str">
        <f t="shared" si="23"/>
        <v>Rwanda2045</v>
      </c>
      <c r="C548" s="107" t="s">
        <v>257</v>
      </c>
      <c r="D548" s="108" t="s">
        <v>214</v>
      </c>
      <c r="E548" s="109"/>
      <c r="F548" s="109">
        <v>646</v>
      </c>
      <c r="G548" s="109">
        <v>2045</v>
      </c>
      <c r="H548" s="110">
        <v>989.51499999999999</v>
      </c>
      <c r="I548" s="110">
        <v>985.93600000000004</v>
      </c>
      <c r="J548" s="110">
        <v>956.25900000000001</v>
      </c>
      <c r="K548" s="110">
        <v>911.26900000000001</v>
      </c>
      <c r="L548" s="110">
        <v>873.90300000000002</v>
      </c>
      <c r="M548" s="110">
        <v>853.70299999999997</v>
      </c>
      <c r="N548" s="110">
        <v>823.226</v>
      </c>
      <c r="O548" s="110">
        <v>766.78099999999995</v>
      </c>
      <c r="P548" s="110">
        <v>659.07100000000003</v>
      </c>
      <c r="Q548" s="110">
        <v>561.14</v>
      </c>
      <c r="R548" s="110">
        <v>469.56400000000002</v>
      </c>
      <c r="S548" s="110">
        <v>478.40199999999999</v>
      </c>
      <c r="T548" s="110">
        <v>417.71199999999999</v>
      </c>
      <c r="U548" s="110">
        <v>272.35899999999998</v>
      </c>
      <c r="V548" s="110">
        <v>182.21</v>
      </c>
      <c r="W548" s="110">
        <v>109.625</v>
      </c>
      <c r="X548" s="110">
        <v>82.070999999999998</v>
      </c>
      <c r="Y548" s="110">
        <v>34.668999999999997</v>
      </c>
      <c r="Z548" s="110">
        <v>10.791</v>
      </c>
      <c r="AA548" s="110">
        <v>1.81</v>
      </c>
      <c r="AB548" s="110">
        <v>0.17699999999999999</v>
      </c>
      <c r="AC548" s="115">
        <f t="shared" si="24"/>
        <v>5449.0929999999998</v>
      </c>
      <c r="AD548">
        <f t="shared" si="25"/>
        <v>1.0140841584296612</v>
      </c>
    </row>
    <row r="549" spans="1:30" x14ac:dyDescent="0.25">
      <c r="A549" s="104" t="str">
        <f t="shared" si="23"/>
        <v>Rwanda2046</v>
      </c>
      <c r="C549" s="107" t="s">
        <v>257</v>
      </c>
      <c r="D549" s="108" t="s">
        <v>214</v>
      </c>
      <c r="E549" s="109"/>
      <c r="F549" s="109">
        <v>646</v>
      </c>
      <c r="G549" s="109">
        <v>2046</v>
      </c>
      <c r="H549" s="110">
        <v>985.96699999999998</v>
      </c>
      <c r="I549" s="110">
        <v>988.72</v>
      </c>
      <c r="J549" s="110">
        <v>963.41</v>
      </c>
      <c r="K549" s="110">
        <v>919.178</v>
      </c>
      <c r="L549" s="110">
        <v>878.53099999999995</v>
      </c>
      <c r="M549" s="110">
        <v>856.51400000000001</v>
      </c>
      <c r="N549" s="110">
        <v>829.58600000000001</v>
      </c>
      <c r="O549" s="110">
        <v>781.07600000000002</v>
      </c>
      <c r="P549" s="110">
        <v>679.53399999999999</v>
      </c>
      <c r="Q549" s="110">
        <v>579.37900000000002</v>
      </c>
      <c r="R549" s="110">
        <v>477.46199999999999</v>
      </c>
      <c r="S549" s="110">
        <v>475.16899999999998</v>
      </c>
      <c r="T549" s="110">
        <v>433.62299999999999</v>
      </c>
      <c r="U549" s="110">
        <v>294.05399999999997</v>
      </c>
      <c r="V549" s="110">
        <v>192.11099999999999</v>
      </c>
      <c r="W549" s="110">
        <v>114.43899999999999</v>
      </c>
      <c r="X549" s="110">
        <v>81.414000000000001</v>
      </c>
      <c r="Y549" s="110">
        <v>38.521999999999998</v>
      </c>
      <c r="Z549" s="110">
        <v>12.111000000000001</v>
      </c>
      <c r="AA549" s="110">
        <v>2.1680000000000001</v>
      </c>
      <c r="AB549" s="110">
        <v>0.19400000000000001</v>
      </c>
      <c r="AC549" s="115">
        <f t="shared" si="24"/>
        <v>5523.7979999999998</v>
      </c>
      <c r="AD549">
        <f t="shared" si="25"/>
        <v>1.0137096210323442</v>
      </c>
    </row>
    <row r="550" spans="1:30" x14ac:dyDescent="0.25">
      <c r="A550" s="104" t="str">
        <f t="shared" si="23"/>
        <v>Rwanda2047</v>
      </c>
      <c r="C550" s="107" t="s">
        <v>257</v>
      </c>
      <c r="D550" s="108" t="s">
        <v>214</v>
      </c>
      <c r="E550" s="109"/>
      <c r="F550" s="109">
        <v>646</v>
      </c>
      <c r="G550" s="109">
        <v>2047</v>
      </c>
      <c r="H550" s="110">
        <v>981.92700000000002</v>
      </c>
      <c r="I550" s="110">
        <v>989.91300000000001</v>
      </c>
      <c r="J550" s="110">
        <v>969.84400000000005</v>
      </c>
      <c r="K550" s="110">
        <v>927.48400000000004</v>
      </c>
      <c r="L550" s="110">
        <v>884.02</v>
      </c>
      <c r="M550" s="110">
        <v>858.67700000000002</v>
      </c>
      <c r="N550" s="110">
        <v>835.07399999999996</v>
      </c>
      <c r="O550" s="110">
        <v>792.49099999999999</v>
      </c>
      <c r="P550" s="110">
        <v>701.01199999999994</v>
      </c>
      <c r="Q550" s="110">
        <v>596.54999999999995</v>
      </c>
      <c r="R550" s="110">
        <v>492.14</v>
      </c>
      <c r="S550" s="110">
        <v>467.971</v>
      </c>
      <c r="T550" s="110">
        <v>445.82299999999998</v>
      </c>
      <c r="U550" s="110">
        <v>319.65800000000002</v>
      </c>
      <c r="V550" s="110">
        <v>201.648</v>
      </c>
      <c r="W550" s="110">
        <v>122.08199999999999</v>
      </c>
      <c r="X550" s="110">
        <v>79.147999999999996</v>
      </c>
      <c r="Y550" s="110">
        <v>42.537999999999997</v>
      </c>
      <c r="Z550" s="110">
        <v>12.875999999999999</v>
      </c>
      <c r="AA550" s="110">
        <v>2.72</v>
      </c>
      <c r="AB550" s="110">
        <v>0.21</v>
      </c>
      <c r="AC550" s="115">
        <f t="shared" si="24"/>
        <v>5595.308</v>
      </c>
      <c r="AD550">
        <f t="shared" si="25"/>
        <v>1.0129458028696923</v>
      </c>
    </row>
    <row r="551" spans="1:30" x14ac:dyDescent="0.25">
      <c r="A551" s="104" t="str">
        <f t="shared" si="23"/>
        <v>Rwanda2048</v>
      </c>
      <c r="C551" s="107" t="s">
        <v>257</v>
      </c>
      <c r="D551" s="108" t="s">
        <v>214</v>
      </c>
      <c r="E551" s="109"/>
      <c r="F551" s="109">
        <v>646</v>
      </c>
      <c r="G551" s="109">
        <v>2048</v>
      </c>
      <c r="H551" s="110">
        <v>977.42100000000005</v>
      </c>
      <c r="I551" s="110">
        <v>989.44200000000001</v>
      </c>
      <c r="J551" s="110">
        <v>975.48900000000003</v>
      </c>
      <c r="K551" s="110">
        <v>935.95799999999997</v>
      </c>
      <c r="L551" s="110">
        <v>890.29100000000005</v>
      </c>
      <c r="M551" s="110">
        <v>860.66</v>
      </c>
      <c r="N551" s="110">
        <v>839.71900000000005</v>
      </c>
      <c r="O551" s="110">
        <v>801.56899999999996</v>
      </c>
      <c r="P551" s="110">
        <v>722.39200000000005</v>
      </c>
      <c r="Q551" s="110">
        <v>613.32299999999998</v>
      </c>
      <c r="R551" s="110">
        <v>511.45400000000001</v>
      </c>
      <c r="S551" s="110">
        <v>459.85199999999998</v>
      </c>
      <c r="T551" s="110">
        <v>454.31099999999998</v>
      </c>
      <c r="U551" s="110">
        <v>346.72800000000001</v>
      </c>
      <c r="V551" s="110">
        <v>212.30099999999999</v>
      </c>
      <c r="W551" s="110">
        <v>131.53200000000001</v>
      </c>
      <c r="X551" s="110">
        <v>77.012</v>
      </c>
      <c r="Y551" s="110">
        <v>45.765999999999998</v>
      </c>
      <c r="Z551" s="110">
        <v>13.493</v>
      </c>
      <c r="AA551" s="110">
        <v>3.1579999999999999</v>
      </c>
      <c r="AB551" s="110">
        <v>0.22700000000000001</v>
      </c>
      <c r="AC551" s="115">
        <f t="shared" si="24"/>
        <v>5663.9120000000003</v>
      </c>
      <c r="AD551">
        <f t="shared" si="25"/>
        <v>1.012260987241453</v>
      </c>
    </row>
    <row r="552" spans="1:30" x14ac:dyDescent="0.25">
      <c r="A552" s="104" t="str">
        <f t="shared" si="23"/>
        <v>Rwanda2049</v>
      </c>
      <c r="C552" s="107" t="s">
        <v>257</v>
      </c>
      <c r="D552" s="108" t="s">
        <v>214</v>
      </c>
      <c r="E552" s="109"/>
      <c r="F552" s="109">
        <v>646</v>
      </c>
      <c r="G552" s="109">
        <v>2049</v>
      </c>
      <c r="H552" s="110">
        <v>972.49099999999999</v>
      </c>
      <c r="I552" s="110">
        <v>987.53899999999999</v>
      </c>
      <c r="J552" s="110">
        <v>980.13599999999997</v>
      </c>
      <c r="K552" s="110">
        <v>944.23099999999999</v>
      </c>
      <c r="L552" s="110">
        <v>897.15200000000004</v>
      </c>
      <c r="M552" s="110">
        <v>863.096</v>
      </c>
      <c r="N552" s="110">
        <v>843.48599999999999</v>
      </c>
      <c r="O552" s="110">
        <v>809.25699999999995</v>
      </c>
      <c r="P552" s="110">
        <v>741.99400000000003</v>
      </c>
      <c r="Q552" s="110">
        <v>631.00199999999995</v>
      </c>
      <c r="R552" s="110">
        <v>531.76599999999996</v>
      </c>
      <c r="S552" s="110">
        <v>455.42700000000002</v>
      </c>
      <c r="T552" s="110">
        <v>459.17599999999999</v>
      </c>
      <c r="U552" s="110">
        <v>371.66300000000001</v>
      </c>
      <c r="V552" s="110">
        <v>226.244</v>
      </c>
      <c r="W552" s="110">
        <v>141.46899999999999</v>
      </c>
      <c r="X552" s="110">
        <v>76.915000000000006</v>
      </c>
      <c r="Y552" s="110">
        <v>47.609000000000002</v>
      </c>
      <c r="Z552" s="110">
        <v>13.943</v>
      </c>
      <c r="AA552" s="110">
        <v>3.2559999999999998</v>
      </c>
      <c r="AB552" s="110">
        <v>0.247</v>
      </c>
      <c r="AC552" s="115">
        <f t="shared" si="24"/>
        <v>5730.2179999999989</v>
      </c>
      <c r="AD552">
        <f t="shared" si="25"/>
        <v>1.0117067496811389</v>
      </c>
    </row>
    <row r="553" spans="1:30" x14ac:dyDescent="0.25">
      <c r="A553" s="104" t="str">
        <f t="shared" si="23"/>
        <v>Rwanda2050</v>
      </c>
      <c r="C553" s="107" t="s">
        <v>257</v>
      </c>
      <c r="D553" s="108" t="s">
        <v>214</v>
      </c>
      <c r="E553" s="109"/>
      <c r="F553" s="109">
        <v>646</v>
      </c>
      <c r="G553" s="109">
        <v>2050</v>
      </c>
      <c r="H553" s="110">
        <v>967.18200000000002</v>
      </c>
      <c r="I553" s="110">
        <v>984.64700000000005</v>
      </c>
      <c r="J553" s="110">
        <v>983.44799999999998</v>
      </c>
      <c r="K553" s="110">
        <v>951.98599999999999</v>
      </c>
      <c r="L553" s="110">
        <v>904.46</v>
      </c>
      <c r="M553" s="110">
        <v>866.40200000000004</v>
      </c>
      <c r="N553" s="110">
        <v>846.42700000000002</v>
      </c>
      <c r="O553" s="110">
        <v>816.14400000000001</v>
      </c>
      <c r="P553" s="110">
        <v>758.76099999999997</v>
      </c>
      <c r="Q553" s="110">
        <v>650.23099999999999</v>
      </c>
      <c r="R553" s="110">
        <v>550.78700000000003</v>
      </c>
      <c r="S553" s="110">
        <v>457.52499999999998</v>
      </c>
      <c r="T553" s="110">
        <v>460.64100000000002</v>
      </c>
      <c r="U553" s="110">
        <v>392.26100000000002</v>
      </c>
      <c r="V553" s="110">
        <v>244.50200000000001</v>
      </c>
      <c r="W553" s="110">
        <v>151.35599999999999</v>
      </c>
      <c r="X553" s="110">
        <v>79.632999999999996</v>
      </c>
      <c r="Y553" s="110">
        <v>47.761000000000003</v>
      </c>
      <c r="Z553" s="110">
        <v>14.518000000000001</v>
      </c>
      <c r="AA553" s="110">
        <v>2.8679999999999999</v>
      </c>
      <c r="AB553" s="110">
        <v>0.27200000000000002</v>
      </c>
      <c r="AC553" s="115">
        <f t="shared" si="24"/>
        <v>5794.4110000000001</v>
      </c>
      <c r="AD553">
        <f t="shared" si="25"/>
        <v>1.011202540636325</v>
      </c>
    </row>
    <row r="554" spans="1:30" x14ac:dyDescent="0.25">
      <c r="A554" s="104" t="str">
        <f t="shared" si="23"/>
        <v>Rwanda2051</v>
      </c>
      <c r="C554" s="107" t="s">
        <v>257</v>
      </c>
      <c r="D554" s="108" t="s">
        <v>214</v>
      </c>
      <c r="E554" s="109"/>
      <c r="F554" s="109">
        <v>646</v>
      </c>
      <c r="G554" s="109">
        <v>2051</v>
      </c>
      <c r="H554" s="110">
        <v>962.01099999999997</v>
      </c>
      <c r="I554" s="110">
        <v>981.98500000000001</v>
      </c>
      <c r="J554" s="110">
        <v>985.58299999999997</v>
      </c>
      <c r="K554" s="110">
        <v>959.19399999999996</v>
      </c>
      <c r="L554" s="110">
        <v>912.60799999999995</v>
      </c>
      <c r="M554" s="110">
        <v>871.15700000000004</v>
      </c>
      <c r="N554" s="110">
        <v>849.29200000000003</v>
      </c>
      <c r="O554" s="110">
        <v>822.43700000000001</v>
      </c>
      <c r="P554" s="110">
        <v>773.01</v>
      </c>
      <c r="Q554" s="110">
        <v>670.48699999999997</v>
      </c>
      <c r="R554" s="110">
        <v>568.77800000000002</v>
      </c>
      <c r="S554" s="110">
        <v>465.38</v>
      </c>
      <c r="T554" s="110">
        <v>457.37700000000001</v>
      </c>
      <c r="U554" s="110">
        <v>407.05200000000002</v>
      </c>
      <c r="V554" s="110">
        <v>264.38499999999999</v>
      </c>
      <c r="W554" s="110">
        <v>159.70699999999999</v>
      </c>
      <c r="X554" s="110">
        <v>84.090999999999994</v>
      </c>
      <c r="Y554" s="110">
        <v>48.005000000000003</v>
      </c>
      <c r="Z554" s="110">
        <v>17.111000000000001</v>
      </c>
      <c r="AA554" s="110">
        <v>3.2370000000000001</v>
      </c>
      <c r="AB554" s="110">
        <v>0.30199999999999999</v>
      </c>
      <c r="AC554" s="115">
        <f t="shared" si="24"/>
        <v>5858.1850000000004</v>
      </c>
      <c r="AD554">
        <f t="shared" si="25"/>
        <v>1.0110061229691854</v>
      </c>
    </row>
    <row r="555" spans="1:30" x14ac:dyDescent="0.25">
      <c r="A555" s="104" t="str">
        <f t="shared" si="23"/>
        <v>Rwanda2052</v>
      </c>
      <c r="C555" s="107" t="s">
        <v>257</v>
      </c>
      <c r="D555" s="108" t="s">
        <v>214</v>
      </c>
      <c r="E555" s="109"/>
      <c r="F555" s="109">
        <v>646</v>
      </c>
      <c r="G555" s="109">
        <v>2052</v>
      </c>
      <c r="H555" s="110">
        <v>956.84199999999998</v>
      </c>
      <c r="I555" s="110">
        <v>978.35199999999998</v>
      </c>
      <c r="J555" s="110">
        <v>986.40099999999995</v>
      </c>
      <c r="K555" s="110">
        <v>965.71199999999999</v>
      </c>
      <c r="L555" s="110">
        <v>921.08</v>
      </c>
      <c r="M555" s="110">
        <v>876.75699999999995</v>
      </c>
      <c r="N555" s="110">
        <v>851.55899999999997</v>
      </c>
      <c r="O555" s="110">
        <v>827.92100000000005</v>
      </c>
      <c r="P555" s="110">
        <v>784.45500000000004</v>
      </c>
      <c r="Q555" s="110">
        <v>691.8</v>
      </c>
      <c r="R555" s="110">
        <v>585.78899999999999</v>
      </c>
      <c r="S555" s="110">
        <v>479.91699999999997</v>
      </c>
      <c r="T555" s="110">
        <v>450.44900000000001</v>
      </c>
      <c r="U555" s="110">
        <v>418.70400000000001</v>
      </c>
      <c r="V555" s="110">
        <v>287.88499999999999</v>
      </c>
      <c r="W555" s="110">
        <v>167.78</v>
      </c>
      <c r="X555" s="110">
        <v>90.230999999999995</v>
      </c>
      <c r="Y555" s="110">
        <v>47.106000000000002</v>
      </c>
      <c r="Z555" s="110">
        <v>19.277999999999999</v>
      </c>
      <c r="AA555" s="110">
        <v>3.81</v>
      </c>
      <c r="AB555" s="110">
        <v>0.33700000000000002</v>
      </c>
      <c r="AC555" s="115">
        <f t="shared" si="24"/>
        <v>5919.2840000000006</v>
      </c>
      <c r="AD555">
        <f t="shared" si="25"/>
        <v>1.0104296808653193</v>
      </c>
    </row>
    <row r="556" spans="1:30" x14ac:dyDescent="0.25">
      <c r="A556" s="104" t="str">
        <f t="shared" si="23"/>
        <v>Rwanda2053</v>
      </c>
      <c r="C556" s="107" t="s">
        <v>257</v>
      </c>
      <c r="D556" s="108" t="s">
        <v>214</v>
      </c>
      <c r="E556" s="109"/>
      <c r="F556" s="109">
        <v>646</v>
      </c>
      <c r="G556" s="109">
        <v>2053</v>
      </c>
      <c r="H556" s="110">
        <v>951.66700000000003</v>
      </c>
      <c r="I556" s="110">
        <v>973.79300000000001</v>
      </c>
      <c r="J556" s="110">
        <v>986.04499999999996</v>
      </c>
      <c r="K556" s="110">
        <v>971.38499999999999</v>
      </c>
      <c r="L556" s="110">
        <v>929.60299999999995</v>
      </c>
      <c r="M556" s="110">
        <v>883.11699999999996</v>
      </c>
      <c r="N556" s="110">
        <v>853.65099999999995</v>
      </c>
      <c r="O556" s="110">
        <v>832.65099999999995</v>
      </c>
      <c r="P556" s="110">
        <v>793.58900000000006</v>
      </c>
      <c r="Q556" s="110">
        <v>713.08299999999997</v>
      </c>
      <c r="R556" s="110">
        <v>602.46400000000006</v>
      </c>
      <c r="S556" s="110">
        <v>498.96300000000002</v>
      </c>
      <c r="T556" s="110">
        <v>442.85599999999999</v>
      </c>
      <c r="U556" s="110">
        <v>427.19099999999997</v>
      </c>
      <c r="V556" s="110">
        <v>312.745</v>
      </c>
      <c r="W556" s="110">
        <v>177.012</v>
      </c>
      <c r="X556" s="110">
        <v>97.391000000000005</v>
      </c>
      <c r="Y556" s="110">
        <v>46.085000000000001</v>
      </c>
      <c r="Z556" s="110">
        <v>20.814</v>
      </c>
      <c r="AA556" s="110">
        <v>4.3079999999999998</v>
      </c>
      <c r="AB556" s="110">
        <v>0.376</v>
      </c>
      <c r="AC556" s="115">
        <f t="shared" si="24"/>
        <v>5977.0789999999988</v>
      </c>
      <c r="AD556">
        <f t="shared" si="25"/>
        <v>1.0097638498169708</v>
      </c>
    </row>
    <row r="557" spans="1:30" x14ac:dyDescent="0.25">
      <c r="A557" s="104" t="str">
        <f t="shared" si="23"/>
        <v>Rwanda2054</v>
      </c>
      <c r="C557" s="107" t="s">
        <v>257</v>
      </c>
      <c r="D557" s="108" t="s">
        <v>214</v>
      </c>
      <c r="E557" s="109"/>
      <c r="F557" s="109">
        <v>646</v>
      </c>
      <c r="G557" s="109">
        <v>2054</v>
      </c>
      <c r="H557" s="110">
        <v>946.54</v>
      </c>
      <c r="I557" s="110">
        <v>968.48900000000003</v>
      </c>
      <c r="J557" s="110">
        <v>984.673</v>
      </c>
      <c r="K557" s="110">
        <v>975.99300000000005</v>
      </c>
      <c r="L557" s="110">
        <v>937.81200000000001</v>
      </c>
      <c r="M557" s="110">
        <v>890.02099999999996</v>
      </c>
      <c r="N557" s="110">
        <v>856.18</v>
      </c>
      <c r="O557" s="110">
        <v>836.57399999999996</v>
      </c>
      <c r="P557" s="110">
        <v>801.33900000000006</v>
      </c>
      <c r="Q557" s="110">
        <v>732.66200000000003</v>
      </c>
      <c r="R557" s="110">
        <v>620.05799999999999</v>
      </c>
      <c r="S557" s="110">
        <v>518.97</v>
      </c>
      <c r="T557" s="110">
        <v>439.08300000000003</v>
      </c>
      <c r="U557" s="110">
        <v>432.44299999999998</v>
      </c>
      <c r="V557" s="110">
        <v>335.72899999999998</v>
      </c>
      <c r="W557" s="110">
        <v>189.37</v>
      </c>
      <c r="X557" s="110">
        <v>104.78</v>
      </c>
      <c r="Y557" s="110">
        <v>46.101999999999997</v>
      </c>
      <c r="Z557" s="110">
        <v>21.419</v>
      </c>
      <c r="AA557" s="110">
        <v>4.4720000000000004</v>
      </c>
      <c r="AB557" s="110">
        <v>0.41699999999999998</v>
      </c>
      <c r="AC557" s="115">
        <f t="shared" si="24"/>
        <v>6030.5810000000001</v>
      </c>
      <c r="AD557">
        <f t="shared" si="25"/>
        <v>1.0089511950569838</v>
      </c>
    </row>
    <row r="558" spans="1:30" x14ac:dyDescent="0.25">
      <c r="A558" s="104" t="str">
        <f t="shared" si="23"/>
        <v>Rwanda2055</v>
      </c>
      <c r="C558" s="107" t="s">
        <v>257</v>
      </c>
      <c r="D558" s="108" t="s">
        <v>214</v>
      </c>
      <c r="E558" s="109"/>
      <c r="F558" s="109">
        <v>646</v>
      </c>
      <c r="G558" s="109">
        <v>2055</v>
      </c>
      <c r="H558" s="110">
        <v>941.55799999999999</v>
      </c>
      <c r="I558" s="110">
        <v>962.70399999999995</v>
      </c>
      <c r="J558" s="110">
        <v>982.30499999999995</v>
      </c>
      <c r="K558" s="110">
        <v>979.36099999999999</v>
      </c>
      <c r="L558" s="110">
        <v>945.44500000000005</v>
      </c>
      <c r="M558" s="110">
        <v>897.29600000000005</v>
      </c>
      <c r="N558" s="110">
        <v>859.54600000000005</v>
      </c>
      <c r="O558" s="110">
        <v>839.70399999999995</v>
      </c>
      <c r="P558" s="110">
        <v>808.31500000000005</v>
      </c>
      <c r="Q558" s="110">
        <v>749.46799999999996</v>
      </c>
      <c r="R558" s="110">
        <v>639.202</v>
      </c>
      <c r="S558" s="110">
        <v>537.76300000000003</v>
      </c>
      <c r="T558" s="110">
        <v>441.79899999999998</v>
      </c>
      <c r="U558" s="110">
        <v>434.55799999999999</v>
      </c>
      <c r="V558" s="110">
        <v>354.94799999999998</v>
      </c>
      <c r="W558" s="110">
        <v>205.72900000000001</v>
      </c>
      <c r="X558" s="110">
        <v>112.212</v>
      </c>
      <c r="Y558" s="110">
        <v>47.826000000000001</v>
      </c>
      <c r="Z558" s="110">
        <v>20.933</v>
      </c>
      <c r="AA558" s="110">
        <v>4.0990000000000002</v>
      </c>
      <c r="AB558" s="110">
        <v>0.45900000000000002</v>
      </c>
      <c r="AC558" s="115">
        <f t="shared" si="24"/>
        <v>6079.1349999999993</v>
      </c>
      <c r="AD558">
        <f t="shared" si="25"/>
        <v>1.0080512972133198</v>
      </c>
    </row>
    <row r="559" spans="1:30" x14ac:dyDescent="0.25">
      <c r="A559" s="104" t="str">
        <f t="shared" si="23"/>
        <v>Rwanda2056</v>
      </c>
      <c r="C559" s="107" t="s">
        <v>257</v>
      </c>
      <c r="D559" s="108" t="s">
        <v>214</v>
      </c>
      <c r="E559" s="109"/>
      <c r="F559" s="109">
        <v>646</v>
      </c>
      <c r="G559" s="109">
        <v>2056</v>
      </c>
      <c r="H559" s="110">
        <v>937.899</v>
      </c>
      <c r="I559" s="110">
        <v>957.73599999999999</v>
      </c>
      <c r="J559" s="110">
        <v>979.23299999999995</v>
      </c>
      <c r="K559" s="110">
        <v>981.55700000000002</v>
      </c>
      <c r="L559" s="110">
        <v>952.89400000000001</v>
      </c>
      <c r="M559" s="110">
        <v>905.55799999999999</v>
      </c>
      <c r="N559" s="110">
        <v>864.34900000000005</v>
      </c>
      <c r="O559" s="110">
        <v>842.53499999999997</v>
      </c>
      <c r="P559" s="110">
        <v>814.654</v>
      </c>
      <c r="Q559" s="110">
        <v>763.59500000000003</v>
      </c>
      <c r="R559" s="110">
        <v>659.26499999999999</v>
      </c>
      <c r="S559" s="110">
        <v>555.39</v>
      </c>
      <c r="T559" s="110">
        <v>449.44400000000002</v>
      </c>
      <c r="U559" s="110">
        <v>431.43</v>
      </c>
      <c r="V559" s="110">
        <v>368.26</v>
      </c>
      <c r="W559" s="110">
        <v>223.18799999999999</v>
      </c>
      <c r="X559" s="110">
        <v>118.967</v>
      </c>
      <c r="Y559" s="110">
        <v>51.779000000000003</v>
      </c>
      <c r="Z559" s="110">
        <v>21.925999999999998</v>
      </c>
      <c r="AA559" s="110">
        <v>4.9249999999999998</v>
      </c>
      <c r="AB559" s="110">
        <v>0.501</v>
      </c>
      <c r="AC559" s="115">
        <f t="shared" si="24"/>
        <v>6125.1420000000007</v>
      </c>
      <c r="AD559">
        <f t="shared" si="25"/>
        <v>1.0075680174893304</v>
      </c>
    </row>
    <row r="560" spans="1:30" x14ac:dyDescent="0.25">
      <c r="A560" s="104" t="str">
        <f t="shared" si="23"/>
        <v>Rwanda2057</v>
      </c>
      <c r="C560" s="107" t="s">
        <v>257</v>
      </c>
      <c r="D560" s="108" t="s">
        <v>214</v>
      </c>
      <c r="E560" s="109"/>
      <c r="F560" s="109">
        <v>646</v>
      </c>
      <c r="G560" s="109">
        <v>2057</v>
      </c>
      <c r="H560" s="110">
        <v>934.02700000000004</v>
      </c>
      <c r="I560" s="110">
        <v>952.75300000000004</v>
      </c>
      <c r="J560" s="110">
        <v>975.34100000000001</v>
      </c>
      <c r="K560" s="110">
        <v>982.44600000000003</v>
      </c>
      <c r="L560" s="110">
        <v>959.59500000000003</v>
      </c>
      <c r="M560" s="110">
        <v>914.14400000000001</v>
      </c>
      <c r="N560" s="110">
        <v>870.04700000000003</v>
      </c>
      <c r="O560" s="110">
        <v>844.83199999999999</v>
      </c>
      <c r="P560" s="110">
        <v>820.23699999999997</v>
      </c>
      <c r="Q560" s="110">
        <v>775.01800000000003</v>
      </c>
      <c r="R560" s="110">
        <v>680.42899999999997</v>
      </c>
      <c r="S560" s="110">
        <v>572.20600000000002</v>
      </c>
      <c r="T560" s="110">
        <v>463.65899999999999</v>
      </c>
      <c r="U560" s="110">
        <v>424.995</v>
      </c>
      <c r="V560" s="110">
        <v>379.14699999999999</v>
      </c>
      <c r="W560" s="110">
        <v>243.70099999999999</v>
      </c>
      <c r="X560" s="110">
        <v>125.295</v>
      </c>
      <c r="Y560" s="110">
        <v>56.188000000000002</v>
      </c>
      <c r="Z560" s="110">
        <v>21.925999999999998</v>
      </c>
      <c r="AA560" s="110">
        <v>6.0990000000000002</v>
      </c>
      <c r="AB560" s="110">
        <v>0.54300000000000004</v>
      </c>
      <c r="AC560" s="115">
        <f t="shared" si="24"/>
        <v>6166.3190000000004</v>
      </c>
      <c r="AD560">
        <f t="shared" si="25"/>
        <v>1.0067226196551851</v>
      </c>
    </row>
    <row r="561" spans="1:30" x14ac:dyDescent="0.25">
      <c r="A561" s="104" t="str">
        <f t="shared" si="23"/>
        <v>Rwanda2058</v>
      </c>
      <c r="C561" s="107" t="s">
        <v>257</v>
      </c>
      <c r="D561" s="108" t="s">
        <v>214</v>
      </c>
      <c r="E561" s="109"/>
      <c r="F561" s="109">
        <v>646</v>
      </c>
      <c r="G561" s="109">
        <v>2058</v>
      </c>
      <c r="H561" s="110">
        <v>930.00400000000002</v>
      </c>
      <c r="I561" s="110">
        <v>947.77700000000004</v>
      </c>
      <c r="J561" s="110">
        <v>970.78899999999999</v>
      </c>
      <c r="K561" s="110">
        <v>982.13800000000003</v>
      </c>
      <c r="L561" s="110">
        <v>965.34500000000003</v>
      </c>
      <c r="M561" s="110">
        <v>922.75900000000001</v>
      </c>
      <c r="N561" s="110">
        <v>876.50199999999995</v>
      </c>
      <c r="O561" s="110">
        <v>847.03300000000002</v>
      </c>
      <c r="P561" s="110">
        <v>825.06500000000005</v>
      </c>
      <c r="Q561" s="110">
        <v>784.22799999999995</v>
      </c>
      <c r="R561" s="110">
        <v>701.59</v>
      </c>
      <c r="S561" s="110">
        <v>588.78</v>
      </c>
      <c r="T561" s="110">
        <v>482.33600000000001</v>
      </c>
      <c r="U561" s="110">
        <v>418.14699999999999</v>
      </c>
      <c r="V561" s="110">
        <v>387.56799999999998</v>
      </c>
      <c r="W561" s="110">
        <v>265.33699999999999</v>
      </c>
      <c r="X561" s="110">
        <v>132.52199999999999</v>
      </c>
      <c r="Y561" s="110">
        <v>60.637999999999998</v>
      </c>
      <c r="Z561" s="110">
        <v>21.719000000000001</v>
      </c>
      <c r="AA561" s="110">
        <v>6.9470000000000001</v>
      </c>
      <c r="AB561" s="110">
        <v>0.59</v>
      </c>
      <c r="AC561" s="115">
        <f t="shared" si="24"/>
        <v>6203.0700000000006</v>
      </c>
      <c r="AD561">
        <f t="shared" si="25"/>
        <v>1.0059599576343683</v>
      </c>
    </row>
    <row r="562" spans="1:30" x14ac:dyDescent="0.25">
      <c r="A562" s="104" t="str">
        <f t="shared" si="23"/>
        <v>Rwanda2059</v>
      </c>
      <c r="C562" s="107" t="s">
        <v>257</v>
      </c>
      <c r="D562" s="108" t="s">
        <v>214</v>
      </c>
      <c r="E562" s="109"/>
      <c r="F562" s="109">
        <v>646</v>
      </c>
      <c r="G562" s="109">
        <v>2059</v>
      </c>
      <c r="H562" s="110">
        <v>925.904</v>
      </c>
      <c r="I562" s="110">
        <v>942.73400000000004</v>
      </c>
      <c r="J562" s="110">
        <v>965.80200000000002</v>
      </c>
      <c r="K562" s="110">
        <v>980.78399999999999</v>
      </c>
      <c r="L562" s="110">
        <v>969.90700000000004</v>
      </c>
      <c r="M562" s="110">
        <v>931.00800000000004</v>
      </c>
      <c r="N562" s="110">
        <v>883.47500000000002</v>
      </c>
      <c r="O562" s="110">
        <v>849.71699999999998</v>
      </c>
      <c r="P562" s="110">
        <v>829.07399999999996</v>
      </c>
      <c r="Q562" s="110">
        <v>792.11599999999999</v>
      </c>
      <c r="R562" s="110">
        <v>721.07899999999995</v>
      </c>
      <c r="S562" s="110">
        <v>606.28599999999994</v>
      </c>
      <c r="T562" s="110">
        <v>502.07400000000001</v>
      </c>
      <c r="U562" s="110">
        <v>415.2</v>
      </c>
      <c r="V562" s="110">
        <v>393.238</v>
      </c>
      <c r="W562" s="110">
        <v>285.38799999999998</v>
      </c>
      <c r="X562" s="110">
        <v>142.376</v>
      </c>
      <c r="Y562" s="110">
        <v>65.106999999999999</v>
      </c>
      <c r="Z562" s="110">
        <v>21.584</v>
      </c>
      <c r="AA562" s="110">
        <v>7.0620000000000003</v>
      </c>
      <c r="AB562" s="110">
        <v>0.64600000000000002</v>
      </c>
      <c r="AC562" s="115">
        <f t="shared" si="24"/>
        <v>6236.0809999999992</v>
      </c>
      <c r="AD562">
        <f t="shared" si="25"/>
        <v>1.0053217197291016</v>
      </c>
    </row>
    <row r="563" spans="1:30" x14ac:dyDescent="0.25">
      <c r="A563" s="104" t="str">
        <f t="shared" si="23"/>
        <v>Rwanda2060</v>
      </c>
      <c r="C563" s="107" t="s">
        <v>257</v>
      </c>
      <c r="D563" s="108" t="s">
        <v>214</v>
      </c>
      <c r="E563" s="109"/>
      <c r="F563" s="109">
        <v>646</v>
      </c>
      <c r="G563" s="109">
        <v>2060</v>
      </c>
      <c r="H563" s="110">
        <v>921.846</v>
      </c>
      <c r="I563" s="110">
        <v>937.47400000000005</v>
      </c>
      <c r="J563" s="110">
        <v>960.55100000000004</v>
      </c>
      <c r="K563" s="110">
        <v>978.48800000000006</v>
      </c>
      <c r="L563" s="110">
        <v>973.14800000000002</v>
      </c>
      <c r="M563" s="110">
        <v>938.58600000000001</v>
      </c>
      <c r="N563" s="110">
        <v>890.76599999999996</v>
      </c>
      <c r="O563" s="110">
        <v>853.23900000000003</v>
      </c>
      <c r="P563" s="110">
        <v>832.29200000000003</v>
      </c>
      <c r="Q563" s="110">
        <v>799.24</v>
      </c>
      <c r="R563" s="110">
        <v>737.83199999999999</v>
      </c>
      <c r="S563" s="110">
        <v>625.31700000000001</v>
      </c>
      <c r="T563" s="110">
        <v>520.77</v>
      </c>
      <c r="U563" s="110">
        <v>418.68299999999999</v>
      </c>
      <c r="V563" s="110">
        <v>396.08100000000002</v>
      </c>
      <c r="W563" s="110">
        <v>302.38499999999999</v>
      </c>
      <c r="X563" s="110">
        <v>155.61699999999999</v>
      </c>
      <c r="Y563" s="110">
        <v>69.528999999999996</v>
      </c>
      <c r="Z563" s="110">
        <v>21.943999999999999</v>
      </c>
      <c r="AA563" s="110">
        <v>6.2869999999999999</v>
      </c>
      <c r="AB563" s="110">
        <v>0.71399999999999997</v>
      </c>
      <c r="AC563" s="115">
        <f t="shared" si="24"/>
        <v>6265.759</v>
      </c>
      <c r="AD563">
        <f t="shared" si="25"/>
        <v>1.0047590786585359</v>
      </c>
    </row>
    <row r="564" spans="1:30" x14ac:dyDescent="0.25">
      <c r="A564" s="104" t="str">
        <f t="shared" si="23"/>
        <v>Rwanda2061</v>
      </c>
      <c r="C564" s="107" t="s">
        <v>257</v>
      </c>
      <c r="D564" s="108" t="s">
        <v>214</v>
      </c>
      <c r="E564" s="109"/>
      <c r="F564" s="109">
        <v>646</v>
      </c>
      <c r="G564" s="109">
        <v>2061</v>
      </c>
      <c r="H564" s="110">
        <v>919.35900000000004</v>
      </c>
      <c r="I564" s="110">
        <v>933.24900000000002</v>
      </c>
      <c r="J564" s="110">
        <v>955.51</v>
      </c>
      <c r="K564" s="110">
        <v>975.505</v>
      </c>
      <c r="L564" s="110">
        <v>975.63199999999995</v>
      </c>
      <c r="M564" s="110">
        <v>946.18700000000001</v>
      </c>
      <c r="N564" s="110">
        <v>899.09500000000003</v>
      </c>
      <c r="O564" s="110">
        <v>858.03499999999997</v>
      </c>
      <c r="P564" s="110">
        <v>835.22299999999996</v>
      </c>
      <c r="Q564" s="110">
        <v>805.596</v>
      </c>
      <c r="R564" s="110">
        <v>751.89400000000001</v>
      </c>
      <c r="S564" s="110">
        <v>645.096</v>
      </c>
      <c r="T564" s="110">
        <v>537.66800000000001</v>
      </c>
      <c r="U564" s="110">
        <v>426.20299999999997</v>
      </c>
      <c r="V564" s="110">
        <v>393.22399999999999</v>
      </c>
      <c r="W564" s="110">
        <v>313.77999999999997</v>
      </c>
      <c r="X564" s="110">
        <v>170.17099999999999</v>
      </c>
      <c r="Y564" s="110">
        <v>74.884</v>
      </c>
      <c r="Z564" s="110">
        <v>24.773</v>
      </c>
      <c r="AA564" s="110">
        <v>6.56</v>
      </c>
      <c r="AB564" s="110">
        <v>0.79900000000000004</v>
      </c>
      <c r="AC564" s="115">
        <f t="shared" si="24"/>
        <v>6295.2729999999992</v>
      </c>
      <c r="AD564">
        <f t="shared" si="25"/>
        <v>1.0047103631020597</v>
      </c>
    </row>
    <row r="565" spans="1:30" x14ac:dyDescent="0.25">
      <c r="A565" s="104" t="str">
        <f t="shared" si="23"/>
        <v>Rwanda2062</v>
      </c>
      <c r="C565" s="107" t="s">
        <v>257</v>
      </c>
      <c r="D565" s="108" t="s">
        <v>214</v>
      </c>
      <c r="E565" s="109"/>
      <c r="F565" s="109">
        <v>646</v>
      </c>
      <c r="G565" s="109">
        <v>2062</v>
      </c>
      <c r="H565" s="110">
        <v>915.99900000000002</v>
      </c>
      <c r="I565" s="110">
        <v>929.36</v>
      </c>
      <c r="J565" s="110">
        <v>950.46</v>
      </c>
      <c r="K565" s="110">
        <v>971.64800000000002</v>
      </c>
      <c r="L565" s="110">
        <v>976.73599999999999</v>
      </c>
      <c r="M565" s="110">
        <v>953.02599999999995</v>
      </c>
      <c r="N565" s="110">
        <v>907.77599999999995</v>
      </c>
      <c r="O565" s="110">
        <v>863.76300000000003</v>
      </c>
      <c r="P565" s="110">
        <v>837.65300000000002</v>
      </c>
      <c r="Q565" s="110">
        <v>811.23900000000003</v>
      </c>
      <c r="R565" s="110">
        <v>763.34400000000005</v>
      </c>
      <c r="S565" s="110">
        <v>666.07500000000005</v>
      </c>
      <c r="T565" s="110">
        <v>554.03800000000001</v>
      </c>
      <c r="U565" s="110">
        <v>440.02300000000002</v>
      </c>
      <c r="V565" s="110">
        <v>387.48899999999998</v>
      </c>
      <c r="W565" s="110">
        <v>323.53399999999999</v>
      </c>
      <c r="X565" s="110">
        <v>186.756</v>
      </c>
      <c r="Y565" s="110">
        <v>79.36</v>
      </c>
      <c r="Z565" s="110">
        <v>27.367000000000001</v>
      </c>
      <c r="AA565" s="110">
        <v>6.9610000000000003</v>
      </c>
      <c r="AB565" s="110">
        <v>0.89700000000000002</v>
      </c>
      <c r="AC565" s="115">
        <f t="shared" si="24"/>
        <v>6321.8410000000003</v>
      </c>
      <c r="AD565">
        <f t="shared" si="25"/>
        <v>1.0042203094289956</v>
      </c>
    </row>
    <row r="566" spans="1:30" x14ac:dyDescent="0.25">
      <c r="A566" s="104" t="str">
        <f t="shared" si="23"/>
        <v>Rwanda2063</v>
      </c>
      <c r="C566" s="107" t="s">
        <v>257</v>
      </c>
      <c r="D566" s="108" t="s">
        <v>214</v>
      </c>
      <c r="E566" s="109"/>
      <c r="F566" s="109">
        <v>646</v>
      </c>
      <c r="G566" s="109">
        <v>2063</v>
      </c>
      <c r="H566" s="110">
        <v>912.029</v>
      </c>
      <c r="I566" s="110">
        <v>925.71699999999998</v>
      </c>
      <c r="J566" s="110">
        <v>945.404</v>
      </c>
      <c r="K566" s="110">
        <v>967.11699999999996</v>
      </c>
      <c r="L566" s="110">
        <v>976.50900000000001</v>
      </c>
      <c r="M566" s="110">
        <v>958.86500000000001</v>
      </c>
      <c r="N566" s="110">
        <v>916.46799999999996</v>
      </c>
      <c r="O566" s="110">
        <v>870.28599999999994</v>
      </c>
      <c r="P566" s="110">
        <v>839.95799999999997</v>
      </c>
      <c r="Q566" s="110">
        <v>816.16899999999998</v>
      </c>
      <c r="R566" s="110">
        <v>772.63199999999995</v>
      </c>
      <c r="S566" s="110">
        <v>687.07299999999998</v>
      </c>
      <c r="T566" s="110">
        <v>570.45299999999997</v>
      </c>
      <c r="U566" s="110">
        <v>458.07</v>
      </c>
      <c r="V566" s="110">
        <v>381.65300000000002</v>
      </c>
      <c r="W566" s="110">
        <v>331.64400000000001</v>
      </c>
      <c r="X566" s="110">
        <v>203.851</v>
      </c>
      <c r="Y566" s="110">
        <v>83.897999999999996</v>
      </c>
      <c r="Z566" s="110">
        <v>29.789000000000001</v>
      </c>
      <c r="AA566" s="110">
        <v>7.3559999999999999</v>
      </c>
      <c r="AB566" s="110">
        <v>0.999</v>
      </c>
      <c r="AC566" s="115">
        <f t="shared" si="24"/>
        <v>6345.3719999999994</v>
      </c>
      <c r="AD566">
        <f t="shared" si="25"/>
        <v>1.0037221752334484</v>
      </c>
    </row>
    <row r="567" spans="1:30" x14ac:dyDescent="0.25">
      <c r="A567" s="104" t="str">
        <f t="shared" si="23"/>
        <v>Rwanda2064</v>
      </c>
      <c r="C567" s="107" t="s">
        <v>257</v>
      </c>
      <c r="D567" s="108" t="s">
        <v>214</v>
      </c>
      <c r="E567" s="109"/>
      <c r="F567" s="109">
        <v>646</v>
      </c>
      <c r="G567" s="109">
        <v>2064</v>
      </c>
      <c r="H567" s="110">
        <v>907.80200000000002</v>
      </c>
      <c r="I567" s="110">
        <v>922.07899999999995</v>
      </c>
      <c r="J567" s="110">
        <v>940.39300000000003</v>
      </c>
      <c r="K567" s="110">
        <v>962.178</v>
      </c>
      <c r="L567" s="110">
        <v>975.10500000000002</v>
      </c>
      <c r="M567" s="110">
        <v>963.45</v>
      </c>
      <c r="N567" s="110">
        <v>924.74699999999996</v>
      </c>
      <c r="O567" s="110">
        <v>877.35199999999998</v>
      </c>
      <c r="P567" s="110">
        <v>842.70899999999995</v>
      </c>
      <c r="Q567" s="110">
        <v>820.31500000000005</v>
      </c>
      <c r="R567" s="110">
        <v>780.60799999999995</v>
      </c>
      <c r="S567" s="110">
        <v>706.42100000000005</v>
      </c>
      <c r="T567" s="110">
        <v>587.99300000000005</v>
      </c>
      <c r="U567" s="110">
        <v>477.20800000000003</v>
      </c>
      <c r="V567" s="110">
        <v>379.791</v>
      </c>
      <c r="W567" s="110">
        <v>337.58800000000002</v>
      </c>
      <c r="X567" s="110">
        <v>219.47800000000001</v>
      </c>
      <c r="Y567" s="110">
        <v>90.242999999999995</v>
      </c>
      <c r="Z567" s="110">
        <v>31.712</v>
      </c>
      <c r="AA567" s="110">
        <v>7.4770000000000003</v>
      </c>
      <c r="AB567" s="110">
        <v>1.093</v>
      </c>
      <c r="AC567" s="115">
        <f t="shared" si="24"/>
        <v>6365.8559999999998</v>
      </c>
      <c r="AD567">
        <f t="shared" si="25"/>
        <v>1.0032281795299001</v>
      </c>
    </row>
    <row r="568" spans="1:30" x14ac:dyDescent="0.25">
      <c r="A568" s="104" t="str">
        <f t="shared" si="23"/>
        <v>Rwanda2065</v>
      </c>
      <c r="C568" s="107" t="s">
        <v>257</v>
      </c>
      <c r="D568" s="108" t="s">
        <v>214</v>
      </c>
      <c r="E568" s="109"/>
      <c r="F568" s="109">
        <v>646</v>
      </c>
      <c r="G568" s="109">
        <v>2065</v>
      </c>
      <c r="H568" s="110">
        <v>903.63400000000001</v>
      </c>
      <c r="I568" s="110">
        <v>918.101</v>
      </c>
      <c r="J568" s="110">
        <v>935.50599999999997</v>
      </c>
      <c r="K568" s="110">
        <v>957.02499999999998</v>
      </c>
      <c r="L568" s="110">
        <v>972.68899999999996</v>
      </c>
      <c r="M568" s="110">
        <v>966.63900000000001</v>
      </c>
      <c r="N568" s="110">
        <v>932.322</v>
      </c>
      <c r="O568" s="110">
        <v>884.75</v>
      </c>
      <c r="P568" s="110">
        <v>846.29499999999996</v>
      </c>
      <c r="Q568" s="110">
        <v>823.69</v>
      </c>
      <c r="R568" s="110">
        <v>787.83100000000002</v>
      </c>
      <c r="S568" s="110">
        <v>723.10299999999995</v>
      </c>
      <c r="T568" s="110">
        <v>607.125</v>
      </c>
      <c r="U568" s="110">
        <v>495.58699999999999</v>
      </c>
      <c r="V568" s="110">
        <v>384.21600000000001</v>
      </c>
      <c r="W568" s="110">
        <v>341.07499999999999</v>
      </c>
      <c r="X568" s="110">
        <v>232.79400000000001</v>
      </c>
      <c r="Y568" s="110">
        <v>99.123000000000005</v>
      </c>
      <c r="Z568" s="110">
        <v>33.228999999999999</v>
      </c>
      <c r="AA568" s="110">
        <v>6.97</v>
      </c>
      <c r="AB568" s="110">
        <v>1.1679999999999999</v>
      </c>
      <c r="AC568" s="115">
        <f t="shared" si="24"/>
        <v>6383.41</v>
      </c>
      <c r="AD568">
        <f t="shared" si="25"/>
        <v>1.0027575238899529</v>
      </c>
    </row>
    <row r="569" spans="1:30" x14ac:dyDescent="0.25">
      <c r="A569" s="104" t="str">
        <f t="shared" si="23"/>
        <v>Rwanda2066</v>
      </c>
      <c r="C569" s="107" t="s">
        <v>257</v>
      </c>
      <c r="D569" s="108" t="s">
        <v>214</v>
      </c>
      <c r="E569" s="109"/>
      <c r="F569" s="109">
        <v>646</v>
      </c>
      <c r="G569" s="109">
        <v>2066</v>
      </c>
      <c r="H569" s="110">
        <v>900.35900000000004</v>
      </c>
      <c r="I569" s="110">
        <v>914.91600000000005</v>
      </c>
      <c r="J569" s="110">
        <v>931.30899999999997</v>
      </c>
      <c r="K569" s="110">
        <v>952.06899999999996</v>
      </c>
      <c r="L569" s="110">
        <v>969.99400000000003</v>
      </c>
      <c r="M569" s="110">
        <v>969.28899999999999</v>
      </c>
      <c r="N569" s="110">
        <v>939.99400000000003</v>
      </c>
      <c r="O569" s="110">
        <v>893.05200000000002</v>
      </c>
      <c r="P569" s="110">
        <v>851.17600000000004</v>
      </c>
      <c r="Q569" s="110">
        <v>826.66800000000001</v>
      </c>
      <c r="R569" s="110">
        <v>794.25599999999997</v>
      </c>
      <c r="S569" s="110">
        <v>737.00900000000001</v>
      </c>
      <c r="T569" s="110">
        <v>626.22900000000004</v>
      </c>
      <c r="U569" s="110">
        <v>511.57100000000003</v>
      </c>
      <c r="V569" s="110">
        <v>391.59100000000001</v>
      </c>
      <c r="W569" s="110">
        <v>338.64100000000002</v>
      </c>
      <c r="X569" s="110">
        <v>242.249</v>
      </c>
      <c r="Y569" s="110">
        <v>110.661</v>
      </c>
      <c r="Z569" s="110">
        <v>37.058</v>
      </c>
      <c r="AA569" s="110">
        <v>7.9950000000000001</v>
      </c>
      <c r="AB569" s="110">
        <v>1.2230000000000001</v>
      </c>
      <c r="AC569" s="115">
        <f t="shared" si="24"/>
        <v>6402.2420000000002</v>
      </c>
      <c r="AD569">
        <f t="shared" si="25"/>
        <v>1.0029501473350451</v>
      </c>
    </row>
    <row r="570" spans="1:30" x14ac:dyDescent="0.25">
      <c r="A570" s="104" t="str">
        <f t="shared" si="23"/>
        <v>Rwanda2067</v>
      </c>
      <c r="C570" s="107" t="s">
        <v>257</v>
      </c>
      <c r="D570" s="108" t="s">
        <v>214</v>
      </c>
      <c r="E570" s="109"/>
      <c r="F570" s="109">
        <v>646</v>
      </c>
      <c r="G570" s="109">
        <v>2067</v>
      </c>
      <c r="H570" s="110">
        <v>896.73400000000004</v>
      </c>
      <c r="I570" s="110">
        <v>911.61300000000006</v>
      </c>
      <c r="J570" s="110">
        <v>927.40599999999995</v>
      </c>
      <c r="K570" s="110">
        <v>946.98800000000006</v>
      </c>
      <c r="L570" s="110">
        <v>966.30799999999999</v>
      </c>
      <c r="M570" s="110">
        <v>970.50199999999995</v>
      </c>
      <c r="N570" s="110">
        <v>946.89300000000003</v>
      </c>
      <c r="O570" s="110">
        <v>901.70699999999999</v>
      </c>
      <c r="P570" s="110">
        <v>856.96400000000006</v>
      </c>
      <c r="Q570" s="110">
        <v>829.14499999999998</v>
      </c>
      <c r="R570" s="110">
        <v>799.97699999999998</v>
      </c>
      <c r="S570" s="110">
        <v>748.45100000000002</v>
      </c>
      <c r="T570" s="110">
        <v>646.70000000000005</v>
      </c>
      <c r="U570" s="110">
        <v>527.32299999999998</v>
      </c>
      <c r="V570" s="110">
        <v>404.745</v>
      </c>
      <c r="W570" s="110">
        <v>333.76900000000001</v>
      </c>
      <c r="X570" s="110">
        <v>250.61099999999999</v>
      </c>
      <c r="Y570" s="110">
        <v>122.492</v>
      </c>
      <c r="Z570" s="110">
        <v>39.756999999999998</v>
      </c>
      <c r="AA570" s="110">
        <v>9.6419999999999995</v>
      </c>
      <c r="AB570" s="110">
        <v>1.262</v>
      </c>
      <c r="AC570" s="115">
        <f t="shared" si="24"/>
        <v>6418.5069999999996</v>
      </c>
      <c r="AD570">
        <f t="shared" si="25"/>
        <v>1.0025405162753922</v>
      </c>
    </row>
    <row r="571" spans="1:30" x14ac:dyDescent="0.25">
      <c r="A571" s="104" t="str">
        <f t="shared" si="23"/>
        <v>Rwanda2068</v>
      </c>
      <c r="C571" s="107" t="s">
        <v>257</v>
      </c>
      <c r="D571" s="108" t="s">
        <v>214</v>
      </c>
      <c r="E571" s="109"/>
      <c r="F571" s="109">
        <v>646</v>
      </c>
      <c r="G571" s="109">
        <v>2068</v>
      </c>
      <c r="H571" s="110">
        <v>892.77200000000005</v>
      </c>
      <c r="I571" s="110">
        <v>908.10400000000004</v>
      </c>
      <c r="J571" s="110">
        <v>923.71799999999996</v>
      </c>
      <c r="K571" s="110">
        <v>941.92100000000005</v>
      </c>
      <c r="L571" s="110">
        <v>961.84199999999998</v>
      </c>
      <c r="M571" s="110">
        <v>970.36199999999997</v>
      </c>
      <c r="N571" s="110">
        <v>952.78899999999999</v>
      </c>
      <c r="O571" s="110">
        <v>910.43</v>
      </c>
      <c r="P571" s="110">
        <v>863.53200000000004</v>
      </c>
      <c r="Q571" s="110">
        <v>831.54600000000005</v>
      </c>
      <c r="R571" s="110">
        <v>805.01199999999994</v>
      </c>
      <c r="S571" s="110">
        <v>757.82100000000003</v>
      </c>
      <c r="T571" s="110">
        <v>667.44100000000003</v>
      </c>
      <c r="U571" s="110">
        <v>543.40499999999997</v>
      </c>
      <c r="V571" s="110">
        <v>421.74200000000002</v>
      </c>
      <c r="W571" s="110">
        <v>329.24099999999999</v>
      </c>
      <c r="X571" s="110">
        <v>257.89299999999997</v>
      </c>
      <c r="Y571" s="110">
        <v>133.381</v>
      </c>
      <c r="Z571" s="110">
        <v>42.481999999999999</v>
      </c>
      <c r="AA571" s="110">
        <v>11.054</v>
      </c>
      <c r="AB571" s="110">
        <v>1.2989999999999999</v>
      </c>
      <c r="AC571" s="115">
        <f t="shared" si="24"/>
        <v>6432.4220000000005</v>
      </c>
      <c r="AD571">
        <f t="shared" si="25"/>
        <v>1.0021679496493501</v>
      </c>
    </row>
    <row r="572" spans="1:30" x14ac:dyDescent="0.25">
      <c r="A572" s="104" t="str">
        <f t="shared" si="23"/>
        <v>Rwanda2069</v>
      </c>
      <c r="C572" s="107" t="s">
        <v>257</v>
      </c>
      <c r="D572" s="108" t="s">
        <v>214</v>
      </c>
      <c r="E572" s="109"/>
      <c r="F572" s="109">
        <v>646</v>
      </c>
      <c r="G572" s="109">
        <v>2069</v>
      </c>
      <c r="H572" s="110">
        <v>888.33299999999997</v>
      </c>
      <c r="I572" s="110">
        <v>904.31600000000003</v>
      </c>
      <c r="J572" s="110">
        <v>920.06899999999996</v>
      </c>
      <c r="K572" s="110">
        <v>936.99099999999999</v>
      </c>
      <c r="L572" s="110">
        <v>956.89</v>
      </c>
      <c r="M572" s="110">
        <v>969.029</v>
      </c>
      <c r="N572" s="110">
        <v>957.44399999999996</v>
      </c>
      <c r="O572" s="110">
        <v>918.82100000000003</v>
      </c>
      <c r="P572" s="110">
        <v>870.64599999999996</v>
      </c>
      <c r="Q572" s="110">
        <v>834.46</v>
      </c>
      <c r="R572" s="110">
        <v>809.298</v>
      </c>
      <c r="S572" s="110">
        <v>765.93899999999996</v>
      </c>
      <c r="T572" s="110">
        <v>686.81</v>
      </c>
      <c r="U572" s="110">
        <v>560.81500000000005</v>
      </c>
      <c r="V572" s="110">
        <v>439.87299999999999</v>
      </c>
      <c r="W572" s="110">
        <v>328.78199999999998</v>
      </c>
      <c r="X572" s="110">
        <v>263.37900000000002</v>
      </c>
      <c r="Y572" s="110">
        <v>143.39099999999999</v>
      </c>
      <c r="Z572" s="110">
        <v>45.259</v>
      </c>
      <c r="AA572" s="110">
        <v>11.641</v>
      </c>
      <c r="AB572" s="110">
        <v>1.3520000000000001</v>
      </c>
      <c r="AC572" s="115">
        <f t="shared" si="24"/>
        <v>6444.2809999999999</v>
      </c>
      <c r="AD572">
        <f t="shared" si="25"/>
        <v>1.0018436290405075</v>
      </c>
    </row>
    <row r="573" spans="1:30" x14ac:dyDescent="0.25">
      <c r="A573" s="104" t="str">
        <f t="shared" si="23"/>
        <v>Rwanda2070</v>
      </c>
      <c r="C573" s="107" t="s">
        <v>257</v>
      </c>
      <c r="D573" s="108" t="s">
        <v>214</v>
      </c>
      <c r="E573" s="109"/>
      <c r="F573" s="109">
        <v>646</v>
      </c>
      <c r="G573" s="109">
        <v>2070</v>
      </c>
      <c r="H573" s="110">
        <v>883.35400000000004</v>
      </c>
      <c r="I573" s="110">
        <v>900.18299999999999</v>
      </c>
      <c r="J573" s="110">
        <v>916.28800000000001</v>
      </c>
      <c r="K573" s="110">
        <v>932.25400000000002</v>
      </c>
      <c r="L573" s="110">
        <v>951.68299999999999</v>
      </c>
      <c r="M573" s="110">
        <v>966.63800000000003</v>
      </c>
      <c r="N573" s="110">
        <v>960.697</v>
      </c>
      <c r="O573" s="110">
        <v>926.54100000000005</v>
      </c>
      <c r="P573" s="110">
        <v>878.11900000000003</v>
      </c>
      <c r="Q573" s="110">
        <v>838.23699999999997</v>
      </c>
      <c r="R573" s="110">
        <v>812.85199999999998</v>
      </c>
      <c r="S573" s="110">
        <v>773.35299999999995</v>
      </c>
      <c r="T573" s="110">
        <v>703.73400000000004</v>
      </c>
      <c r="U573" s="110">
        <v>579.95799999999997</v>
      </c>
      <c r="V573" s="110">
        <v>457.637</v>
      </c>
      <c r="W573" s="110">
        <v>334.29199999999997</v>
      </c>
      <c r="X573" s="110">
        <v>266.709</v>
      </c>
      <c r="Y573" s="110">
        <v>151.947</v>
      </c>
      <c r="Z573" s="110">
        <v>49.121000000000002</v>
      </c>
      <c r="AA573" s="110">
        <v>11.093999999999999</v>
      </c>
      <c r="AB573" s="110">
        <v>1.4359999999999999</v>
      </c>
      <c r="AC573" s="115">
        <f t="shared" si="24"/>
        <v>6454.1689999999999</v>
      </c>
      <c r="AD573">
        <f t="shared" si="25"/>
        <v>1.0015343837427324</v>
      </c>
    </row>
    <row r="574" spans="1:30" x14ac:dyDescent="0.25">
      <c r="A574" s="104" t="str">
        <f t="shared" si="23"/>
        <v>Rwanda2071</v>
      </c>
      <c r="C574" s="107" t="s">
        <v>257</v>
      </c>
      <c r="D574" s="108" t="s">
        <v>214</v>
      </c>
      <c r="E574" s="109"/>
      <c r="F574" s="109">
        <v>646</v>
      </c>
      <c r="G574" s="109">
        <v>2071</v>
      </c>
      <c r="H574" s="110">
        <v>879.02</v>
      </c>
      <c r="I574" s="110">
        <v>896.81100000000004</v>
      </c>
      <c r="J574" s="110">
        <v>912.87</v>
      </c>
      <c r="K574" s="110">
        <v>928.09699999999998</v>
      </c>
      <c r="L574" s="110">
        <v>946.93799999999999</v>
      </c>
      <c r="M574" s="110">
        <v>964.05499999999995</v>
      </c>
      <c r="N574" s="110">
        <v>963.375</v>
      </c>
      <c r="O574" s="110">
        <v>934.13099999999997</v>
      </c>
      <c r="P574" s="110">
        <v>886.41499999999996</v>
      </c>
      <c r="Q574" s="110">
        <v>843.077</v>
      </c>
      <c r="R574" s="110">
        <v>815.85599999999999</v>
      </c>
      <c r="S574" s="110">
        <v>779.71100000000001</v>
      </c>
      <c r="T574" s="110">
        <v>716.98800000000006</v>
      </c>
      <c r="U574" s="110">
        <v>598.101</v>
      </c>
      <c r="V574" s="110">
        <v>472.2</v>
      </c>
      <c r="W574" s="110">
        <v>341.28500000000003</v>
      </c>
      <c r="X574" s="110">
        <v>265.20999999999998</v>
      </c>
      <c r="Y574" s="110">
        <v>160.28100000000001</v>
      </c>
      <c r="Z574" s="110">
        <v>57.040999999999997</v>
      </c>
      <c r="AA574" s="110">
        <v>12.49</v>
      </c>
      <c r="AB574" s="110">
        <v>1.5580000000000001</v>
      </c>
      <c r="AC574" s="115">
        <f t="shared" si="24"/>
        <v>6466.0879999999997</v>
      </c>
      <c r="AD574">
        <f t="shared" si="25"/>
        <v>1.0018467133414077</v>
      </c>
    </row>
    <row r="575" spans="1:30" x14ac:dyDescent="0.25">
      <c r="A575" s="104" t="str">
        <f t="shared" si="23"/>
        <v>Rwanda2072</v>
      </c>
      <c r="C575" s="107" t="s">
        <v>257</v>
      </c>
      <c r="D575" s="108" t="s">
        <v>214</v>
      </c>
      <c r="E575" s="109"/>
      <c r="F575" s="109">
        <v>646</v>
      </c>
      <c r="G575" s="109">
        <v>2072</v>
      </c>
      <c r="H575" s="110">
        <v>873.72299999999996</v>
      </c>
      <c r="I575" s="110">
        <v>893.23900000000003</v>
      </c>
      <c r="J575" s="110">
        <v>909.43799999999999</v>
      </c>
      <c r="K575" s="110">
        <v>924.23099999999999</v>
      </c>
      <c r="L575" s="110">
        <v>942.03300000000002</v>
      </c>
      <c r="M575" s="110">
        <v>960.50099999999998</v>
      </c>
      <c r="N575" s="110">
        <v>964.68299999999999</v>
      </c>
      <c r="O575" s="110">
        <v>941.02099999999996</v>
      </c>
      <c r="P575" s="110">
        <v>895.11599999999999</v>
      </c>
      <c r="Q575" s="110">
        <v>848.88</v>
      </c>
      <c r="R575" s="110">
        <v>818.43600000000004</v>
      </c>
      <c r="S575" s="110">
        <v>785.52800000000002</v>
      </c>
      <c r="T575" s="110">
        <v>728.14599999999996</v>
      </c>
      <c r="U575" s="110">
        <v>617.84900000000005</v>
      </c>
      <c r="V575" s="110">
        <v>486.92</v>
      </c>
      <c r="W575" s="110">
        <v>353.17399999999998</v>
      </c>
      <c r="X575" s="110">
        <v>261.52999999999997</v>
      </c>
      <c r="Y575" s="110">
        <v>167.36500000000001</v>
      </c>
      <c r="Z575" s="110">
        <v>63.642000000000003</v>
      </c>
      <c r="AA575" s="110">
        <v>14.504</v>
      </c>
      <c r="AB575" s="110">
        <v>1.7150000000000001</v>
      </c>
      <c r="AC575" s="115">
        <f t="shared" si="24"/>
        <v>6476.4650000000001</v>
      </c>
      <c r="AD575">
        <f t="shared" si="25"/>
        <v>1.001604834329505</v>
      </c>
    </row>
    <row r="576" spans="1:30" x14ac:dyDescent="0.25">
      <c r="A576" s="104" t="str">
        <f t="shared" si="23"/>
        <v>Rwanda2073</v>
      </c>
      <c r="C576" s="107" t="s">
        <v>257</v>
      </c>
      <c r="D576" s="108" t="s">
        <v>214</v>
      </c>
      <c r="E576" s="109"/>
      <c r="F576" s="109">
        <v>646</v>
      </c>
      <c r="G576" s="109">
        <v>2073</v>
      </c>
      <c r="H576" s="110">
        <v>867.68200000000002</v>
      </c>
      <c r="I576" s="110">
        <v>889.34400000000005</v>
      </c>
      <c r="J576" s="110">
        <v>905.93799999999999</v>
      </c>
      <c r="K576" s="110">
        <v>920.577</v>
      </c>
      <c r="L576" s="110">
        <v>937.06</v>
      </c>
      <c r="M576" s="110">
        <v>956.15899999999999</v>
      </c>
      <c r="N576" s="110">
        <v>964.65300000000002</v>
      </c>
      <c r="O576" s="110">
        <v>946.99</v>
      </c>
      <c r="P576" s="110">
        <v>903.89300000000003</v>
      </c>
      <c r="Q576" s="110">
        <v>855.51599999999996</v>
      </c>
      <c r="R576" s="110">
        <v>820.97900000000004</v>
      </c>
      <c r="S576" s="110">
        <v>790.71199999999999</v>
      </c>
      <c r="T576" s="110">
        <v>737.60199999999998</v>
      </c>
      <c r="U576" s="110">
        <v>638.09199999999998</v>
      </c>
      <c r="V576" s="110">
        <v>502.31900000000002</v>
      </c>
      <c r="W576" s="110">
        <v>368.38200000000001</v>
      </c>
      <c r="X576" s="110">
        <v>258.42899999999997</v>
      </c>
      <c r="Y576" s="110">
        <v>172.56200000000001</v>
      </c>
      <c r="Z576" s="110">
        <v>69.456999999999994</v>
      </c>
      <c r="AA576" s="110">
        <v>16.381</v>
      </c>
      <c r="AB576" s="110">
        <v>1.901</v>
      </c>
      <c r="AC576" s="115">
        <f t="shared" si="24"/>
        <v>6484.847999999999</v>
      </c>
      <c r="AD576">
        <f t="shared" si="25"/>
        <v>1.001294378955186</v>
      </c>
    </row>
    <row r="577" spans="1:30" x14ac:dyDescent="0.25">
      <c r="A577" s="104" t="str">
        <f t="shared" si="23"/>
        <v>Rwanda2074</v>
      </c>
      <c r="C577" s="107" t="s">
        <v>257</v>
      </c>
      <c r="D577" s="108" t="s">
        <v>214</v>
      </c>
      <c r="E577" s="109"/>
      <c r="F577" s="109">
        <v>646</v>
      </c>
      <c r="G577" s="109">
        <v>2074</v>
      </c>
      <c r="H577" s="110">
        <v>861.23699999999997</v>
      </c>
      <c r="I577" s="110">
        <v>884.98400000000004</v>
      </c>
      <c r="J577" s="110">
        <v>902.31700000000001</v>
      </c>
      <c r="K577" s="110">
        <v>916.96699999999998</v>
      </c>
      <c r="L577" s="110">
        <v>932.12400000000002</v>
      </c>
      <c r="M577" s="110">
        <v>951.29100000000005</v>
      </c>
      <c r="N577" s="110">
        <v>963.41300000000001</v>
      </c>
      <c r="O577" s="110">
        <v>951.77</v>
      </c>
      <c r="P577" s="110">
        <v>912.32500000000005</v>
      </c>
      <c r="Q577" s="110">
        <v>862.73900000000003</v>
      </c>
      <c r="R577" s="110">
        <v>824.03599999999994</v>
      </c>
      <c r="S577" s="110">
        <v>795.15899999999999</v>
      </c>
      <c r="T577" s="110">
        <v>746.08799999999997</v>
      </c>
      <c r="U577" s="110">
        <v>657.23099999999999</v>
      </c>
      <c r="V577" s="110">
        <v>519.274</v>
      </c>
      <c r="W577" s="110">
        <v>384.80700000000002</v>
      </c>
      <c r="X577" s="110">
        <v>259.08800000000002</v>
      </c>
      <c r="Y577" s="110">
        <v>176.03700000000001</v>
      </c>
      <c r="Z577" s="110">
        <v>73.983999999999995</v>
      </c>
      <c r="AA577" s="110">
        <v>17.440000000000001</v>
      </c>
      <c r="AB577" s="110">
        <v>2.1070000000000002</v>
      </c>
      <c r="AC577" s="115">
        <f t="shared" si="24"/>
        <v>6490.6290000000008</v>
      </c>
      <c r="AD577">
        <f t="shared" si="25"/>
        <v>1.0008914626834742</v>
      </c>
    </row>
    <row r="578" spans="1:30" x14ac:dyDescent="0.25">
      <c r="A578" s="104" t="str">
        <f t="shared" si="23"/>
        <v>Rwanda2075</v>
      </c>
      <c r="C578" s="107" t="s">
        <v>257</v>
      </c>
      <c r="D578" s="108" t="s">
        <v>214</v>
      </c>
      <c r="E578" s="109"/>
      <c r="F578" s="109">
        <v>646</v>
      </c>
      <c r="G578" s="109">
        <v>2075</v>
      </c>
      <c r="H578" s="110">
        <v>854.65300000000002</v>
      </c>
      <c r="I578" s="110">
        <v>880.01</v>
      </c>
      <c r="J578" s="110">
        <v>898.49699999999996</v>
      </c>
      <c r="K578" s="110">
        <v>913.27300000000002</v>
      </c>
      <c r="L578" s="110">
        <v>927.31799999999998</v>
      </c>
      <c r="M578" s="110">
        <v>946.09500000000003</v>
      </c>
      <c r="N578" s="110">
        <v>961.08299999999997</v>
      </c>
      <c r="O578" s="110">
        <v>955.16300000000001</v>
      </c>
      <c r="P578" s="110">
        <v>920.09400000000005</v>
      </c>
      <c r="Q578" s="110">
        <v>870.33100000000002</v>
      </c>
      <c r="R578" s="110">
        <v>827.952</v>
      </c>
      <c r="S578" s="110">
        <v>798.904</v>
      </c>
      <c r="T578" s="110">
        <v>754.02200000000005</v>
      </c>
      <c r="U578" s="110">
        <v>674.24699999999996</v>
      </c>
      <c r="V578" s="110">
        <v>538.12699999999995</v>
      </c>
      <c r="W578" s="110">
        <v>401.36</v>
      </c>
      <c r="X578" s="110">
        <v>264.90800000000002</v>
      </c>
      <c r="Y578" s="110">
        <v>177.81800000000001</v>
      </c>
      <c r="Z578" s="110">
        <v>77.718999999999994</v>
      </c>
      <c r="AA578" s="110">
        <v>17.138000000000002</v>
      </c>
      <c r="AB578" s="110">
        <v>2.3250000000000002</v>
      </c>
      <c r="AC578" s="115">
        <f t="shared" si="24"/>
        <v>6493.357</v>
      </c>
      <c r="AD578">
        <f t="shared" si="25"/>
        <v>1.0004202982484438</v>
      </c>
    </row>
    <row r="579" spans="1:30" x14ac:dyDescent="0.25">
      <c r="A579" s="104" t="str">
        <f t="shared" si="23"/>
        <v>Rwanda2076</v>
      </c>
      <c r="C579" s="107" t="s">
        <v>257</v>
      </c>
      <c r="D579" s="108" t="s">
        <v>214</v>
      </c>
      <c r="E579" s="109"/>
      <c r="F579" s="109">
        <v>646</v>
      </c>
      <c r="G579" s="109">
        <v>2076</v>
      </c>
      <c r="H579" s="110">
        <v>848.37199999999996</v>
      </c>
      <c r="I579" s="110">
        <v>875.49199999999996</v>
      </c>
      <c r="J579" s="110">
        <v>894.97799999999995</v>
      </c>
      <c r="K579" s="110">
        <v>909.91600000000005</v>
      </c>
      <c r="L579" s="110">
        <v>923.38099999999997</v>
      </c>
      <c r="M579" s="110">
        <v>941.48699999999997</v>
      </c>
      <c r="N579" s="110">
        <v>958.57399999999996</v>
      </c>
      <c r="O579" s="110">
        <v>957.80899999999997</v>
      </c>
      <c r="P579" s="110">
        <v>927.697</v>
      </c>
      <c r="Q579" s="110">
        <v>878.56799999999998</v>
      </c>
      <c r="R579" s="110">
        <v>832.80399999999997</v>
      </c>
      <c r="S579" s="110">
        <v>801.89400000000001</v>
      </c>
      <c r="T579" s="110">
        <v>759.96699999999998</v>
      </c>
      <c r="U579" s="110">
        <v>686.66899999999998</v>
      </c>
      <c r="V579" s="110">
        <v>554.85199999999998</v>
      </c>
      <c r="W579" s="110">
        <v>413.95100000000002</v>
      </c>
      <c r="X579" s="110">
        <v>271.72300000000001</v>
      </c>
      <c r="Y579" s="110">
        <v>178.494</v>
      </c>
      <c r="Z579" s="110">
        <v>85.132000000000005</v>
      </c>
      <c r="AA579" s="110">
        <v>20.196000000000002</v>
      </c>
      <c r="AB579" s="110">
        <v>2.5529999999999999</v>
      </c>
      <c r="AC579" s="115">
        <f t="shared" si="24"/>
        <v>6497.4320000000007</v>
      </c>
      <c r="AD579">
        <f t="shared" si="25"/>
        <v>1.0006275644477889</v>
      </c>
    </row>
    <row r="580" spans="1:30" x14ac:dyDescent="0.25">
      <c r="A580" s="104" t="str">
        <f t="shared" si="23"/>
        <v>Rwanda2077</v>
      </c>
      <c r="C580" s="107" t="s">
        <v>257</v>
      </c>
      <c r="D580" s="108" t="s">
        <v>214</v>
      </c>
      <c r="E580" s="109"/>
      <c r="F580" s="109">
        <v>646</v>
      </c>
      <c r="G580" s="109">
        <v>2077</v>
      </c>
      <c r="H580" s="110">
        <v>842.10199999999998</v>
      </c>
      <c r="I580" s="110">
        <v>870.38900000000001</v>
      </c>
      <c r="J580" s="110">
        <v>891.32100000000003</v>
      </c>
      <c r="K580" s="110">
        <v>906.48699999999997</v>
      </c>
      <c r="L580" s="110">
        <v>919.654</v>
      </c>
      <c r="M580" s="110">
        <v>936.68399999999997</v>
      </c>
      <c r="N580" s="110">
        <v>955.09900000000005</v>
      </c>
      <c r="O580" s="110">
        <v>959.10699999999997</v>
      </c>
      <c r="P580" s="110">
        <v>934.61300000000006</v>
      </c>
      <c r="Q580" s="110">
        <v>887.22799999999995</v>
      </c>
      <c r="R580" s="110">
        <v>838.62800000000004</v>
      </c>
      <c r="S580" s="110">
        <v>804.57600000000002</v>
      </c>
      <c r="T580" s="110">
        <v>765.62</v>
      </c>
      <c r="U580" s="110">
        <v>697.40899999999999</v>
      </c>
      <c r="V580" s="110">
        <v>573.37800000000004</v>
      </c>
      <c r="W580" s="110">
        <v>426.95299999999997</v>
      </c>
      <c r="X580" s="110">
        <v>281.82100000000003</v>
      </c>
      <c r="Y580" s="110">
        <v>176.94800000000001</v>
      </c>
      <c r="Z580" s="110">
        <v>89.617999999999995</v>
      </c>
      <c r="AA580" s="110">
        <v>24.384</v>
      </c>
      <c r="AB580" s="110">
        <v>2.7949999999999999</v>
      </c>
      <c r="AC580" s="115">
        <f t="shared" si="24"/>
        <v>6498.8720000000003</v>
      </c>
      <c r="AD580">
        <f t="shared" si="25"/>
        <v>1.0002216260208647</v>
      </c>
    </row>
    <row r="581" spans="1:30" x14ac:dyDescent="0.25">
      <c r="A581" s="104" t="str">
        <f t="shared" si="23"/>
        <v>Rwanda2078</v>
      </c>
      <c r="C581" s="107" t="s">
        <v>257</v>
      </c>
      <c r="D581" s="108" t="s">
        <v>214</v>
      </c>
      <c r="E581" s="109"/>
      <c r="F581" s="109">
        <v>646</v>
      </c>
      <c r="G581" s="109">
        <v>2078</v>
      </c>
      <c r="H581" s="110">
        <v>835.83799999999997</v>
      </c>
      <c r="I581" s="110">
        <v>864.65499999999997</v>
      </c>
      <c r="J581" s="110">
        <v>887.46900000000005</v>
      </c>
      <c r="K581" s="110">
        <v>902.99400000000003</v>
      </c>
      <c r="L581" s="110">
        <v>916.05600000000004</v>
      </c>
      <c r="M581" s="110">
        <v>931.798</v>
      </c>
      <c r="N581" s="110">
        <v>950.84900000000005</v>
      </c>
      <c r="O581" s="110">
        <v>959.14</v>
      </c>
      <c r="P581" s="110">
        <v>940.62099999999998</v>
      </c>
      <c r="Q581" s="110">
        <v>896.02499999999998</v>
      </c>
      <c r="R581" s="110">
        <v>845.31200000000001</v>
      </c>
      <c r="S581" s="110">
        <v>807.26700000000005</v>
      </c>
      <c r="T581" s="110">
        <v>770.92700000000002</v>
      </c>
      <c r="U581" s="110">
        <v>706.85</v>
      </c>
      <c r="V581" s="110">
        <v>592.66200000000003</v>
      </c>
      <c r="W581" s="110">
        <v>441.01400000000001</v>
      </c>
      <c r="X581" s="110">
        <v>294.255</v>
      </c>
      <c r="Y581" s="110">
        <v>175.08600000000001</v>
      </c>
      <c r="Z581" s="110">
        <v>92.343999999999994</v>
      </c>
      <c r="AA581" s="110">
        <v>27.771000000000001</v>
      </c>
      <c r="AB581" s="110">
        <v>3.0670000000000002</v>
      </c>
      <c r="AC581" s="115">
        <f t="shared" si="24"/>
        <v>6497.4830000000002</v>
      </c>
      <c r="AD581">
        <f t="shared" si="25"/>
        <v>0.99978627060203673</v>
      </c>
    </row>
    <row r="582" spans="1:30" x14ac:dyDescent="0.25">
      <c r="A582" s="104" t="str">
        <f t="shared" si="23"/>
        <v>Rwanda2079</v>
      </c>
      <c r="C582" s="107" t="s">
        <v>257</v>
      </c>
      <c r="D582" s="108" t="s">
        <v>214</v>
      </c>
      <c r="E582" s="109"/>
      <c r="F582" s="109">
        <v>646</v>
      </c>
      <c r="G582" s="109">
        <v>2079</v>
      </c>
      <c r="H582" s="110">
        <v>829.46799999999996</v>
      </c>
      <c r="I582" s="110">
        <v>858.375</v>
      </c>
      <c r="J582" s="110">
        <v>883.25400000000002</v>
      </c>
      <c r="K582" s="110">
        <v>899.41800000000001</v>
      </c>
      <c r="L582" s="110">
        <v>912.44</v>
      </c>
      <c r="M582" s="110">
        <v>926.93499999999995</v>
      </c>
      <c r="N582" s="110">
        <v>946.077</v>
      </c>
      <c r="O582" s="110">
        <v>958.04100000000005</v>
      </c>
      <c r="P582" s="110">
        <v>945.45699999999999</v>
      </c>
      <c r="Q582" s="110">
        <v>904.548</v>
      </c>
      <c r="R582" s="110">
        <v>852.60500000000002</v>
      </c>
      <c r="S582" s="110">
        <v>810.49099999999999</v>
      </c>
      <c r="T582" s="110">
        <v>775.77800000000002</v>
      </c>
      <c r="U582" s="110">
        <v>715.65800000000002</v>
      </c>
      <c r="V582" s="110">
        <v>611.21299999999997</v>
      </c>
      <c r="W582" s="110">
        <v>456.95</v>
      </c>
      <c r="X582" s="110">
        <v>307.73</v>
      </c>
      <c r="Y582" s="110">
        <v>175.51300000000001</v>
      </c>
      <c r="Z582" s="110">
        <v>93.587000000000003</v>
      </c>
      <c r="AA582" s="110">
        <v>29.187000000000001</v>
      </c>
      <c r="AB582" s="110">
        <v>3.39</v>
      </c>
      <c r="AC582" s="115">
        <f t="shared" si="24"/>
        <v>6492.9160000000002</v>
      </c>
      <c r="AD582">
        <f t="shared" si="25"/>
        <v>0.99929711243569241</v>
      </c>
    </row>
    <row r="583" spans="1:30" x14ac:dyDescent="0.25">
      <c r="A583" s="104" t="str">
        <f t="shared" si="23"/>
        <v>Rwanda2080</v>
      </c>
      <c r="C583" s="107" t="s">
        <v>257</v>
      </c>
      <c r="D583" s="108" t="s">
        <v>214</v>
      </c>
      <c r="E583" s="109"/>
      <c r="F583" s="109">
        <v>646</v>
      </c>
      <c r="G583" s="109">
        <v>2080</v>
      </c>
      <c r="H583" s="110">
        <v>822.91899999999998</v>
      </c>
      <c r="I583" s="110">
        <v>851.73</v>
      </c>
      <c r="J583" s="110">
        <v>878.45299999999997</v>
      </c>
      <c r="K583" s="110">
        <v>895.69299999999998</v>
      </c>
      <c r="L583" s="110">
        <v>908.69100000000003</v>
      </c>
      <c r="M583" s="110">
        <v>922.14599999999996</v>
      </c>
      <c r="N583" s="110">
        <v>940.95500000000004</v>
      </c>
      <c r="O583" s="110">
        <v>955.87699999999995</v>
      </c>
      <c r="P583" s="110">
        <v>948.928</v>
      </c>
      <c r="Q583" s="110">
        <v>912.43700000000001</v>
      </c>
      <c r="R583" s="110">
        <v>860.28200000000004</v>
      </c>
      <c r="S583" s="110">
        <v>814.58</v>
      </c>
      <c r="T583" s="110">
        <v>780.09699999999998</v>
      </c>
      <c r="U583" s="110">
        <v>724.18200000000002</v>
      </c>
      <c r="V583" s="110">
        <v>628.1</v>
      </c>
      <c r="W583" s="110">
        <v>474.995</v>
      </c>
      <c r="X583" s="110">
        <v>321.69200000000001</v>
      </c>
      <c r="Y583" s="110">
        <v>179.94900000000001</v>
      </c>
      <c r="Z583" s="110">
        <v>93.524000000000001</v>
      </c>
      <c r="AA583" s="110">
        <v>28.195</v>
      </c>
      <c r="AB583" s="110">
        <v>3.778</v>
      </c>
      <c r="AC583" s="115">
        <f t="shared" si="24"/>
        <v>6484.726999999999</v>
      </c>
      <c r="AD583">
        <f t="shared" si="25"/>
        <v>0.99873877930963506</v>
      </c>
    </row>
    <row r="584" spans="1:30" x14ac:dyDescent="0.25">
      <c r="A584" s="104" t="str">
        <f t="shared" si="23"/>
        <v>Rwanda2081</v>
      </c>
      <c r="C584" s="107" t="s">
        <v>257</v>
      </c>
      <c r="D584" s="108" t="s">
        <v>214</v>
      </c>
      <c r="E584" s="109"/>
      <c r="F584" s="109">
        <v>646</v>
      </c>
      <c r="G584" s="109">
        <v>2081</v>
      </c>
      <c r="H584" s="110">
        <v>817.173</v>
      </c>
      <c r="I584" s="110">
        <v>845.88300000000004</v>
      </c>
      <c r="J584" s="110">
        <v>873.62699999999995</v>
      </c>
      <c r="K584" s="110">
        <v>892.26400000000001</v>
      </c>
      <c r="L584" s="110">
        <v>905.55399999999997</v>
      </c>
      <c r="M584" s="110">
        <v>918.35199999999998</v>
      </c>
      <c r="N584" s="110">
        <v>936.43700000000001</v>
      </c>
      <c r="O584" s="110">
        <v>953.37599999999998</v>
      </c>
      <c r="P584" s="110">
        <v>951.63300000000004</v>
      </c>
      <c r="Q584" s="110">
        <v>920.00199999999995</v>
      </c>
      <c r="R584" s="110">
        <v>868.50400000000002</v>
      </c>
      <c r="S584" s="110">
        <v>819.40200000000004</v>
      </c>
      <c r="T584" s="110">
        <v>782.75800000000004</v>
      </c>
      <c r="U584" s="110">
        <v>729.68100000000004</v>
      </c>
      <c r="V584" s="110">
        <v>639.36699999999996</v>
      </c>
      <c r="W584" s="110">
        <v>489.78699999999998</v>
      </c>
      <c r="X584" s="110">
        <v>332.34300000000002</v>
      </c>
      <c r="Y584" s="110">
        <v>187.09399999999999</v>
      </c>
      <c r="Z584" s="110">
        <v>96.754000000000005</v>
      </c>
      <c r="AA584" s="110">
        <v>31.071999999999999</v>
      </c>
      <c r="AB584" s="110">
        <v>4.24</v>
      </c>
      <c r="AC584" s="115">
        <f t="shared" si="24"/>
        <v>6477.6180000000004</v>
      </c>
      <c r="AD584">
        <f t="shared" si="25"/>
        <v>0.99890373179934966</v>
      </c>
    </row>
    <row r="585" spans="1:30" x14ac:dyDescent="0.25">
      <c r="A585" s="104" t="str">
        <f t="shared" si="23"/>
        <v>Rwanda2082</v>
      </c>
      <c r="C585" s="107" t="s">
        <v>257</v>
      </c>
      <c r="D585" s="108" t="s">
        <v>214</v>
      </c>
      <c r="E585" s="109"/>
      <c r="F585" s="109">
        <v>646</v>
      </c>
      <c r="G585" s="109">
        <v>2082</v>
      </c>
      <c r="H585" s="110">
        <v>811.28200000000004</v>
      </c>
      <c r="I585" s="110">
        <v>839.84199999999998</v>
      </c>
      <c r="J585" s="110">
        <v>868.35299999999995</v>
      </c>
      <c r="K585" s="110">
        <v>888.70399999999995</v>
      </c>
      <c r="L585" s="110">
        <v>902.30399999999997</v>
      </c>
      <c r="M585" s="110">
        <v>914.76700000000005</v>
      </c>
      <c r="N585" s="110">
        <v>931.76499999999999</v>
      </c>
      <c r="O585" s="110">
        <v>949.96900000000005</v>
      </c>
      <c r="P585" s="110">
        <v>953.03899999999999</v>
      </c>
      <c r="Q585" s="110">
        <v>926.94200000000001</v>
      </c>
      <c r="R585" s="110">
        <v>877.20600000000002</v>
      </c>
      <c r="S585" s="110">
        <v>825.322</v>
      </c>
      <c r="T585" s="110">
        <v>785.39599999999996</v>
      </c>
      <c r="U585" s="110">
        <v>735.22299999999996</v>
      </c>
      <c r="V585" s="110">
        <v>649.50800000000004</v>
      </c>
      <c r="W585" s="110">
        <v>506.42399999999998</v>
      </c>
      <c r="X585" s="110">
        <v>343.20800000000003</v>
      </c>
      <c r="Y585" s="110">
        <v>195.173</v>
      </c>
      <c r="Z585" s="110">
        <v>96.733000000000004</v>
      </c>
      <c r="AA585" s="110">
        <v>34.491999999999997</v>
      </c>
      <c r="AB585" s="110">
        <v>4.76</v>
      </c>
      <c r="AC585" s="115">
        <f t="shared" si="24"/>
        <v>6467.49</v>
      </c>
      <c r="AD585">
        <f t="shared" si="25"/>
        <v>0.99843646229215732</v>
      </c>
    </row>
    <row r="586" spans="1:30" x14ac:dyDescent="0.25">
      <c r="A586" s="104" t="str">
        <f t="shared" si="23"/>
        <v>Rwanda2083</v>
      </c>
      <c r="C586" s="107" t="s">
        <v>257</v>
      </c>
      <c r="D586" s="108" t="s">
        <v>214</v>
      </c>
      <c r="E586" s="109"/>
      <c r="F586" s="109">
        <v>646</v>
      </c>
      <c r="G586" s="109">
        <v>2083</v>
      </c>
      <c r="H586" s="110">
        <v>805.28</v>
      </c>
      <c r="I586" s="110">
        <v>833.57399999999996</v>
      </c>
      <c r="J586" s="110">
        <v>862.67200000000003</v>
      </c>
      <c r="K586" s="110">
        <v>884.899</v>
      </c>
      <c r="L586" s="110">
        <v>898.89200000000005</v>
      </c>
      <c r="M586" s="110">
        <v>911.27700000000004</v>
      </c>
      <c r="N586" s="110">
        <v>926.99199999999996</v>
      </c>
      <c r="O586" s="110">
        <v>945.827</v>
      </c>
      <c r="P586" s="110">
        <v>953.17499999999995</v>
      </c>
      <c r="Q586" s="110">
        <v>933.02300000000002</v>
      </c>
      <c r="R586" s="110">
        <v>886.05899999999997</v>
      </c>
      <c r="S586" s="110">
        <v>832.11099999999999</v>
      </c>
      <c r="T586" s="110">
        <v>788.29499999999996</v>
      </c>
      <c r="U586" s="110">
        <v>740.69</v>
      </c>
      <c r="V586" s="110">
        <v>658.851</v>
      </c>
      <c r="W586" s="110">
        <v>524.08100000000002</v>
      </c>
      <c r="X586" s="110">
        <v>355.125</v>
      </c>
      <c r="Y586" s="110">
        <v>203.56</v>
      </c>
      <c r="Z586" s="110">
        <v>95.944999999999993</v>
      </c>
      <c r="AA586" s="110">
        <v>36.909999999999997</v>
      </c>
      <c r="AB586" s="110">
        <v>5.3170000000000002</v>
      </c>
      <c r="AC586" s="115">
        <f t="shared" si="24"/>
        <v>6454.0850000000009</v>
      </c>
      <c r="AD586">
        <f t="shared" si="25"/>
        <v>0.99792732574770138</v>
      </c>
    </row>
    <row r="587" spans="1:30" x14ac:dyDescent="0.25">
      <c r="A587" s="104" t="str">
        <f t="shared" si="23"/>
        <v>Rwanda2084</v>
      </c>
      <c r="C587" s="107" t="s">
        <v>257</v>
      </c>
      <c r="D587" s="108" t="s">
        <v>214</v>
      </c>
      <c r="E587" s="109"/>
      <c r="F587" s="109">
        <v>646</v>
      </c>
      <c r="G587" s="109">
        <v>2084</v>
      </c>
      <c r="H587" s="110">
        <v>799.27499999999998</v>
      </c>
      <c r="I587" s="110">
        <v>827.05</v>
      </c>
      <c r="J587" s="110">
        <v>856.65099999999995</v>
      </c>
      <c r="K587" s="110">
        <v>880.66600000000005</v>
      </c>
      <c r="L587" s="110">
        <v>895.28399999999999</v>
      </c>
      <c r="M587" s="110">
        <v>907.69899999999996</v>
      </c>
      <c r="N587" s="110">
        <v>922.19299999999998</v>
      </c>
      <c r="O587" s="110">
        <v>941.173</v>
      </c>
      <c r="P587" s="110">
        <v>952.13300000000004</v>
      </c>
      <c r="Q587" s="110">
        <v>937.952</v>
      </c>
      <c r="R587" s="110">
        <v>894.61699999999996</v>
      </c>
      <c r="S587" s="110">
        <v>839.47299999999996</v>
      </c>
      <c r="T587" s="110">
        <v>791.92</v>
      </c>
      <c r="U587" s="110">
        <v>745.94399999999996</v>
      </c>
      <c r="V587" s="110">
        <v>667.96600000000001</v>
      </c>
      <c r="W587" s="110">
        <v>541.47699999999998</v>
      </c>
      <c r="X587" s="110">
        <v>368.87599999999998</v>
      </c>
      <c r="Y587" s="110">
        <v>212.65700000000001</v>
      </c>
      <c r="Z587" s="110">
        <v>95.555999999999997</v>
      </c>
      <c r="AA587" s="110">
        <v>37.328000000000003</v>
      </c>
      <c r="AB587" s="110">
        <v>5.8769999999999998</v>
      </c>
      <c r="AC587" s="115">
        <f t="shared" si="24"/>
        <v>6437.0999999999995</v>
      </c>
      <c r="AD587">
        <f t="shared" si="25"/>
        <v>0.99736833338885345</v>
      </c>
    </row>
    <row r="588" spans="1:30" x14ac:dyDescent="0.25">
      <c r="A588" s="104" t="str">
        <f t="shared" si="23"/>
        <v>Rwanda2085</v>
      </c>
      <c r="C588" s="107" t="s">
        <v>257</v>
      </c>
      <c r="D588" s="108" t="s">
        <v>214</v>
      </c>
      <c r="E588" s="109"/>
      <c r="F588" s="109">
        <v>646</v>
      </c>
      <c r="G588" s="109">
        <v>2085</v>
      </c>
      <c r="H588" s="110">
        <v>793.36199999999997</v>
      </c>
      <c r="I588" s="110">
        <v>820.25599999999997</v>
      </c>
      <c r="J588" s="110">
        <v>850.3</v>
      </c>
      <c r="K588" s="110">
        <v>875.86099999999999</v>
      </c>
      <c r="L588" s="110">
        <v>891.45100000000002</v>
      </c>
      <c r="M588" s="110">
        <v>903.90200000000004</v>
      </c>
      <c r="N588" s="110">
        <v>917.40899999999999</v>
      </c>
      <c r="O588" s="110">
        <v>936.15300000000002</v>
      </c>
      <c r="P588" s="110">
        <v>950.00800000000004</v>
      </c>
      <c r="Q588" s="110">
        <v>941.50800000000004</v>
      </c>
      <c r="R588" s="110">
        <v>902.524</v>
      </c>
      <c r="S588" s="110">
        <v>847.19899999999996</v>
      </c>
      <c r="T588" s="110">
        <v>796.51300000000003</v>
      </c>
      <c r="U588" s="110">
        <v>750.92100000000005</v>
      </c>
      <c r="V588" s="110">
        <v>677.12099999999998</v>
      </c>
      <c r="W588" s="110">
        <v>557.80200000000002</v>
      </c>
      <c r="X588" s="110">
        <v>384.71199999999999</v>
      </c>
      <c r="Y588" s="110">
        <v>222.31200000000001</v>
      </c>
      <c r="Z588" s="110">
        <v>97.117000000000004</v>
      </c>
      <c r="AA588" s="110">
        <v>35.231999999999999</v>
      </c>
      <c r="AB588" s="110">
        <v>6.4139999999999997</v>
      </c>
      <c r="AC588" s="115">
        <f t="shared" si="24"/>
        <v>6416.2919999999995</v>
      </c>
      <c r="AD588">
        <f t="shared" si="25"/>
        <v>0.99676748846530272</v>
      </c>
    </row>
    <row r="589" spans="1:30" x14ac:dyDescent="0.25">
      <c r="A589" s="104" t="str">
        <f t="shared" si="23"/>
        <v>Rwanda2086</v>
      </c>
      <c r="C589" s="107" t="s">
        <v>257</v>
      </c>
      <c r="D589" s="108" t="s">
        <v>214</v>
      </c>
      <c r="E589" s="109"/>
      <c r="F589" s="109">
        <v>646</v>
      </c>
      <c r="G589" s="109">
        <v>2086</v>
      </c>
      <c r="H589" s="110">
        <v>788.66200000000003</v>
      </c>
      <c r="I589" s="110">
        <v>814.46900000000005</v>
      </c>
      <c r="J589" s="110">
        <v>844.375</v>
      </c>
      <c r="K589" s="110">
        <v>871.17</v>
      </c>
      <c r="L589" s="110">
        <v>888.28800000000001</v>
      </c>
      <c r="M589" s="110">
        <v>900.95799999999997</v>
      </c>
      <c r="N589" s="110">
        <v>913.75800000000004</v>
      </c>
      <c r="O589" s="110">
        <v>931.71900000000005</v>
      </c>
      <c r="P589" s="110">
        <v>947.65800000000002</v>
      </c>
      <c r="Q589" s="110">
        <v>944.28</v>
      </c>
      <c r="R589" s="110">
        <v>910.14800000000002</v>
      </c>
      <c r="S589" s="110">
        <v>855.39599999999996</v>
      </c>
      <c r="T589" s="110">
        <v>801.04100000000005</v>
      </c>
      <c r="U589" s="110">
        <v>753.303</v>
      </c>
      <c r="V589" s="110">
        <v>682.1</v>
      </c>
      <c r="W589" s="110">
        <v>567.59100000000001</v>
      </c>
      <c r="X589" s="110">
        <v>397.524</v>
      </c>
      <c r="Y589" s="110">
        <v>231.97200000000001</v>
      </c>
      <c r="Z589" s="110">
        <v>104.004</v>
      </c>
      <c r="AA589" s="110">
        <v>36.170999999999999</v>
      </c>
      <c r="AB589" s="110">
        <v>6.9349999999999996</v>
      </c>
      <c r="AC589" s="115">
        <f t="shared" si="24"/>
        <v>6397.8310000000001</v>
      </c>
      <c r="AD589">
        <f t="shared" si="25"/>
        <v>0.99712279303996776</v>
      </c>
    </row>
    <row r="590" spans="1:30" x14ac:dyDescent="0.25">
      <c r="A590" s="104" t="str">
        <f t="shared" si="23"/>
        <v>Rwanda2087</v>
      </c>
      <c r="C590" s="107" t="s">
        <v>257</v>
      </c>
      <c r="D590" s="108" t="s">
        <v>214</v>
      </c>
      <c r="E590" s="109"/>
      <c r="F590" s="109">
        <v>646</v>
      </c>
      <c r="G590" s="109">
        <v>2087</v>
      </c>
      <c r="H590" s="110">
        <v>783.87900000000002</v>
      </c>
      <c r="I590" s="110">
        <v>808.69299999999998</v>
      </c>
      <c r="J590" s="110">
        <v>838.27</v>
      </c>
      <c r="K590" s="110">
        <v>865.95899999999995</v>
      </c>
      <c r="L590" s="110">
        <v>884.90200000000004</v>
      </c>
      <c r="M590" s="110">
        <v>897.84699999999998</v>
      </c>
      <c r="N590" s="110">
        <v>910.29399999999998</v>
      </c>
      <c r="O590" s="110">
        <v>927.11599999999999</v>
      </c>
      <c r="P590" s="110">
        <v>944.38599999999997</v>
      </c>
      <c r="Q590" s="110">
        <v>945.75699999999995</v>
      </c>
      <c r="R590" s="110">
        <v>917.15700000000004</v>
      </c>
      <c r="S590" s="110">
        <v>864.15700000000004</v>
      </c>
      <c r="T590" s="110">
        <v>806.86</v>
      </c>
      <c r="U590" s="110">
        <v>755.94</v>
      </c>
      <c r="V590" s="110">
        <v>687.45500000000004</v>
      </c>
      <c r="W590" s="110">
        <v>576.73699999999997</v>
      </c>
      <c r="X590" s="110">
        <v>411.637</v>
      </c>
      <c r="Y590" s="110">
        <v>240.72</v>
      </c>
      <c r="Z590" s="110">
        <v>109.328</v>
      </c>
      <c r="AA590" s="110">
        <v>37.573</v>
      </c>
      <c r="AB590" s="110">
        <v>7.4359999999999999</v>
      </c>
      <c r="AC590" s="115">
        <f t="shared" si="24"/>
        <v>6376.2609999999986</v>
      </c>
      <c r="AD590">
        <f t="shared" si="25"/>
        <v>0.99662854489279229</v>
      </c>
    </row>
    <row r="591" spans="1:30" x14ac:dyDescent="0.25">
      <c r="A591" s="104" t="str">
        <f t="shared" si="23"/>
        <v>Rwanda2088</v>
      </c>
      <c r="C591" s="107" t="s">
        <v>257</v>
      </c>
      <c r="D591" s="108" t="s">
        <v>214</v>
      </c>
      <c r="E591" s="109"/>
      <c r="F591" s="109">
        <v>646</v>
      </c>
      <c r="G591" s="109">
        <v>2088</v>
      </c>
      <c r="H591" s="110">
        <v>779.024</v>
      </c>
      <c r="I591" s="110">
        <v>802.875</v>
      </c>
      <c r="J591" s="110">
        <v>831.98</v>
      </c>
      <c r="K591" s="110">
        <v>860.28</v>
      </c>
      <c r="L591" s="110">
        <v>881.14099999999996</v>
      </c>
      <c r="M591" s="110">
        <v>894.50199999999995</v>
      </c>
      <c r="N591" s="110">
        <v>906.87099999999998</v>
      </c>
      <c r="O591" s="110">
        <v>922.40800000000002</v>
      </c>
      <c r="P591" s="110">
        <v>940.32399999999996</v>
      </c>
      <c r="Q591" s="110">
        <v>945.96400000000006</v>
      </c>
      <c r="R591" s="110">
        <v>923.29200000000003</v>
      </c>
      <c r="S591" s="110">
        <v>873.05799999999999</v>
      </c>
      <c r="T591" s="110">
        <v>813.73400000000004</v>
      </c>
      <c r="U591" s="110">
        <v>759.06600000000003</v>
      </c>
      <c r="V591" s="110">
        <v>693.04300000000001</v>
      </c>
      <c r="W591" s="110">
        <v>585.70000000000005</v>
      </c>
      <c r="X591" s="110">
        <v>426.66500000000002</v>
      </c>
      <c r="Y591" s="110">
        <v>248.99100000000001</v>
      </c>
      <c r="Z591" s="110">
        <v>114.14</v>
      </c>
      <c r="AA591" s="110">
        <v>38.874000000000002</v>
      </c>
      <c r="AB591" s="110">
        <v>7.9009999999999998</v>
      </c>
      <c r="AC591" s="115">
        <f t="shared" si="24"/>
        <v>6351.49</v>
      </c>
      <c r="AD591">
        <f t="shared" si="25"/>
        <v>0.99611512138540148</v>
      </c>
    </row>
    <row r="592" spans="1:30" x14ac:dyDescent="0.25">
      <c r="A592" s="104" t="str">
        <f t="shared" si="23"/>
        <v>Rwanda2089</v>
      </c>
      <c r="C592" s="107" t="s">
        <v>257</v>
      </c>
      <c r="D592" s="108" t="s">
        <v>214</v>
      </c>
      <c r="E592" s="109"/>
      <c r="F592" s="109">
        <v>646</v>
      </c>
      <c r="G592" s="109">
        <v>2089</v>
      </c>
      <c r="H592" s="110">
        <v>774.10400000000004</v>
      </c>
      <c r="I592" s="110">
        <v>796.97</v>
      </c>
      <c r="J592" s="110">
        <v>825.53200000000004</v>
      </c>
      <c r="K592" s="110">
        <v>854.24099999999999</v>
      </c>
      <c r="L592" s="110">
        <v>876.84500000000003</v>
      </c>
      <c r="M592" s="110">
        <v>890.9</v>
      </c>
      <c r="N592" s="110">
        <v>903.31399999999996</v>
      </c>
      <c r="O592" s="110">
        <v>917.68200000000002</v>
      </c>
      <c r="P592" s="110">
        <v>935.70899999999995</v>
      </c>
      <c r="Q592" s="110">
        <v>945.01700000000005</v>
      </c>
      <c r="R592" s="110">
        <v>928.26400000000001</v>
      </c>
      <c r="S592" s="110">
        <v>881.64200000000005</v>
      </c>
      <c r="T592" s="110">
        <v>821.36900000000003</v>
      </c>
      <c r="U592" s="110">
        <v>763.12599999999998</v>
      </c>
      <c r="V592" s="110">
        <v>698.76700000000005</v>
      </c>
      <c r="W592" s="110">
        <v>595.00199999999995</v>
      </c>
      <c r="X592" s="110">
        <v>441.702</v>
      </c>
      <c r="Y592" s="110">
        <v>258.58300000000003</v>
      </c>
      <c r="Z592" s="110">
        <v>118.354</v>
      </c>
      <c r="AA592" s="110">
        <v>39.256</v>
      </c>
      <c r="AB592" s="110">
        <v>8.31</v>
      </c>
      <c r="AC592" s="115">
        <f t="shared" si="24"/>
        <v>6323.7079999999996</v>
      </c>
      <c r="AD592">
        <f t="shared" si="25"/>
        <v>0.99562590825144959</v>
      </c>
    </row>
    <row r="593" spans="1:30" x14ac:dyDescent="0.25">
      <c r="A593" s="104" t="str">
        <f t="shared" si="23"/>
        <v>Rwanda2090</v>
      </c>
      <c r="C593" s="107" t="s">
        <v>257</v>
      </c>
      <c r="D593" s="108" t="s">
        <v>214</v>
      </c>
      <c r="E593" s="109"/>
      <c r="F593" s="109">
        <v>646</v>
      </c>
      <c r="G593" s="109">
        <v>2090</v>
      </c>
      <c r="H593" s="110">
        <v>769.18399999999997</v>
      </c>
      <c r="I593" s="110">
        <v>790.93100000000004</v>
      </c>
      <c r="J593" s="110">
        <v>818.95299999999997</v>
      </c>
      <c r="K593" s="110">
        <v>847.92100000000005</v>
      </c>
      <c r="L593" s="110">
        <v>871.94500000000005</v>
      </c>
      <c r="M593" s="110">
        <v>887.03099999999995</v>
      </c>
      <c r="N593" s="110">
        <v>899.52499999999998</v>
      </c>
      <c r="O593" s="110">
        <v>912.995</v>
      </c>
      <c r="P593" s="110">
        <v>930.74800000000005</v>
      </c>
      <c r="Q593" s="110">
        <v>943.01800000000003</v>
      </c>
      <c r="R593" s="110">
        <v>931.89</v>
      </c>
      <c r="S593" s="110">
        <v>889.60199999999998</v>
      </c>
      <c r="T593" s="110">
        <v>829.505</v>
      </c>
      <c r="U593" s="110">
        <v>768.38800000000003</v>
      </c>
      <c r="V593" s="110">
        <v>704.60799999999995</v>
      </c>
      <c r="W593" s="110">
        <v>604.81500000000005</v>
      </c>
      <c r="X593" s="110">
        <v>456.20100000000002</v>
      </c>
      <c r="Y593" s="110">
        <v>270.13499999999999</v>
      </c>
      <c r="Z593" s="110">
        <v>122.9</v>
      </c>
      <c r="AA593" s="110">
        <v>37.723999999999997</v>
      </c>
      <c r="AB593" s="110">
        <v>8.6549999999999994</v>
      </c>
      <c r="AC593" s="115">
        <f t="shared" si="24"/>
        <v>6293.1830000000009</v>
      </c>
      <c r="AD593">
        <f t="shared" si="25"/>
        <v>0.99517292702319604</v>
      </c>
    </row>
    <row r="594" spans="1:30" x14ac:dyDescent="0.25">
      <c r="A594" s="104" t="str">
        <f t="shared" si="23"/>
        <v>Rwanda2091</v>
      </c>
      <c r="C594" s="107" t="s">
        <v>257</v>
      </c>
      <c r="D594" s="108" t="s">
        <v>214</v>
      </c>
      <c r="E594" s="109"/>
      <c r="F594" s="109">
        <v>646</v>
      </c>
      <c r="G594" s="109">
        <v>2091</v>
      </c>
      <c r="H594" s="110">
        <v>765.54100000000005</v>
      </c>
      <c r="I594" s="110">
        <v>786</v>
      </c>
      <c r="J594" s="110">
        <v>813.03899999999999</v>
      </c>
      <c r="K594" s="110">
        <v>842.02200000000005</v>
      </c>
      <c r="L594" s="110">
        <v>867.40200000000004</v>
      </c>
      <c r="M594" s="110">
        <v>883.94500000000005</v>
      </c>
      <c r="N594" s="110">
        <v>896.61</v>
      </c>
      <c r="O594" s="110">
        <v>909.31</v>
      </c>
      <c r="P594" s="110">
        <v>926.35599999999999</v>
      </c>
      <c r="Q594" s="110">
        <v>940.66200000000003</v>
      </c>
      <c r="R594" s="110">
        <v>934.66</v>
      </c>
      <c r="S594" s="110">
        <v>897.11199999999997</v>
      </c>
      <c r="T594" s="110">
        <v>837.22299999999996</v>
      </c>
      <c r="U594" s="110">
        <v>772.49599999999998</v>
      </c>
      <c r="V594" s="110">
        <v>706.55700000000002</v>
      </c>
      <c r="W594" s="110">
        <v>609.09100000000001</v>
      </c>
      <c r="X594" s="110">
        <v>464.60500000000002</v>
      </c>
      <c r="Y594" s="110">
        <v>281.90899999999999</v>
      </c>
      <c r="Z594" s="110">
        <v>131.762</v>
      </c>
      <c r="AA594" s="110">
        <v>40.542000000000002</v>
      </c>
      <c r="AB594" s="110">
        <v>8.9499999999999993</v>
      </c>
      <c r="AC594" s="115">
        <f t="shared" si="24"/>
        <v>6266.3070000000007</v>
      </c>
      <c r="AD594">
        <f t="shared" si="25"/>
        <v>0.99572934713641725</v>
      </c>
    </row>
    <row r="595" spans="1:30" x14ac:dyDescent="0.25">
      <c r="A595" s="104" t="str">
        <f t="shared" si="23"/>
        <v>Rwanda2092</v>
      </c>
      <c r="C595" s="107" t="s">
        <v>257</v>
      </c>
      <c r="D595" s="108" t="s">
        <v>214</v>
      </c>
      <c r="E595" s="109"/>
      <c r="F595" s="109">
        <v>646</v>
      </c>
      <c r="G595" s="109">
        <v>2092</v>
      </c>
      <c r="H595" s="110">
        <v>761.53399999999999</v>
      </c>
      <c r="I595" s="110">
        <v>781.21299999999997</v>
      </c>
      <c r="J595" s="110">
        <v>807.15099999999995</v>
      </c>
      <c r="K595" s="110">
        <v>835.90099999999995</v>
      </c>
      <c r="L595" s="110">
        <v>862.28899999999999</v>
      </c>
      <c r="M595" s="110">
        <v>880.61599999999999</v>
      </c>
      <c r="N595" s="110">
        <v>893.54100000000005</v>
      </c>
      <c r="O595" s="110">
        <v>905.83799999999997</v>
      </c>
      <c r="P595" s="110">
        <v>921.81</v>
      </c>
      <c r="Q595" s="110">
        <v>937.41499999999996</v>
      </c>
      <c r="R595" s="110">
        <v>936.18100000000004</v>
      </c>
      <c r="S595" s="110">
        <v>904.14099999999996</v>
      </c>
      <c r="T595" s="110">
        <v>845.75800000000004</v>
      </c>
      <c r="U595" s="110">
        <v>778.15700000000004</v>
      </c>
      <c r="V595" s="110">
        <v>709.12900000000002</v>
      </c>
      <c r="W595" s="110">
        <v>614.005</v>
      </c>
      <c r="X595" s="110">
        <v>472.45100000000002</v>
      </c>
      <c r="Y595" s="110">
        <v>293.33100000000002</v>
      </c>
      <c r="Z595" s="110">
        <v>137.42699999999999</v>
      </c>
      <c r="AA595" s="110">
        <v>45.011000000000003</v>
      </c>
      <c r="AB595" s="110">
        <v>9.202</v>
      </c>
      <c r="AC595" s="115">
        <f t="shared" si="24"/>
        <v>6237.4100000000008</v>
      </c>
      <c r="AD595">
        <f t="shared" si="25"/>
        <v>0.99538851192576427</v>
      </c>
    </row>
    <row r="596" spans="1:30" x14ac:dyDescent="0.25">
      <c r="A596" s="104" t="str">
        <f t="shared" si="23"/>
        <v>Rwanda2093</v>
      </c>
      <c r="C596" s="107" t="s">
        <v>257</v>
      </c>
      <c r="D596" s="108" t="s">
        <v>214</v>
      </c>
      <c r="E596" s="109"/>
      <c r="F596" s="109">
        <v>646</v>
      </c>
      <c r="G596" s="109">
        <v>2093</v>
      </c>
      <c r="H596" s="110">
        <v>757.27800000000002</v>
      </c>
      <c r="I596" s="110">
        <v>776.529</v>
      </c>
      <c r="J596" s="110">
        <v>801.30700000000002</v>
      </c>
      <c r="K596" s="110">
        <v>829.63</v>
      </c>
      <c r="L596" s="110">
        <v>856.67499999999995</v>
      </c>
      <c r="M596" s="110">
        <v>876.93700000000001</v>
      </c>
      <c r="N596" s="110">
        <v>890.279</v>
      </c>
      <c r="O596" s="110">
        <v>902.49</v>
      </c>
      <c r="P596" s="110">
        <v>917.197</v>
      </c>
      <c r="Q596" s="110">
        <v>933.471</v>
      </c>
      <c r="R596" s="110">
        <v>936.51499999999999</v>
      </c>
      <c r="S596" s="110">
        <v>910.38599999999997</v>
      </c>
      <c r="T596" s="110">
        <v>854.74</v>
      </c>
      <c r="U596" s="110">
        <v>785.13199999999995</v>
      </c>
      <c r="V596" s="110">
        <v>712.54200000000003</v>
      </c>
      <c r="W596" s="110">
        <v>619.61500000000001</v>
      </c>
      <c r="X596" s="110">
        <v>480.57</v>
      </c>
      <c r="Y596" s="110">
        <v>303.85700000000003</v>
      </c>
      <c r="Z596" s="110">
        <v>142.244</v>
      </c>
      <c r="AA596" s="110">
        <v>48.817999999999998</v>
      </c>
      <c r="AB596" s="110">
        <v>9.4350000000000005</v>
      </c>
      <c r="AC596" s="115">
        <f t="shared" si="24"/>
        <v>6206.6790000000001</v>
      </c>
      <c r="AD596">
        <f t="shared" si="25"/>
        <v>0.99507311528342679</v>
      </c>
    </row>
    <row r="597" spans="1:30" x14ac:dyDescent="0.25">
      <c r="A597" s="104" t="str">
        <f t="shared" si="23"/>
        <v>Rwanda2094</v>
      </c>
      <c r="C597" s="107" t="s">
        <v>257</v>
      </c>
      <c r="D597" s="108" t="s">
        <v>214</v>
      </c>
      <c r="E597" s="109"/>
      <c r="F597" s="109">
        <v>646</v>
      </c>
      <c r="G597" s="109">
        <v>2094</v>
      </c>
      <c r="H597" s="110">
        <v>752.91399999999999</v>
      </c>
      <c r="I597" s="110">
        <v>771.83699999999999</v>
      </c>
      <c r="J597" s="110">
        <v>795.51099999999997</v>
      </c>
      <c r="K597" s="110">
        <v>823.25599999999997</v>
      </c>
      <c r="L597" s="110">
        <v>850.66899999999998</v>
      </c>
      <c r="M597" s="110">
        <v>872.73500000000001</v>
      </c>
      <c r="N597" s="110">
        <v>886.78499999999997</v>
      </c>
      <c r="O597" s="110">
        <v>899.08600000000001</v>
      </c>
      <c r="P597" s="110">
        <v>912.59799999999996</v>
      </c>
      <c r="Q597" s="110">
        <v>929.05799999999999</v>
      </c>
      <c r="R597" s="110">
        <v>935.75900000000001</v>
      </c>
      <c r="S597" s="110">
        <v>915.52300000000002</v>
      </c>
      <c r="T597" s="110">
        <v>863.67200000000003</v>
      </c>
      <c r="U597" s="110">
        <v>793.12400000000002</v>
      </c>
      <c r="V597" s="110">
        <v>717.24199999999996</v>
      </c>
      <c r="W597" s="110">
        <v>625.92100000000005</v>
      </c>
      <c r="X597" s="110">
        <v>489.46300000000002</v>
      </c>
      <c r="Y597" s="110">
        <v>314.44299999999998</v>
      </c>
      <c r="Z597" s="110">
        <v>146.792</v>
      </c>
      <c r="AA597" s="110">
        <v>50.424999999999997</v>
      </c>
      <c r="AB597" s="110">
        <v>9.6780000000000008</v>
      </c>
      <c r="AC597" s="115">
        <f t="shared" si="24"/>
        <v>6174.1869999999999</v>
      </c>
      <c r="AD597">
        <f t="shared" si="25"/>
        <v>0.99476499429082765</v>
      </c>
    </row>
    <row r="598" spans="1:30" x14ac:dyDescent="0.25">
      <c r="A598" s="104" t="str">
        <f t="shared" si="23"/>
        <v>Rwanda2095</v>
      </c>
      <c r="C598" s="107" t="s">
        <v>257</v>
      </c>
      <c r="D598" s="108" t="s">
        <v>214</v>
      </c>
      <c r="E598" s="109"/>
      <c r="F598" s="109">
        <v>646</v>
      </c>
      <c r="G598" s="109">
        <v>2095</v>
      </c>
      <c r="H598" s="110">
        <v>748.57</v>
      </c>
      <c r="I598" s="110">
        <v>766.95500000000004</v>
      </c>
      <c r="J598" s="110">
        <v>789.74099999999999</v>
      </c>
      <c r="K598" s="110">
        <v>816.77700000000004</v>
      </c>
      <c r="L598" s="110">
        <v>844.33699999999999</v>
      </c>
      <c r="M598" s="110">
        <v>867.87800000000004</v>
      </c>
      <c r="N598" s="110">
        <v>882.995</v>
      </c>
      <c r="O598" s="110">
        <v>895.45899999999995</v>
      </c>
      <c r="P598" s="110">
        <v>908.03800000000001</v>
      </c>
      <c r="Q598" s="110">
        <v>924.31299999999999</v>
      </c>
      <c r="R598" s="110">
        <v>933.96</v>
      </c>
      <c r="S598" s="110">
        <v>919.33900000000006</v>
      </c>
      <c r="T598" s="110">
        <v>872.12099999999998</v>
      </c>
      <c r="U598" s="110">
        <v>801.85500000000002</v>
      </c>
      <c r="V598" s="110">
        <v>723.44899999999996</v>
      </c>
      <c r="W598" s="110">
        <v>632.86300000000006</v>
      </c>
      <c r="X598" s="110">
        <v>499.178</v>
      </c>
      <c r="Y598" s="110">
        <v>325.07</v>
      </c>
      <c r="Z598" s="110">
        <v>152.684</v>
      </c>
      <c r="AA598" s="110">
        <v>49.122</v>
      </c>
      <c r="AB598" s="110">
        <v>9.9610000000000003</v>
      </c>
      <c r="AC598" s="115">
        <f t="shared" si="24"/>
        <v>6139.7970000000005</v>
      </c>
      <c r="AD598">
        <f t="shared" si="25"/>
        <v>0.99443003588974554</v>
      </c>
    </row>
    <row r="599" spans="1:30" x14ac:dyDescent="0.25">
      <c r="A599" s="104" t="str">
        <f t="shared" si="23"/>
        <v>Rwanda2096</v>
      </c>
      <c r="C599" s="107" t="s">
        <v>257</v>
      </c>
      <c r="D599" s="108" t="s">
        <v>214</v>
      </c>
      <c r="E599" s="109"/>
      <c r="F599" s="109">
        <v>646</v>
      </c>
      <c r="G599" s="109">
        <v>2096</v>
      </c>
      <c r="H599" s="110">
        <v>745.17200000000003</v>
      </c>
      <c r="I599" s="110">
        <v>763.01199999999994</v>
      </c>
      <c r="J599" s="110">
        <v>784.77300000000002</v>
      </c>
      <c r="K599" s="110">
        <v>810.91700000000003</v>
      </c>
      <c r="L599" s="110">
        <v>838.61500000000001</v>
      </c>
      <c r="M599" s="110">
        <v>863.44500000000005</v>
      </c>
      <c r="N599" s="110">
        <v>879.97199999999998</v>
      </c>
      <c r="O599" s="110">
        <v>892.54600000000005</v>
      </c>
      <c r="P599" s="110">
        <v>904.42499999999995</v>
      </c>
      <c r="Q599" s="110">
        <v>919.96500000000003</v>
      </c>
      <c r="R599" s="110">
        <v>931.68700000000001</v>
      </c>
      <c r="S599" s="110">
        <v>922.10299999999995</v>
      </c>
      <c r="T599" s="110">
        <v>879.20299999999997</v>
      </c>
      <c r="U599" s="110">
        <v>809.053</v>
      </c>
      <c r="V599" s="110">
        <v>727.08500000000004</v>
      </c>
      <c r="W599" s="110">
        <v>634.39700000000005</v>
      </c>
      <c r="X599" s="110">
        <v>503.19099999999997</v>
      </c>
      <c r="Y599" s="110">
        <v>333.71100000000001</v>
      </c>
      <c r="Z599" s="110">
        <v>163.66200000000001</v>
      </c>
      <c r="AA599" s="110">
        <v>52.973999999999997</v>
      </c>
      <c r="AB599" s="110">
        <v>10.327</v>
      </c>
      <c r="AC599" s="115">
        <f t="shared" si="24"/>
        <v>6109.8850000000011</v>
      </c>
      <c r="AD599">
        <f t="shared" si="25"/>
        <v>0.9951281776905655</v>
      </c>
    </row>
    <row r="600" spans="1:30" x14ac:dyDescent="0.25">
      <c r="A600" s="104" t="str">
        <f t="shared" si="23"/>
        <v>Rwanda2097</v>
      </c>
      <c r="C600" s="107" t="s">
        <v>257</v>
      </c>
      <c r="D600" s="108" t="s">
        <v>214</v>
      </c>
      <c r="E600" s="109"/>
      <c r="F600" s="109">
        <v>646</v>
      </c>
      <c r="G600" s="109">
        <v>2097</v>
      </c>
      <c r="H600" s="110">
        <v>741.61199999999997</v>
      </c>
      <c r="I600" s="110">
        <v>759.08299999999997</v>
      </c>
      <c r="J600" s="110">
        <v>779.98900000000003</v>
      </c>
      <c r="K600" s="110">
        <v>805.07399999999996</v>
      </c>
      <c r="L600" s="110">
        <v>832.65099999999995</v>
      </c>
      <c r="M600" s="110">
        <v>858.46199999999999</v>
      </c>
      <c r="N600" s="110">
        <v>876.75300000000004</v>
      </c>
      <c r="O600" s="110">
        <v>889.53300000000002</v>
      </c>
      <c r="P600" s="110">
        <v>901.06799999999998</v>
      </c>
      <c r="Q600" s="110">
        <v>915.52200000000005</v>
      </c>
      <c r="R600" s="110">
        <v>928.59799999999996</v>
      </c>
      <c r="S600" s="110">
        <v>923.79100000000005</v>
      </c>
      <c r="T600" s="110">
        <v>886.11599999999999</v>
      </c>
      <c r="U600" s="110">
        <v>817.40800000000002</v>
      </c>
      <c r="V600" s="110">
        <v>732.58600000000001</v>
      </c>
      <c r="W600" s="110">
        <v>636.84699999999998</v>
      </c>
      <c r="X600" s="110">
        <v>507.61</v>
      </c>
      <c r="Y600" s="110">
        <v>340.82600000000002</v>
      </c>
      <c r="Z600" s="110">
        <v>170.98699999999999</v>
      </c>
      <c r="AA600" s="110">
        <v>57.927</v>
      </c>
      <c r="AB600" s="110">
        <v>10.795999999999999</v>
      </c>
      <c r="AC600" s="115">
        <f t="shared" si="24"/>
        <v>6079.0630000000001</v>
      </c>
      <c r="AD600">
        <f t="shared" si="25"/>
        <v>0.99495538786736559</v>
      </c>
    </row>
    <row r="601" spans="1:30" x14ac:dyDescent="0.25">
      <c r="A601" s="104" t="str">
        <f t="shared" ref="A601:A664" si="26">D601&amp;G601</f>
        <v>Rwanda2098</v>
      </c>
      <c r="C601" s="107" t="s">
        <v>257</v>
      </c>
      <c r="D601" s="108" t="s">
        <v>214</v>
      </c>
      <c r="E601" s="109"/>
      <c r="F601" s="109">
        <v>646</v>
      </c>
      <c r="G601" s="109">
        <v>2098</v>
      </c>
      <c r="H601" s="110">
        <v>737.91300000000001</v>
      </c>
      <c r="I601" s="110">
        <v>755.07799999999997</v>
      </c>
      <c r="J601" s="110">
        <v>775.31299999999999</v>
      </c>
      <c r="K601" s="110">
        <v>799.26400000000001</v>
      </c>
      <c r="L601" s="110">
        <v>826.46</v>
      </c>
      <c r="M601" s="110">
        <v>852.94799999999998</v>
      </c>
      <c r="N601" s="110">
        <v>873.17200000000003</v>
      </c>
      <c r="O601" s="110">
        <v>886.35799999999995</v>
      </c>
      <c r="P601" s="110">
        <v>897.822</v>
      </c>
      <c r="Q601" s="110">
        <v>911.03800000000001</v>
      </c>
      <c r="R601" s="110">
        <v>924.82799999999997</v>
      </c>
      <c r="S601" s="110">
        <v>924.32799999999997</v>
      </c>
      <c r="T601" s="110">
        <v>892.52200000000005</v>
      </c>
      <c r="U601" s="110">
        <v>826.476</v>
      </c>
      <c r="V601" s="110">
        <v>739.649</v>
      </c>
      <c r="W601" s="110">
        <v>640.53</v>
      </c>
      <c r="X601" s="110">
        <v>512.94100000000003</v>
      </c>
      <c r="Y601" s="110">
        <v>346.678</v>
      </c>
      <c r="Z601" s="110">
        <v>176.959</v>
      </c>
      <c r="AA601" s="110">
        <v>62.045000000000002</v>
      </c>
      <c r="AB601" s="110">
        <v>11.398</v>
      </c>
      <c r="AC601" s="115">
        <f t="shared" si="24"/>
        <v>6047.0619999999999</v>
      </c>
      <c r="AD601">
        <f t="shared" si="25"/>
        <v>0.99473586636624756</v>
      </c>
    </row>
    <row r="602" spans="1:30" x14ac:dyDescent="0.25">
      <c r="A602" s="104" t="str">
        <f t="shared" si="26"/>
        <v>Rwanda2099</v>
      </c>
      <c r="C602" s="107" t="s">
        <v>257</v>
      </c>
      <c r="D602" s="108" t="s">
        <v>214</v>
      </c>
      <c r="E602" s="109"/>
      <c r="F602" s="109">
        <v>646</v>
      </c>
      <c r="G602" s="109">
        <v>2099</v>
      </c>
      <c r="H602" s="110">
        <v>734.01499999999999</v>
      </c>
      <c r="I602" s="110">
        <v>750.91399999999999</v>
      </c>
      <c r="J602" s="110">
        <v>770.63900000000001</v>
      </c>
      <c r="K602" s="110">
        <v>793.49800000000005</v>
      </c>
      <c r="L602" s="110">
        <v>820.07100000000003</v>
      </c>
      <c r="M602" s="110">
        <v>846.98599999999999</v>
      </c>
      <c r="N602" s="110">
        <v>869.02200000000005</v>
      </c>
      <c r="O602" s="110">
        <v>882.95600000000002</v>
      </c>
      <c r="P602" s="110">
        <v>894.476</v>
      </c>
      <c r="Q602" s="110">
        <v>906.56899999999996</v>
      </c>
      <c r="R602" s="110">
        <v>920.572</v>
      </c>
      <c r="S602" s="110">
        <v>923.74900000000002</v>
      </c>
      <c r="T602" s="110">
        <v>898.03399999999999</v>
      </c>
      <c r="U602" s="110">
        <v>835.71600000000001</v>
      </c>
      <c r="V602" s="110">
        <v>747.995</v>
      </c>
      <c r="W602" s="110">
        <v>645.93899999999996</v>
      </c>
      <c r="X602" s="110">
        <v>519.36599999999999</v>
      </c>
      <c r="Y602" s="110">
        <v>353.00200000000001</v>
      </c>
      <c r="Z602" s="110">
        <v>182.03899999999999</v>
      </c>
      <c r="AA602" s="110">
        <v>63.969000000000001</v>
      </c>
      <c r="AB602" s="110">
        <v>12.161</v>
      </c>
      <c r="AC602" s="115">
        <f t="shared" ref="AC602:AC665" si="27">SUM(K602:Q602)</f>
        <v>6013.5779999999995</v>
      </c>
      <c r="AD602">
        <f t="shared" ref="AD602:AD665" si="28">IF(D602=D601,AC602/AC601,"")</f>
        <v>0.99446276555457835</v>
      </c>
    </row>
    <row r="603" spans="1:30" x14ac:dyDescent="0.25">
      <c r="A603" s="104" t="str">
        <f t="shared" si="26"/>
        <v>Rwanda2100</v>
      </c>
      <c r="C603" s="107" t="s">
        <v>257</v>
      </c>
      <c r="D603" s="108" t="s">
        <v>214</v>
      </c>
      <c r="E603" s="109"/>
      <c r="F603" s="109">
        <v>646</v>
      </c>
      <c r="G603" s="109">
        <v>2100</v>
      </c>
      <c r="H603" s="110">
        <v>729.80799999999999</v>
      </c>
      <c r="I603" s="110">
        <v>746.52200000000005</v>
      </c>
      <c r="J603" s="110">
        <v>765.86500000000001</v>
      </c>
      <c r="K603" s="110">
        <v>787.76900000000001</v>
      </c>
      <c r="L603" s="110">
        <v>813.52200000000005</v>
      </c>
      <c r="M603" s="110">
        <v>840.63599999999997</v>
      </c>
      <c r="N603" s="110">
        <v>864.18299999999999</v>
      </c>
      <c r="O603" s="110">
        <v>879.25099999999998</v>
      </c>
      <c r="P603" s="110">
        <v>890.89</v>
      </c>
      <c r="Q603" s="110">
        <v>902.13499999999999</v>
      </c>
      <c r="R603" s="110">
        <v>915.96699999999998</v>
      </c>
      <c r="S603" s="110">
        <v>922.12800000000004</v>
      </c>
      <c r="T603" s="110">
        <v>902.34799999999996</v>
      </c>
      <c r="U603" s="110">
        <v>844.70600000000002</v>
      </c>
      <c r="V603" s="110">
        <v>757.40200000000004</v>
      </c>
      <c r="W603" s="110">
        <v>653.27</v>
      </c>
      <c r="X603" s="110">
        <v>526.822</v>
      </c>
      <c r="Y603" s="110">
        <v>360.541</v>
      </c>
      <c r="Z603" s="110">
        <v>187.53299999999999</v>
      </c>
      <c r="AA603" s="110">
        <v>62.771000000000001</v>
      </c>
      <c r="AB603" s="110">
        <v>13.113</v>
      </c>
      <c r="AC603" s="115">
        <f t="shared" si="27"/>
        <v>5978.3860000000004</v>
      </c>
      <c r="AD603">
        <f t="shared" si="28"/>
        <v>0.99414790994645796</v>
      </c>
    </row>
    <row r="604" spans="1:30" x14ac:dyDescent="0.25">
      <c r="A604" s="104" t="str">
        <f t="shared" si="26"/>
        <v>Ethiopia2015</v>
      </c>
      <c r="C604" s="107" t="s">
        <v>257</v>
      </c>
      <c r="D604" s="108" t="s">
        <v>6</v>
      </c>
      <c r="E604" s="109"/>
      <c r="F604" s="109">
        <v>231</v>
      </c>
      <c r="G604" s="109">
        <v>2015</v>
      </c>
      <c r="H604" s="110">
        <v>7341.5219999999999</v>
      </c>
      <c r="I604" s="110">
        <v>6751.5569999999998</v>
      </c>
      <c r="J604" s="110">
        <v>6436.393</v>
      </c>
      <c r="K604" s="110">
        <v>5831.3040000000001</v>
      </c>
      <c r="L604" s="110">
        <v>4814.6120000000001</v>
      </c>
      <c r="M604" s="110">
        <v>3851.3539999999998</v>
      </c>
      <c r="N604" s="110">
        <v>3297.009</v>
      </c>
      <c r="O604" s="110">
        <v>2561.3249999999998</v>
      </c>
      <c r="P604" s="110">
        <v>2084.386</v>
      </c>
      <c r="Q604" s="110">
        <v>1710.1510000000001</v>
      </c>
      <c r="R604" s="110">
        <v>1375.0160000000001</v>
      </c>
      <c r="S604" s="110">
        <v>1177.895</v>
      </c>
      <c r="T604" s="110">
        <v>915.96799999999996</v>
      </c>
      <c r="U604" s="110">
        <v>762.11800000000005</v>
      </c>
      <c r="V604" s="110">
        <v>524.096</v>
      </c>
      <c r="W604" s="110">
        <v>317.55099999999999</v>
      </c>
      <c r="X604" s="110">
        <v>173.81200000000001</v>
      </c>
      <c r="Y604" s="110">
        <v>67.188000000000002</v>
      </c>
      <c r="Z604" s="110">
        <v>16.451000000000001</v>
      </c>
      <c r="AA604" s="110">
        <v>2.2490000000000001</v>
      </c>
      <c r="AB604" s="110">
        <v>0.188</v>
      </c>
      <c r="AC604" s="115">
        <f t="shared" si="27"/>
        <v>24150.141000000003</v>
      </c>
      <c r="AD604" t="str">
        <f t="shared" si="28"/>
        <v/>
      </c>
    </row>
    <row r="605" spans="1:30" x14ac:dyDescent="0.25">
      <c r="A605" s="104" t="str">
        <f t="shared" si="26"/>
        <v>Ethiopia2016</v>
      </c>
      <c r="C605" s="107" t="s">
        <v>257</v>
      </c>
      <c r="D605" s="108" t="s">
        <v>6</v>
      </c>
      <c r="E605" s="109"/>
      <c r="F605" s="109">
        <v>231</v>
      </c>
      <c r="G605" s="109">
        <v>2016</v>
      </c>
      <c r="H605" s="110">
        <v>7476.6120000000001</v>
      </c>
      <c r="I605" s="110">
        <v>6816.1980000000003</v>
      </c>
      <c r="J605" s="110">
        <v>6495.768</v>
      </c>
      <c r="K605" s="110">
        <v>5975.1869999999999</v>
      </c>
      <c r="L605" s="110">
        <v>5014.277</v>
      </c>
      <c r="M605" s="110">
        <v>3997.1709999999998</v>
      </c>
      <c r="N605" s="110">
        <v>3400.5030000000002</v>
      </c>
      <c r="O605" s="110">
        <v>2681.134</v>
      </c>
      <c r="P605" s="110">
        <v>2153.3380000000002</v>
      </c>
      <c r="Q605" s="110">
        <v>1769.424</v>
      </c>
      <c r="R605" s="110">
        <v>1418.1890000000001</v>
      </c>
      <c r="S605" s="110">
        <v>1206.02</v>
      </c>
      <c r="T605" s="110">
        <v>944.26900000000001</v>
      </c>
      <c r="U605" s="110">
        <v>774.45100000000002</v>
      </c>
      <c r="V605" s="110">
        <v>547.22299999999996</v>
      </c>
      <c r="W605" s="110">
        <v>330.24700000000001</v>
      </c>
      <c r="X605" s="110">
        <v>179.90700000000001</v>
      </c>
      <c r="Y605" s="110">
        <v>73.509</v>
      </c>
      <c r="Z605" s="110">
        <v>19.364999999999998</v>
      </c>
      <c r="AA605" s="110">
        <v>2.73</v>
      </c>
      <c r="AB605" s="110">
        <v>0.20200000000000001</v>
      </c>
      <c r="AC605" s="115">
        <f t="shared" si="27"/>
        <v>24991.033999999996</v>
      </c>
      <c r="AD605">
        <f t="shared" si="28"/>
        <v>1.034819382628035</v>
      </c>
    </row>
    <row r="606" spans="1:30" x14ac:dyDescent="0.25">
      <c r="A606" s="104" t="str">
        <f t="shared" si="26"/>
        <v>Ethiopia2017</v>
      </c>
      <c r="C606" s="107" t="s">
        <v>257</v>
      </c>
      <c r="D606" s="108" t="s">
        <v>6</v>
      </c>
      <c r="E606" s="109"/>
      <c r="F606" s="109">
        <v>231</v>
      </c>
      <c r="G606" s="109">
        <v>2017</v>
      </c>
      <c r="H606" s="110">
        <v>7569.2420000000002</v>
      </c>
      <c r="I606" s="110">
        <v>6905.2759999999998</v>
      </c>
      <c r="J606" s="110">
        <v>6545.6589999999997</v>
      </c>
      <c r="K606" s="110">
        <v>6103.348</v>
      </c>
      <c r="L606" s="110">
        <v>5219.6760000000004</v>
      </c>
      <c r="M606" s="110">
        <v>4169.4210000000003</v>
      </c>
      <c r="N606" s="110">
        <v>3488.5279999999998</v>
      </c>
      <c r="O606" s="110">
        <v>2821.0259999999998</v>
      </c>
      <c r="P606" s="110">
        <v>2224.7460000000001</v>
      </c>
      <c r="Q606" s="110">
        <v>1830.472</v>
      </c>
      <c r="R606" s="110">
        <v>1471.3820000000001</v>
      </c>
      <c r="S606" s="110">
        <v>1229.461</v>
      </c>
      <c r="T606" s="110">
        <v>983.35599999999999</v>
      </c>
      <c r="U606" s="110">
        <v>782.65899999999999</v>
      </c>
      <c r="V606" s="110">
        <v>573.85500000000002</v>
      </c>
      <c r="W606" s="110">
        <v>344.61200000000002</v>
      </c>
      <c r="X606" s="110">
        <v>184.75299999999999</v>
      </c>
      <c r="Y606" s="110">
        <v>78.713999999999999</v>
      </c>
      <c r="Z606" s="110">
        <v>21.466999999999999</v>
      </c>
      <c r="AA606" s="110">
        <v>3.5419999999999998</v>
      </c>
      <c r="AB606" s="110">
        <v>0.215</v>
      </c>
      <c r="AC606" s="115">
        <f t="shared" si="27"/>
        <v>25857.217000000004</v>
      </c>
      <c r="AD606">
        <f t="shared" si="28"/>
        <v>1.0346597503728741</v>
      </c>
    </row>
    <row r="607" spans="1:30" x14ac:dyDescent="0.25">
      <c r="A607" s="104" t="str">
        <f t="shared" si="26"/>
        <v>Ethiopia2018</v>
      </c>
      <c r="C607" s="107" t="s">
        <v>257</v>
      </c>
      <c r="D607" s="108" t="s">
        <v>6</v>
      </c>
      <c r="E607" s="109"/>
      <c r="F607" s="109">
        <v>231</v>
      </c>
      <c r="G607" s="109">
        <v>2018</v>
      </c>
      <c r="H607" s="110">
        <v>7632.0640000000003</v>
      </c>
      <c r="I607" s="110">
        <v>7015.8819999999996</v>
      </c>
      <c r="J607" s="110">
        <v>6589.4650000000001</v>
      </c>
      <c r="K607" s="110">
        <v>6214.6850000000004</v>
      </c>
      <c r="L607" s="110">
        <v>5422.5060000000003</v>
      </c>
      <c r="M607" s="110">
        <v>4361.3670000000002</v>
      </c>
      <c r="N607" s="110">
        <v>3572.7559999999999</v>
      </c>
      <c r="O607" s="110">
        <v>2970.0940000000001</v>
      </c>
      <c r="P607" s="110">
        <v>2302.355</v>
      </c>
      <c r="Q607" s="110">
        <v>1893.3209999999999</v>
      </c>
      <c r="R607" s="110">
        <v>1531.3820000000001</v>
      </c>
      <c r="S607" s="110">
        <v>1252.0440000000001</v>
      </c>
      <c r="T607" s="110">
        <v>1028.184</v>
      </c>
      <c r="U607" s="110">
        <v>791.06399999999996</v>
      </c>
      <c r="V607" s="110">
        <v>601.64599999999996</v>
      </c>
      <c r="W607" s="110">
        <v>360.89400000000001</v>
      </c>
      <c r="X607" s="110">
        <v>189.51499999999999</v>
      </c>
      <c r="Y607" s="110">
        <v>82.203999999999994</v>
      </c>
      <c r="Z607" s="110">
        <v>22.939</v>
      </c>
      <c r="AA607" s="110">
        <v>4.1779999999999999</v>
      </c>
      <c r="AB607" s="110">
        <v>0.22900000000000001</v>
      </c>
      <c r="AC607" s="115">
        <f t="shared" si="27"/>
        <v>26737.084000000003</v>
      </c>
      <c r="AD607">
        <f t="shared" si="28"/>
        <v>1.0340279079531258</v>
      </c>
    </row>
    <row r="608" spans="1:30" x14ac:dyDescent="0.25">
      <c r="A608" s="104" t="str">
        <f t="shared" si="26"/>
        <v>Ethiopia2019</v>
      </c>
      <c r="C608" s="107" t="s">
        <v>257</v>
      </c>
      <c r="D608" s="108" t="s">
        <v>6</v>
      </c>
      <c r="E608" s="109"/>
      <c r="F608" s="109">
        <v>231</v>
      </c>
      <c r="G608" s="109">
        <v>2019</v>
      </c>
      <c r="H608" s="110">
        <v>7686.9989999999998</v>
      </c>
      <c r="I608" s="110">
        <v>7134.2889999999998</v>
      </c>
      <c r="J608" s="110">
        <v>6636.9070000000002</v>
      </c>
      <c r="K608" s="110">
        <v>6308.9889999999996</v>
      </c>
      <c r="L608" s="110">
        <v>5611.5659999999998</v>
      </c>
      <c r="M608" s="110">
        <v>4561.8530000000001</v>
      </c>
      <c r="N608" s="110">
        <v>3672.1080000000002</v>
      </c>
      <c r="O608" s="110">
        <v>3111.0450000000001</v>
      </c>
      <c r="P608" s="110">
        <v>2392.17</v>
      </c>
      <c r="Q608" s="110">
        <v>1958.1949999999999</v>
      </c>
      <c r="R608" s="110">
        <v>1593.05</v>
      </c>
      <c r="S608" s="110">
        <v>1279.9970000000001</v>
      </c>
      <c r="T608" s="110">
        <v>1071.0899999999999</v>
      </c>
      <c r="U608" s="110">
        <v>805.899</v>
      </c>
      <c r="V608" s="110">
        <v>626.96199999999999</v>
      </c>
      <c r="W608" s="110">
        <v>379.40100000000001</v>
      </c>
      <c r="X608" s="110">
        <v>195.44399999999999</v>
      </c>
      <c r="Y608" s="110">
        <v>84.126999999999995</v>
      </c>
      <c r="Z608" s="110">
        <v>23.297000000000001</v>
      </c>
      <c r="AA608" s="110">
        <v>4.2389999999999999</v>
      </c>
      <c r="AB608" s="110">
        <v>0.246</v>
      </c>
      <c r="AC608" s="115">
        <f t="shared" si="27"/>
        <v>27615.925999999999</v>
      </c>
      <c r="AD608">
        <f t="shared" si="28"/>
        <v>1.0328697774222497</v>
      </c>
    </row>
    <row r="609" spans="1:30" x14ac:dyDescent="0.25">
      <c r="A609" s="104" t="str">
        <f t="shared" si="26"/>
        <v>Ethiopia2020</v>
      </c>
      <c r="C609" s="107" t="s">
        <v>257</v>
      </c>
      <c r="D609" s="108" t="s">
        <v>6</v>
      </c>
      <c r="E609" s="109"/>
      <c r="F609" s="109">
        <v>231</v>
      </c>
      <c r="G609" s="109">
        <v>2020</v>
      </c>
      <c r="H609" s="110">
        <v>7751.13</v>
      </c>
      <c r="I609" s="110">
        <v>7240.61</v>
      </c>
      <c r="J609" s="110">
        <v>6698.848</v>
      </c>
      <c r="K609" s="110">
        <v>6387.72</v>
      </c>
      <c r="L609" s="110">
        <v>5780.0190000000002</v>
      </c>
      <c r="M609" s="110">
        <v>4763.232</v>
      </c>
      <c r="N609" s="110">
        <v>3798.2779999999998</v>
      </c>
      <c r="O609" s="110">
        <v>3234.0680000000002</v>
      </c>
      <c r="P609" s="110">
        <v>2497.6390000000001</v>
      </c>
      <c r="Q609" s="110">
        <v>2025.62</v>
      </c>
      <c r="R609" s="110">
        <v>1653.4280000000001</v>
      </c>
      <c r="S609" s="110">
        <v>1317.075</v>
      </c>
      <c r="T609" s="110">
        <v>1107.8109999999999</v>
      </c>
      <c r="U609" s="110">
        <v>830.48099999999999</v>
      </c>
      <c r="V609" s="110">
        <v>648.07799999999997</v>
      </c>
      <c r="W609" s="110">
        <v>400.339</v>
      </c>
      <c r="X609" s="110">
        <v>203.262</v>
      </c>
      <c r="Y609" s="110">
        <v>84.637</v>
      </c>
      <c r="Z609" s="110">
        <v>22.414000000000001</v>
      </c>
      <c r="AA609" s="110">
        <v>3.4180000000000001</v>
      </c>
      <c r="AB609" s="110">
        <v>0.26500000000000001</v>
      </c>
      <c r="AC609" s="115">
        <f t="shared" si="27"/>
        <v>28486.575999999997</v>
      </c>
      <c r="AD609">
        <f t="shared" si="28"/>
        <v>1.0315270978058095</v>
      </c>
    </row>
    <row r="610" spans="1:30" x14ac:dyDescent="0.25">
      <c r="A610" s="104" t="str">
        <f t="shared" si="26"/>
        <v>Ethiopia2021</v>
      </c>
      <c r="C610" s="107" t="s">
        <v>257</v>
      </c>
      <c r="D610" s="108" t="s">
        <v>6</v>
      </c>
      <c r="E610" s="109"/>
      <c r="F610" s="109">
        <v>231</v>
      </c>
      <c r="G610" s="109">
        <v>2021</v>
      </c>
      <c r="H610" s="110">
        <v>7814.0709999999999</v>
      </c>
      <c r="I610" s="110">
        <v>7344.0110000000004</v>
      </c>
      <c r="J610" s="110">
        <v>6780.2359999999999</v>
      </c>
      <c r="K610" s="110">
        <v>6453.0559999999996</v>
      </c>
      <c r="L610" s="110">
        <v>5929.87</v>
      </c>
      <c r="M610" s="110">
        <v>4967.0029999999997</v>
      </c>
      <c r="N610" s="110">
        <v>3947.4070000000002</v>
      </c>
      <c r="O610" s="110">
        <v>3340.866</v>
      </c>
      <c r="P610" s="110">
        <v>2619.5390000000002</v>
      </c>
      <c r="Q610" s="110">
        <v>2095.395</v>
      </c>
      <c r="R610" s="110">
        <v>1712.752</v>
      </c>
      <c r="S610" s="110">
        <v>1359.829</v>
      </c>
      <c r="T610" s="110">
        <v>1134.502</v>
      </c>
      <c r="U610" s="110">
        <v>857.28499999999997</v>
      </c>
      <c r="V610" s="110">
        <v>658.84400000000005</v>
      </c>
      <c r="W610" s="110">
        <v>419.85899999999998</v>
      </c>
      <c r="X610" s="110">
        <v>214.203</v>
      </c>
      <c r="Y610" s="110">
        <v>90.218000000000004</v>
      </c>
      <c r="Z610" s="110">
        <v>26.114999999999998</v>
      </c>
      <c r="AA610" s="110">
        <v>4.0469999999999997</v>
      </c>
      <c r="AB610" s="110">
        <v>0.28799999999999998</v>
      </c>
      <c r="AC610" s="115">
        <f t="shared" si="27"/>
        <v>29353.135999999999</v>
      </c>
      <c r="AD610">
        <f t="shared" si="28"/>
        <v>1.0304199423616234</v>
      </c>
    </row>
    <row r="611" spans="1:30" x14ac:dyDescent="0.25">
      <c r="A611" s="104" t="str">
        <f t="shared" si="26"/>
        <v>Ethiopia2022</v>
      </c>
      <c r="C611" s="107" t="s">
        <v>257</v>
      </c>
      <c r="D611" s="108" t="s">
        <v>6</v>
      </c>
      <c r="E611" s="109"/>
      <c r="F611" s="109">
        <v>231</v>
      </c>
      <c r="G611" s="109">
        <v>2022</v>
      </c>
      <c r="H611" s="110">
        <v>7878.4340000000002</v>
      </c>
      <c r="I611" s="110">
        <v>7438.5829999999996</v>
      </c>
      <c r="J611" s="110">
        <v>6877.64</v>
      </c>
      <c r="K611" s="110">
        <v>6502.0680000000002</v>
      </c>
      <c r="L611" s="110">
        <v>6059.5439999999999</v>
      </c>
      <c r="M611" s="110">
        <v>5172.9840000000004</v>
      </c>
      <c r="N611" s="110">
        <v>4119.7640000000001</v>
      </c>
      <c r="O611" s="110">
        <v>3429.8789999999999</v>
      </c>
      <c r="P611" s="110">
        <v>2759.1559999999999</v>
      </c>
      <c r="Q611" s="110">
        <v>2166.3139999999999</v>
      </c>
      <c r="R611" s="110">
        <v>1772.9739999999999</v>
      </c>
      <c r="S611" s="110">
        <v>1411.654</v>
      </c>
      <c r="T611" s="110">
        <v>1156.694</v>
      </c>
      <c r="U611" s="110">
        <v>893.50400000000002</v>
      </c>
      <c r="V611" s="110">
        <v>665.83699999999999</v>
      </c>
      <c r="W611" s="110">
        <v>441.46800000000002</v>
      </c>
      <c r="X611" s="110">
        <v>224.73500000000001</v>
      </c>
      <c r="Y611" s="110">
        <v>93.998999999999995</v>
      </c>
      <c r="Z611" s="110">
        <v>28.780999999999999</v>
      </c>
      <c r="AA611" s="110">
        <v>5.0650000000000004</v>
      </c>
      <c r="AB611" s="110">
        <v>0.314</v>
      </c>
      <c r="AC611" s="115">
        <f t="shared" si="27"/>
        <v>30209.708999999999</v>
      </c>
      <c r="AD611">
        <f t="shared" si="28"/>
        <v>1.0291816520047465</v>
      </c>
    </row>
    <row r="612" spans="1:30" x14ac:dyDescent="0.25">
      <c r="A612" s="104" t="str">
        <f t="shared" si="26"/>
        <v>Ethiopia2023</v>
      </c>
      <c r="C612" s="107" t="s">
        <v>257</v>
      </c>
      <c r="D612" s="108" t="s">
        <v>6</v>
      </c>
      <c r="E612" s="109"/>
      <c r="F612" s="109">
        <v>231</v>
      </c>
      <c r="G612" s="109">
        <v>2023</v>
      </c>
      <c r="H612" s="110">
        <v>7944.1059999999998</v>
      </c>
      <c r="I612" s="110">
        <v>7522.5190000000002</v>
      </c>
      <c r="J612" s="110">
        <v>6986.1350000000002</v>
      </c>
      <c r="K612" s="110">
        <v>6544.1350000000002</v>
      </c>
      <c r="L612" s="110">
        <v>6169.8689999999997</v>
      </c>
      <c r="M612" s="110">
        <v>5374.33</v>
      </c>
      <c r="N612" s="110">
        <v>4310.0439999999999</v>
      </c>
      <c r="O612" s="110">
        <v>3513.7350000000001</v>
      </c>
      <c r="P612" s="110">
        <v>2906.1930000000002</v>
      </c>
      <c r="Q612" s="110">
        <v>2242.8000000000002</v>
      </c>
      <c r="R612" s="110">
        <v>1834.5419999999999</v>
      </c>
      <c r="S612" s="110">
        <v>1469.7449999999999</v>
      </c>
      <c r="T612" s="110">
        <v>1178.5350000000001</v>
      </c>
      <c r="U612" s="110">
        <v>934.73900000000003</v>
      </c>
      <c r="V612" s="110">
        <v>673.47699999999998</v>
      </c>
      <c r="W612" s="110">
        <v>463.49599999999998</v>
      </c>
      <c r="X612" s="110">
        <v>235.29599999999999</v>
      </c>
      <c r="Y612" s="110">
        <v>96.353999999999999</v>
      </c>
      <c r="Z612" s="110">
        <v>30.431000000000001</v>
      </c>
      <c r="AA612" s="110">
        <v>5.8479999999999999</v>
      </c>
      <c r="AB612" s="110">
        <v>0.34300000000000003</v>
      </c>
      <c r="AC612" s="115">
        <f t="shared" si="27"/>
        <v>31061.106000000003</v>
      </c>
      <c r="AD612">
        <f t="shared" si="28"/>
        <v>1.0281828931222079</v>
      </c>
    </row>
    <row r="613" spans="1:30" x14ac:dyDescent="0.25">
      <c r="A613" s="104" t="str">
        <f t="shared" si="26"/>
        <v>Ethiopia2024</v>
      </c>
      <c r="C613" s="107" t="s">
        <v>257</v>
      </c>
      <c r="D613" s="108" t="s">
        <v>6</v>
      </c>
      <c r="E613" s="109"/>
      <c r="F613" s="109">
        <v>231</v>
      </c>
      <c r="G613" s="109">
        <v>2024</v>
      </c>
      <c r="H613" s="110">
        <v>8004.5079999999998</v>
      </c>
      <c r="I613" s="110">
        <v>7598.027</v>
      </c>
      <c r="J613" s="110">
        <v>7095.692</v>
      </c>
      <c r="K613" s="110">
        <v>6593.7830000000004</v>
      </c>
      <c r="L613" s="110">
        <v>6263.7550000000001</v>
      </c>
      <c r="M613" s="110">
        <v>5562.46</v>
      </c>
      <c r="N613" s="110">
        <v>4509.3530000000001</v>
      </c>
      <c r="O613" s="110">
        <v>3612.7939999999999</v>
      </c>
      <c r="P613" s="110">
        <v>3045.0169999999998</v>
      </c>
      <c r="Q613" s="110">
        <v>2331.7640000000001</v>
      </c>
      <c r="R613" s="110">
        <v>1898.4760000000001</v>
      </c>
      <c r="S613" s="110">
        <v>1529.8889999999999</v>
      </c>
      <c r="T613" s="110">
        <v>1206.414</v>
      </c>
      <c r="U613" s="110">
        <v>974.61199999999997</v>
      </c>
      <c r="V613" s="110">
        <v>687.64400000000001</v>
      </c>
      <c r="W613" s="110">
        <v>483.27199999999999</v>
      </c>
      <c r="X613" s="110">
        <v>246.666</v>
      </c>
      <c r="Y613" s="110">
        <v>98.378</v>
      </c>
      <c r="Z613" s="110">
        <v>30.501999999999999</v>
      </c>
      <c r="AA613" s="110">
        <v>5.8789999999999996</v>
      </c>
      <c r="AB613" s="110">
        <v>0.374</v>
      </c>
      <c r="AC613" s="115">
        <f t="shared" si="27"/>
        <v>31918.925999999996</v>
      </c>
      <c r="AD613">
        <f t="shared" si="28"/>
        <v>1.0276171749969236</v>
      </c>
    </row>
    <row r="614" spans="1:30" x14ac:dyDescent="0.25">
      <c r="A614" s="104" t="str">
        <f t="shared" si="26"/>
        <v>Ethiopia2025</v>
      </c>
      <c r="C614" s="107" t="s">
        <v>257</v>
      </c>
      <c r="D614" s="108" t="s">
        <v>6</v>
      </c>
      <c r="E614" s="109"/>
      <c r="F614" s="109">
        <v>231</v>
      </c>
      <c r="G614" s="109">
        <v>2025</v>
      </c>
      <c r="H614" s="110">
        <v>8055.7079999999996</v>
      </c>
      <c r="I614" s="110">
        <v>7669.1890000000003</v>
      </c>
      <c r="J614" s="110">
        <v>7197.6549999999997</v>
      </c>
      <c r="K614" s="110">
        <v>6659.8760000000002</v>
      </c>
      <c r="L614" s="110">
        <v>6343.82</v>
      </c>
      <c r="M614" s="110">
        <v>5731.5950000000003</v>
      </c>
      <c r="N614" s="110">
        <v>4710.9740000000002</v>
      </c>
      <c r="O614" s="110">
        <v>3739.2719999999999</v>
      </c>
      <c r="P614" s="110">
        <v>3166.846</v>
      </c>
      <c r="Q614" s="110">
        <v>2436.7199999999998</v>
      </c>
      <c r="R614" s="110">
        <v>1965.635</v>
      </c>
      <c r="S614" s="110">
        <v>1589.604</v>
      </c>
      <c r="T614" s="110">
        <v>1243.857</v>
      </c>
      <c r="U614" s="110">
        <v>1009.744</v>
      </c>
      <c r="V614" s="110">
        <v>711.20299999999997</v>
      </c>
      <c r="W614" s="110">
        <v>499.774</v>
      </c>
      <c r="X614" s="110">
        <v>259.52199999999999</v>
      </c>
      <c r="Y614" s="110">
        <v>100.58799999999999</v>
      </c>
      <c r="Z614" s="110">
        <v>28.766999999999999</v>
      </c>
      <c r="AA614" s="110">
        <v>4.7430000000000003</v>
      </c>
      <c r="AB614" s="110">
        <v>0.40500000000000003</v>
      </c>
      <c r="AC614" s="115">
        <f t="shared" si="27"/>
        <v>32789.103000000003</v>
      </c>
      <c r="AD614">
        <f t="shared" si="28"/>
        <v>1.0272621014880015</v>
      </c>
    </row>
    <row r="615" spans="1:30" x14ac:dyDescent="0.25">
      <c r="A615" s="104" t="str">
        <f t="shared" si="26"/>
        <v>Ethiopia2026</v>
      </c>
      <c r="C615" s="107" t="s">
        <v>257</v>
      </c>
      <c r="D615" s="108" t="s">
        <v>6</v>
      </c>
      <c r="E615" s="109"/>
      <c r="F615" s="109">
        <v>231</v>
      </c>
      <c r="G615" s="109">
        <v>2026</v>
      </c>
      <c r="H615" s="110">
        <v>8104.5069999999996</v>
      </c>
      <c r="I615" s="110">
        <v>7745.6559999999999</v>
      </c>
      <c r="J615" s="110">
        <v>7294.41</v>
      </c>
      <c r="K615" s="110">
        <v>6741.4650000000001</v>
      </c>
      <c r="L615" s="110">
        <v>6409.3649999999998</v>
      </c>
      <c r="M615" s="110">
        <v>5880.8649999999998</v>
      </c>
      <c r="N615" s="110">
        <v>4913.3410000000003</v>
      </c>
      <c r="O615" s="110">
        <v>3887.8679999999999</v>
      </c>
      <c r="P615" s="110">
        <v>3273.4720000000002</v>
      </c>
      <c r="Q615" s="110">
        <v>2556.4070000000002</v>
      </c>
      <c r="R615" s="110">
        <v>2033.7270000000001</v>
      </c>
      <c r="S615" s="110">
        <v>1646.5830000000001</v>
      </c>
      <c r="T615" s="110">
        <v>1284.1379999999999</v>
      </c>
      <c r="U615" s="110">
        <v>1033.7380000000001</v>
      </c>
      <c r="V615" s="110">
        <v>735.69299999999998</v>
      </c>
      <c r="W615" s="110">
        <v>509.14800000000002</v>
      </c>
      <c r="X615" s="110">
        <v>275.87200000000001</v>
      </c>
      <c r="Y615" s="110">
        <v>109.47</v>
      </c>
      <c r="Z615" s="110">
        <v>32.451999999999998</v>
      </c>
      <c r="AA615" s="110">
        <v>5.5439999999999996</v>
      </c>
      <c r="AB615" s="110">
        <v>0.437</v>
      </c>
      <c r="AC615" s="115">
        <f t="shared" si="27"/>
        <v>33662.783000000003</v>
      </c>
      <c r="AD615">
        <f t="shared" si="28"/>
        <v>1.0266454376626284</v>
      </c>
    </row>
    <row r="616" spans="1:30" x14ac:dyDescent="0.25">
      <c r="A616" s="104" t="str">
        <f t="shared" si="26"/>
        <v>Ethiopia2027</v>
      </c>
      <c r="C616" s="107" t="s">
        <v>257</v>
      </c>
      <c r="D616" s="108" t="s">
        <v>6</v>
      </c>
      <c r="E616" s="109"/>
      <c r="F616" s="109">
        <v>231</v>
      </c>
      <c r="G616" s="109">
        <v>2027</v>
      </c>
      <c r="H616" s="110">
        <v>8141.9920000000002</v>
      </c>
      <c r="I616" s="110">
        <v>7816.8609999999999</v>
      </c>
      <c r="J616" s="110">
        <v>7385.9139999999998</v>
      </c>
      <c r="K616" s="110">
        <v>6840.5969999999998</v>
      </c>
      <c r="L616" s="110">
        <v>6459.6270000000004</v>
      </c>
      <c r="M616" s="110">
        <v>6011.2250000000004</v>
      </c>
      <c r="N616" s="110">
        <v>5118.9059999999999</v>
      </c>
      <c r="O616" s="110">
        <v>4059.8240000000001</v>
      </c>
      <c r="P616" s="110">
        <v>3363.1790000000001</v>
      </c>
      <c r="Q616" s="110">
        <v>2694.1819999999998</v>
      </c>
      <c r="R616" s="110">
        <v>2103.6439999999998</v>
      </c>
      <c r="S616" s="110">
        <v>1705.329</v>
      </c>
      <c r="T616" s="110">
        <v>1333.741</v>
      </c>
      <c r="U616" s="110">
        <v>1054.4849999999999</v>
      </c>
      <c r="V616" s="110">
        <v>768.27499999999998</v>
      </c>
      <c r="W616" s="110">
        <v>515.35900000000004</v>
      </c>
      <c r="X616" s="110">
        <v>292.654</v>
      </c>
      <c r="Y616" s="110">
        <v>116.53700000000001</v>
      </c>
      <c r="Z616" s="110">
        <v>34.825000000000003</v>
      </c>
      <c r="AA616" s="110">
        <v>6.843</v>
      </c>
      <c r="AB616" s="110">
        <v>0.47099999999999997</v>
      </c>
      <c r="AC616" s="115">
        <f t="shared" si="27"/>
        <v>34547.54</v>
      </c>
      <c r="AD616">
        <f t="shared" si="28"/>
        <v>1.0262829427976885</v>
      </c>
    </row>
    <row r="617" spans="1:30" x14ac:dyDescent="0.25">
      <c r="A617" s="104" t="str">
        <f t="shared" si="26"/>
        <v>Ethiopia2028</v>
      </c>
      <c r="C617" s="107" t="s">
        <v>257</v>
      </c>
      <c r="D617" s="108" t="s">
        <v>6</v>
      </c>
      <c r="E617" s="109"/>
      <c r="F617" s="109">
        <v>231</v>
      </c>
      <c r="G617" s="109">
        <v>2028</v>
      </c>
      <c r="H617" s="110">
        <v>8170.2529999999997</v>
      </c>
      <c r="I617" s="110">
        <v>7881.7280000000001</v>
      </c>
      <c r="J617" s="110">
        <v>7472.4690000000001</v>
      </c>
      <c r="K617" s="110">
        <v>6950.9030000000002</v>
      </c>
      <c r="L617" s="110">
        <v>6503.7430000000004</v>
      </c>
      <c r="M617" s="110">
        <v>6123.2929999999997</v>
      </c>
      <c r="N617" s="110">
        <v>5320.9250000000002</v>
      </c>
      <c r="O617" s="110">
        <v>4249.9840000000004</v>
      </c>
      <c r="P617" s="110">
        <v>3447.9940000000001</v>
      </c>
      <c r="Q617" s="110">
        <v>2840.0250000000001</v>
      </c>
      <c r="R617" s="110">
        <v>2179.5949999999998</v>
      </c>
      <c r="S617" s="110">
        <v>1766.1389999999999</v>
      </c>
      <c r="T617" s="110">
        <v>1390.0550000000001</v>
      </c>
      <c r="U617" s="110">
        <v>1075.9590000000001</v>
      </c>
      <c r="V617" s="110">
        <v>805.19600000000003</v>
      </c>
      <c r="W617" s="110">
        <v>522.59299999999996</v>
      </c>
      <c r="X617" s="110">
        <v>308.42500000000001</v>
      </c>
      <c r="Y617" s="110">
        <v>121.895</v>
      </c>
      <c r="Z617" s="110">
        <v>36.341999999999999</v>
      </c>
      <c r="AA617" s="110">
        <v>7.8179999999999996</v>
      </c>
      <c r="AB617" s="110">
        <v>0.505</v>
      </c>
      <c r="AC617" s="115">
        <f t="shared" si="27"/>
        <v>35436.866999999998</v>
      </c>
      <c r="AD617">
        <f t="shared" si="28"/>
        <v>1.0257421223045113</v>
      </c>
    </row>
    <row r="618" spans="1:30" x14ac:dyDescent="0.25">
      <c r="A618" s="104" t="str">
        <f t="shared" si="26"/>
        <v>Ethiopia2029</v>
      </c>
      <c r="C618" s="107" t="s">
        <v>257</v>
      </c>
      <c r="D618" s="108" t="s">
        <v>6</v>
      </c>
      <c r="E618" s="109"/>
      <c r="F618" s="109">
        <v>231</v>
      </c>
      <c r="G618" s="109">
        <v>2029</v>
      </c>
      <c r="H618" s="110">
        <v>8194.1180000000004</v>
      </c>
      <c r="I618" s="110">
        <v>7939.1120000000001</v>
      </c>
      <c r="J618" s="110">
        <v>7554.9110000000001</v>
      </c>
      <c r="K618" s="110">
        <v>7061.0829999999996</v>
      </c>
      <c r="L618" s="110">
        <v>6555.1450000000004</v>
      </c>
      <c r="M618" s="110">
        <v>6218.89</v>
      </c>
      <c r="N618" s="110">
        <v>5510.0050000000001</v>
      </c>
      <c r="O618" s="110">
        <v>4449.0280000000002</v>
      </c>
      <c r="P618" s="110">
        <v>3547.3049999999998</v>
      </c>
      <c r="Q618" s="110">
        <v>2978.1080000000002</v>
      </c>
      <c r="R618" s="110">
        <v>2267.951</v>
      </c>
      <c r="S618" s="110">
        <v>1829.6110000000001</v>
      </c>
      <c r="T618" s="110">
        <v>1448.95</v>
      </c>
      <c r="U618" s="110">
        <v>1103.8340000000001</v>
      </c>
      <c r="V618" s="110">
        <v>841.077</v>
      </c>
      <c r="W618" s="110">
        <v>535.65300000000002</v>
      </c>
      <c r="X618" s="110">
        <v>321.245</v>
      </c>
      <c r="Y618" s="110">
        <v>126.925</v>
      </c>
      <c r="Z618" s="110">
        <v>36.524999999999999</v>
      </c>
      <c r="AA618" s="110">
        <v>7.806</v>
      </c>
      <c r="AB618" s="110">
        <v>0.54100000000000004</v>
      </c>
      <c r="AC618" s="115">
        <f t="shared" si="27"/>
        <v>36319.563999999998</v>
      </c>
      <c r="AD618">
        <f t="shared" si="28"/>
        <v>1.0249090022546294</v>
      </c>
    </row>
    <row r="619" spans="1:30" x14ac:dyDescent="0.25">
      <c r="A619" s="104" t="str">
        <f t="shared" si="26"/>
        <v>Ethiopia2030</v>
      </c>
      <c r="C619" s="107" t="s">
        <v>257</v>
      </c>
      <c r="D619" s="108" t="s">
        <v>6</v>
      </c>
      <c r="E619" s="109"/>
      <c r="F619" s="109">
        <v>231</v>
      </c>
      <c r="G619" s="109">
        <v>2030</v>
      </c>
      <c r="H619" s="110">
        <v>8217.0589999999993</v>
      </c>
      <c r="I619" s="110">
        <v>7988.21</v>
      </c>
      <c r="J619" s="110">
        <v>7633.152</v>
      </c>
      <c r="K619" s="110">
        <v>7163.8770000000004</v>
      </c>
      <c r="L619" s="110">
        <v>6622.2749999999996</v>
      </c>
      <c r="M619" s="110">
        <v>6300.1210000000001</v>
      </c>
      <c r="N619" s="110">
        <v>5679.8890000000001</v>
      </c>
      <c r="O619" s="110">
        <v>4650.1130000000003</v>
      </c>
      <c r="P619" s="110">
        <v>3673.069</v>
      </c>
      <c r="Q619" s="110">
        <v>3099.3130000000001</v>
      </c>
      <c r="R619" s="110">
        <v>2372.0160000000001</v>
      </c>
      <c r="S619" s="110">
        <v>1896.3869999999999</v>
      </c>
      <c r="T619" s="110">
        <v>1507.9860000000001</v>
      </c>
      <c r="U619" s="110">
        <v>1141.174</v>
      </c>
      <c r="V619" s="110">
        <v>873.32799999999997</v>
      </c>
      <c r="W619" s="110">
        <v>556.64300000000003</v>
      </c>
      <c r="X619" s="110">
        <v>330.94900000000001</v>
      </c>
      <c r="Y619" s="110">
        <v>132.11000000000001</v>
      </c>
      <c r="Z619" s="110">
        <v>35.354999999999997</v>
      </c>
      <c r="AA619" s="110">
        <v>6.3010000000000002</v>
      </c>
      <c r="AB619" s="110">
        <v>0.57899999999999996</v>
      </c>
      <c r="AC619" s="115">
        <f t="shared" si="27"/>
        <v>37188.657000000007</v>
      </c>
      <c r="AD619">
        <f t="shared" si="28"/>
        <v>1.0239290592805577</v>
      </c>
    </row>
    <row r="620" spans="1:30" x14ac:dyDescent="0.25">
      <c r="A620" s="104" t="str">
        <f t="shared" si="26"/>
        <v>Ethiopia2031</v>
      </c>
      <c r="C620" s="107" t="s">
        <v>257</v>
      </c>
      <c r="D620" s="108" t="s">
        <v>6</v>
      </c>
      <c r="E620" s="109"/>
      <c r="F620" s="109">
        <v>231</v>
      </c>
      <c r="G620" s="109">
        <v>2031</v>
      </c>
      <c r="H620" s="110">
        <v>8238.4629999999997</v>
      </c>
      <c r="I620" s="110">
        <v>8038.3770000000004</v>
      </c>
      <c r="J620" s="110">
        <v>7709.2330000000002</v>
      </c>
      <c r="K620" s="110">
        <v>7262.3530000000001</v>
      </c>
      <c r="L620" s="110">
        <v>6705.7520000000004</v>
      </c>
      <c r="M620" s="110">
        <v>6367.4129999999996</v>
      </c>
      <c r="N620" s="110">
        <v>5829.9709999999995</v>
      </c>
      <c r="O620" s="110">
        <v>4852.72</v>
      </c>
      <c r="P620" s="110">
        <v>3822.268</v>
      </c>
      <c r="Q620" s="110">
        <v>3205.1030000000001</v>
      </c>
      <c r="R620" s="110">
        <v>2489.7449999999999</v>
      </c>
      <c r="S620" s="110">
        <v>1962.587</v>
      </c>
      <c r="T620" s="110">
        <v>1561.867</v>
      </c>
      <c r="U620" s="110">
        <v>1178.8820000000001</v>
      </c>
      <c r="V620" s="110">
        <v>894.41499999999996</v>
      </c>
      <c r="W620" s="110">
        <v>578.61199999999997</v>
      </c>
      <c r="X620" s="110">
        <v>340.02100000000002</v>
      </c>
      <c r="Y620" s="110">
        <v>145.155</v>
      </c>
      <c r="Z620" s="110">
        <v>40.692</v>
      </c>
      <c r="AA620" s="110">
        <v>7.1210000000000004</v>
      </c>
      <c r="AB620" s="110">
        <v>0.61899999999999999</v>
      </c>
      <c r="AC620" s="115">
        <f t="shared" si="27"/>
        <v>38045.58</v>
      </c>
      <c r="AD620">
        <f t="shared" si="28"/>
        <v>1.0230425906480032</v>
      </c>
    </row>
    <row r="621" spans="1:30" x14ac:dyDescent="0.25">
      <c r="A621" s="104" t="str">
        <f t="shared" si="26"/>
        <v>Ethiopia2032</v>
      </c>
      <c r="C621" s="107" t="s">
        <v>257</v>
      </c>
      <c r="D621" s="108" t="s">
        <v>6</v>
      </c>
      <c r="E621" s="109"/>
      <c r="F621" s="109">
        <v>231</v>
      </c>
      <c r="G621" s="109">
        <v>2032</v>
      </c>
      <c r="H621" s="110">
        <v>8259.0159999999996</v>
      </c>
      <c r="I621" s="110">
        <v>8080.2730000000001</v>
      </c>
      <c r="J621" s="110">
        <v>7780.2439999999997</v>
      </c>
      <c r="K621" s="110">
        <v>7354.7619999999997</v>
      </c>
      <c r="L621" s="110">
        <v>6805.8180000000002</v>
      </c>
      <c r="M621" s="110">
        <v>6418.8540000000003</v>
      </c>
      <c r="N621" s="110">
        <v>5960.8289999999997</v>
      </c>
      <c r="O621" s="110">
        <v>5057.9690000000001</v>
      </c>
      <c r="P621" s="110">
        <v>3993.9290000000001</v>
      </c>
      <c r="Q621" s="110">
        <v>3294.3560000000002</v>
      </c>
      <c r="R621" s="110">
        <v>2625.317</v>
      </c>
      <c r="S621" s="110">
        <v>2030.9290000000001</v>
      </c>
      <c r="T621" s="110">
        <v>1618.1510000000001</v>
      </c>
      <c r="U621" s="110">
        <v>1225.4269999999999</v>
      </c>
      <c r="V621" s="110">
        <v>913.09299999999996</v>
      </c>
      <c r="W621" s="110">
        <v>606.15700000000004</v>
      </c>
      <c r="X621" s="110">
        <v>345.791</v>
      </c>
      <c r="Y621" s="110">
        <v>156.70699999999999</v>
      </c>
      <c r="Z621" s="110">
        <v>44.442999999999998</v>
      </c>
      <c r="AA621" s="110">
        <v>8.5229999999999997</v>
      </c>
      <c r="AB621" s="110">
        <v>0.66100000000000003</v>
      </c>
      <c r="AC621" s="115">
        <f t="shared" si="27"/>
        <v>38886.517</v>
      </c>
      <c r="AD621">
        <f t="shared" si="28"/>
        <v>1.0221034085956897</v>
      </c>
    </row>
    <row r="622" spans="1:30" x14ac:dyDescent="0.25">
      <c r="A622" s="104" t="str">
        <f t="shared" si="26"/>
        <v>Ethiopia2033</v>
      </c>
      <c r="C622" s="107" t="s">
        <v>257</v>
      </c>
      <c r="D622" s="108" t="s">
        <v>6</v>
      </c>
      <c r="E622" s="109"/>
      <c r="F622" s="109">
        <v>231</v>
      </c>
      <c r="G622" s="109">
        <v>2033</v>
      </c>
      <c r="H622" s="110">
        <v>8278.0390000000007</v>
      </c>
      <c r="I622" s="110">
        <v>8113.7449999999999</v>
      </c>
      <c r="J622" s="110">
        <v>7846.08</v>
      </c>
      <c r="K622" s="110">
        <v>7441.5349999999999</v>
      </c>
      <c r="L622" s="110">
        <v>6916.3609999999999</v>
      </c>
      <c r="M622" s="110">
        <v>6463.7120000000004</v>
      </c>
      <c r="N622" s="110">
        <v>6073.3779999999997</v>
      </c>
      <c r="O622" s="110">
        <v>5259.4110000000001</v>
      </c>
      <c r="P622" s="110">
        <v>4182.799</v>
      </c>
      <c r="Q622" s="110">
        <v>3379.0880000000002</v>
      </c>
      <c r="R622" s="110">
        <v>2768.8710000000001</v>
      </c>
      <c r="S622" s="110">
        <v>2105.4630000000002</v>
      </c>
      <c r="T622" s="110">
        <v>1677.2639999999999</v>
      </c>
      <c r="U622" s="110">
        <v>1278.47</v>
      </c>
      <c r="V622" s="110">
        <v>933.26</v>
      </c>
      <c r="W622" s="110">
        <v>636.60900000000004</v>
      </c>
      <c r="X622" s="110">
        <v>351.61599999999999</v>
      </c>
      <c r="Y622" s="110">
        <v>165.18899999999999</v>
      </c>
      <c r="Z622" s="110">
        <v>47.225000000000001</v>
      </c>
      <c r="AA622" s="110">
        <v>9.6259999999999994</v>
      </c>
      <c r="AB622" s="110">
        <v>0.70499999999999996</v>
      </c>
      <c r="AC622" s="115">
        <f t="shared" si="27"/>
        <v>39716.284000000007</v>
      </c>
      <c r="AD622">
        <f t="shared" si="28"/>
        <v>1.021338167159584</v>
      </c>
    </row>
    <row r="623" spans="1:30" x14ac:dyDescent="0.25">
      <c r="A623" s="104" t="str">
        <f t="shared" si="26"/>
        <v>Ethiopia2034</v>
      </c>
      <c r="C623" s="107" t="s">
        <v>257</v>
      </c>
      <c r="D623" s="108" t="s">
        <v>6</v>
      </c>
      <c r="E623" s="109"/>
      <c r="F623" s="109">
        <v>231</v>
      </c>
      <c r="G623" s="109">
        <v>2034</v>
      </c>
      <c r="H623" s="110">
        <v>8293.3179999999993</v>
      </c>
      <c r="I623" s="110">
        <v>8140.1769999999997</v>
      </c>
      <c r="J623" s="110">
        <v>7905.8980000000001</v>
      </c>
      <c r="K623" s="110">
        <v>7524.3209999999999</v>
      </c>
      <c r="L623" s="110">
        <v>7026.8090000000002</v>
      </c>
      <c r="M623" s="110">
        <v>6515.9269999999997</v>
      </c>
      <c r="N623" s="110">
        <v>6169.9219999999996</v>
      </c>
      <c r="O623" s="110">
        <v>5448.165</v>
      </c>
      <c r="P623" s="110">
        <v>4380.1130000000003</v>
      </c>
      <c r="Q623" s="110">
        <v>3478.5160000000001</v>
      </c>
      <c r="R623" s="110">
        <v>2905.1089999999999</v>
      </c>
      <c r="S623" s="110">
        <v>2192.5639999999999</v>
      </c>
      <c r="T623" s="110">
        <v>1739.818</v>
      </c>
      <c r="U623" s="110">
        <v>1334.54</v>
      </c>
      <c r="V623" s="110">
        <v>960.03499999999997</v>
      </c>
      <c r="W623" s="110">
        <v>666.07600000000002</v>
      </c>
      <c r="X623" s="110">
        <v>361.13600000000002</v>
      </c>
      <c r="Y623" s="110">
        <v>170.60499999999999</v>
      </c>
      <c r="Z623" s="110">
        <v>48.326999999999998</v>
      </c>
      <c r="AA623" s="110">
        <v>9.67</v>
      </c>
      <c r="AB623" s="110">
        <v>0.748</v>
      </c>
      <c r="AC623" s="115">
        <f t="shared" si="27"/>
        <v>40543.773000000001</v>
      </c>
      <c r="AD623">
        <f t="shared" si="28"/>
        <v>1.0208350056113003</v>
      </c>
    </row>
    <row r="624" spans="1:30" x14ac:dyDescent="0.25">
      <c r="A624" s="104" t="str">
        <f t="shared" si="26"/>
        <v>Ethiopia2035</v>
      </c>
      <c r="C624" s="107" t="s">
        <v>257</v>
      </c>
      <c r="D624" s="108" t="s">
        <v>6</v>
      </c>
      <c r="E624" s="109"/>
      <c r="F624" s="109">
        <v>231</v>
      </c>
      <c r="G624" s="109">
        <v>2035</v>
      </c>
      <c r="H624" s="110">
        <v>8303.7510000000002</v>
      </c>
      <c r="I624" s="110">
        <v>8161.7780000000002</v>
      </c>
      <c r="J624" s="110">
        <v>7958.201</v>
      </c>
      <c r="K624" s="110">
        <v>7603.8860000000004</v>
      </c>
      <c r="L624" s="110">
        <v>7130.2659999999996</v>
      </c>
      <c r="M624" s="110">
        <v>6584.1109999999999</v>
      </c>
      <c r="N624" s="110">
        <v>6252.6379999999999</v>
      </c>
      <c r="O624" s="110">
        <v>5618.2579999999998</v>
      </c>
      <c r="P624" s="110">
        <v>4579.6120000000001</v>
      </c>
      <c r="Q624" s="110">
        <v>3604.1579999999999</v>
      </c>
      <c r="R624" s="110">
        <v>3025.2730000000001</v>
      </c>
      <c r="S624" s="110">
        <v>2295.538</v>
      </c>
      <c r="T624" s="110">
        <v>1806.279</v>
      </c>
      <c r="U624" s="110">
        <v>1391.731</v>
      </c>
      <c r="V624" s="110">
        <v>996.00599999999997</v>
      </c>
      <c r="W624" s="110">
        <v>692.97900000000004</v>
      </c>
      <c r="X624" s="110">
        <v>376.00299999999999</v>
      </c>
      <c r="Y624" s="110">
        <v>173.04900000000001</v>
      </c>
      <c r="Z624" s="110">
        <v>47.963999999999999</v>
      </c>
      <c r="AA624" s="110">
        <v>8.01</v>
      </c>
      <c r="AB624" s="110">
        <v>0.79100000000000004</v>
      </c>
      <c r="AC624" s="115">
        <f t="shared" si="27"/>
        <v>41372.929000000004</v>
      </c>
      <c r="AD624">
        <f t="shared" si="28"/>
        <v>1.020450884035879</v>
      </c>
    </row>
    <row r="625" spans="1:30" x14ac:dyDescent="0.25">
      <c r="A625" s="104" t="str">
        <f t="shared" si="26"/>
        <v>Ethiopia2036</v>
      </c>
      <c r="C625" s="107" t="s">
        <v>257</v>
      </c>
      <c r="D625" s="108" t="s">
        <v>6</v>
      </c>
      <c r="E625" s="109"/>
      <c r="F625" s="109">
        <v>231</v>
      </c>
      <c r="G625" s="109">
        <v>2036</v>
      </c>
      <c r="H625" s="110">
        <v>8318.3649999999998</v>
      </c>
      <c r="I625" s="110">
        <v>8187.509</v>
      </c>
      <c r="J625" s="110">
        <v>8005.15</v>
      </c>
      <c r="K625" s="110">
        <v>7680.2520000000004</v>
      </c>
      <c r="L625" s="110">
        <v>7229.009</v>
      </c>
      <c r="M625" s="110">
        <v>6667.7889999999998</v>
      </c>
      <c r="N625" s="110">
        <v>6320.13</v>
      </c>
      <c r="O625" s="110">
        <v>5768.2039999999997</v>
      </c>
      <c r="P625" s="110">
        <v>4781.4960000000001</v>
      </c>
      <c r="Q625" s="110">
        <v>3751.549</v>
      </c>
      <c r="R625" s="110">
        <v>3128.9340000000002</v>
      </c>
      <c r="S625" s="110">
        <v>2409.7420000000002</v>
      </c>
      <c r="T625" s="110">
        <v>1868.8040000000001</v>
      </c>
      <c r="U625" s="110">
        <v>1441.308</v>
      </c>
      <c r="V625" s="110">
        <v>1030.1179999999999</v>
      </c>
      <c r="W625" s="110">
        <v>710.81299999999999</v>
      </c>
      <c r="X625" s="110">
        <v>395.55200000000002</v>
      </c>
      <c r="Y625" s="110">
        <v>182.155</v>
      </c>
      <c r="Z625" s="110">
        <v>56.024999999999999</v>
      </c>
      <c r="AA625" s="110">
        <v>9.2469999999999999</v>
      </c>
      <c r="AB625" s="110">
        <v>0.83299999999999996</v>
      </c>
      <c r="AC625" s="115">
        <f t="shared" si="27"/>
        <v>42198.428999999996</v>
      </c>
      <c r="AD625">
        <f t="shared" si="28"/>
        <v>1.0199526603494762</v>
      </c>
    </row>
    <row r="626" spans="1:30" x14ac:dyDescent="0.25">
      <c r="A626" s="104" t="str">
        <f t="shared" si="26"/>
        <v>Ethiopia2037</v>
      </c>
      <c r="C626" s="107" t="s">
        <v>257</v>
      </c>
      <c r="D626" s="108" t="s">
        <v>6</v>
      </c>
      <c r="E626" s="109"/>
      <c r="F626" s="109">
        <v>231</v>
      </c>
      <c r="G626" s="109">
        <v>2037</v>
      </c>
      <c r="H626" s="110">
        <v>8323.1460000000006</v>
      </c>
      <c r="I626" s="110">
        <v>8210.9069999999992</v>
      </c>
      <c r="J626" s="110">
        <v>8045.6040000000003</v>
      </c>
      <c r="K626" s="110">
        <v>7752.4570000000003</v>
      </c>
      <c r="L626" s="110">
        <v>7322.2910000000002</v>
      </c>
      <c r="M626" s="110">
        <v>6768.6549999999997</v>
      </c>
      <c r="N626" s="110">
        <v>6372.5420000000004</v>
      </c>
      <c r="O626" s="110">
        <v>5899.6620000000003</v>
      </c>
      <c r="P626" s="110">
        <v>4986.4530000000004</v>
      </c>
      <c r="Q626" s="110">
        <v>3921.6309999999999</v>
      </c>
      <c r="R626" s="110">
        <v>3217.297</v>
      </c>
      <c r="S626" s="110">
        <v>2542.1970000000001</v>
      </c>
      <c r="T626" s="110">
        <v>1934.375</v>
      </c>
      <c r="U626" s="110">
        <v>1494.133</v>
      </c>
      <c r="V626" s="110">
        <v>1072.1659999999999</v>
      </c>
      <c r="W626" s="110">
        <v>726.69799999999998</v>
      </c>
      <c r="X626" s="110">
        <v>417.29399999999998</v>
      </c>
      <c r="Y626" s="110">
        <v>187.63499999999999</v>
      </c>
      <c r="Z626" s="110">
        <v>62.045999999999999</v>
      </c>
      <c r="AA626" s="110">
        <v>11.355</v>
      </c>
      <c r="AB626" s="110">
        <v>0.876</v>
      </c>
      <c r="AC626" s="115">
        <f t="shared" si="27"/>
        <v>43023.691000000006</v>
      </c>
      <c r="AD626">
        <f t="shared" si="28"/>
        <v>1.0195566996107843</v>
      </c>
    </row>
    <row r="627" spans="1:30" x14ac:dyDescent="0.25">
      <c r="A627" s="104" t="str">
        <f t="shared" si="26"/>
        <v>Ethiopia2038</v>
      </c>
      <c r="C627" s="107" t="s">
        <v>257</v>
      </c>
      <c r="D627" s="108" t="s">
        <v>6</v>
      </c>
      <c r="E627" s="109"/>
      <c r="F627" s="109">
        <v>231</v>
      </c>
      <c r="G627" s="109">
        <v>2038</v>
      </c>
      <c r="H627" s="110">
        <v>8320.9560000000001</v>
      </c>
      <c r="I627" s="110">
        <v>8231.5139999999992</v>
      </c>
      <c r="J627" s="110">
        <v>8080.2240000000002</v>
      </c>
      <c r="K627" s="110">
        <v>7819.4849999999997</v>
      </c>
      <c r="L627" s="110">
        <v>7410.192</v>
      </c>
      <c r="M627" s="110">
        <v>6880.27</v>
      </c>
      <c r="N627" s="110">
        <v>6418.9120000000003</v>
      </c>
      <c r="O627" s="110">
        <v>6013.4070000000002</v>
      </c>
      <c r="P627" s="110">
        <v>5187.5600000000004</v>
      </c>
      <c r="Q627" s="110">
        <v>4109.2179999999998</v>
      </c>
      <c r="R627" s="110">
        <v>3301.9110000000001</v>
      </c>
      <c r="S627" s="110">
        <v>2683.0320000000002</v>
      </c>
      <c r="T627" s="110">
        <v>2006.9829999999999</v>
      </c>
      <c r="U627" s="110">
        <v>1550.6079999999999</v>
      </c>
      <c r="V627" s="110">
        <v>1120.2619999999999</v>
      </c>
      <c r="W627" s="110">
        <v>744.495</v>
      </c>
      <c r="X627" s="110">
        <v>439.40100000000001</v>
      </c>
      <c r="Y627" s="110">
        <v>191.02199999999999</v>
      </c>
      <c r="Z627" s="110">
        <v>66.061999999999998</v>
      </c>
      <c r="AA627" s="110">
        <v>13.047000000000001</v>
      </c>
      <c r="AB627" s="110">
        <v>0.92200000000000004</v>
      </c>
      <c r="AC627" s="115">
        <f t="shared" si="27"/>
        <v>43839.044000000002</v>
      </c>
      <c r="AD627">
        <f t="shared" si="28"/>
        <v>1.0189512564135883</v>
      </c>
    </row>
    <row r="628" spans="1:30" x14ac:dyDescent="0.25">
      <c r="A628" s="104" t="str">
        <f t="shared" si="26"/>
        <v>Ethiopia2039</v>
      </c>
      <c r="C628" s="107" t="s">
        <v>257</v>
      </c>
      <c r="D628" s="108" t="s">
        <v>6</v>
      </c>
      <c r="E628" s="109"/>
      <c r="F628" s="109">
        <v>231</v>
      </c>
      <c r="G628" s="109">
        <v>2039</v>
      </c>
      <c r="H628" s="110">
        <v>8316.5660000000007</v>
      </c>
      <c r="I628" s="110">
        <v>8247.9269999999997</v>
      </c>
      <c r="J628" s="110">
        <v>8110.2960000000003</v>
      </c>
      <c r="K628" s="110">
        <v>7879.8919999999998</v>
      </c>
      <c r="L628" s="110">
        <v>7493.8289999999997</v>
      </c>
      <c r="M628" s="110">
        <v>6991.5950000000003</v>
      </c>
      <c r="N628" s="110">
        <v>6472.652</v>
      </c>
      <c r="O628" s="110">
        <v>6111.2150000000001</v>
      </c>
      <c r="P628" s="110">
        <v>5375.6</v>
      </c>
      <c r="Q628" s="110">
        <v>4305.4120000000003</v>
      </c>
      <c r="R628" s="110">
        <v>3401.2330000000002</v>
      </c>
      <c r="S628" s="110">
        <v>2817.0920000000001</v>
      </c>
      <c r="T628" s="110">
        <v>2092.6909999999998</v>
      </c>
      <c r="U628" s="110">
        <v>1611.152</v>
      </c>
      <c r="V628" s="110">
        <v>1171.654</v>
      </c>
      <c r="W628" s="110">
        <v>768.48400000000004</v>
      </c>
      <c r="X628" s="110">
        <v>459.44499999999999</v>
      </c>
      <c r="Y628" s="110">
        <v>195.29599999999999</v>
      </c>
      <c r="Z628" s="110">
        <v>67.069000000000003</v>
      </c>
      <c r="AA628" s="110">
        <v>13.279</v>
      </c>
      <c r="AB628" s="110">
        <v>0.97499999999999998</v>
      </c>
      <c r="AC628" s="115">
        <f t="shared" si="27"/>
        <v>44630.195000000007</v>
      </c>
      <c r="AD628">
        <f t="shared" si="28"/>
        <v>1.0180467210918196</v>
      </c>
    </row>
    <row r="629" spans="1:30" x14ac:dyDescent="0.25">
      <c r="A629" s="104" t="str">
        <f t="shared" si="26"/>
        <v>Ethiopia2040</v>
      </c>
      <c r="C629" s="107" t="s">
        <v>257</v>
      </c>
      <c r="D629" s="108" t="s">
        <v>6</v>
      </c>
      <c r="E629" s="109"/>
      <c r="F629" s="109">
        <v>231</v>
      </c>
      <c r="G629" s="109">
        <v>2040</v>
      </c>
      <c r="H629" s="110">
        <v>8313.6620000000003</v>
      </c>
      <c r="I629" s="110">
        <v>8258.2739999999994</v>
      </c>
      <c r="J629" s="110">
        <v>8136.84</v>
      </c>
      <c r="K629" s="110">
        <v>7932.8860000000004</v>
      </c>
      <c r="L629" s="110">
        <v>7573.79</v>
      </c>
      <c r="M629" s="110">
        <v>7095.5309999999999</v>
      </c>
      <c r="N629" s="110">
        <v>6542.0550000000003</v>
      </c>
      <c r="O629" s="110">
        <v>6194.9849999999997</v>
      </c>
      <c r="P629" s="110">
        <v>5544.7349999999997</v>
      </c>
      <c r="Q629" s="110">
        <v>4503.6819999999998</v>
      </c>
      <c r="R629" s="110">
        <v>3526.355</v>
      </c>
      <c r="S629" s="110">
        <v>2935.8029999999999</v>
      </c>
      <c r="T629" s="110">
        <v>2194.4740000000002</v>
      </c>
      <c r="U629" s="110">
        <v>1676.155</v>
      </c>
      <c r="V629" s="110">
        <v>1225.0050000000001</v>
      </c>
      <c r="W629" s="110">
        <v>800.60799999999995</v>
      </c>
      <c r="X629" s="110">
        <v>477.10399999999998</v>
      </c>
      <c r="Y629" s="110">
        <v>201.83</v>
      </c>
      <c r="Z629" s="110">
        <v>64.899000000000001</v>
      </c>
      <c r="AA629" s="110">
        <v>11.250999999999999</v>
      </c>
      <c r="AB629" s="110">
        <v>1.038</v>
      </c>
      <c r="AC629" s="115">
        <f t="shared" si="27"/>
        <v>45387.663999999997</v>
      </c>
      <c r="AD629">
        <f t="shared" si="28"/>
        <v>1.0169721194361796</v>
      </c>
    </row>
    <row r="630" spans="1:30" x14ac:dyDescent="0.25">
      <c r="A630" s="104" t="str">
        <f t="shared" si="26"/>
        <v>Ethiopia2041</v>
      </c>
      <c r="C630" s="107" t="s">
        <v>257</v>
      </c>
      <c r="D630" s="108" t="s">
        <v>6</v>
      </c>
      <c r="E630" s="109"/>
      <c r="F630" s="109">
        <v>231</v>
      </c>
      <c r="G630" s="109">
        <v>2041</v>
      </c>
      <c r="H630" s="110">
        <v>8313.2209999999995</v>
      </c>
      <c r="I630" s="110">
        <v>8270.5660000000007</v>
      </c>
      <c r="J630" s="110">
        <v>8163.4440000000004</v>
      </c>
      <c r="K630" s="110">
        <v>7980.8850000000002</v>
      </c>
      <c r="L630" s="110">
        <v>7651.2730000000001</v>
      </c>
      <c r="M630" s="110">
        <v>7194.9089999999997</v>
      </c>
      <c r="N630" s="110">
        <v>6626.2330000000002</v>
      </c>
      <c r="O630" s="110">
        <v>6263.3829999999998</v>
      </c>
      <c r="P630" s="110">
        <v>5695.2939999999999</v>
      </c>
      <c r="Q630" s="110">
        <v>4703.6409999999996</v>
      </c>
      <c r="R630" s="110">
        <v>3671.9369999999999</v>
      </c>
      <c r="S630" s="110">
        <v>3036.8339999999998</v>
      </c>
      <c r="T630" s="110">
        <v>2304.1030000000001</v>
      </c>
      <c r="U630" s="110">
        <v>1734.9749999999999</v>
      </c>
      <c r="V630" s="110">
        <v>1270.162</v>
      </c>
      <c r="W630" s="110">
        <v>831.56600000000003</v>
      </c>
      <c r="X630" s="110">
        <v>493.74200000000002</v>
      </c>
      <c r="Y630" s="110">
        <v>219.07900000000001</v>
      </c>
      <c r="Z630" s="110">
        <v>72.135999999999996</v>
      </c>
      <c r="AA630" s="110">
        <v>13.276</v>
      </c>
      <c r="AB630" s="110">
        <v>1.1120000000000001</v>
      </c>
      <c r="AC630" s="115">
        <f t="shared" si="27"/>
        <v>46115.618000000002</v>
      </c>
      <c r="AD630">
        <f t="shared" si="28"/>
        <v>1.0160385870486748</v>
      </c>
    </row>
    <row r="631" spans="1:30" x14ac:dyDescent="0.25">
      <c r="A631" s="104" t="str">
        <f t="shared" si="26"/>
        <v>Ethiopia2042</v>
      </c>
      <c r="C631" s="107" t="s">
        <v>257</v>
      </c>
      <c r="D631" s="108" t="s">
        <v>6</v>
      </c>
      <c r="E631" s="109"/>
      <c r="F631" s="109">
        <v>231</v>
      </c>
      <c r="G631" s="109">
        <v>2042</v>
      </c>
      <c r="H631" s="110">
        <v>8313.9169999999995</v>
      </c>
      <c r="I631" s="110">
        <v>8277.8790000000008</v>
      </c>
      <c r="J631" s="110">
        <v>8187.1610000000001</v>
      </c>
      <c r="K631" s="110">
        <v>8021.4089999999997</v>
      </c>
      <c r="L631" s="110">
        <v>7723.77</v>
      </c>
      <c r="M631" s="110">
        <v>7288.2479999999996</v>
      </c>
      <c r="N631" s="110">
        <v>6726.9319999999998</v>
      </c>
      <c r="O631" s="110">
        <v>6316.0879999999997</v>
      </c>
      <c r="P631" s="110">
        <v>5826.9430000000002</v>
      </c>
      <c r="Q631" s="110">
        <v>4906.5079999999998</v>
      </c>
      <c r="R631" s="110">
        <v>3839.7139999999999</v>
      </c>
      <c r="S631" s="110">
        <v>3123.5680000000002</v>
      </c>
      <c r="T631" s="110">
        <v>2431.982</v>
      </c>
      <c r="U631" s="110">
        <v>1797.11</v>
      </c>
      <c r="V631" s="110">
        <v>1318.7270000000001</v>
      </c>
      <c r="W631" s="110">
        <v>868.22299999999996</v>
      </c>
      <c r="X631" s="110">
        <v>507.81200000000001</v>
      </c>
      <c r="Y631" s="110">
        <v>235.066</v>
      </c>
      <c r="Z631" s="110">
        <v>76.233999999999995</v>
      </c>
      <c r="AA631" s="110">
        <v>16.399999999999999</v>
      </c>
      <c r="AB631" s="110">
        <v>1.1970000000000001</v>
      </c>
      <c r="AC631" s="115">
        <f t="shared" si="27"/>
        <v>46809.898000000001</v>
      </c>
      <c r="AD631">
        <f t="shared" si="28"/>
        <v>1.0150552032068614</v>
      </c>
    </row>
    <row r="632" spans="1:30" x14ac:dyDescent="0.25">
      <c r="A632" s="104" t="str">
        <f t="shared" si="26"/>
        <v>Ethiopia2043</v>
      </c>
      <c r="C632" s="107" t="s">
        <v>257</v>
      </c>
      <c r="D632" s="108" t="s">
        <v>6</v>
      </c>
      <c r="E632" s="109"/>
      <c r="F632" s="109">
        <v>231</v>
      </c>
      <c r="G632" s="109">
        <v>2043</v>
      </c>
      <c r="H632" s="110">
        <v>8314.7790000000005</v>
      </c>
      <c r="I632" s="110">
        <v>8280.2440000000006</v>
      </c>
      <c r="J632" s="110">
        <v>8207.8520000000008</v>
      </c>
      <c r="K632" s="110">
        <v>8055.7430000000004</v>
      </c>
      <c r="L632" s="110">
        <v>7790.5450000000001</v>
      </c>
      <c r="M632" s="110">
        <v>7375.86</v>
      </c>
      <c r="N632" s="110">
        <v>6838.0929999999998</v>
      </c>
      <c r="O632" s="110">
        <v>6362.549</v>
      </c>
      <c r="P632" s="110">
        <v>5940.2960000000003</v>
      </c>
      <c r="Q632" s="110">
        <v>5105.6880000000001</v>
      </c>
      <c r="R632" s="110">
        <v>4024.6</v>
      </c>
      <c r="S632" s="110">
        <v>3207.261</v>
      </c>
      <c r="T632" s="110">
        <v>2568.6959999999999</v>
      </c>
      <c r="U632" s="110">
        <v>1866.58</v>
      </c>
      <c r="V632" s="110">
        <v>1371.328</v>
      </c>
      <c r="W632" s="110">
        <v>909.68499999999995</v>
      </c>
      <c r="X632" s="110">
        <v>522.59900000000005</v>
      </c>
      <c r="Y632" s="110">
        <v>248.047</v>
      </c>
      <c r="Z632" s="110">
        <v>78.867000000000004</v>
      </c>
      <c r="AA632" s="110">
        <v>18.773</v>
      </c>
      <c r="AB632" s="110">
        <v>1.294</v>
      </c>
      <c r="AC632" s="115">
        <f t="shared" si="27"/>
        <v>47468.774000000005</v>
      </c>
      <c r="AD632">
        <f t="shared" si="28"/>
        <v>1.0140755700856261</v>
      </c>
    </row>
    <row r="633" spans="1:30" x14ac:dyDescent="0.25">
      <c r="A633" s="104" t="str">
        <f t="shared" si="26"/>
        <v>Ethiopia2044</v>
      </c>
      <c r="C633" s="107" t="s">
        <v>257</v>
      </c>
      <c r="D633" s="108" t="s">
        <v>6</v>
      </c>
      <c r="E633" s="109"/>
      <c r="F633" s="109">
        <v>231</v>
      </c>
      <c r="G633" s="109">
        <v>2044</v>
      </c>
      <c r="H633" s="110">
        <v>8313.1209999999992</v>
      </c>
      <c r="I633" s="110">
        <v>8278.6880000000001</v>
      </c>
      <c r="J633" s="110">
        <v>8224.5830000000005</v>
      </c>
      <c r="K633" s="110">
        <v>8085.9769999999999</v>
      </c>
      <c r="L633" s="110">
        <v>7850.73</v>
      </c>
      <c r="M633" s="110">
        <v>7459.3310000000001</v>
      </c>
      <c r="N633" s="110">
        <v>6949.2430000000004</v>
      </c>
      <c r="O633" s="110">
        <v>6416.5810000000001</v>
      </c>
      <c r="P633" s="110">
        <v>6037.4369999999999</v>
      </c>
      <c r="Q633" s="110">
        <v>5292.3140000000003</v>
      </c>
      <c r="R633" s="110">
        <v>4218.183</v>
      </c>
      <c r="S633" s="110">
        <v>3305.953</v>
      </c>
      <c r="T633" s="110">
        <v>2699.7739999999999</v>
      </c>
      <c r="U633" s="110">
        <v>1949.4880000000001</v>
      </c>
      <c r="V633" s="110">
        <v>1428.4639999999999</v>
      </c>
      <c r="W633" s="110">
        <v>954.30100000000004</v>
      </c>
      <c r="X633" s="110">
        <v>541.44600000000003</v>
      </c>
      <c r="Y633" s="110">
        <v>258.435</v>
      </c>
      <c r="Z633" s="110">
        <v>79.730999999999995</v>
      </c>
      <c r="AA633" s="110">
        <v>19.010999999999999</v>
      </c>
      <c r="AB633" s="110">
        <v>1.4039999999999999</v>
      </c>
      <c r="AC633" s="115">
        <f t="shared" si="27"/>
        <v>48091.612999999998</v>
      </c>
      <c r="AD633">
        <f t="shared" si="28"/>
        <v>1.013121025624129</v>
      </c>
    </row>
    <row r="634" spans="1:30" x14ac:dyDescent="0.25">
      <c r="A634" s="104" t="str">
        <f t="shared" si="26"/>
        <v>Ethiopia2045</v>
      </c>
      <c r="C634" s="107" t="s">
        <v>257</v>
      </c>
      <c r="D634" s="108" t="s">
        <v>6</v>
      </c>
      <c r="E634" s="109"/>
      <c r="F634" s="109">
        <v>231</v>
      </c>
      <c r="G634" s="109">
        <v>2045</v>
      </c>
      <c r="H634" s="110">
        <v>8307.49</v>
      </c>
      <c r="I634" s="110">
        <v>8274.6990000000005</v>
      </c>
      <c r="J634" s="110">
        <v>8236.1830000000009</v>
      </c>
      <c r="K634" s="110">
        <v>8113.3710000000001</v>
      </c>
      <c r="L634" s="110">
        <v>7903.8069999999998</v>
      </c>
      <c r="M634" s="110">
        <v>7539.4080000000004</v>
      </c>
      <c r="N634" s="110">
        <v>7053.4780000000001</v>
      </c>
      <c r="O634" s="110">
        <v>6486.53</v>
      </c>
      <c r="P634" s="110">
        <v>6120.6689999999999</v>
      </c>
      <c r="Q634" s="110">
        <v>5460.4530000000004</v>
      </c>
      <c r="R634" s="110">
        <v>4414.2860000000001</v>
      </c>
      <c r="S634" s="110">
        <v>3430.37</v>
      </c>
      <c r="T634" s="110">
        <v>2816.9389999999999</v>
      </c>
      <c r="U634" s="110">
        <v>2048.8739999999998</v>
      </c>
      <c r="V634" s="110">
        <v>1490.559</v>
      </c>
      <c r="W634" s="110">
        <v>1001.402</v>
      </c>
      <c r="X634" s="110">
        <v>566.03800000000001</v>
      </c>
      <c r="Y634" s="110">
        <v>266.31400000000002</v>
      </c>
      <c r="Z634" s="110">
        <v>79.730999999999995</v>
      </c>
      <c r="AA634" s="110">
        <v>16.178000000000001</v>
      </c>
      <c r="AB634" s="110">
        <v>1.5269999999999999</v>
      </c>
      <c r="AC634" s="115">
        <f t="shared" si="27"/>
        <v>48677.716</v>
      </c>
      <c r="AD634">
        <f t="shared" si="28"/>
        <v>1.0121872185904848</v>
      </c>
    </row>
    <row r="635" spans="1:30" x14ac:dyDescent="0.25">
      <c r="A635" s="104" t="str">
        <f t="shared" si="26"/>
        <v>Ethiopia2046</v>
      </c>
      <c r="C635" s="107" t="s">
        <v>257</v>
      </c>
      <c r="D635" s="108" t="s">
        <v>6</v>
      </c>
      <c r="E635" s="109"/>
      <c r="F635" s="109">
        <v>231</v>
      </c>
      <c r="G635" s="109">
        <v>2046</v>
      </c>
      <c r="H635" s="110">
        <v>8308.66</v>
      </c>
      <c r="I635" s="110">
        <v>8276.5400000000009</v>
      </c>
      <c r="J635" s="110">
        <v>8246.0789999999997</v>
      </c>
      <c r="K635" s="110">
        <v>8139.9030000000002</v>
      </c>
      <c r="L635" s="110">
        <v>7951.7439999999997</v>
      </c>
      <c r="M635" s="110">
        <v>7616.4639999999999</v>
      </c>
      <c r="N635" s="110">
        <v>7152.1</v>
      </c>
      <c r="O635" s="110">
        <v>6570.51</v>
      </c>
      <c r="P635" s="110">
        <v>6189.7269999999999</v>
      </c>
      <c r="Q635" s="110">
        <v>5609.2669999999998</v>
      </c>
      <c r="R635" s="110">
        <v>4610.8320000000003</v>
      </c>
      <c r="S635" s="110">
        <v>3572.4690000000001</v>
      </c>
      <c r="T635" s="110">
        <v>2912.8870000000002</v>
      </c>
      <c r="U635" s="110">
        <v>2152.1480000000001</v>
      </c>
      <c r="V635" s="110">
        <v>1544.039</v>
      </c>
      <c r="W635" s="110">
        <v>1040.777</v>
      </c>
      <c r="X635" s="110">
        <v>593.64</v>
      </c>
      <c r="Y635" s="110">
        <v>281.98399999999998</v>
      </c>
      <c r="Z635" s="110">
        <v>91.518000000000001</v>
      </c>
      <c r="AA635" s="110">
        <v>18.015999999999998</v>
      </c>
      <c r="AB635" s="110">
        <v>1.667</v>
      </c>
      <c r="AC635" s="115">
        <f t="shared" si="27"/>
        <v>49229.715000000004</v>
      </c>
      <c r="AD635">
        <f t="shared" si="28"/>
        <v>1.0113398705888337</v>
      </c>
    </row>
    <row r="636" spans="1:30" x14ac:dyDescent="0.25">
      <c r="A636" s="104" t="str">
        <f t="shared" si="26"/>
        <v>Ethiopia2047</v>
      </c>
      <c r="C636" s="107" t="s">
        <v>257</v>
      </c>
      <c r="D636" s="108" t="s">
        <v>6</v>
      </c>
      <c r="E636" s="109"/>
      <c r="F636" s="109">
        <v>231</v>
      </c>
      <c r="G636" s="109">
        <v>2047</v>
      </c>
      <c r="H636" s="110">
        <v>8300.4459999999999</v>
      </c>
      <c r="I636" s="110">
        <v>8278.518</v>
      </c>
      <c r="J636" s="110">
        <v>8252.1759999999995</v>
      </c>
      <c r="K636" s="110">
        <v>8164.2849999999999</v>
      </c>
      <c r="L636" s="110">
        <v>7992.7560000000003</v>
      </c>
      <c r="M636" s="110">
        <v>7689.2259999999997</v>
      </c>
      <c r="N636" s="110">
        <v>7245.4219999999996</v>
      </c>
      <c r="O636" s="110">
        <v>6671.2430000000004</v>
      </c>
      <c r="P636" s="110">
        <v>6243.5950000000003</v>
      </c>
      <c r="Q636" s="110">
        <v>5740.22</v>
      </c>
      <c r="R636" s="110">
        <v>4811.1580000000004</v>
      </c>
      <c r="S636" s="110">
        <v>3737.1039999999998</v>
      </c>
      <c r="T636" s="110">
        <v>2996.692</v>
      </c>
      <c r="U636" s="110">
        <v>2273.66</v>
      </c>
      <c r="V636" s="110">
        <v>1601.0519999999999</v>
      </c>
      <c r="W636" s="110">
        <v>1083.1300000000001</v>
      </c>
      <c r="X636" s="110">
        <v>623.59500000000003</v>
      </c>
      <c r="Y636" s="110">
        <v>293.86700000000002</v>
      </c>
      <c r="Z636" s="110">
        <v>100.533</v>
      </c>
      <c r="AA636" s="110">
        <v>20.975000000000001</v>
      </c>
      <c r="AB636" s="110">
        <v>1.8220000000000001</v>
      </c>
      <c r="AC636" s="115">
        <f t="shared" si="27"/>
        <v>49746.747000000003</v>
      </c>
      <c r="AD636">
        <f t="shared" si="28"/>
        <v>1.0105024373998508</v>
      </c>
    </row>
    <row r="637" spans="1:30" x14ac:dyDescent="0.25">
      <c r="A637" s="104" t="str">
        <f t="shared" si="26"/>
        <v>Ethiopia2048</v>
      </c>
      <c r="C637" s="107" t="s">
        <v>257</v>
      </c>
      <c r="D637" s="108" t="s">
        <v>6</v>
      </c>
      <c r="E637" s="109"/>
      <c r="F637" s="109">
        <v>231</v>
      </c>
      <c r="G637" s="109">
        <v>2048</v>
      </c>
      <c r="H637" s="110">
        <v>8284.9529999999995</v>
      </c>
      <c r="I637" s="110">
        <v>8280.0540000000001</v>
      </c>
      <c r="J637" s="110">
        <v>8254.9069999999992</v>
      </c>
      <c r="K637" s="110">
        <v>8185.6970000000001</v>
      </c>
      <c r="L637" s="110">
        <v>8027.7460000000001</v>
      </c>
      <c r="M637" s="110">
        <v>7756.5770000000002</v>
      </c>
      <c r="N637" s="110">
        <v>7333.5060000000003</v>
      </c>
      <c r="O637" s="110">
        <v>6782.6480000000001</v>
      </c>
      <c r="P637" s="110">
        <v>6291.0460000000003</v>
      </c>
      <c r="Q637" s="110">
        <v>5853.7380000000003</v>
      </c>
      <c r="R637" s="110">
        <v>5008.4539999999997</v>
      </c>
      <c r="S637" s="110">
        <v>3918.9589999999998</v>
      </c>
      <c r="T637" s="110">
        <v>3079.3560000000002</v>
      </c>
      <c r="U637" s="110">
        <v>2404.3159999999998</v>
      </c>
      <c r="V637" s="110">
        <v>1665.672</v>
      </c>
      <c r="W637" s="110">
        <v>1129.5909999999999</v>
      </c>
      <c r="X637" s="110">
        <v>655.72500000000002</v>
      </c>
      <c r="Y637" s="110">
        <v>303.334</v>
      </c>
      <c r="Z637" s="110">
        <v>107.226</v>
      </c>
      <c r="AA637" s="110">
        <v>23.408999999999999</v>
      </c>
      <c r="AB637" s="110">
        <v>1.9870000000000001</v>
      </c>
      <c r="AC637" s="115">
        <f t="shared" si="27"/>
        <v>50230.957999999999</v>
      </c>
      <c r="AD637">
        <f t="shared" si="28"/>
        <v>1.0097335208672036</v>
      </c>
    </row>
    <row r="638" spans="1:30" x14ac:dyDescent="0.25">
      <c r="A638" s="104" t="str">
        <f t="shared" si="26"/>
        <v>Ethiopia2049</v>
      </c>
      <c r="C638" s="107" t="s">
        <v>257</v>
      </c>
      <c r="D638" s="108" t="s">
        <v>6</v>
      </c>
      <c r="E638" s="109"/>
      <c r="F638" s="109">
        <v>231</v>
      </c>
      <c r="G638" s="109">
        <v>2049</v>
      </c>
      <c r="H638" s="110">
        <v>8265.6810000000005</v>
      </c>
      <c r="I638" s="110">
        <v>8279.2790000000005</v>
      </c>
      <c r="J638" s="110">
        <v>8255.4750000000004</v>
      </c>
      <c r="K638" s="110">
        <v>8202.6890000000003</v>
      </c>
      <c r="L638" s="110">
        <v>8058.3090000000002</v>
      </c>
      <c r="M638" s="110">
        <v>7817.1260000000002</v>
      </c>
      <c r="N638" s="110">
        <v>7417.4579999999996</v>
      </c>
      <c r="O638" s="110">
        <v>6893.9759999999997</v>
      </c>
      <c r="P638" s="110">
        <v>6345.3370000000004</v>
      </c>
      <c r="Q638" s="110">
        <v>5951.3590000000004</v>
      </c>
      <c r="R638" s="110">
        <v>5193.5280000000002</v>
      </c>
      <c r="S638" s="110">
        <v>4109.6719999999996</v>
      </c>
      <c r="T638" s="110">
        <v>3177.915</v>
      </c>
      <c r="U638" s="110">
        <v>2530.3470000000002</v>
      </c>
      <c r="V638" s="110">
        <v>1743.83</v>
      </c>
      <c r="W638" s="110">
        <v>1180.6479999999999</v>
      </c>
      <c r="X638" s="110">
        <v>689.38499999999999</v>
      </c>
      <c r="Y638" s="110">
        <v>313.90499999999997</v>
      </c>
      <c r="Z638" s="110">
        <v>110.392</v>
      </c>
      <c r="AA638" s="110">
        <v>23.844000000000001</v>
      </c>
      <c r="AB638" s="110">
        <v>2.1520000000000001</v>
      </c>
      <c r="AC638" s="115">
        <f t="shared" si="27"/>
        <v>50686.254000000001</v>
      </c>
      <c r="AD638">
        <f t="shared" si="28"/>
        <v>1.0090640516949727</v>
      </c>
    </row>
    <row r="639" spans="1:30" x14ac:dyDescent="0.25">
      <c r="A639" s="104" t="str">
        <f t="shared" si="26"/>
        <v>Ethiopia2050</v>
      </c>
      <c r="C639" s="107" t="s">
        <v>257</v>
      </c>
      <c r="D639" s="108" t="s">
        <v>6</v>
      </c>
      <c r="E639" s="109"/>
      <c r="F639" s="109">
        <v>231</v>
      </c>
      <c r="G639" s="109">
        <v>2050</v>
      </c>
      <c r="H639" s="110">
        <v>8245.3700000000008</v>
      </c>
      <c r="I639" s="110">
        <v>8273.5390000000007</v>
      </c>
      <c r="J639" s="110">
        <v>8255.0490000000009</v>
      </c>
      <c r="K639" s="110">
        <v>8214.5149999999994</v>
      </c>
      <c r="L639" s="110">
        <v>8085.5919999999996</v>
      </c>
      <c r="M639" s="110">
        <v>7870.1509999999998</v>
      </c>
      <c r="N639" s="110">
        <v>7497.7650000000003</v>
      </c>
      <c r="O639" s="110">
        <v>6998.2020000000002</v>
      </c>
      <c r="P639" s="110">
        <v>6414.8710000000001</v>
      </c>
      <c r="Q639" s="110">
        <v>6034.875</v>
      </c>
      <c r="R639" s="110">
        <v>5360.36</v>
      </c>
      <c r="S639" s="110">
        <v>4303.2619999999997</v>
      </c>
      <c r="T639" s="110">
        <v>3302.15</v>
      </c>
      <c r="U639" s="110">
        <v>2644.192</v>
      </c>
      <c r="V639" s="110">
        <v>1838.4559999999999</v>
      </c>
      <c r="W639" s="110">
        <v>1236.6500000000001</v>
      </c>
      <c r="X639" s="110">
        <v>724.87300000000005</v>
      </c>
      <c r="Y639" s="110">
        <v>327.25400000000002</v>
      </c>
      <c r="Z639" s="110">
        <v>110.318</v>
      </c>
      <c r="AA639" s="110">
        <v>21.035</v>
      </c>
      <c r="AB639" s="110">
        <v>2.3140000000000001</v>
      </c>
      <c r="AC639" s="115">
        <f t="shared" si="27"/>
        <v>51115.970999999998</v>
      </c>
      <c r="AD639">
        <f t="shared" si="28"/>
        <v>1.0084779790591745</v>
      </c>
    </row>
    <row r="640" spans="1:30" x14ac:dyDescent="0.25">
      <c r="A640" s="104" t="str">
        <f t="shared" si="26"/>
        <v>Ethiopia2051</v>
      </c>
      <c r="C640" s="107" t="s">
        <v>257</v>
      </c>
      <c r="D640" s="108" t="s">
        <v>6</v>
      </c>
      <c r="E640" s="109"/>
      <c r="F640" s="109">
        <v>231</v>
      </c>
      <c r="G640" s="109">
        <v>2051</v>
      </c>
      <c r="H640" s="110">
        <v>8227.8119999999999</v>
      </c>
      <c r="I640" s="110">
        <v>8270.4850000000006</v>
      </c>
      <c r="J640" s="110">
        <v>8258.3359999999993</v>
      </c>
      <c r="K640" s="110">
        <v>8225.25</v>
      </c>
      <c r="L640" s="110">
        <v>8113.27</v>
      </c>
      <c r="M640" s="110">
        <v>7918.8810000000003</v>
      </c>
      <c r="N640" s="110">
        <v>7575.2709999999997</v>
      </c>
      <c r="O640" s="110">
        <v>7097.35</v>
      </c>
      <c r="P640" s="110">
        <v>6500.26</v>
      </c>
      <c r="Q640" s="110">
        <v>6104.2830000000004</v>
      </c>
      <c r="R640" s="110">
        <v>5507.6270000000004</v>
      </c>
      <c r="S640" s="110">
        <v>4495.4939999999997</v>
      </c>
      <c r="T640" s="110">
        <v>3439.1640000000002</v>
      </c>
      <c r="U640" s="110">
        <v>2733.86</v>
      </c>
      <c r="V640" s="110">
        <v>1933.1890000000001</v>
      </c>
      <c r="W640" s="110">
        <v>1283.3800000000001</v>
      </c>
      <c r="X640" s="110">
        <v>758.71100000000001</v>
      </c>
      <c r="Y640" s="110">
        <v>351.428</v>
      </c>
      <c r="Z640" s="110">
        <v>122.684</v>
      </c>
      <c r="AA640" s="110">
        <v>24.370999999999999</v>
      </c>
      <c r="AB640" s="110">
        <v>2.4689999999999999</v>
      </c>
      <c r="AC640" s="115">
        <f t="shared" si="27"/>
        <v>51534.56500000001</v>
      </c>
      <c r="AD640">
        <f t="shared" si="28"/>
        <v>1.008189103949527</v>
      </c>
    </row>
    <row r="641" spans="1:30" x14ac:dyDescent="0.25">
      <c r="A641" s="104" t="str">
        <f t="shared" si="26"/>
        <v>Ethiopia2052</v>
      </c>
      <c r="C641" s="107" t="s">
        <v>257</v>
      </c>
      <c r="D641" s="108" t="s">
        <v>6</v>
      </c>
      <c r="E641" s="109"/>
      <c r="F641" s="109">
        <v>231</v>
      </c>
      <c r="G641" s="109">
        <v>2052</v>
      </c>
      <c r="H641" s="110">
        <v>8207.4050000000007</v>
      </c>
      <c r="I641" s="110">
        <v>8263.2890000000007</v>
      </c>
      <c r="J641" s="110">
        <v>8261.0519999999997</v>
      </c>
      <c r="K641" s="110">
        <v>8231.3289999999997</v>
      </c>
      <c r="L641" s="110">
        <v>8138.1239999999998</v>
      </c>
      <c r="M641" s="110">
        <v>7960.2290000000003</v>
      </c>
      <c r="N641" s="110">
        <v>7648.0950000000003</v>
      </c>
      <c r="O641" s="110">
        <v>7190.6940000000004</v>
      </c>
      <c r="P641" s="110">
        <v>6601.6040000000003</v>
      </c>
      <c r="Q641" s="110">
        <v>6158.52</v>
      </c>
      <c r="R641" s="110">
        <v>5637.5829999999996</v>
      </c>
      <c r="S641" s="110">
        <v>4692.2070000000003</v>
      </c>
      <c r="T641" s="110">
        <v>3598.7139999999999</v>
      </c>
      <c r="U641" s="110">
        <v>2813.4830000000002</v>
      </c>
      <c r="V641" s="110">
        <v>2045.1410000000001</v>
      </c>
      <c r="W641" s="110">
        <v>1332.7090000000001</v>
      </c>
      <c r="X641" s="110">
        <v>793.40099999999995</v>
      </c>
      <c r="Y641" s="110">
        <v>373.63900000000001</v>
      </c>
      <c r="Z641" s="110">
        <v>130.488</v>
      </c>
      <c r="AA641" s="110">
        <v>29.56</v>
      </c>
      <c r="AB641" s="110">
        <v>2.6219999999999999</v>
      </c>
      <c r="AC641" s="115">
        <f t="shared" si="27"/>
        <v>51928.595000000001</v>
      </c>
      <c r="AD641">
        <f t="shared" si="28"/>
        <v>1.0076459362759731</v>
      </c>
    </row>
    <row r="642" spans="1:30" x14ac:dyDescent="0.25">
      <c r="A642" s="104" t="str">
        <f t="shared" si="26"/>
        <v>Ethiopia2053</v>
      </c>
      <c r="C642" s="107" t="s">
        <v>257</v>
      </c>
      <c r="D642" s="108" t="s">
        <v>6</v>
      </c>
      <c r="E642" s="109"/>
      <c r="F642" s="109">
        <v>231</v>
      </c>
      <c r="G642" s="109">
        <v>2053</v>
      </c>
      <c r="H642" s="110">
        <v>8184.4830000000002</v>
      </c>
      <c r="I642" s="110">
        <v>8251.5390000000007</v>
      </c>
      <c r="J642" s="110">
        <v>8262.5319999999992</v>
      </c>
      <c r="K642" s="110">
        <v>8233.9230000000007</v>
      </c>
      <c r="L642" s="110">
        <v>8159.5330000000004</v>
      </c>
      <c r="M642" s="110">
        <v>7995.2659999999996</v>
      </c>
      <c r="N642" s="110">
        <v>7715.39</v>
      </c>
      <c r="O642" s="110">
        <v>7278.7020000000002</v>
      </c>
      <c r="P642" s="110">
        <v>6712.74</v>
      </c>
      <c r="Q642" s="110">
        <v>6206.51</v>
      </c>
      <c r="R642" s="110">
        <v>5750.6109999999999</v>
      </c>
      <c r="S642" s="110">
        <v>4886.5659999999998</v>
      </c>
      <c r="T642" s="110">
        <v>3775.87</v>
      </c>
      <c r="U642" s="110">
        <v>2893.7939999999999</v>
      </c>
      <c r="V642" s="110">
        <v>2166.0169999999998</v>
      </c>
      <c r="W642" s="110">
        <v>1389.3330000000001</v>
      </c>
      <c r="X642" s="110">
        <v>830.33799999999997</v>
      </c>
      <c r="Y642" s="110">
        <v>393.21199999999999</v>
      </c>
      <c r="Z642" s="110">
        <v>136.125</v>
      </c>
      <c r="AA642" s="110">
        <v>33.639000000000003</v>
      </c>
      <c r="AB642" s="110">
        <v>2.7839999999999998</v>
      </c>
      <c r="AC642" s="115">
        <f t="shared" si="27"/>
        <v>52302.063999999998</v>
      </c>
      <c r="AD642">
        <f t="shared" si="28"/>
        <v>1.0071919719761337</v>
      </c>
    </row>
    <row r="643" spans="1:30" x14ac:dyDescent="0.25">
      <c r="A643" s="104" t="str">
        <f t="shared" si="26"/>
        <v>Ethiopia2054</v>
      </c>
      <c r="C643" s="107" t="s">
        <v>257</v>
      </c>
      <c r="D643" s="108" t="s">
        <v>6</v>
      </c>
      <c r="E643" s="109"/>
      <c r="F643" s="109">
        <v>231</v>
      </c>
      <c r="G643" s="109">
        <v>2054</v>
      </c>
      <c r="H643" s="110">
        <v>8158.4930000000004</v>
      </c>
      <c r="I643" s="110">
        <v>8235.4470000000001</v>
      </c>
      <c r="J643" s="110">
        <v>8261.2919999999995</v>
      </c>
      <c r="K643" s="110">
        <v>8234.8379999999997</v>
      </c>
      <c r="L643" s="110">
        <v>8176.4160000000002</v>
      </c>
      <c r="M643" s="110">
        <v>8025.8909999999996</v>
      </c>
      <c r="N643" s="110">
        <v>7776.1009999999997</v>
      </c>
      <c r="O643" s="110">
        <v>7362.777</v>
      </c>
      <c r="P643" s="110">
        <v>6823.317</v>
      </c>
      <c r="Q643" s="110">
        <v>6261.5439999999999</v>
      </c>
      <c r="R643" s="110">
        <v>5848.268</v>
      </c>
      <c r="S643" s="110">
        <v>5069.5460000000003</v>
      </c>
      <c r="T643" s="110">
        <v>3962.9059999999999</v>
      </c>
      <c r="U643" s="110">
        <v>2990.9560000000001</v>
      </c>
      <c r="V643" s="110">
        <v>2283.4899999999998</v>
      </c>
      <c r="W643" s="110">
        <v>1459.181</v>
      </c>
      <c r="X643" s="110">
        <v>870.17499999999995</v>
      </c>
      <c r="Y643" s="110">
        <v>412.49700000000001</v>
      </c>
      <c r="Z643" s="110">
        <v>139.25800000000001</v>
      </c>
      <c r="AA643" s="110">
        <v>34.454999999999998</v>
      </c>
      <c r="AB643" s="110">
        <v>2.9729999999999999</v>
      </c>
      <c r="AC643" s="115">
        <f t="shared" si="27"/>
        <v>52660.884000000005</v>
      </c>
      <c r="AD643">
        <f t="shared" si="28"/>
        <v>1.0068605323109239</v>
      </c>
    </row>
    <row r="644" spans="1:30" x14ac:dyDescent="0.25">
      <c r="A644" s="104" t="str">
        <f t="shared" si="26"/>
        <v>Ethiopia2055</v>
      </c>
      <c r="C644" s="107" t="s">
        <v>257</v>
      </c>
      <c r="D644" s="108" t="s">
        <v>6</v>
      </c>
      <c r="E644" s="109"/>
      <c r="F644" s="109">
        <v>231</v>
      </c>
      <c r="G644" s="109">
        <v>2055</v>
      </c>
      <c r="H644" s="110">
        <v>8129.2780000000002</v>
      </c>
      <c r="I644" s="110">
        <v>8215.5730000000003</v>
      </c>
      <c r="J644" s="110">
        <v>8255.9009999999998</v>
      </c>
      <c r="K644" s="110">
        <v>8235.1090000000004</v>
      </c>
      <c r="L644" s="110">
        <v>8188.2120000000004</v>
      </c>
      <c r="M644" s="110">
        <v>8053.3029999999999</v>
      </c>
      <c r="N644" s="110">
        <v>7829.5429999999997</v>
      </c>
      <c r="O644" s="110">
        <v>7443.4189999999999</v>
      </c>
      <c r="P644" s="110">
        <v>6926.7860000000001</v>
      </c>
      <c r="Q644" s="110">
        <v>6331.7020000000002</v>
      </c>
      <c r="R644" s="110">
        <v>5932.2960000000003</v>
      </c>
      <c r="S644" s="110">
        <v>5235.22</v>
      </c>
      <c r="T644" s="110">
        <v>4154.0929999999998</v>
      </c>
      <c r="U644" s="110">
        <v>3114.0390000000002</v>
      </c>
      <c r="V644" s="110">
        <v>2391.145</v>
      </c>
      <c r="W644" s="110">
        <v>1544.972</v>
      </c>
      <c r="X644" s="110">
        <v>913.72900000000004</v>
      </c>
      <c r="Y644" s="110">
        <v>432.26499999999999</v>
      </c>
      <c r="Z644" s="110">
        <v>141.42699999999999</v>
      </c>
      <c r="AA644" s="110">
        <v>30.638000000000002</v>
      </c>
      <c r="AB644" s="110">
        <v>3.2</v>
      </c>
      <c r="AC644" s="115">
        <f t="shared" si="27"/>
        <v>53008.074000000001</v>
      </c>
      <c r="AD644">
        <f t="shared" si="28"/>
        <v>1.0065929390778932</v>
      </c>
    </row>
    <row r="645" spans="1:30" x14ac:dyDescent="0.25">
      <c r="A645" s="104" t="str">
        <f t="shared" si="26"/>
        <v>Ethiopia2056</v>
      </c>
      <c r="C645" s="107" t="s">
        <v>257</v>
      </c>
      <c r="D645" s="108" t="s">
        <v>6</v>
      </c>
      <c r="E645" s="109"/>
      <c r="F645" s="109">
        <v>231</v>
      </c>
      <c r="G645" s="109">
        <v>2056</v>
      </c>
      <c r="H645" s="110">
        <v>8103.7269999999999</v>
      </c>
      <c r="I645" s="110">
        <v>8200.27</v>
      </c>
      <c r="J645" s="110">
        <v>8251.5660000000007</v>
      </c>
      <c r="K645" s="110">
        <v>8238.7890000000007</v>
      </c>
      <c r="L645" s="110">
        <v>8199.5290000000005</v>
      </c>
      <c r="M645" s="110">
        <v>8081.2659999999996</v>
      </c>
      <c r="N645" s="110">
        <v>7878.3159999999998</v>
      </c>
      <c r="O645" s="110">
        <v>7521.0870000000004</v>
      </c>
      <c r="P645" s="110">
        <v>7026.6469999999999</v>
      </c>
      <c r="Q645" s="110">
        <v>6416.8829999999998</v>
      </c>
      <c r="R645" s="110">
        <v>6001.348</v>
      </c>
      <c r="S645" s="110">
        <v>5379.3109999999997</v>
      </c>
      <c r="T645" s="110">
        <v>4338.84</v>
      </c>
      <c r="U645" s="110">
        <v>3244.1729999999998</v>
      </c>
      <c r="V645" s="110">
        <v>2471.989</v>
      </c>
      <c r="W645" s="110">
        <v>1628.173</v>
      </c>
      <c r="X645" s="110">
        <v>953.73900000000003</v>
      </c>
      <c r="Y645" s="110">
        <v>461.61900000000003</v>
      </c>
      <c r="Z645" s="110">
        <v>159.28200000000001</v>
      </c>
      <c r="AA645" s="110">
        <v>34.246000000000002</v>
      </c>
      <c r="AB645" s="110">
        <v>3.4750000000000001</v>
      </c>
      <c r="AC645" s="115">
        <f t="shared" si="27"/>
        <v>53362.517</v>
      </c>
      <c r="AD645">
        <f t="shared" si="28"/>
        <v>1.0066865851417277</v>
      </c>
    </row>
    <row r="646" spans="1:30" x14ac:dyDescent="0.25">
      <c r="A646" s="104" t="str">
        <f t="shared" si="26"/>
        <v>Ethiopia2057</v>
      </c>
      <c r="C646" s="107" t="s">
        <v>257</v>
      </c>
      <c r="D646" s="108" t="s">
        <v>6</v>
      </c>
      <c r="E646" s="109"/>
      <c r="F646" s="109">
        <v>231</v>
      </c>
      <c r="G646" s="109">
        <v>2057</v>
      </c>
      <c r="H646" s="110">
        <v>8074.0230000000001</v>
      </c>
      <c r="I646" s="110">
        <v>8181.5870000000004</v>
      </c>
      <c r="J646" s="110">
        <v>8243.7369999999992</v>
      </c>
      <c r="K646" s="110">
        <v>8241.9959999999992</v>
      </c>
      <c r="L646" s="110">
        <v>8206.1669999999995</v>
      </c>
      <c r="M646" s="110">
        <v>8106.5389999999998</v>
      </c>
      <c r="N646" s="110">
        <v>7919.9210000000003</v>
      </c>
      <c r="O646" s="110">
        <v>7594.0940000000001</v>
      </c>
      <c r="P646" s="110">
        <v>7120.7309999999998</v>
      </c>
      <c r="Q646" s="110">
        <v>6518.0860000000002</v>
      </c>
      <c r="R646" s="110">
        <v>6056</v>
      </c>
      <c r="S646" s="110">
        <v>5507.7179999999998</v>
      </c>
      <c r="T646" s="110">
        <v>4529.7870000000003</v>
      </c>
      <c r="U646" s="110">
        <v>3396.6129999999998</v>
      </c>
      <c r="V646" s="110">
        <v>2545.4389999999999</v>
      </c>
      <c r="W646" s="110">
        <v>1726.1949999999999</v>
      </c>
      <c r="X646" s="110">
        <v>993.71799999999996</v>
      </c>
      <c r="Y646" s="110">
        <v>488.084</v>
      </c>
      <c r="Z646" s="110">
        <v>172.48</v>
      </c>
      <c r="AA646" s="110">
        <v>39.700000000000003</v>
      </c>
      <c r="AB646" s="110">
        <v>3.7930000000000001</v>
      </c>
      <c r="AC646" s="115">
        <f t="shared" si="27"/>
        <v>53707.534</v>
      </c>
      <c r="AD646">
        <f t="shared" si="28"/>
        <v>1.0064655308519275</v>
      </c>
    </row>
    <row r="647" spans="1:30" x14ac:dyDescent="0.25">
      <c r="A647" s="104" t="str">
        <f t="shared" si="26"/>
        <v>Ethiopia2058</v>
      </c>
      <c r="C647" s="107" t="s">
        <v>257</v>
      </c>
      <c r="D647" s="108" t="s">
        <v>6</v>
      </c>
      <c r="E647" s="109"/>
      <c r="F647" s="109">
        <v>231</v>
      </c>
      <c r="G647" s="109">
        <v>2058</v>
      </c>
      <c r="H647" s="110">
        <v>8040.8130000000001</v>
      </c>
      <c r="I647" s="110">
        <v>8159.241</v>
      </c>
      <c r="J647" s="110">
        <v>8232.4709999999995</v>
      </c>
      <c r="K647" s="110">
        <v>8243.8189999999995</v>
      </c>
      <c r="L647" s="110">
        <v>8209.1810000000005</v>
      </c>
      <c r="M647" s="110">
        <v>8128.3890000000001</v>
      </c>
      <c r="N647" s="110">
        <v>7955.4049999999997</v>
      </c>
      <c r="O647" s="110">
        <v>7661.759</v>
      </c>
      <c r="P647" s="110">
        <v>7209.116</v>
      </c>
      <c r="Q647" s="110">
        <v>6629.26</v>
      </c>
      <c r="R647" s="110">
        <v>6104.84</v>
      </c>
      <c r="S647" s="110">
        <v>5620.4070000000002</v>
      </c>
      <c r="T647" s="110">
        <v>4720.3879999999999</v>
      </c>
      <c r="U647" s="110">
        <v>3566.6559999999999</v>
      </c>
      <c r="V647" s="110">
        <v>2621.8969999999999</v>
      </c>
      <c r="W647" s="110">
        <v>1832.365</v>
      </c>
      <c r="X647" s="110">
        <v>1038.665</v>
      </c>
      <c r="Y647" s="110">
        <v>511.57799999999997</v>
      </c>
      <c r="Z647" s="110">
        <v>183.011</v>
      </c>
      <c r="AA647" s="110">
        <v>44.194000000000003</v>
      </c>
      <c r="AB647" s="110">
        <v>4.1420000000000003</v>
      </c>
      <c r="AC647" s="115">
        <f t="shared" si="27"/>
        <v>54036.929000000004</v>
      </c>
      <c r="AD647">
        <f t="shared" si="28"/>
        <v>1.0061331246375975</v>
      </c>
    </row>
    <row r="648" spans="1:30" x14ac:dyDescent="0.25">
      <c r="A648" s="104" t="str">
        <f t="shared" si="26"/>
        <v>Ethiopia2059</v>
      </c>
      <c r="C648" s="107" t="s">
        <v>257</v>
      </c>
      <c r="D648" s="108" t="s">
        <v>6</v>
      </c>
      <c r="E648" s="109"/>
      <c r="F648" s="109">
        <v>231</v>
      </c>
      <c r="G648" s="109">
        <v>2059</v>
      </c>
      <c r="H648" s="110">
        <v>8005.2209999999995</v>
      </c>
      <c r="I648" s="110">
        <v>8133.0680000000002</v>
      </c>
      <c r="J648" s="110">
        <v>8217.8510000000006</v>
      </c>
      <c r="K648" s="110">
        <v>8242.6650000000009</v>
      </c>
      <c r="L648" s="110">
        <v>8210.2520000000004</v>
      </c>
      <c r="M648" s="110">
        <v>8145.5810000000001</v>
      </c>
      <c r="N648" s="110">
        <v>7986.5240000000003</v>
      </c>
      <c r="O648" s="110">
        <v>7722.9279999999999</v>
      </c>
      <c r="P648" s="110">
        <v>7293.0290000000005</v>
      </c>
      <c r="Q648" s="110">
        <v>6740.0150000000003</v>
      </c>
      <c r="R648" s="110">
        <v>6160.78</v>
      </c>
      <c r="S648" s="110">
        <v>5718.5379999999996</v>
      </c>
      <c r="T648" s="110">
        <v>4901.5039999999999</v>
      </c>
      <c r="U648" s="110">
        <v>3747.45</v>
      </c>
      <c r="V648" s="110">
        <v>2716.1550000000002</v>
      </c>
      <c r="W648" s="110">
        <v>1936.3689999999999</v>
      </c>
      <c r="X648" s="110">
        <v>1094.268</v>
      </c>
      <c r="Y648" s="110">
        <v>535.35900000000004</v>
      </c>
      <c r="Z648" s="110">
        <v>189.815</v>
      </c>
      <c r="AA648" s="110">
        <v>45.351999999999997</v>
      </c>
      <c r="AB648" s="110">
        <v>4.5049999999999999</v>
      </c>
      <c r="AC648" s="115">
        <f t="shared" si="27"/>
        <v>54340.993999999999</v>
      </c>
      <c r="AD648">
        <f t="shared" si="28"/>
        <v>1.0056269852048771</v>
      </c>
    </row>
    <row r="649" spans="1:30" x14ac:dyDescent="0.25">
      <c r="A649" s="104" t="str">
        <f t="shared" si="26"/>
        <v>Ethiopia2060</v>
      </c>
      <c r="C649" s="107" t="s">
        <v>257</v>
      </c>
      <c r="D649" s="108" t="s">
        <v>6</v>
      </c>
      <c r="E649" s="109"/>
      <c r="F649" s="109">
        <v>231</v>
      </c>
      <c r="G649" s="109">
        <v>2060</v>
      </c>
      <c r="H649" s="110">
        <v>7968.1790000000001</v>
      </c>
      <c r="I649" s="110">
        <v>8103.009</v>
      </c>
      <c r="J649" s="110">
        <v>8199.7209999999995</v>
      </c>
      <c r="K649" s="110">
        <v>8237.48</v>
      </c>
      <c r="L649" s="110">
        <v>8210.4390000000003</v>
      </c>
      <c r="M649" s="110">
        <v>8157.4709999999995</v>
      </c>
      <c r="N649" s="110">
        <v>8014.3680000000004</v>
      </c>
      <c r="O649" s="110">
        <v>7776.8029999999999</v>
      </c>
      <c r="P649" s="110">
        <v>7373.1760000000004</v>
      </c>
      <c r="Q649" s="110">
        <v>6843.59</v>
      </c>
      <c r="R649" s="110">
        <v>6231.723</v>
      </c>
      <c r="S649" s="110">
        <v>5803.6390000000001</v>
      </c>
      <c r="T649" s="110">
        <v>5066.8329999999996</v>
      </c>
      <c r="U649" s="110">
        <v>3934.145</v>
      </c>
      <c r="V649" s="110">
        <v>2836.1320000000001</v>
      </c>
      <c r="W649" s="110">
        <v>2033.191</v>
      </c>
      <c r="X649" s="110">
        <v>1163.3510000000001</v>
      </c>
      <c r="Y649" s="110">
        <v>560.81899999999996</v>
      </c>
      <c r="Z649" s="110">
        <v>194.45500000000001</v>
      </c>
      <c r="AA649" s="110">
        <v>41.284999999999997</v>
      </c>
      <c r="AB649" s="110">
        <v>4.8689999999999998</v>
      </c>
      <c r="AC649" s="115">
        <f t="shared" si="27"/>
        <v>54613.327000000005</v>
      </c>
      <c r="AD649">
        <f t="shared" si="28"/>
        <v>1.005011557204861</v>
      </c>
    </row>
    <row r="650" spans="1:30" x14ac:dyDescent="0.25">
      <c r="A650" s="104" t="str">
        <f t="shared" si="26"/>
        <v>Ethiopia2061</v>
      </c>
      <c r="C650" s="107" t="s">
        <v>257</v>
      </c>
      <c r="D650" s="108" t="s">
        <v>6</v>
      </c>
      <c r="E650" s="109"/>
      <c r="F650" s="109">
        <v>231</v>
      </c>
      <c r="G650" s="109">
        <v>2061</v>
      </c>
      <c r="H650" s="110">
        <v>7936.0309999999999</v>
      </c>
      <c r="I650" s="110">
        <v>8077.8630000000003</v>
      </c>
      <c r="J650" s="110">
        <v>8183.9719999999998</v>
      </c>
      <c r="K650" s="110">
        <v>8233.6740000000009</v>
      </c>
      <c r="L650" s="110">
        <v>8214.8780000000006</v>
      </c>
      <c r="M650" s="110">
        <v>8169.326</v>
      </c>
      <c r="N650" s="110">
        <v>8042.7070000000003</v>
      </c>
      <c r="O650" s="110">
        <v>7826.0929999999998</v>
      </c>
      <c r="P650" s="110">
        <v>7451.9110000000001</v>
      </c>
      <c r="Q650" s="110">
        <v>6943.1570000000002</v>
      </c>
      <c r="R650" s="110">
        <v>6316.6109999999999</v>
      </c>
      <c r="S650" s="110">
        <v>5871.6289999999999</v>
      </c>
      <c r="T650" s="110">
        <v>5205.1409999999996</v>
      </c>
      <c r="U650" s="110">
        <v>4108.9030000000002</v>
      </c>
      <c r="V650" s="110">
        <v>2956.4560000000001</v>
      </c>
      <c r="W650" s="110">
        <v>2102.424</v>
      </c>
      <c r="X650" s="110">
        <v>1233.8</v>
      </c>
      <c r="Y650" s="110">
        <v>595.59500000000003</v>
      </c>
      <c r="Z650" s="110">
        <v>217.12799999999999</v>
      </c>
      <c r="AA650" s="110">
        <v>46.878</v>
      </c>
      <c r="AB650" s="110">
        <v>5.2359999999999998</v>
      </c>
      <c r="AC650" s="115">
        <f t="shared" si="27"/>
        <v>54881.746000000006</v>
      </c>
      <c r="AD650">
        <f t="shared" si="28"/>
        <v>1.0049148992516057</v>
      </c>
    </row>
    <row r="651" spans="1:30" x14ac:dyDescent="0.25">
      <c r="A651" s="104" t="str">
        <f t="shared" si="26"/>
        <v>Ethiopia2062</v>
      </c>
      <c r="C651" s="107" t="s">
        <v>257</v>
      </c>
      <c r="D651" s="108" t="s">
        <v>6</v>
      </c>
      <c r="E651" s="109"/>
      <c r="F651" s="109">
        <v>231</v>
      </c>
      <c r="G651" s="109">
        <v>2062</v>
      </c>
      <c r="H651" s="110">
        <v>7901.9520000000002</v>
      </c>
      <c r="I651" s="110">
        <v>8049.4589999999998</v>
      </c>
      <c r="J651" s="110">
        <v>8165.0320000000002</v>
      </c>
      <c r="K651" s="110">
        <v>8226.1659999999993</v>
      </c>
      <c r="L651" s="110">
        <v>8218.5669999999991</v>
      </c>
      <c r="M651" s="110">
        <v>8176.38</v>
      </c>
      <c r="N651" s="110">
        <v>8068.2929999999997</v>
      </c>
      <c r="O651" s="110">
        <v>7868.0450000000001</v>
      </c>
      <c r="P651" s="110">
        <v>7525.7790000000005</v>
      </c>
      <c r="Q651" s="110">
        <v>7037.1589999999997</v>
      </c>
      <c r="R651" s="110">
        <v>6417.5950000000003</v>
      </c>
      <c r="S651" s="110">
        <v>5926.4449999999997</v>
      </c>
      <c r="T651" s="110">
        <v>5330.1949999999997</v>
      </c>
      <c r="U651" s="110">
        <v>4291.6450000000004</v>
      </c>
      <c r="V651" s="110">
        <v>3097.9380000000001</v>
      </c>
      <c r="W651" s="110">
        <v>2166.4839999999999</v>
      </c>
      <c r="X651" s="110">
        <v>1313.742</v>
      </c>
      <c r="Y651" s="110">
        <v>625.64800000000002</v>
      </c>
      <c r="Z651" s="110">
        <v>233.334</v>
      </c>
      <c r="AA651" s="110">
        <v>55.374000000000002</v>
      </c>
      <c r="AB651" s="110">
        <v>5.6109999999999998</v>
      </c>
      <c r="AC651" s="115">
        <f t="shared" si="27"/>
        <v>55120.389000000003</v>
      </c>
      <c r="AD651">
        <f t="shared" si="28"/>
        <v>1.0043483128251787</v>
      </c>
    </row>
    <row r="652" spans="1:30" x14ac:dyDescent="0.25">
      <c r="A652" s="104" t="str">
        <f t="shared" si="26"/>
        <v>Ethiopia2063</v>
      </c>
      <c r="C652" s="107" t="s">
        <v>257</v>
      </c>
      <c r="D652" s="108" t="s">
        <v>6</v>
      </c>
      <c r="E652" s="109"/>
      <c r="F652" s="109">
        <v>231</v>
      </c>
      <c r="G652" s="109">
        <v>2063</v>
      </c>
      <c r="H652" s="110">
        <v>7866.0020000000004</v>
      </c>
      <c r="I652" s="110">
        <v>8017.7039999999997</v>
      </c>
      <c r="J652" s="110">
        <v>8142.9579999999996</v>
      </c>
      <c r="K652" s="110">
        <v>8215.0550000000003</v>
      </c>
      <c r="L652" s="110">
        <v>8220.6020000000008</v>
      </c>
      <c r="M652" s="110">
        <v>8179.6930000000002</v>
      </c>
      <c r="N652" s="110">
        <v>8090.4629999999997</v>
      </c>
      <c r="O652" s="110">
        <v>7903.9480000000003</v>
      </c>
      <c r="P652" s="110">
        <v>7593.835</v>
      </c>
      <c r="Q652" s="110">
        <v>7125.7870000000003</v>
      </c>
      <c r="R652" s="110">
        <v>6528.5519999999997</v>
      </c>
      <c r="S652" s="110">
        <v>5976.1409999999996</v>
      </c>
      <c r="T652" s="110">
        <v>5442.107</v>
      </c>
      <c r="U652" s="110">
        <v>4475.9970000000003</v>
      </c>
      <c r="V652" s="110">
        <v>3256.5590000000002</v>
      </c>
      <c r="W652" s="110">
        <v>2235.9490000000001</v>
      </c>
      <c r="X652" s="110">
        <v>1398.4469999999999</v>
      </c>
      <c r="Y652" s="110">
        <v>654.03099999999995</v>
      </c>
      <c r="Z652" s="110">
        <v>246.17099999999999</v>
      </c>
      <c r="AA652" s="110">
        <v>62.328000000000003</v>
      </c>
      <c r="AB652" s="110">
        <v>6.01</v>
      </c>
      <c r="AC652" s="115">
        <f t="shared" si="27"/>
        <v>55329.383000000002</v>
      </c>
      <c r="AD652">
        <f t="shared" si="28"/>
        <v>1.0037915915288624</v>
      </c>
    </row>
    <row r="653" spans="1:30" x14ac:dyDescent="0.25">
      <c r="A653" s="104" t="str">
        <f t="shared" si="26"/>
        <v>Ethiopia2064</v>
      </c>
      <c r="C653" s="107" t="s">
        <v>257</v>
      </c>
      <c r="D653" s="108" t="s">
        <v>6</v>
      </c>
      <c r="E653" s="109"/>
      <c r="F653" s="109">
        <v>231</v>
      </c>
      <c r="G653" s="109">
        <v>2064</v>
      </c>
      <c r="H653" s="110">
        <v>7827.9139999999998</v>
      </c>
      <c r="I653" s="110">
        <v>7982.759</v>
      </c>
      <c r="J653" s="110">
        <v>8117.6369999999997</v>
      </c>
      <c r="K653" s="110">
        <v>8200.5630000000001</v>
      </c>
      <c r="L653" s="110">
        <v>8219.4869999999992</v>
      </c>
      <c r="M653" s="110">
        <v>8180.99</v>
      </c>
      <c r="N653" s="110">
        <v>8108.0619999999999</v>
      </c>
      <c r="O653" s="110">
        <v>7935.6409999999996</v>
      </c>
      <c r="P653" s="110">
        <v>7654.97</v>
      </c>
      <c r="Q653" s="110">
        <v>7210.2079999999996</v>
      </c>
      <c r="R653" s="110">
        <v>6639.2290000000003</v>
      </c>
      <c r="S653" s="110">
        <v>6033.3289999999997</v>
      </c>
      <c r="T653" s="110">
        <v>5541.692</v>
      </c>
      <c r="U653" s="110">
        <v>4653.009</v>
      </c>
      <c r="V653" s="110">
        <v>3426.9780000000001</v>
      </c>
      <c r="W653" s="110">
        <v>2323.9360000000001</v>
      </c>
      <c r="X653" s="110">
        <v>1480.3789999999999</v>
      </c>
      <c r="Y653" s="110">
        <v>688.64</v>
      </c>
      <c r="Z653" s="110">
        <v>254.92699999999999</v>
      </c>
      <c r="AA653" s="110">
        <v>64.412999999999997</v>
      </c>
      <c r="AB653" s="110">
        <v>6.4530000000000003</v>
      </c>
      <c r="AC653" s="115">
        <f t="shared" si="27"/>
        <v>55509.921000000002</v>
      </c>
      <c r="AD653">
        <f t="shared" si="28"/>
        <v>1.0032629678881473</v>
      </c>
    </row>
    <row r="654" spans="1:30" x14ac:dyDescent="0.25">
      <c r="A654" s="104" t="str">
        <f t="shared" si="26"/>
        <v>Ethiopia2065</v>
      </c>
      <c r="C654" s="107" t="s">
        <v>257</v>
      </c>
      <c r="D654" s="108" t="s">
        <v>6</v>
      </c>
      <c r="E654" s="109"/>
      <c r="F654" s="109">
        <v>231</v>
      </c>
      <c r="G654" s="109">
        <v>2065</v>
      </c>
      <c r="H654" s="110">
        <v>7787.7030000000004</v>
      </c>
      <c r="I654" s="110">
        <v>7944.9189999999999</v>
      </c>
      <c r="J654" s="110">
        <v>8088.7690000000002</v>
      </c>
      <c r="K654" s="110">
        <v>8182.7619999999997</v>
      </c>
      <c r="L654" s="110">
        <v>8214.2510000000002</v>
      </c>
      <c r="M654" s="110">
        <v>8181.2950000000001</v>
      </c>
      <c r="N654" s="110">
        <v>8120.41</v>
      </c>
      <c r="O654" s="110">
        <v>7964.1239999999998</v>
      </c>
      <c r="P654" s="110">
        <v>7708.6540000000005</v>
      </c>
      <c r="Q654" s="110">
        <v>7290.8220000000001</v>
      </c>
      <c r="R654" s="110">
        <v>6742.9790000000003</v>
      </c>
      <c r="S654" s="110">
        <v>6105.7619999999997</v>
      </c>
      <c r="T654" s="110">
        <v>5629.7659999999996</v>
      </c>
      <c r="U654" s="110">
        <v>4816.6260000000002</v>
      </c>
      <c r="V654" s="110">
        <v>3605.576</v>
      </c>
      <c r="W654" s="110">
        <v>2436.7339999999999</v>
      </c>
      <c r="X654" s="110">
        <v>1556.951</v>
      </c>
      <c r="Y654" s="110">
        <v>732.74800000000005</v>
      </c>
      <c r="Z654" s="110">
        <v>261.64999999999998</v>
      </c>
      <c r="AA654" s="110">
        <v>59.436</v>
      </c>
      <c r="AB654" s="110">
        <v>6.9569999999999999</v>
      </c>
      <c r="AC654" s="115">
        <f t="shared" si="27"/>
        <v>55662.317999999999</v>
      </c>
      <c r="AD654">
        <f t="shared" si="28"/>
        <v>1.0027454011328893</v>
      </c>
    </row>
    <row r="655" spans="1:30" x14ac:dyDescent="0.25">
      <c r="A655" s="104" t="str">
        <f t="shared" si="26"/>
        <v>Ethiopia2066</v>
      </c>
      <c r="C655" s="107" t="s">
        <v>257</v>
      </c>
      <c r="D655" s="108" t="s">
        <v>6</v>
      </c>
      <c r="E655" s="109"/>
      <c r="F655" s="109">
        <v>231</v>
      </c>
      <c r="G655" s="109">
        <v>2066</v>
      </c>
      <c r="H655" s="110">
        <v>7754.2730000000001</v>
      </c>
      <c r="I655" s="110">
        <v>7913.3549999999996</v>
      </c>
      <c r="J655" s="110">
        <v>8062.8450000000003</v>
      </c>
      <c r="K655" s="110">
        <v>8167.2920000000004</v>
      </c>
      <c r="L655" s="110">
        <v>8210.9670000000006</v>
      </c>
      <c r="M655" s="110">
        <v>8186.0680000000002</v>
      </c>
      <c r="N655" s="110">
        <v>8132.473</v>
      </c>
      <c r="O655" s="110">
        <v>7992.8559999999998</v>
      </c>
      <c r="P655" s="110">
        <v>7759.009</v>
      </c>
      <c r="Q655" s="110">
        <v>7369.3919999999998</v>
      </c>
      <c r="R655" s="110">
        <v>6841.7430000000004</v>
      </c>
      <c r="S655" s="110">
        <v>6189.4</v>
      </c>
      <c r="T655" s="110">
        <v>5694.5630000000001</v>
      </c>
      <c r="U655" s="110">
        <v>4947.1779999999999</v>
      </c>
      <c r="V655" s="110">
        <v>3766.011</v>
      </c>
      <c r="W655" s="110">
        <v>2543.4450000000002</v>
      </c>
      <c r="X655" s="110">
        <v>1614.7159999999999</v>
      </c>
      <c r="Y655" s="110">
        <v>791.59799999999996</v>
      </c>
      <c r="Z655" s="110">
        <v>289.24799999999999</v>
      </c>
      <c r="AA655" s="110">
        <v>66.911000000000001</v>
      </c>
      <c r="AB655" s="110">
        <v>7.5359999999999996</v>
      </c>
      <c r="AC655" s="115">
        <f t="shared" si="27"/>
        <v>55818.057000000001</v>
      </c>
      <c r="AD655">
        <f t="shared" si="28"/>
        <v>1.0027979251600698</v>
      </c>
    </row>
    <row r="656" spans="1:30" x14ac:dyDescent="0.25">
      <c r="A656" s="104" t="str">
        <f t="shared" si="26"/>
        <v>Ethiopia2067</v>
      </c>
      <c r="C656" s="107" t="s">
        <v>257</v>
      </c>
      <c r="D656" s="108" t="s">
        <v>6</v>
      </c>
      <c r="E656" s="109"/>
      <c r="F656" s="109">
        <v>231</v>
      </c>
      <c r="G656" s="109">
        <v>2067</v>
      </c>
      <c r="H656" s="110">
        <v>7716.8890000000001</v>
      </c>
      <c r="I656" s="110">
        <v>7880.09</v>
      </c>
      <c r="J656" s="110">
        <v>8034.0450000000001</v>
      </c>
      <c r="K656" s="110">
        <v>8148.71</v>
      </c>
      <c r="L656" s="110">
        <v>8203.9639999999999</v>
      </c>
      <c r="M656" s="110">
        <v>8190.2060000000001</v>
      </c>
      <c r="N656" s="110">
        <v>8139.9369999999999</v>
      </c>
      <c r="O656" s="110">
        <v>8018.8779999999997</v>
      </c>
      <c r="P656" s="110">
        <v>7802.0839999999998</v>
      </c>
      <c r="Q656" s="110">
        <v>7443.4939999999997</v>
      </c>
      <c r="R656" s="110">
        <v>6935.6490000000003</v>
      </c>
      <c r="S656" s="110">
        <v>6289.8959999999997</v>
      </c>
      <c r="T656" s="110">
        <v>5748.4290000000001</v>
      </c>
      <c r="U656" s="110">
        <v>5067.72</v>
      </c>
      <c r="V656" s="110">
        <v>3936.346</v>
      </c>
      <c r="W656" s="110">
        <v>2668.32</v>
      </c>
      <c r="X656" s="110">
        <v>1667.4010000000001</v>
      </c>
      <c r="Y656" s="110">
        <v>850.74400000000003</v>
      </c>
      <c r="Z656" s="110">
        <v>308.09100000000001</v>
      </c>
      <c r="AA656" s="110">
        <v>77.760000000000005</v>
      </c>
      <c r="AB656" s="110">
        <v>8.1850000000000005</v>
      </c>
      <c r="AC656" s="115">
        <f t="shared" si="27"/>
        <v>55947.272999999994</v>
      </c>
      <c r="AD656">
        <f t="shared" si="28"/>
        <v>1.0023149498019968</v>
      </c>
    </row>
    <row r="657" spans="1:30" x14ac:dyDescent="0.25">
      <c r="A657" s="104" t="str">
        <f t="shared" si="26"/>
        <v>Ethiopia2068</v>
      </c>
      <c r="C657" s="107" t="s">
        <v>257</v>
      </c>
      <c r="D657" s="108" t="s">
        <v>6</v>
      </c>
      <c r="E657" s="109"/>
      <c r="F657" s="109">
        <v>231</v>
      </c>
      <c r="G657" s="109">
        <v>2068</v>
      </c>
      <c r="H657" s="110">
        <v>7676.5389999999998</v>
      </c>
      <c r="I657" s="110">
        <v>7844.9290000000001</v>
      </c>
      <c r="J657" s="110">
        <v>8002.5029999999997</v>
      </c>
      <c r="K657" s="110">
        <v>8126.9390000000003</v>
      </c>
      <c r="L657" s="110">
        <v>8193.2099999999991</v>
      </c>
      <c r="M657" s="110">
        <v>8192.68</v>
      </c>
      <c r="N657" s="110">
        <v>8143.7759999999998</v>
      </c>
      <c r="O657" s="110">
        <v>8041.6549999999997</v>
      </c>
      <c r="P657" s="110">
        <v>7838.7820000000002</v>
      </c>
      <c r="Q657" s="110">
        <v>7512.174</v>
      </c>
      <c r="R657" s="110">
        <v>7024.665</v>
      </c>
      <c r="S657" s="110">
        <v>6400.6750000000002</v>
      </c>
      <c r="T657" s="110">
        <v>5799.2659999999996</v>
      </c>
      <c r="U657" s="110">
        <v>5178.1840000000002</v>
      </c>
      <c r="V657" s="110">
        <v>4110.6329999999998</v>
      </c>
      <c r="W657" s="110">
        <v>2809.2469999999998</v>
      </c>
      <c r="X657" s="110">
        <v>1725.376</v>
      </c>
      <c r="Y657" s="110">
        <v>905.47799999999995</v>
      </c>
      <c r="Z657" s="110">
        <v>324.31</v>
      </c>
      <c r="AA657" s="110">
        <v>86.667000000000002</v>
      </c>
      <c r="AB657" s="110">
        <v>8.8970000000000002</v>
      </c>
      <c r="AC657" s="115">
        <f t="shared" si="27"/>
        <v>56049.215999999993</v>
      </c>
      <c r="AD657">
        <f t="shared" si="28"/>
        <v>1.0018221263438523</v>
      </c>
    </row>
    <row r="658" spans="1:30" x14ac:dyDescent="0.25">
      <c r="A658" s="104" t="str">
        <f t="shared" si="26"/>
        <v>Ethiopia2069</v>
      </c>
      <c r="C658" s="107" t="s">
        <v>257</v>
      </c>
      <c r="D658" s="108" t="s">
        <v>6</v>
      </c>
      <c r="E658" s="109"/>
      <c r="F658" s="109">
        <v>231</v>
      </c>
      <c r="G658" s="109">
        <v>2069</v>
      </c>
      <c r="H658" s="110">
        <v>7634.7179999999998</v>
      </c>
      <c r="I658" s="110">
        <v>7807.415</v>
      </c>
      <c r="J658" s="110">
        <v>7968.4610000000002</v>
      </c>
      <c r="K658" s="110">
        <v>8101.8019999999997</v>
      </c>
      <c r="L658" s="110">
        <v>8178.8339999999998</v>
      </c>
      <c r="M658" s="110">
        <v>8191.8590000000004</v>
      </c>
      <c r="N658" s="110">
        <v>8145.5910000000003</v>
      </c>
      <c r="O658" s="110">
        <v>8059.95</v>
      </c>
      <c r="P658" s="110">
        <v>7870.7860000000001</v>
      </c>
      <c r="Q658" s="110">
        <v>7574.1450000000004</v>
      </c>
      <c r="R658" s="110">
        <v>7109.6660000000002</v>
      </c>
      <c r="S658" s="110">
        <v>6511.4740000000002</v>
      </c>
      <c r="T658" s="110">
        <v>5859.2179999999998</v>
      </c>
      <c r="U658" s="110">
        <v>5278.884</v>
      </c>
      <c r="V658" s="110">
        <v>4280.3320000000003</v>
      </c>
      <c r="W658" s="110">
        <v>2963.0859999999998</v>
      </c>
      <c r="X658" s="110">
        <v>1799.652</v>
      </c>
      <c r="Y658" s="110">
        <v>957.10299999999995</v>
      </c>
      <c r="Z658" s="110">
        <v>337.84500000000003</v>
      </c>
      <c r="AA658" s="110">
        <v>89.55</v>
      </c>
      <c r="AB658" s="110">
        <v>9.6630000000000003</v>
      </c>
      <c r="AC658" s="115">
        <f t="shared" si="27"/>
        <v>56122.967000000004</v>
      </c>
      <c r="AD658">
        <f t="shared" si="28"/>
        <v>1.0013158257200245</v>
      </c>
    </row>
    <row r="659" spans="1:30" x14ac:dyDescent="0.25">
      <c r="A659" s="104" t="str">
        <f t="shared" si="26"/>
        <v>Ethiopia2070</v>
      </c>
      <c r="C659" s="107" t="s">
        <v>257</v>
      </c>
      <c r="D659" s="108" t="s">
        <v>6</v>
      </c>
      <c r="E659" s="109"/>
      <c r="F659" s="109">
        <v>231</v>
      </c>
      <c r="G659" s="109">
        <v>2070</v>
      </c>
      <c r="H659" s="110">
        <v>7592.6239999999998</v>
      </c>
      <c r="I659" s="110">
        <v>7766.9340000000002</v>
      </c>
      <c r="J659" s="110">
        <v>7932.0839999999998</v>
      </c>
      <c r="K659" s="110">
        <v>8073.1819999999998</v>
      </c>
      <c r="L659" s="110">
        <v>8160.933</v>
      </c>
      <c r="M659" s="110">
        <v>8186.6840000000002</v>
      </c>
      <c r="N659" s="110">
        <v>8146.3180000000002</v>
      </c>
      <c r="O659" s="110">
        <v>8072.9430000000002</v>
      </c>
      <c r="P659" s="110">
        <v>7899.2780000000002</v>
      </c>
      <c r="Q659" s="110">
        <v>7628.558</v>
      </c>
      <c r="R659" s="110">
        <v>7190.9070000000002</v>
      </c>
      <c r="S659" s="110">
        <v>6615.8239999999996</v>
      </c>
      <c r="T659" s="110">
        <v>5935.3130000000001</v>
      </c>
      <c r="U659" s="110">
        <v>5370.2449999999999</v>
      </c>
      <c r="V659" s="110">
        <v>4439.8050000000003</v>
      </c>
      <c r="W659" s="110">
        <v>3127.58</v>
      </c>
      <c r="X659" s="110">
        <v>1895.2639999999999</v>
      </c>
      <c r="Y659" s="110">
        <v>1004.669</v>
      </c>
      <c r="Z659" s="110">
        <v>353.85899999999998</v>
      </c>
      <c r="AA659" s="110">
        <v>83.584000000000003</v>
      </c>
      <c r="AB659" s="110">
        <v>10.478</v>
      </c>
      <c r="AC659" s="115">
        <f t="shared" si="27"/>
        <v>56167.895999999993</v>
      </c>
      <c r="AD659">
        <f t="shared" si="28"/>
        <v>1.0008005457017266</v>
      </c>
    </row>
    <row r="660" spans="1:30" x14ac:dyDescent="0.25">
      <c r="A660" s="104" t="str">
        <f t="shared" si="26"/>
        <v>Ethiopia2071</v>
      </c>
      <c r="C660" s="107" t="s">
        <v>257</v>
      </c>
      <c r="D660" s="108" t="s">
        <v>6</v>
      </c>
      <c r="E660" s="109"/>
      <c r="F660" s="109">
        <v>231</v>
      </c>
      <c r="G660" s="109">
        <v>2071</v>
      </c>
      <c r="H660" s="110">
        <v>7557.08</v>
      </c>
      <c r="I660" s="110">
        <v>7732.723</v>
      </c>
      <c r="J660" s="110">
        <v>7900.6130000000003</v>
      </c>
      <c r="K660" s="110">
        <v>8047.723</v>
      </c>
      <c r="L660" s="110">
        <v>8146.2529999999997</v>
      </c>
      <c r="M660" s="110">
        <v>8183.9989999999998</v>
      </c>
      <c r="N660" s="110">
        <v>8151.5789999999997</v>
      </c>
      <c r="O660" s="110">
        <v>8085.6580000000004</v>
      </c>
      <c r="P660" s="110">
        <v>7929.3249999999998</v>
      </c>
      <c r="Q660" s="110">
        <v>7679.1509999999998</v>
      </c>
      <c r="R660" s="110">
        <v>7269.1540000000005</v>
      </c>
      <c r="S660" s="110">
        <v>6712.9269999999997</v>
      </c>
      <c r="T660" s="110">
        <v>6015.808</v>
      </c>
      <c r="U660" s="110">
        <v>5431.38</v>
      </c>
      <c r="V660" s="110">
        <v>4559.6980000000003</v>
      </c>
      <c r="W660" s="110">
        <v>3268.681</v>
      </c>
      <c r="X660" s="110">
        <v>1987.318</v>
      </c>
      <c r="Y660" s="110">
        <v>1055.819</v>
      </c>
      <c r="Z660" s="110">
        <v>398.33300000000003</v>
      </c>
      <c r="AA660" s="110">
        <v>92.930999999999997</v>
      </c>
      <c r="AB660" s="110">
        <v>11.359</v>
      </c>
      <c r="AC660" s="115">
        <f t="shared" si="27"/>
        <v>56223.687999999995</v>
      </c>
      <c r="AD660">
        <f t="shared" si="28"/>
        <v>1.0009933076360917</v>
      </c>
    </row>
    <row r="661" spans="1:30" x14ac:dyDescent="0.25">
      <c r="A661" s="104" t="str">
        <f t="shared" si="26"/>
        <v>Ethiopia2072</v>
      </c>
      <c r="C661" s="107" t="s">
        <v>257</v>
      </c>
      <c r="D661" s="108" t="s">
        <v>6</v>
      </c>
      <c r="E661" s="109"/>
      <c r="F661" s="109">
        <v>231</v>
      </c>
      <c r="G661" s="109">
        <v>2072</v>
      </c>
      <c r="H661" s="110">
        <v>7521.0339999999997</v>
      </c>
      <c r="I661" s="110">
        <v>7696.2939999999999</v>
      </c>
      <c r="J661" s="110">
        <v>7867.4269999999997</v>
      </c>
      <c r="K661" s="110">
        <v>8019.11</v>
      </c>
      <c r="L661" s="110">
        <v>8128.1850000000004</v>
      </c>
      <c r="M661" s="110">
        <v>8177.4430000000002</v>
      </c>
      <c r="N661" s="110">
        <v>8156.125</v>
      </c>
      <c r="O661" s="110">
        <v>8093.5870000000004</v>
      </c>
      <c r="P661" s="110">
        <v>7956.4679999999998</v>
      </c>
      <c r="Q661" s="110">
        <v>7722.64</v>
      </c>
      <c r="R661" s="110">
        <v>7343.3469999999998</v>
      </c>
      <c r="S661" s="110">
        <v>6806.3320000000003</v>
      </c>
      <c r="T661" s="110">
        <v>6114.3059999999996</v>
      </c>
      <c r="U661" s="110">
        <v>5484.0820000000003</v>
      </c>
      <c r="V661" s="110">
        <v>4673.3370000000004</v>
      </c>
      <c r="W661" s="110">
        <v>3420.3119999999999</v>
      </c>
      <c r="X661" s="110">
        <v>2090.4299999999998</v>
      </c>
      <c r="Y661" s="110">
        <v>1098.086</v>
      </c>
      <c r="Z661" s="110">
        <v>433.399</v>
      </c>
      <c r="AA661" s="110">
        <v>106.791</v>
      </c>
      <c r="AB661" s="110">
        <v>12.305999999999999</v>
      </c>
      <c r="AC661" s="115">
        <f t="shared" si="27"/>
        <v>56253.558000000005</v>
      </c>
      <c r="AD661">
        <f t="shared" si="28"/>
        <v>1.0005312707341434</v>
      </c>
    </row>
    <row r="662" spans="1:30" x14ac:dyDescent="0.25">
      <c r="A662" s="104" t="str">
        <f t="shared" si="26"/>
        <v>Ethiopia2073</v>
      </c>
      <c r="C662" s="107" t="s">
        <v>257</v>
      </c>
      <c r="D662" s="108" t="s">
        <v>6</v>
      </c>
      <c r="E662" s="109"/>
      <c r="F662" s="109">
        <v>231</v>
      </c>
      <c r="G662" s="109">
        <v>2073</v>
      </c>
      <c r="H662" s="110">
        <v>7484.2039999999997</v>
      </c>
      <c r="I662" s="110">
        <v>7657.527</v>
      </c>
      <c r="J662" s="110">
        <v>7832.4210000000003</v>
      </c>
      <c r="K662" s="110">
        <v>7987.6570000000002</v>
      </c>
      <c r="L662" s="110">
        <v>8106.6440000000002</v>
      </c>
      <c r="M662" s="110">
        <v>8166.9859999999999</v>
      </c>
      <c r="N662" s="110">
        <v>8158.9629999999997</v>
      </c>
      <c r="O662" s="110">
        <v>8097.9269999999997</v>
      </c>
      <c r="P662" s="110">
        <v>7979.92</v>
      </c>
      <c r="Q662" s="110">
        <v>7760.0219999999999</v>
      </c>
      <c r="R662" s="110">
        <v>7412.4219999999996</v>
      </c>
      <c r="S662" s="110">
        <v>6895.5450000000001</v>
      </c>
      <c r="T662" s="110">
        <v>6224.4</v>
      </c>
      <c r="U662" s="110">
        <v>5535.915</v>
      </c>
      <c r="V662" s="110">
        <v>4780.6980000000003</v>
      </c>
      <c r="W662" s="110">
        <v>3578.2829999999999</v>
      </c>
      <c r="X662" s="110">
        <v>2205.212</v>
      </c>
      <c r="Y662" s="110">
        <v>1137.4749999999999</v>
      </c>
      <c r="Z662" s="110">
        <v>462.899</v>
      </c>
      <c r="AA662" s="110">
        <v>118.836</v>
      </c>
      <c r="AB662" s="110">
        <v>13.323</v>
      </c>
      <c r="AC662" s="115">
        <f t="shared" si="27"/>
        <v>56258.118999999992</v>
      </c>
      <c r="AD662">
        <f t="shared" si="28"/>
        <v>1.0000810793159072</v>
      </c>
    </row>
    <row r="663" spans="1:30" x14ac:dyDescent="0.25">
      <c r="A663" s="104" t="str">
        <f t="shared" si="26"/>
        <v>Ethiopia2074</v>
      </c>
      <c r="C663" s="107" t="s">
        <v>257</v>
      </c>
      <c r="D663" s="108" t="s">
        <v>6</v>
      </c>
      <c r="E663" s="109"/>
      <c r="F663" s="109">
        <v>231</v>
      </c>
      <c r="G663" s="109">
        <v>2074</v>
      </c>
      <c r="H663" s="110">
        <v>7445.7489999999998</v>
      </c>
      <c r="I663" s="110">
        <v>7616.6</v>
      </c>
      <c r="J663" s="110">
        <v>7795.2309999999998</v>
      </c>
      <c r="K663" s="110">
        <v>7953.8190000000004</v>
      </c>
      <c r="L663" s="110">
        <v>8081.5619999999999</v>
      </c>
      <c r="M663" s="110">
        <v>8152.8389999999999</v>
      </c>
      <c r="N663" s="110">
        <v>8158.5640000000003</v>
      </c>
      <c r="O663" s="110">
        <v>8100.4070000000002</v>
      </c>
      <c r="P663" s="110">
        <v>7998.5230000000001</v>
      </c>
      <c r="Q663" s="110">
        <v>7792.9809999999998</v>
      </c>
      <c r="R663" s="110">
        <v>7475.0569999999998</v>
      </c>
      <c r="S663" s="110">
        <v>6981.2359999999999</v>
      </c>
      <c r="T663" s="110">
        <v>6336.12</v>
      </c>
      <c r="U663" s="110">
        <v>5598.7070000000003</v>
      </c>
      <c r="V663" s="110">
        <v>4881.7150000000001</v>
      </c>
      <c r="W663" s="110">
        <v>3735.1950000000002</v>
      </c>
      <c r="X663" s="110">
        <v>2331.4679999999998</v>
      </c>
      <c r="Y663" s="110">
        <v>1186.752</v>
      </c>
      <c r="Z663" s="110">
        <v>484.92899999999997</v>
      </c>
      <c r="AA663" s="110">
        <v>123.91</v>
      </c>
      <c r="AB663" s="110">
        <v>14.411</v>
      </c>
      <c r="AC663" s="115">
        <f t="shared" si="27"/>
        <v>56238.695</v>
      </c>
      <c r="AD663">
        <f t="shared" si="28"/>
        <v>0.99965473427933149</v>
      </c>
    </row>
    <row r="664" spans="1:30" x14ac:dyDescent="0.25">
      <c r="A664" s="104" t="str">
        <f t="shared" si="26"/>
        <v>Ethiopia2075</v>
      </c>
      <c r="C664" s="107" t="s">
        <v>257</v>
      </c>
      <c r="D664" s="108" t="s">
        <v>6</v>
      </c>
      <c r="E664" s="109"/>
      <c r="F664" s="109">
        <v>231</v>
      </c>
      <c r="G664" s="109">
        <v>2075</v>
      </c>
      <c r="H664" s="110">
        <v>7405.2709999999997</v>
      </c>
      <c r="I664" s="110">
        <v>7573.835</v>
      </c>
      <c r="J664" s="110">
        <v>7755.4110000000001</v>
      </c>
      <c r="K664" s="110">
        <v>7917.8320000000003</v>
      </c>
      <c r="L664" s="110">
        <v>8052.9409999999998</v>
      </c>
      <c r="M664" s="110">
        <v>8135.1049999999996</v>
      </c>
      <c r="N664" s="110">
        <v>8153.8720000000003</v>
      </c>
      <c r="O664" s="110">
        <v>8101.8950000000004</v>
      </c>
      <c r="P664" s="110">
        <v>8011.7269999999999</v>
      </c>
      <c r="Q664" s="110">
        <v>7822.4690000000001</v>
      </c>
      <c r="R664" s="110">
        <v>7530.3890000000001</v>
      </c>
      <c r="S664" s="110">
        <v>7063.6090000000004</v>
      </c>
      <c r="T664" s="110">
        <v>6442.8720000000003</v>
      </c>
      <c r="U664" s="110">
        <v>5679.2280000000001</v>
      </c>
      <c r="V664" s="110">
        <v>4976.3850000000002</v>
      </c>
      <c r="W664" s="110">
        <v>3885.991</v>
      </c>
      <c r="X664" s="110">
        <v>2469.232</v>
      </c>
      <c r="Y664" s="110">
        <v>1252.239</v>
      </c>
      <c r="Z664" s="110">
        <v>502.09300000000002</v>
      </c>
      <c r="AA664" s="110">
        <v>118.232</v>
      </c>
      <c r="AB664" s="110">
        <v>15.576000000000001</v>
      </c>
      <c r="AC664" s="115">
        <f t="shared" si="27"/>
        <v>56195.841</v>
      </c>
      <c r="AD664">
        <f t="shared" si="28"/>
        <v>0.99923799796563562</v>
      </c>
    </row>
    <row r="665" spans="1:30" x14ac:dyDescent="0.25">
      <c r="A665" s="104" t="str">
        <f t="shared" ref="A665:A728" si="29">D665&amp;G665</f>
        <v>Ethiopia2076</v>
      </c>
      <c r="C665" s="107" t="s">
        <v>257</v>
      </c>
      <c r="D665" s="108" t="s">
        <v>6</v>
      </c>
      <c r="E665" s="109"/>
      <c r="F665" s="109">
        <v>231</v>
      </c>
      <c r="G665" s="109">
        <v>2076</v>
      </c>
      <c r="H665" s="110">
        <v>7372.8270000000002</v>
      </c>
      <c r="I665" s="110">
        <v>7538.7209999999995</v>
      </c>
      <c r="J665" s="110">
        <v>7720.268</v>
      </c>
      <c r="K665" s="110">
        <v>7886.4260000000004</v>
      </c>
      <c r="L665" s="110">
        <v>8027.8220000000001</v>
      </c>
      <c r="M665" s="110">
        <v>8120.6030000000001</v>
      </c>
      <c r="N665" s="110">
        <v>8151.2370000000001</v>
      </c>
      <c r="O665" s="110">
        <v>8107.3670000000002</v>
      </c>
      <c r="P665" s="110">
        <v>8025.3379999999997</v>
      </c>
      <c r="Q665" s="110">
        <v>7852.5680000000002</v>
      </c>
      <c r="R665" s="110">
        <v>7580.6750000000002</v>
      </c>
      <c r="S665" s="110">
        <v>7140.393</v>
      </c>
      <c r="T665" s="110">
        <v>6535.674</v>
      </c>
      <c r="U665" s="110">
        <v>5755.8019999999997</v>
      </c>
      <c r="V665" s="110">
        <v>5032.375</v>
      </c>
      <c r="W665" s="110">
        <v>3991.0320000000002</v>
      </c>
      <c r="X665" s="110">
        <v>2588.7869999999998</v>
      </c>
      <c r="Y665" s="110">
        <v>1332.087</v>
      </c>
      <c r="Z665" s="110">
        <v>546.95799999999997</v>
      </c>
      <c r="AA665" s="110">
        <v>134.62899999999999</v>
      </c>
      <c r="AB665" s="110">
        <v>16.829000000000001</v>
      </c>
      <c r="AC665" s="115">
        <f t="shared" si="27"/>
        <v>56171.361000000004</v>
      </c>
      <c r="AD665">
        <f t="shared" si="28"/>
        <v>0.99956438057400021</v>
      </c>
    </row>
    <row r="666" spans="1:30" x14ac:dyDescent="0.25">
      <c r="A666" s="104" t="str">
        <f t="shared" si="29"/>
        <v>Ethiopia2077</v>
      </c>
      <c r="C666" s="107" t="s">
        <v>257</v>
      </c>
      <c r="D666" s="108" t="s">
        <v>6</v>
      </c>
      <c r="E666" s="109"/>
      <c r="F666" s="109">
        <v>231</v>
      </c>
      <c r="G666" s="109">
        <v>2077</v>
      </c>
      <c r="H666" s="110">
        <v>7336.3410000000003</v>
      </c>
      <c r="I666" s="110">
        <v>7503.0910000000003</v>
      </c>
      <c r="J666" s="110">
        <v>7683.3469999999998</v>
      </c>
      <c r="K666" s="110">
        <v>7853.5039999999999</v>
      </c>
      <c r="L666" s="110">
        <v>7999.6629999999996</v>
      </c>
      <c r="M666" s="110">
        <v>8102.9549999999999</v>
      </c>
      <c r="N666" s="110">
        <v>8145.049</v>
      </c>
      <c r="O666" s="110">
        <v>8112.3230000000003</v>
      </c>
      <c r="P666" s="110">
        <v>8034.3710000000001</v>
      </c>
      <c r="Q666" s="110">
        <v>7880.2439999999997</v>
      </c>
      <c r="R666" s="110">
        <v>7624.6350000000002</v>
      </c>
      <c r="S666" s="110">
        <v>7214.5370000000003</v>
      </c>
      <c r="T666" s="110">
        <v>6627.1629999999996</v>
      </c>
      <c r="U666" s="110">
        <v>5851.8209999999999</v>
      </c>
      <c r="V666" s="110">
        <v>5083.2190000000001</v>
      </c>
      <c r="W666" s="110">
        <v>4093.5569999999998</v>
      </c>
      <c r="X666" s="110">
        <v>2715.6170000000002</v>
      </c>
      <c r="Y666" s="110">
        <v>1410.1569999999999</v>
      </c>
      <c r="Z666" s="110">
        <v>575.00699999999995</v>
      </c>
      <c r="AA666" s="110">
        <v>157.666</v>
      </c>
      <c r="AB666" s="110">
        <v>18.169</v>
      </c>
      <c r="AC666" s="115">
        <f t="shared" ref="AC666:AC729" si="30">SUM(K666:Q666)</f>
        <v>56128.108999999997</v>
      </c>
      <c r="AD666">
        <f t="shared" ref="AD666:AD729" si="31">IF(D666=D665,AC666/AC665,"")</f>
        <v>0.99922999907372712</v>
      </c>
    </row>
    <row r="667" spans="1:30" x14ac:dyDescent="0.25">
      <c r="A667" s="104" t="str">
        <f t="shared" si="29"/>
        <v>Ethiopia2078</v>
      </c>
      <c r="C667" s="107" t="s">
        <v>257</v>
      </c>
      <c r="D667" s="108" t="s">
        <v>6</v>
      </c>
      <c r="E667" s="109"/>
      <c r="F667" s="109">
        <v>231</v>
      </c>
      <c r="G667" s="109">
        <v>2078</v>
      </c>
      <c r="H667" s="110">
        <v>7296.8609999999999</v>
      </c>
      <c r="I667" s="110">
        <v>7466.6859999999997</v>
      </c>
      <c r="J667" s="110">
        <v>7644.759</v>
      </c>
      <c r="K667" s="110">
        <v>7818.8519999999999</v>
      </c>
      <c r="L667" s="110">
        <v>7968.6729999999998</v>
      </c>
      <c r="M667" s="110">
        <v>8081.9830000000002</v>
      </c>
      <c r="N667" s="110">
        <v>8135.2129999999997</v>
      </c>
      <c r="O667" s="110">
        <v>8115.8940000000002</v>
      </c>
      <c r="P667" s="110">
        <v>8039.7079999999996</v>
      </c>
      <c r="Q667" s="110">
        <v>7904.73</v>
      </c>
      <c r="R667" s="110">
        <v>7663.0590000000002</v>
      </c>
      <c r="S667" s="110">
        <v>7284.4179999999997</v>
      </c>
      <c r="T667" s="110">
        <v>6716.8379999999997</v>
      </c>
      <c r="U667" s="110">
        <v>5960.7740000000003</v>
      </c>
      <c r="V667" s="110">
        <v>5136.1360000000004</v>
      </c>
      <c r="W667" s="110">
        <v>4194.9080000000004</v>
      </c>
      <c r="X667" s="110">
        <v>2848.0630000000001</v>
      </c>
      <c r="Y667" s="110">
        <v>1486.5619999999999</v>
      </c>
      <c r="Z667" s="110">
        <v>598.21799999999996</v>
      </c>
      <c r="AA667" s="110">
        <v>176.39500000000001</v>
      </c>
      <c r="AB667" s="110">
        <v>19.643999999999998</v>
      </c>
      <c r="AC667" s="115">
        <f t="shared" si="30"/>
        <v>56065.053</v>
      </c>
      <c r="AD667">
        <f t="shared" si="31"/>
        <v>0.99887657002661545</v>
      </c>
    </row>
    <row r="668" spans="1:30" x14ac:dyDescent="0.25">
      <c r="A668" s="104" t="str">
        <f t="shared" si="29"/>
        <v>Ethiopia2079</v>
      </c>
      <c r="C668" s="107" t="s">
        <v>257</v>
      </c>
      <c r="D668" s="108" t="s">
        <v>6</v>
      </c>
      <c r="E668" s="109"/>
      <c r="F668" s="109">
        <v>231</v>
      </c>
      <c r="G668" s="109">
        <v>2079</v>
      </c>
      <c r="H668" s="110">
        <v>7256.0460000000003</v>
      </c>
      <c r="I668" s="110">
        <v>7428.7560000000003</v>
      </c>
      <c r="J668" s="110">
        <v>7604.7420000000002</v>
      </c>
      <c r="K668" s="110">
        <v>7781.9539999999997</v>
      </c>
      <c r="L668" s="110">
        <v>7935.125</v>
      </c>
      <c r="M668" s="110">
        <v>8057.3959999999997</v>
      </c>
      <c r="N668" s="110">
        <v>8121.73</v>
      </c>
      <c r="O668" s="110">
        <v>8116.3720000000003</v>
      </c>
      <c r="P668" s="110">
        <v>8042.8379999999997</v>
      </c>
      <c r="Q668" s="110">
        <v>7924.6049999999996</v>
      </c>
      <c r="R668" s="110">
        <v>7697.2849999999999</v>
      </c>
      <c r="S668" s="110">
        <v>7348.3310000000001</v>
      </c>
      <c r="T668" s="110">
        <v>6804.8549999999996</v>
      </c>
      <c r="U668" s="110">
        <v>6073.0749999999998</v>
      </c>
      <c r="V668" s="110">
        <v>5202.4409999999998</v>
      </c>
      <c r="W668" s="110">
        <v>4294.6409999999996</v>
      </c>
      <c r="X668" s="110">
        <v>2980.7289999999998</v>
      </c>
      <c r="Y668" s="110">
        <v>1571.6690000000001</v>
      </c>
      <c r="Z668" s="110">
        <v>619.04200000000003</v>
      </c>
      <c r="AA668" s="110">
        <v>183.476</v>
      </c>
      <c r="AB668" s="110">
        <v>21.312999999999999</v>
      </c>
      <c r="AC668" s="115">
        <f t="shared" si="30"/>
        <v>55980.01999999999</v>
      </c>
      <c r="AD668">
        <f t="shared" si="31"/>
        <v>0.9984833154442927</v>
      </c>
    </row>
    <row r="669" spans="1:30" x14ac:dyDescent="0.25">
      <c r="A669" s="104" t="str">
        <f t="shared" si="29"/>
        <v>Ethiopia2080</v>
      </c>
      <c r="C669" s="107" t="s">
        <v>257</v>
      </c>
      <c r="D669" s="108" t="s">
        <v>6</v>
      </c>
      <c r="E669" s="109"/>
      <c r="F669" s="109">
        <v>231</v>
      </c>
      <c r="G669" s="109">
        <v>2080</v>
      </c>
      <c r="H669" s="110">
        <v>7215.0919999999996</v>
      </c>
      <c r="I669" s="110">
        <v>7388.2209999999995</v>
      </c>
      <c r="J669" s="110">
        <v>7563.4449999999997</v>
      </c>
      <c r="K669" s="110">
        <v>7742.4110000000001</v>
      </c>
      <c r="L669" s="110">
        <v>7899.1589999999997</v>
      </c>
      <c r="M669" s="110">
        <v>8028.9780000000001</v>
      </c>
      <c r="N669" s="110">
        <v>8104.4989999999998</v>
      </c>
      <c r="O669" s="110">
        <v>8112.44</v>
      </c>
      <c r="P669" s="110">
        <v>8044.6549999999997</v>
      </c>
      <c r="Q669" s="110">
        <v>7938.9160000000002</v>
      </c>
      <c r="R669" s="110">
        <v>7728.0190000000002</v>
      </c>
      <c r="S669" s="110">
        <v>7405.24</v>
      </c>
      <c r="T669" s="110">
        <v>6890.6239999999998</v>
      </c>
      <c r="U669" s="110">
        <v>6182.5540000000001</v>
      </c>
      <c r="V669" s="110">
        <v>5288.3829999999998</v>
      </c>
      <c r="W669" s="110">
        <v>4391.7240000000002</v>
      </c>
      <c r="X669" s="110">
        <v>3110.4409999999998</v>
      </c>
      <c r="Y669" s="110">
        <v>1667.5219999999999</v>
      </c>
      <c r="Z669" s="110">
        <v>646.17899999999997</v>
      </c>
      <c r="AA669" s="110">
        <v>175.06100000000001</v>
      </c>
      <c r="AB669" s="110">
        <v>23.216999999999999</v>
      </c>
      <c r="AC669" s="115">
        <f t="shared" si="30"/>
        <v>55871.057999999997</v>
      </c>
      <c r="AD669">
        <f t="shared" si="31"/>
        <v>0.99805355553642183</v>
      </c>
    </row>
    <row r="670" spans="1:30" x14ac:dyDescent="0.25">
      <c r="A670" s="104" t="str">
        <f t="shared" si="29"/>
        <v>Ethiopia2081</v>
      </c>
      <c r="C670" s="107" t="s">
        <v>257</v>
      </c>
      <c r="D670" s="108" t="s">
        <v>6</v>
      </c>
      <c r="E670" s="109"/>
      <c r="F670" s="109">
        <v>231</v>
      </c>
      <c r="G670" s="109">
        <v>2081</v>
      </c>
      <c r="H670" s="110">
        <v>7180.8059999999996</v>
      </c>
      <c r="I670" s="110">
        <v>7354.3950000000004</v>
      </c>
      <c r="J670" s="110">
        <v>7528.6729999999998</v>
      </c>
      <c r="K670" s="110">
        <v>7707.7030000000004</v>
      </c>
      <c r="L670" s="110">
        <v>7868.5249999999996</v>
      </c>
      <c r="M670" s="110">
        <v>8004.4970000000003</v>
      </c>
      <c r="N670" s="110">
        <v>8090.5590000000002</v>
      </c>
      <c r="O670" s="110">
        <v>8110.4579999999996</v>
      </c>
      <c r="P670" s="110">
        <v>8051.4470000000001</v>
      </c>
      <c r="Q670" s="110">
        <v>7953.1509999999998</v>
      </c>
      <c r="R670" s="110">
        <v>7758.5519999999997</v>
      </c>
      <c r="S670" s="110">
        <v>7455.06</v>
      </c>
      <c r="T670" s="110">
        <v>6964.24</v>
      </c>
      <c r="U670" s="110">
        <v>6270.442</v>
      </c>
      <c r="V670" s="110">
        <v>5360.1040000000003</v>
      </c>
      <c r="W670" s="110">
        <v>4441.1790000000001</v>
      </c>
      <c r="X670" s="110">
        <v>3200.971</v>
      </c>
      <c r="Y670" s="110">
        <v>1770.62</v>
      </c>
      <c r="Z670" s="110">
        <v>711.42399999999998</v>
      </c>
      <c r="AA670" s="110">
        <v>191.446</v>
      </c>
      <c r="AB670" s="110">
        <v>25.422000000000001</v>
      </c>
      <c r="AC670" s="115">
        <f t="shared" si="30"/>
        <v>55786.34</v>
      </c>
      <c r="AD670">
        <f t="shared" si="31"/>
        <v>0.99848368720706882</v>
      </c>
    </row>
    <row r="671" spans="1:30" x14ac:dyDescent="0.25">
      <c r="A671" s="104" t="str">
        <f t="shared" si="29"/>
        <v>Ethiopia2082</v>
      </c>
      <c r="C671" s="107" t="s">
        <v>257</v>
      </c>
      <c r="D671" s="108" t="s">
        <v>6</v>
      </c>
      <c r="E671" s="109"/>
      <c r="F671" s="109">
        <v>231</v>
      </c>
      <c r="G671" s="109">
        <v>2082</v>
      </c>
      <c r="H671" s="110">
        <v>7146.5680000000002</v>
      </c>
      <c r="I671" s="110">
        <v>7318.7070000000003</v>
      </c>
      <c r="J671" s="110">
        <v>7493.3069999999998</v>
      </c>
      <c r="K671" s="110">
        <v>7670.951</v>
      </c>
      <c r="L671" s="110">
        <v>7836.1310000000003</v>
      </c>
      <c r="M671" s="110">
        <v>7976.8389999999999</v>
      </c>
      <c r="N671" s="110">
        <v>8073.4120000000003</v>
      </c>
      <c r="O671" s="110">
        <v>8104.7870000000003</v>
      </c>
      <c r="P671" s="110">
        <v>8057.5519999999997</v>
      </c>
      <c r="Q671" s="110">
        <v>7962.93</v>
      </c>
      <c r="R671" s="110">
        <v>7786.9960000000001</v>
      </c>
      <c r="S671" s="110">
        <v>7499.6369999999997</v>
      </c>
      <c r="T671" s="110">
        <v>7037.2190000000001</v>
      </c>
      <c r="U671" s="110">
        <v>6359.6719999999996</v>
      </c>
      <c r="V671" s="110">
        <v>5452.3329999999996</v>
      </c>
      <c r="W671" s="110">
        <v>4488.058</v>
      </c>
      <c r="X671" s="110">
        <v>3289.1579999999999</v>
      </c>
      <c r="Y671" s="110">
        <v>1869.3130000000001</v>
      </c>
      <c r="Z671" s="110">
        <v>759.87599999999998</v>
      </c>
      <c r="AA671" s="110">
        <v>213.85</v>
      </c>
      <c r="AB671" s="110">
        <v>27.890999999999998</v>
      </c>
      <c r="AC671" s="115">
        <f t="shared" si="30"/>
        <v>55682.602000000006</v>
      </c>
      <c r="AD671">
        <f t="shared" si="31"/>
        <v>0.99814044083193143</v>
      </c>
    </row>
    <row r="672" spans="1:30" x14ac:dyDescent="0.25">
      <c r="A672" s="104" t="str">
        <f t="shared" si="29"/>
        <v>Ethiopia2083</v>
      </c>
      <c r="C672" s="107" t="s">
        <v>257</v>
      </c>
      <c r="D672" s="108" t="s">
        <v>6</v>
      </c>
      <c r="E672" s="109"/>
      <c r="F672" s="109">
        <v>231</v>
      </c>
      <c r="G672" s="109">
        <v>2083</v>
      </c>
      <c r="H672" s="110">
        <v>7111.7939999999999</v>
      </c>
      <c r="I672" s="110">
        <v>7280.8819999999996</v>
      </c>
      <c r="J672" s="110">
        <v>7456.9769999999999</v>
      </c>
      <c r="K672" s="110">
        <v>7632.4049999999997</v>
      </c>
      <c r="L672" s="110">
        <v>7801.67</v>
      </c>
      <c r="M672" s="110">
        <v>7946.1379999999999</v>
      </c>
      <c r="N672" s="110">
        <v>8052.7950000000001</v>
      </c>
      <c r="O672" s="110">
        <v>8095.4380000000001</v>
      </c>
      <c r="P672" s="110">
        <v>8061.8050000000003</v>
      </c>
      <c r="Q672" s="110">
        <v>7969.1409999999996</v>
      </c>
      <c r="R672" s="110">
        <v>7812.4009999999998</v>
      </c>
      <c r="S672" s="110">
        <v>7539.15</v>
      </c>
      <c r="T672" s="110">
        <v>7107.9009999999998</v>
      </c>
      <c r="U672" s="110">
        <v>6449.4309999999996</v>
      </c>
      <c r="V672" s="110">
        <v>5558.5829999999996</v>
      </c>
      <c r="W672" s="110">
        <v>4540.7719999999999</v>
      </c>
      <c r="X672" s="110">
        <v>3378.7060000000001</v>
      </c>
      <c r="Y672" s="110">
        <v>1960.068</v>
      </c>
      <c r="Z672" s="110">
        <v>803.38199999999995</v>
      </c>
      <c r="AA672" s="110">
        <v>233.32400000000001</v>
      </c>
      <c r="AB672" s="110">
        <v>30.545000000000002</v>
      </c>
      <c r="AC672" s="115">
        <f t="shared" si="30"/>
        <v>55559.392000000007</v>
      </c>
      <c r="AD672">
        <f t="shared" si="31"/>
        <v>0.99778728012746243</v>
      </c>
    </row>
    <row r="673" spans="1:30" x14ac:dyDescent="0.25">
      <c r="A673" s="104" t="str">
        <f t="shared" si="29"/>
        <v>Ethiopia2084</v>
      </c>
      <c r="C673" s="107" t="s">
        <v>257</v>
      </c>
      <c r="D673" s="108" t="s">
        <v>6</v>
      </c>
      <c r="E673" s="109"/>
      <c r="F673" s="109">
        <v>231</v>
      </c>
      <c r="G673" s="109">
        <v>2084</v>
      </c>
      <c r="H673" s="110">
        <v>7075.2139999999999</v>
      </c>
      <c r="I673" s="110">
        <v>7241.0510000000004</v>
      </c>
      <c r="J673" s="110">
        <v>7419.0209999999997</v>
      </c>
      <c r="K673" s="110">
        <v>7592.5450000000001</v>
      </c>
      <c r="L673" s="110">
        <v>7764.7669999999998</v>
      </c>
      <c r="M673" s="110">
        <v>7912.7719999999999</v>
      </c>
      <c r="N673" s="110">
        <v>8028.549</v>
      </c>
      <c r="O673" s="110">
        <v>8082.558</v>
      </c>
      <c r="P673" s="110">
        <v>8062.6149999999998</v>
      </c>
      <c r="Q673" s="110">
        <v>7973.3130000000001</v>
      </c>
      <c r="R673" s="110">
        <v>7833.3469999999998</v>
      </c>
      <c r="S673" s="110">
        <v>7574.8029999999999</v>
      </c>
      <c r="T673" s="110">
        <v>7174.4470000000001</v>
      </c>
      <c r="U673" s="110">
        <v>6539.6469999999999</v>
      </c>
      <c r="V673" s="110">
        <v>5670.4390000000003</v>
      </c>
      <c r="W673" s="110">
        <v>4610.4830000000002</v>
      </c>
      <c r="X673" s="110">
        <v>3469.2979999999998</v>
      </c>
      <c r="Y673" s="110">
        <v>2051.4549999999999</v>
      </c>
      <c r="Z673" s="110">
        <v>842.09199999999998</v>
      </c>
      <c r="AA673" s="110">
        <v>242.239</v>
      </c>
      <c r="AB673" s="110">
        <v>33.271000000000001</v>
      </c>
      <c r="AC673" s="115">
        <f t="shared" si="30"/>
        <v>55417.118999999999</v>
      </c>
      <c r="AD673">
        <f t="shared" si="31"/>
        <v>0.99743926283426554</v>
      </c>
    </row>
    <row r="674" spans="1:30" x14ac:dyDescent="0.25">
      <c r="A674" s="104" t="str">
        <f t="shared" si="29"/>
        <v>Ethiopia2085</v>
      </c>
      <c r="C674" s="107" t="s">
        <v>257</v>
      </c>
      <c r="D674" s="108" t="s">
        <v>6</v>
      </c>
      <c r="E674" s="109"/>
      <c r="F674" s="109">
        <v>231</v>
      </c>
      <c r="G674" s="109">
        <v>2085</v>
      </c>
      <c r="H674" s="110">
        <v>7036.0829999999996</v>
      </c>
      <c r="I674" s="110">
        <v>7199.5789999999997</v>
      </c>
      <c r="J674" s="110">
        <v>7378.7640000000001</v>
      </c>
      <c r="K674" s="110">
        <v>7551.6019999999999</v>
      </c>
      <c r="L674" s="110">
        <v>7725.2240000000002</v>
      </c>
      <c r="M674" s="110">
        <v>7876.98</v>
      </c>
      <c r="N674" s="110">
        <v>8000.5730000000003</v>
      </c>
      <c r="O674" s="110">
        <v>8066.0770000000002</v>
      </c>
      <c r="P674" s="110">
        <v>8058.9989999999998</v>
      </c>
      <c r="Q674" s="110">
        <v>7976.2529999999997</v>
      </c>
      <c r="R674" s="110">
        <v>7848.9650000000001</v>
      </c>
      <c r="S674" s="110">
        <v>7607.4110000000001</v>
      </c>
      <c r="T674" s="110">
        <v>7235.3819999999996</v>
      </c>
      <c r="U674" s="110">
        <v>6629.6620000000003</v>
      </c>
      <c r="V674" s="110">
        <v>5782.799</v>
      </c>
      <c r="W674" s="110">
        <v>4702.3980000000001</v>
      </c>
      <c r="X674" s="110">
        <v>3559.8229999999999</v>
      </c>
      <c r="Y674" s="110">
        <v>2143.4050000000002</v>
      </c>
      <c r="Z674" s="110">
        <v>886.58799999999997</v>
      </c>
      <c r="AA674" s="110">
        <v>234.57</v>
      </c>
      <c r="AB674" s="110">
        <v>35.997</v>
      </c>
      <c r="AC674" s="115">
        <f t="shared" si="30"/>
        <v>55255.707999999999</v>
      </c>
      <c r="AD674">
        <f t="shared" si="31"/>
        <v>0.99708734407503208</v>
      </c>
    </row>
    <row r="675" spans="1:30" x14ac:dyDescent="0.25">
      <c r="A675" s="104" t="str">
        <f t="shared" si="29"/>
        <v>Ethiopia2086</v>
      </c>
      <c r="C675" s="107" t="s">
        <v>257</v>
      </c>
      <c r="D675" s="108" t="s">
        <v>6</v>
      </c>
      <c r="E675" s="109"/>
      <c r="F675" s="109">
        <v>231</v>
      </c>
      <c r="G675" s="109">
        <v>2086</v>
      </c>
      <c r="H675" s="110">
        <v>7004.6639999999998</v>
      </c>
      <c r="I675" s="110">
        <v>7165.86</v>
      </c>
      <c r="J675" s="110">
        <v>7343.7629999999999</v>
      </c>
      <c r="K675" s="110">
        <v>7516.6369999999997</v>
      </c>
      <c r="L675" s="110">
        <v>7690.5709999999999</v>
      </c>
      <c r="M675" s="110">
        <v>7846.3010000000004</v>
      </c>
      <c r="N675" s="110">
        <v>7975.98</v>
      </c>
      <c r="O675" s="110">
        <v>8052.0829999999996</v>
      </c>
      <c r="P675" s="110">
        <v>8057.5879999999997</v>
      </c>
      <c r="Q675" s="110">
        <v>7983.0010000000002</v>
      </c>
      <c r="R675" s="110">
        <v>7863.1040000000003</v>
      </c>
      <c r="S675" s="110">
        <v>7637.1869999999999</v>
      </c>
      <c r="T675" s="110">
        <v>7282.0309999999999</v>
      </c>
      <c r="U675" s="110">
        <v>6698.7209999999995</v>
      </c>
      <c r="V675" s="110">
        <v>5863.19</v>
      </c>
      <c r="W675" s="110">
        <v>4766.8230000000003</v>
      </c>
      <c r="X675" s="110">
        <v>3605.096</v>
      </c>
      <c r="Y675" s="110">
        <v>2228.634</v>
      </c>
      <c r="Z675" s="110">
        <v>973.29399999999998</v>
      </c>
      <c r="AA675" s="110">
        <v>259.91399999999999</v>
      </c>
      <c r="AB675" s="110">
        <v>38.732999999999997</v>
      </c>
      <c r="AC675" s="115">
        <f t="shared" si="30"/>
        <v>55122.161000000007</v>
      </c>
      <c r="AD675">
        <f t="shared" si="31"/>
        <v>0.99758310942283124</v>
      </c>
    </row>
    <row r="676" spans="1:30" x14ac:dyDescent="0.25">
      <c r="A676" s="104" t="str">
        <f t="shared" si="29"/>
        <v>Ethiopia2087</v>
      </c>
      <c r="C676" s="107" t="s">
        <v>257</v>
      </c>
      <c r="D676" s="108" t="s">
        <v>6</v>
      </c>
      <c r="E676" s="109"/>
      <c r="F676" s="109">
        <v>231</v>
      </c>
      <c r="G676" s="109">
        <v>2087</v>
      </c>
      <c r="H676" s="110">
        <v>6969.13</v>
      </c>
      <c r="I676" s="110">
        <v>7131.7950000000001</v>
      </c>
      <c r="J676" s="110">
        <v>7307.4250000000002</v>
      </c>
      <c r="K676" s="110">
        <v>7481.366</v>
      </c>
      <c r="L676" s="110">
        <v>7654.0709999999999</v>
      </c>
      <c r="M676" s="110">
        <v>7814.1509999999998</v>
      </c>
      <c r="N676" s="110">
        <v>7948.598</v>
      </c>
      <c r="O676" s="110">
        <v>8035.1989999999996</v>
      </c>
      <c r="P676" s="110">
        <v>8052.7920000000004</v>
      </c>
      <c r="Q676" s="110">
        <v>7989.5839999999998</v>
      </c>
      <c r="R676" s="110">
        <v>7873.549</v>
      </c>
      <c r="S676" s="110">
        <v>7666.277</v>
      </c>
      <c r="T676" s="110">
        <v>7325.8779999999997</v>
      </c>
      <c r="U676" s="110">
        <v>6770.0969999999998</v>
      </c>
      <c r="V676" s="110">
        <v>5948.607</v>
      </c>
      <c r="W676" s="110">
        <v>4851.5690000000004</v>
      </c>
      <c r="X676" s="110">
        <v>3646.8249999999998</v>
      </c>
      <c r="Y676" s="110">
        <v>2303.5309999999999</v>
      </c>
      <c r="Z676" s="110">
        <v>1034.654</v>
      </c>
      <c r="AA676" s="110">
        <v>295.97000000000003</v>
      </c>
      <c r="AB676" s="110">
        <v>41.502000000000002</v>
      </c>
      <c r="AC676" s="115">
        <f t="shared" si="30"/>
        <v>54975.761000000006</v>
      </c>
      <c r="AD676">
        <f t="shared" si="31"/>
        <v>0.9973440809042301</v>
      </c>
    </row>
    <row r="677" spans="1:30" x14ac:dyDescent="0.25">
      <c r="A677" s="104" t="str">
        <f t="shared" si="29"/>
        <v>Ethiopia2088</v>
      </c>
      <c r="C677" s="107" t="s">
        <v>257</v>
      </c>
      <c r="D677" s="108" t="s">
        <v>6</v>
      </c>
      <c r="E677" s="109"/>
      <c r="F677" s="109">
        <v>231</v>
      </c>
      <c r="G677" s="109">
        <v>2088</v>
      </c>
      <c r="H677" s="110">
        <v>6930.4979999999996</v>
      </c>
      <c r="I677" s="110">
        <v>7097.0360000000001</v>
      </c>
      <c r="J677" s="110">
        <v>7269.7640000000001</v>
      </c>
      <c r="K677" s="110">
        <v>7445.3370000000004</v>
      </c>
      <c r="L677" s="110">
        <v>7615.9319999999998</v>
      </c>
      <c r="M677" s="110">
        <v>7780.1940000000004</v>
      </c>
      <c r="N677" s="110">
        <v>7918.5240000000003</v>
      </c>
      <c r="O677" s="110">
        <v>8015.32</v>
      </c>
      <c r="P677" s="110">
        <v>8044.3990000000003</v>
      </c>
      <c r="Q677" s="110">
        <v>7994.9120000000003</v>
      </c>
      <c r="R677" s="110">
        <v>7881.049</v>
      </c>
      <c r="S677" s="110">
        <v>7693.1769999999997</v>
      </c>
      <c r="T677" s="110">
        <v>7367.0659999999998</v>
      </c>
      <c r="U677" s="110">
        <v>6841.8450000000003</v>
      </c>
      <c r="V677" s="110">
        <v>6037.9170000000004</v>
      </c>
      <c r="W677" s="110">
        <v>4952.1210000000001</v>
      </c>
      <c r="X677" s="110">
        <v>3696.3310000000001</v>
      </c>
      <c r="Y677" s="110">
        <v>2367.6669999999999</v>
      </c>
      <c r="Z677" s="110">
        <v>1085.671</v>
      </c>
      <c r="AA677" s="110">
        <v>326.99299999999999</v>
      </c>
      <c r="AB677" s="110">
        <v>44.418999999999997</v>
      </c>
      <c r="AC677" s="115">
        <f t="shared" si="30"/>
        <v>54814.618000000002</v>
      </c>
      <c r="AD677">
        <f t="shared" si="31"/>
        <v>0.99706883548187708</v>
      </c>
    </row>
    <row r="678" spans="1:30" x14ac:dyDescent="0.25">
      <c r="A678" s="104" t="str">
        <f t="shared" si="29"/>
        <v>Ethiopia2089</v>
      </c>
      <c r="C678" s="107" t="s">
        <v>257</v>
      </c>
      <c r="D678" s="108" t="s">
        <v>6</v>
      </c>
      <c r="E678" s="109"/>
      <c r="F678" s="109">
        <v>231</v>
      </c>
      <c r="G678" s="109">
        <v>2089</v>
      </c>
      <c r="H678" s="110">
        <v>6890.4989999999998</v>
      </c>
      <c r="I678" s="110">
        <v>7060.7610000000004</v>
      </c>
      <c r="J678" s="110">
        <v>7230.951</v>
      </c>
      <c r="K678" s="110">
        <v>7407.7280000000001</v>
      </c>
      <c r="L678" s="110">
        <v>7576.4610000000002</v>
      </c>
      <c r="M678" s="110">
        <v>7743.85</v>
      </c>
      <c r="N678" s="110">
        <v>7885.9250000000002</v>
      </c>
      <c r="O678" s="110">
        <v>7992.1019999999999</v>
      </c>
      <c r="P678" s="110">
        <v>8032.33</v>
      </c>
      <c r="Q678" s="110">
        <v>7997.1409999999996</v>
      </c>
      <c r="R678" s="110">
        <v>7886.8059999999996</v>
      </c>
      <c r="S678" s="110">
        <v>7716.0649999999996</v>
      </c>
      <c r="T678" s="110">
        <v>7406.3239999999996</v>
      </c>
      <c r="U678" s="110">
        <v>6911.7820000000002</v>
      </c>
      <c r="V678" s="110">
        <v>6130.72</v>
      </c>
      <c r="W678" s="110">
        <v>5062.0879999999997</v>
      </c>
      <c r="X678" s="110">
        <v>3764.498</v>
      </c>
      <c r="Y678" s="110">
        <v>2431.64</v>
      </c>
      <c r="Z678" s="110">
        <v>1127.8109999999999</v>
      </c>
      <c r="AA678" s="110">
        <v>341.83300000000003</v>
      </c>
      <c r="AB678" s="110">
        <v>47.643999999999998</v>
      </c>
      <c r="AC678" s="115">
        <f t="shared" si="30"/>
        <v>54635.536999999997</v>
      </c>
      <c r="AD678">
        <f t="shared" si="31"/>
        <v>0.99673297002635308</v>
      </c>
    </row>
    <row r="679" spans="1:30" x14ac:dyDescent="0.25">
      <c r="A679" s="104" t="str">
        <f t="shared" si="29"/>
        <v>Ethiopia2090</v>
      </c>
      <c r="C679" s="107" t="s">
        <v>257</v>
      </c>
      <c r="D679" s="108" t="s">
        <v>6</v>
      </c>
      <c r="E679" s="109"/>
      <c r="F679" s="109">
        <v>231</v>
      </c>
      <c r="G679" s="109">
        <v>2090</v>
      </c>
      <c r="H679" s="110">
        <v>6850.2870000000003</v>
      </c>
      <c r="I679" s="110">
        <v>7021.8190000000004</v>
      </c>
      <c r="J679" s="110">
        <v>7191.027</v>
      </c>
      <c r="K679" s="110">
        <v>7367.8819999999996</v>
      </c>
      <c r="L679" s="110">
        <v>7535.7349999999997</v>
      </c>
      <c r="M679" s="110">
        <v>7704.6750000000002</v>
      </c>
      <c r="N679" s="110">
        <v>7850.7939999999999</v>
      </c>
      <c r="O679" s="110">
        <v>7965.1229999999996</v>
      </c>
      <c r="P679" s="110">
        <v>8016.4669999999996</v>
      </c>
      <c r="Q679" s="110">
        <v>7994.8670000000002</v>
      </c>
      <c r="R679" s="110">
        <v>7891.3289999999997</v>
      </c>
      <c r="S679" s="110">
        <v>7733.8680000000004</v>
      </c>
      <c r="T679" s="110">
        <v>7443.6580000000004</v>
      </c>
      <c r="U679" s="110">
        <v>6978.16</v>
      </c>
      <c r="V679" s="110">
        <v>6226.134</v>
      </c>
      <c r="W679" s="110">
        <v>5177.1930000000002</v>
      </c>
      <c r="X679" s="110">
        <v>3855.3359999999998</v>
      </c>
      <c r="Y679" s="110">
        <v>2498.6039999999998</v>
      </c>
      <c r="Z679" s="110">
        <v>1171.414</v>
      </c>
      <c r="AA679" s="110">
        <v>334.19099999999997</v>
      </c>
      <c r="AB679" s="110">
        <v>51.293999999999997</v>
      </c>
      <c r="AC679" s="115">
        <f t="shared" si="30"/>
        <v>54435.542999999991</v>
      </c>
      <c r="AD679">
        <f t="shared" si="31"/>
        <v>0.99633948871043387</v>
      </c>
    </row>
    <row r="680" spans="1:30" x14ac:dyDescent="0.25">
      <c r="A680" s="104" t="str">
        <f t="shared" si="29"/>
        <v>Ethiopia2091</v>
      </c>
      <c r="C680" s="107" t="s">
        <v>257</v>
      </c>
      <c r="D680" s="108" t="s">
        <v>6</v>
      </c>
      <c r="E680" s="109"/>
      <c r="F680" s="109">
        <v>231</v>
      </c>
      <c r="G680" s="109">
        <v>2091</v>
      </c>
      <c r="H680" s="110">
        <v>6815.6369999999997</v>
      </c>
      <c r="I680" s="110">
        <v>6988.8239999999996</v>
      </c>
      <c r="J680" s="110">
        <v>7157.3770000000004</v>
      </c>
      <c r="K680" s="110">
        <v>7332.9830000000002</v>
      </c>
      <c r="L680" s="110">
        <v>7501.1760000000004</v>
      </c>
      <c r="M680" s="110">
        <v>7670.3450000000003</v>
      </c>
      <c r="N680" s="110">
        <v>7820.3890000000001</v>
      </c>
      <c r="O680" s="110">
        <v>7940.9009999999998</v>
      </c>
      <c r="P680" s="110">
        <v>8003.4229999999998</v>
      </c>
      <c r="Q680" s="110">
        <v>7993.8360000000002</v>
      </c>
      <c r="R680" s="110">
        <v>7898.4830000000002</v>
      </c>
      <c r="S680" s="110">
        <v>7747.9139999999998</v>
      </c>
      <c r="T680" s="110">
        <v>7471.2569999999996</v>
      </c>
      <c r="U680" s="110">
        <v>7021.6139999999996</v>
      </c>
      <c r="V680" s="110">
        <v>6289.5590000000002</v>
      </c>
      <c r="W680" s="110">
        <v>5247.8289999999997</v>
      </c>
      <c r="X680" s="110">
        <v>3915.509</v>
      </c>
      <c r="Y680" s="110">
        <v>2553.0450000000001</v>
      </c>
      <c r="Z680" s="110">
        <v>1256.7090000000001</v>
      </c>
      <c r="AA680" s="110">
        <v>369.286</v>
      </c>
      <c r="AB680" s="110">
        <v>55.472000000000001</v>
      </c>
      <c r="AC680" s="115">
        <f t="shared" si="30"/>
        <v>54263.053000000007</v>
      </c>
      <c r="AD680">
        <f t="shared" si="31"/>
        <v>0.99683129825672934</v>
      </c>
    </row>
    <row r="681" spans="1:30" x14ac:dyDescent="0.25">
      <c r="A681" s="104" t="str">
        <f t="shared" si="29"/>
        <v>Ethiopia2092</v>
      </c>
      <c r="C681" s="107" t="s">
        <v>257</v>
      </c>
      <c r="D681" s="108" t="s">
        <v>6</v>
      </c>
      <c r="E681" s="109"/>
      <c r="F681" s="109">
        <v>231</v>
      </c>
      <c r="G681" s="109">
        <v>2092</v>
      </c>
      <c r="H681" s="110">
        <v>6781.7790000000005</v>
      </c>
      <c r="I681" s="110">
        <v>6953.9759999999997</v>
      </c>
      <c r="J681" s="110">
        <v>7123.527</v>
      </c>
      <c r="K681" s="110">
        <v>7296.7039999999997</v>
      </c>
      <c r="L681" s="110">
        <v>7466.2910000000002</v>
      </c>
      <c r="M681" s="110">
        <v>7634.2439999999997</v>
      </c>
      <c r="N681" s="110">
        <v>7788.6530000000002</v>
      </c>
      <c r="O681" s="110">
        <v>7913.9830000000002</v>
      </c>
      <c r="P681" s="110">
        <v>7987.585</v>
      </c>
      <c r="Q681" s="110">
        <v>7989.7269999999999</v>
      </c>
      <c r="R681" s="110">
        <v>7905.9359999999997</v>
      </c>
      <c r="S681" s="110">
        <v>7759.4279999999999</v>
      </c>
      <c r="T681" s="110">
        <v>7500.2619999999997</v>
      </c>
      <c r="U681" s="110">
        <v>7065.1450000000004</v>
      </c>
      <c r="V681" s="110">
        <v>6358.79</v>
      </c>
      <c r="W681" s="110">
        <v>5326.491</v>
      </c>
      <c r="X681" s="110">
        <v>3990.2150000000001</v>
      </c>
      <c r="Y681" s="110">
        <v>2594.9780000000001</v>
      </c>
      <c r="Z681" s="110">
        <v>1307.241</v>
      </c>
      <c r="AA681" s="110">
        <v>415.548</v>
      </c>
      <c r="AB681" s="110">
        <v>60.118000000000002</v>
      </c>
      <c r="AC681" s="115">
        <f t="shared" si="30"/>
        <v>54077.186999999998</v>
      </c>
      <c r="AD681">
        <f t="shared" si="31"/>
        <v>0.99657472276762593</v>
      </c>
    </row>
    <row r="682" spans="1:30" x14ac:dyDescent="0.25">
      <c r="A682" s="104" t="str">
        <f t="shared" si="29"/>
        <v>Ethiopia2093</v>
      </c>
      <c r="C682" s="107" t="s">
        <v>257</v>
      </c>
      <c r="D682" s="108" t="s">
        <v>6</v>
      </c>
      <c r="E682" s="109"/>
      <c r="F682" s="109">
        <v>231</v>
      </c>
      <c r="G682" s="109">
        <v>2093</v>
      </c>
      <c r="H682" s="110">
        <v>6748.1049999999996</v>
      </c>
      <c r="I682" s="110">
        <v>6916.9629999999997</v>
      </c>
      <c r="J682" s="110">
        <v>7089.0060000000003</v>
      </c>
      <c r="K682" s="110">
        <v>7259.1809999999996</v>
      </c>
      <c r="L682" s="110">
        <v>7430.5410000000002</v>
      </c>
      <c r="M682" s="110">
        <v>7596.4930000000004</v>
      </c>
      <c r="N682" s="110">
        <v>7755.1620000000003</v>
      </c>
      <c r="O682" s="110">
        <v>7884.5360000000001</v>
      </c>
      <c r="P682" s="110">
        <v>7968.5810000000001</v>
      </c>
      <c r="Q682" s="110">
        <v>7982.3270000000002</v>
      </c>
      <c r="R682" s="110">
        <v>7912.42</v>
      </c>
      <c r="S682" s="110">
        <v>7768.5360000000001</v>
      </c>
      <c r="T682" s="110">
        <v>7529.0450000000001</v>
      </c>
      <c r="U682" s="110">
        <v>7108.47</v>
      </c>
      <c r="V682" s="110">
        <v>6431.4269999999997</v>
      </c>
      <c r="W682" s="110">
        <v>5413.3209999999999</v>
      </c>
      <c r="X682" s="110">
        <v>4079.55</v>
      </c>
      <c r="Y682" s="110">
        <v>2631.654</v>
      </c>
      <c r="Z682" s="110">
        <v>1343.461</v>
      </c>
      <c r="AA682" s="110">
        <v>453.49099999999999</v>
      </c>
      <c r="AB682" s="110">
        <v>65.179000000000002</v>
      </c>
      <c r="AC682" s="115">
        <f t="shared" si="30"/>
        <v>53876.820999999996</v>
      </c>
      <c r="AD682">
        <f t="shared" si="31"/>
        <v>0.99629481466926151</v>
      </c>
    </row>
    <row r="683" spans="1:30" x14ac:dyDescent="0.25">
      <c r="A683" s="104" t="str">
        <f t="shared" si="29"/>
        <v>Ethiopia2094</v>
      </c>
      <c r="C683" s="107" t="s">
        <v>257</v>
      </c>
      <c r="D683" s="108" t="s">
        <v>6</v>
      </c>
      <c r="E683" s="109"/>
      <c r="F683" s="109">
        <v>231</v>
      </c>
      <c r="G683" s="109">
        <v>2094</v>
      </c>
      <c r="H683" s="110">
        <v>6713.3239999999996</v>
      </c>
      <c r="I683" s="110">
        <v>6877.9179999999997</v>
      </c>
      <c r="J683" s="110">
        <v>7052.8680000000004</v>
      </c>
      <c r="K683" s="110">
        <v>7220.6859999999997</v>
      </c>
      <c r="L683" s="110">
        <v>7393.116</v>
      </c>
      <c r="M683" s="110">
        <v>7557.3770000000004</v>
      </c>
      <c r="N683" s="110">
        <v>7719.326</v>
      </c>
      <c r="O683" s="110">
        <v>7852.7449999999999</v>
      </c>
      <c r="P683" s="110">
        <v>7946.0330000000004</v>
      </c>
      <c r="Q683" s="110">
        <v>7971.5010000000002</v>
      </c>
      <c r="R683" s="110">
        <v>7915.99</v>
      </c>
      <c r="S683" s="110">
        <v>7776.1850000000004</v>
      </c>
      <c r="T683" s="110">
        <v>7555.5420000000004</v>
      </c>
      <c r="U683" s="110">
        <v>7152.0450000000001</v>
      </c>
      <c r="V683" s="110">
        <v>6505.308</v>
      </c>
      <c r="W683" s="110">
        <v>5508.348</v>
      </c>
      <c r="X683" s="110">
        <v>4180.59</v>
      </c>
      <c r="Y683" s="110">
        <v>2681.5770000000002</v>
      </c>
      <c r="Z683" s="110">
        <v>1371.519</v>
      </c>
      <c r="AA683" s="110">
        <v>469.91899999999998</v>
      </c>
      <c r="AB683" s="110">
        <v>70.590999999999994</v>
      </c>
      <c r="AC683" s="115">
        <f t="shared" si="30"/>
        <v>53660.784</v>
      </c>
      <c r="AD683">
        <f t="shared" si="31"/>
        <v>0.99599016801678042</v>
      </c>
    </row>
    <row r="684" spans="1:30" x14ac:dyDescent="0.25">
      <c r="A684" s="104" t="str">
        <f t="shared" si="29"/>
        <v>Ethiopia2095</v>
      </c>
      <c r="C684" s="107" t="s">
        <v>257</v>
      </c>
      <c r="D684" s="108" t="s">
        <v>6</v>
      </c>
      <c r="E684" s="109"/>
      <c r="F684" s="109">
        <v>231</v>
      </c>
      <c r="G684" s="109">
        <v>2095</v>
      </c>
      <c r="H684" s="110">
        <v>6676.3029999999999</v>
      </c>
      <c r="I684" s="110">
        <v>6837.241</v>
      </c>
      <c r="J684" s="110">
        <v>7014.0569999999998</v>
      </c>
      <c r="K684" s="110">
        <v>7181.1509999999998</v>
      </c>
      <c r="L684" s="110">
        <v>7353.36</v>
      </c>
      <c r="M684" s="110">
        <v>7516.8829999999998</v>
      </c>
      <c r="N684" s="110">
        <v>7680.6279999999997</v>
      </c>
      <c r="O684" s="110">
        <v>7818.4350000000004</v>
      </c>
      <c r="P684" s="110">
        <v>7919.61</v>
      </c>
      <c r="Q684" s="110">
        <v>7956.8779999999997</v>
      </c>
      <c r="R684" s="110">
        <v>7915.1270000000004</v>
      </c>
      <c r="S684" s="110">
        <v>7782.8069999999998</v>
      </c>
      <c r="T684" s="110">
        <v>7578.0749999999998</v>
      </c>
      <c r="U684" s="110">
        <v>7195.6390000000001</v>
      </c>
      <c r="V684" s="110">
        <v>6578.7560000000003</v>
      </c>
      <c r="W684" s="110">
        <v>5610.2780000000002</v>
      </c>
      <c r="X684" s="110">
        <v>4290.7380000000003</v>
      </c>
      <c r="Y684" s="110">
        <v>2753.828</v>
      </c>
      <c r="Z684" s="110">
        <v>1402.191</v>
      </c>
      <c r="AA684" s="110">
        <v>458.04599999999999</v>
      </c>
      <c r="AB684" s="110">
        <v>76.302999999999997</v>
      </c>
      <c r="AC684" s="115">
        <f t="shared" si="30"/>
        <v>53426.945</v>
      </c>
      <c r="AD684">
        <f t="shared" si="31"/>
        <v>0.99564227388105253</v>
      </c>
    </row>
    <row r="685" spans="1:30" x14ac:dyDescent="0.25">
      <c r="A685" s="104" t="str">
        <f t="shared" si="29"/>
        <v>Ethiopia2096</v>
      </c>
      <c r="C685" s="107" t="s">
        <v>257</v>
      </c>
      <c r="D685" s="108" t="s">
        <v>6</v>
      </c>
      <c r="E685" s="109"/>
      <c r="F685" s="109">
        <v>231</v>
      </c>
      <c r="G685" s="109">
        <v>2096</v>
      </c>
      <c r="H685" s="110">
        <v>6646.7049999999999</v>
      </c>
      <c r="I685" s="110">
        <v>6803.933</v>
      </c>
      <c r="J685" s="110">
        <v>6979.9120000000003</v>
      </c>
      <c r="K685" s="110">
        <v>7147.4809999999998</v>
      </c>
      <c r="L685" s="110">
        <v>7318.6409999999996</v>
      </c>
      <c r="M685" s="110">
        <v>7482.4309999999996</v>
      </c>
      <c r="N685" s="110">
        <v>7646.3969999999999</v>
      </c>
      <c r="O685" s="110">
        <v>7788.1689999999999</v>
      </c>
      <c r="P685" s="110">
        <v>7896.11</v>
      </c>
      <c r="Q685" s="110">
        <v>7944.1270000000004</v>
      </c>
      <c r="R685" s="110">
        <v>7914.3829999999998</v>
      </c>
      <c r="S685" s="110">
        <v>7789.8829999999998</v>
      </c>
      <c r="T685" s="110">
        <v>7590.1530000000002</v>
      </c>
      <c r="U685" s="110">
        <v>7220.741</v>
      </c>
      <c r="V685" s="110">
        <v>6617.991</v>
      </c>
      <c r="W685" s="110">
        <v>5665.9369999999999</v>
      </c>
      <c r="X685" s="110">
        <v>4354.0789999999997</v>
      </c>
      <c r="Y685" s="110">
        <v>2822.2869999999998</v>
      </c>
      <c r="Z685" s="110">
        <v>1473.626</v>
      </c>
      <c r="AA685" s="110">
        <v>494.255</v>
      </c>
      <c r="AB685" s="110">
        <v>82.384</v>
      </c>
      <c r="AC685" s="115">
        <f t="shared" si="30"/>
        <v>53223.356</v>
      </c>
      <c r="AD685">
        <f t="shared" si="31"/>
        <v>0.99618939469587864</v>
      </c>
    </row>
    <row r="686" spans="1:30" x14ac:dyDescent="0.25">
      <c r="A686" s="104" t="str">
        <f t="shared" si="29"/>
        <v>Ethiopia2097</v>
      </c>
      <c r="C686" s="107" t="s">
        <v>257</v>
      </c>
      <c r="D686" s="108" t="s">
        <v>6</v>
      </c>
      <c r="E686" s="109"/>
      <c r="F686" s="109">
        <v>231</v>
      </c>
      <c r="G686" s="109">
        <v>2097</v>
      </c>
      <c r="H686" s="110">
        <v>6614.47</v>
      </c>
      <c r="I686" s="110">
        <v>6770.6490000000003</v>
      </c>
      <c r="J686" s="110">
        <v>6944.4859999999999</v>
      </c>
      <c r="K686" s="110">
        <v>7113.9340000000002</v>
      </c>
      <c r="L686" s="110">
        <v>7282.7550000000001</v>
      </c>
      <c r="M686" s="110">
        <v>7447.9440000000004</v>
      </c>
      <c r="N686" s="110">
        <v>7610.7529999999997</v>
      </c>
      <c r="O686" s="110">
        <v>7756.9139999999998</v>
      </c>
      <c r="P686" s="110">
        <v>7870.2340000000004</v>
      </c>
      <c r="Q686" s="110">
        <v>7929.0990000000002</v>
      </c>
      <c r="R686" s="110">
        <v>7911.2650000000003</v>
      </c>
      <c r="S686" s="110">
        <v>7798.5339999999997</v>
      </c>
      <c r="T686" s="110">
        <v>7602.01</v>
      </c>
      <c r="U686" s="110">
        <v>7250.1480000000001</v>
      </c>
      <c r="V686" s="110">
        <v>6661.241</v>
      </c>
      <c r="W686" s="110">
        <v>5730.6530000000002</v>
      </c>
      <c r="X686" s="110">
        <v>4423.8940000000002</v>
      </c>
      <c r="Y686" s="110">
        <v>2889.3879999999999</v>
      </c>
      <c r="Z686" s="110">
        <v>1506.923</v>
      </c>
      <c r="AA686" s="110">
        <v>539.13099999999997</v>
      </c>
      <c r="AB686" s="110">
        <v>88.784000000000006</v>
      </c>
      <c r="AC686" s="115">
        <f t="shared" si="30"/>
        <v>53011.633000000002</v>
      </c>
      <c r="AD686">
        <f t="shared" si="31"/>
        <v>0.99602199079667209</v>
      </c>
    </row>
    <row r="687" spans="1:30" x14ac:dyDescent="0.25">
      <c r="A687" s="104" t="str">
        <f t="shared" si="29"/>
        <v>Ethiopia2098</v>
      </c>
      <c r="C687" s="107" t="s">
        <v>257</v>
      </c>
      <c r="D687" s="108" t="s">
        <v>6</v>
      </c>
      <c r="E687" s="109"/>
      <c r="F687" s="109">
        <v>231</v>
      </c>
      <c r="G687" s="109">
        <v>2098</v>
      </c>
      <c r="H687" s="110">
        <v>6579.4530000000004</v>
      </c>
      <c r="I687" s="110">
        <v>6736.9380000000001</v>
      </c>
      <c r="J687" s="110">
        <v>6907.6760000000004</v>
      </c>
      <c r="K687" s="110">
        <v>7079.7529999999997</v>
      </c>
      <c r="L687" s="110">
        <v>7245.652</v>
      </c>
      <c r="M687" s="110">
        <v>7412.7110000000002</v>
      </c>
      <c r="N687" s="110">
        <v>7573.6180000000004</v>
      </c>
      <c r="O687" s="110">
        <v>7724.2120000000004</v>
      </c>
      <c r="P687" s="110">
        <v>7841.8130000000001</v>
      </c>
      <c r="Q687" s="110">
        <v>7911.31</v>
      </c>
      <c r="R687" s="110">
        <v>7905.31</v>
      </c>
      <c r="S687" s="110">
        <v>7806.7920000000004</v>
      </c>
      <c r="T687" s="110">
        <v>7613.53</v>
      </c>
      <c r="U687" s="110">
        <v>7281.7120000000004</v>
      </c>
      <c r="V687" s="110">
        <v>6707.5010000000002</v>
      </c>
      <c r="W687" s="110">
        <v>5803.2179999999998</v>
      </c>
      <c r="X687" s="110">
        <v>4504.0929999999998</v>
      </c>
      <c r="Y687" s="110">
        <v>2954.6350000000002</v>
      </c>
      <c r="Z687" s="110">
        <v>1528.7840000000001</v>
      </c>
      <c r="AA687" s="110">
        <v>573.79600000000005</v>
      </c>
      <c r="AB687" s="110">
        <v>95.546000000000006</v>
      </c>
      <c r="AC687" s="115">
        <f t="shared" si="30"/>
        <v>52789.068999999996</v>
      </c>
      <c r="AD687">
        <f t="shared" si="31"/>
        <v>0.99580160075430979</v>
      </c>
    </row>
    <row r="688" spans="1:30" x14ac:dyDescent="0.25">
      <c r="A688" s="104" t="str">
        <f t="shared" si="29"/>
        <v>Ethiopia2099</v>
      </c>
      <c r="C688" s="107" t="s">
        <v>257</v>
      </c>
      <c r="D688" s="108" t="s">
        <v>6</v>
      </c>
      <c r="E688" s="109"/>
      <c r="F688" s="109">
        <v>231</v>
      </c>
      <c r="G688" s="109">
        <v>2099</v>
      </c>
      <c r="H688" s="110">
        <v>6542.527</v>
      </c>
      <c r="I688" s="110">
        <v>6701.9089999999997</v>
      </c>
      <c r="J688" s="110">
        <v>6869.5829999999996</v>
      </c>
      <c r="K688" s="110">
        <v>7043.7709999999997</v>
      </c>
      <c r="L688" s="110">
        <v>7207.4030000000002</v>
      </c>
      <c r="M688" s="110">
        <v>7375.69</v>
      </c>
      <c r="N688" s="110">
        <v>7535.0429999999997</v>
      </c>
      <c r="O688" s="110">
        <v>7689.2489999999998</v>
      </c>
      <c r="P688" s="110">
        <v>7810.7650000000003</v>
      </c>
      <c r="Q688" s="110">
        <v>7890.0940000000001</v>
      </c>
      <c r="R688" s="110">
        <v>7896.0140000000001</v>
      </c>
      <c r="S688" s="110">
        <v>7812.2669999999998</v>
      </c>
      <c r="T688" s="110">
        <v>7625.116</v>
      </c>
      <c r="U688" s="110">
        <v>7312.9489999999996</v>
      </c>
      <c r="V688" s="110">
        <v>6756.8829999999998</v>
      </c>
      <c r="W688" s="110">
        <v>5882.0150000000003</v>
      </c>
      <c r="X688" s="110">
        <v>4596.0069999999996</v>
      </c>
      <c r="Y688" s="110">
        <v>3029.6770000000001</v>
      </c>
      <c r="Z688" s="110">
        <v>1549.6959999999999</v>
      </c>
      <c r="AA688" s="110">
        <v>585.90599999999995</v>
      </c>
      <c r="AB688" s="110">
        <v>102.74</v>
      </c>
      <c r="AC688" s="115">
        <f t="shared" si="30"/>
        <v>52552.014999999999</v>
      </c>
      <c r="AD688">
        <f t="shared" si="31"/>
        <v>0.99550941123814862</v>
      </c>
    </row>
    <row r="689" spans="1:30" x14ac:dyDescent="0.25">
      <c r="A689" s="104" t="str">
        <f t="shared" si="29"/>
        <v>Ethiopia2100</v>
      </c>
      <c r="C689" s="107" t="s">
        <v>257</v>
      </c>
      <c r="D689" s="108" t="s">
        <v>6</v>
      </c>
      <c r="E689" s="109"/>
      <c r="F689" s="109">
        <v>231</v>
      </c>
      <c r="G689" s="109">
        <v>2100</v>
      </c>
      <c r="H689" s="110">
        <v>6505.0280000000002</v>
      </c>
      <c r="I689" s="110">
        <v>6664.4070000000002</v>
      </c>
      <c r="J689" s="110">
        <v>6830.1769999999997</v>
      </c>
      <c r="K689" s="110">
        <v>7005.0749999999998</v>
      </c>
      <c r="L689" s="110">
        <v>7167.8649999999998</v>
      </c>
      <c r="M689" s="110">
        <v>7336.0590000000002</v>
      </c>
      <c r="N689" s="110">
        <v>7494.88</v>
      </c>
      <c r="O689" s="110">
        <v>7651.2709999999997</v>
      </c>
      <c r="P689" s="110">
        <v>7776.9380000000001</v>
      </c>
      <c r="Q689" s="110">
        <v>7864.8140000000003</v>
      </c>
      <c r="R689" s="110">
        <v>7882.7929999999997</v>
      </c>
      <c r="S689" s="110">
        <v>7813.3410000000003</v>
      </c>
      <c r="T689" s="110">
        <v>7636.4690000000001</v>
      </c>
      <c r="U689" s="110">
        <v>7341.9560000000001</v>
      </c>
      <c r="V689" s="110">
        <v>6809.049</v>
      </c>
      <c r="W689" s="110">
        <v>5965.067</v>
      </c>
      <c r="X689" s="110">
        <v>4698.4790000000003</v>
      </c>
      <c r="Y689" s="110">
        <v>3117.4349999999999</v>
      </c>
      <c r="Z689" s="110">
        <v>1586.067</v>
      </c>
      <c r="AA689" s="110">
        <v>568.60299999999995</v>
      </c>
      <c r="AB689" s="110">
        <v>110.46599999999999</v>
      </c>
      <c r="AC689" s="115">
        <f t="shared" si="30"/>
        <v>52296.902000000002</v>
      </c>
      <c r="AD689">
        <f t="shared" si="31"/>
        <v>0.99514551440130317</v>
      </c>
    </row>
    <row r="690" spans="1:30" x14ac:dyDescent="0.25">
      <c r="A690" s="104" t="str">
        <f t="shared" si="29"/>
        <v>Philippines2015</v>
      </c>
      <c r="C690" s="107" t="s">
        <v>257</v>
      </c>
      <c r="D690" s="108" t="s">
        <v>148</v>
      </c>
      <c r="E690" s="109"/>
      <c r="F690" s="109">
        <v>608</v>
      </c>
      <c r="G690" s="109">
        <v>2015</v>
      </c>
      <c r="H690" s="110">
        <v>5566.9080000000004</v>
      </c>
      <c r="I690" s="110">
        <v>5319.5749999999998</v>
      </c>
      <c r="J690" s="110">
        <v>5048.2749999999996</v>
      </c>
      <c r="K690" s="110">
        <v>4956.9319999999998</v>
      </c>
      <c r="L690" s="110">
        <v>4731.2839999999997</v>
      </c>
      <c r="M690" s="110">
        <v>4107.7269999999999</v>
      </c>
      <c r="N690" s="110">
        <v>3638.27</v>
      </c>
      <c r="O690" s="110">
        <v>3295.8850000000002</v>
      </c>
      <c r="P690" s="110">
        <v>2927.39</v>
      </c>
      <c r="Q690" s="110">
        <v>2651.25</v>
      </c>
      <c r="R690" s="110">
        <v>2259.84</v>
      </c>
      <c r="S690" s="110">
        <v>1874.732</v>
      </c>
      <c r="T690" s="110">
        <v>1436.8140000000001</v>
      </c>
      <c r="U690" s="110">
        <v>1056.4490000000001</v>
      </c>
      <c r="V690" s="110">
        <v>704.90499999999997</v>
      </c>
      <c r="W690" s="110">
        <v>509.33</v>
      </c>
      <c r="X690" s="110">
        <v>270.80799999999999</v>
      </c>
      <c r="Y690" s="110">
        <v>98.24</v>
      </c>
      <c r="Z690" s="110">
        <v>20.797999999999998</v>
      </c>
      <c r="AA690" s="110">
        <v>2.8279999999999998</v>
      </c>
      <c r="AB690" s="110">
        <v>0.24099999999999999</v>
      </c>
      <c r="AC690" s="115">
        <f t="shared" si="30"/>
        <v>26308.737999999998</v>
      </c>
      <c r="AD690" t="str">
        <f t="shared" si="31"/>
        <v/>
      </c>
    </row>
    <row r="691" spans="1:30" x14ac:dyDescent="0.25">
      <c r="A691" s="104" t="str">
        <f t="shared" si="29"/>
        <v>Philippines2016</v>
      </c>
      <c r="C691" s="107" t="s">
        <v>257</v>
      </c>
      <c r="D691" s="108" t="s">
        <v>148</v>
      </c>
      <c r="E691" s="109"/>
      <c r="F691" s="109">
        <v>608</v>
      </c>
      <c r="G691" s="109">
        <v>2016</v>
      </c>
      <c r="H691" s="110">
        <v>5598.4979999999996</v>
      </c>
      <c r="I691" s="110">
        <v>5375.3609999999999</v>
      </c>
      <c r="J691" s="110">
        <v>5082.4430000000002</v>
      </c>
      <c r="K691" s="110">
        <v>4963.2879999999996</v>
      </c>
      <c r="L691" s="110">
        <v>4796.4110000000001</v>
      </c>
      <c r="M691" s="110">
        <v>4219.4070000000002</v>
      </c>
      <c r="N691" s="110">
        <v>3707.7109999999998</v>
      </c>
      <c r="O691" s="110">
        <v>3354.1759999999999</v>
      </c>
      <c r="P691" s="110">
        <v>2982.1559999999999</v>
      </c>
      <c r="Q691" s="110">
        <v>2698.38</v>
      </c>
      <c r="R691" s="110">
        <v>2322.4949999999999</v>
      </c>
      <c r="S691" s="110">
        <v>1935.0309999999999</v>
      </c>
      <c r="T691" s="110">
        <v>1496.1769999999999</v>
      </c>
      <c r="U691" s="110">
        <v>1101.7070000000001</v>
      </c>
      <c r="V691" s="110">
        <v>732.94799999999998</v>
      </c>
      <c r="W691" s="110">
        <v>512.98699999999997</v>
      </c>
      <c r="X691" s="110">
        <v>284.31700000000001</v>
      </c>
      <c r="Y691" s="110">
        <v>107.985</v>
      </c>
      <c r="Z691" s="110">
        <v>25.093</v>
      </c>
      <c r="AA691" s="110">
        <v>3.28</v>
      </c>
      <c r="AB691" s="110">
        <v>0.25</v>
      </c>
      <c r="AC691" s="115">
        <f t="shared" si="30"/>
        <v>26721.528999999999</v>
      </c>
      <c r="AD691">
        <f t="shared" si="31"/>
        <v>1.0156902622999249</v>
      </c>
    </row>
    <row r="692" spans="1:30" x14ac:dyDescent="0.25">
      <c r="A692" s="104" t="str">
        <f t="shared" si="29"/>
        <v>Philippines2017</v>
      </c>
      <c r="C692" s="107" t="s">
        <v>257</v>
      </c>
      <c r="D692" s="108" t="s">
        <v>148</v>
      </c>
      <c r="E692" s="109"/>
      <c r="F692" s="109">
        <v>608</v>
      </c>
      <c r="G692" s="109">
        <v>2017</v>
      </c>
      <c r="H692" s="110">
        <v>5635.0860000000002</v>
      </c>
      <c r="I692" s="110">
        <v>5424.2470000000003</v>
      </c>
      <c r="J692" s="110">
        <v>5129.5230000000001</v>
      </c>
      <c r="K692" s="110">
        <v>4964.2709999999997</v>
      </c>
      <c r="L692" s="110">
        <v>4836.8379999999997</v>
      </c>
      <c r="M692" s="110">
        <v>4340.9139999999998</v>
      </c>
      <c r="N692" s="110">
        <v>3779.3969999999999</v>
      </c>
      <c r="O692" s="110">
        <v>3407.9079999999999</v>
      </c>
      <c r="P692" s="110">
        <v>3044.1729999999998</v>
      </c>
      <c r="Q692" s="110">
        <v>2737.6329999999998</v>
      </c>
      <c r="R692" s="110">
        <v>2388.3380000000002</v>
      </c>
      <c r="S692" s="110">
        <v>1991.8979999999999</v>
      </c>
      <c r="T692" s="110">
        <v>1560.653</v>
      </c>
      <c r="U692" s="110">
        <v>1146.6079999999999</v>
      </c>
      <c r="V692" s="110">
        <v>770.67399999999998</v>
      </c>
      <c r="W692" s="110">
        <v>513.72199999999998</v>
      </c>
      <c r="X692" s="110">
        <v>297.88099999999997</v>
      </c>
      <c r="Y692" s="110">
        <v>114.82899999999999</v>
      </c>
      <c r="Z692" s="110">
        <v>28.256</v>
      </c>
      <c r="AA692" s="110">
        <v>4.1619999999999999</v>
      </c>
      <c r="AB692" s="110">
        <v>0.25800000000000001</v>
      </c>
      <c r="AC692" s="115">
        <f t="shared" si="30"/>
        <v>27111.133999999998</v>
      </c>
      <c r="AD692">
        <f t="shared" si="31"/>
        <v>1.0145801911260393</v>
      </c>
    </row>
    <row r="693" spans="1:30" x14ac:dyDescent="0.25">
      <c r="A693" s="104" t="str">
        <f t="shared" si="29"/>
        <v>Philippines2018</v>
      </c>
      <c r="C693" s="107" t="s">
        <v>257</v>
      </c>
      <c r="D693" s="108" t="s">
        <v>148</v>
      </c>
      <c r="E693" s="109"/>
      <c r="F693" s="109">
        <v>608</v>
      </c>
      <c r="G693" s="109">
        <v>2018</v>
      </c>
      <c r="H693" s="110">
        <v>5673.4049999999997</v>
      </c>
      <c r="I693" s="110">
        <v>5465.335</v>
      </c>
      <c r="J693" s="110">
        <v>5186.527</v>
      </c>
      <c r="K693" s="110">
        <v>4966.3980000000001</v>
      </c>
      <c r="L693" s="110">
        <v>4858.152</v>
      </c>
      <c r="M693" s="110">
        <v>4462.5839999999998</v>
      </c>
      <c r="N693" s="110">
        <v>3856.277</v>
      </c>
      <c r="O693" s="110">
        <v>3460.09</v>
      </c>
      <c r="P693" s="110">
        <v>3110.2950000000001</v>
      </c>
      <c r="Q693" s="110">
        <v>2773.6559999999999</v>
      </c>
      <c r="R693" s="110">
        <v>2454.42</v>
      </c>
      <c r="S693" s="110">
        <v>2047.306</v>
      </c>
      <c r="T693" s="110">
        <v>1628.3689999999999</v>
      </c>
      <c r="U693" s="110">
        <v>1193.1199999999999</v>
      </c>
      <c r="V693" s="110">
        <v>814.49900000000002</v>
      </c>
      <c r="W693" s="110">
        <v>516.95899999999995</v>
      </c>
      <c r="X693" s="110">
        <v>310.36399999999998</v>
      </c>
      <c r="Y693" s="110">
        <v>118.63500000000001</v>
      </c>
      <c r="Z693" s="110">
        <v>30.276</v>
      </c>
      <c r="AA693" s="110">
        <v>4.84</v>
      </c>
      <c r="AB693" s="110">
        <v>0.26600000000000001</v>
      </c>
      <c r="AC693" s="115">
        <f t="shared" si="30"/>
        <v>27487.452000000001</v>
      </c>
      <c r="AD693">
        <f t="shared" si="31"/>
        <v>1.0138805702483711</v>
      </c>
    </row>
    <row r="694" spans="1:30" x14ac:dyDescent="0.25">
      <c r="A694" s="104" t="str">
        <f t="shared" si="29"/>
        <v>Philippines2019</v>
      </c>
      <c r="C694" s="107" t="s">
        <v>257</v>
      </c>
      <c r="D694" s="108" t="s">
        <v>148</v>
      </c>
      <c r="E694" s="109"/>
      <c r="F694" s="109">
        <v>608</v>
      </c>
      <c r="G694" s="109">
        <v>2019</v>
      </c>
      <c r="H694" s="110">
        <v>5708.1850000000004</v>
      </c>
      <c r="I694" s="110">
        <v>5501.2860000000001</v>
      </c>
      <c r="J694" s="110">
        <v>5246.2619999999997</v>
      </c>
      <c r="K694" s="110">
        <v>4977.8429999999998</v>
      </c>
      <c r="L694" s="110">
        <v>4870.4260000000004</v>
      </c>
      <c r="M694" s="110">
        <v>4569.8590000000004</v>
      </c>
      <c r="N694" s="110">
        <v>3942.7339999999999</v>
      </c>
      <c r="O694" s="110">
        <v>3515.636</v>
      </c>
      <c r="P694" s="110">
        <v>3175.241</v>
      </c>
      <c r="Q694" s="110">
        <v>2813.6480000000001</v>
      </c>
      <c r="R694" s="110">
        <v>2516.2280000000001</v>
      </c>
      <c r="S694" s="110">
        <v>2104.7689999999998</v>
      </c>
      <c r="T694" s="110">
        <v>1696.2049999999999</v>
      </c>
      <c r="U694" s="110">
        <v>1244.2339999999999</v>
      </c>
      <c r="V694" s="110">
        <v>860.14599999999996</v>
      </c>
      <c r="W694" s="110">
        <v>528.58199999999999</v>
      </c>
      <c r="X694" s="110">
        <v>319.846</v>
      </c>
      <c r="Y694" s="110">
        <v>120.943</v>
      </c>
      <c r="Z694" s="110">
        <v>30.175000000000001</v>
      </c>
      <c r="AA694" s="110">
        <v>4.7629999999999999</v>
      </c>
      <c r="AB694" s="110">
        <v>0.27500000000000002</v>
      </c>
      <c r="AC694" s="115">
        <f t="shared" si="30"/>
        <v>27865.387000000002</v>
      </c>
      <c r="AD694">
        <f t="shared" si="31"/>
        <v>1.0137493646191724</v>
      </c>
    </row>
    <row r="695" spans="1:30" x14ac:dyDescent="0.25">
      <c r="A695" s="104" t="str">
        <f t="shared" si="29"/>
        <v>Philippines2020</v>
      </c>
      <c r="C695" s="107" t="s">
        <v>257</v>
      </c>
      <c r="D695" s="108" t="s">
        <v>148</v>
      </c>
      <c r="E695" s="109"/>
      <c r="F695" s="109">
        <v>608</v>
      </c>
      <c r="G695" s="109">
        <v>2020</v>
      </c>
      <c r="H695" s="110">
        <v>5737.5879999999997</v>
      </c>
      <c r="I695" s="110">
        <v>5536.4189999999999</v>
      </c>
      <c r="J695" s="110">
        <v>5301.8450000000003</v>
      </c>
      <c r="K695" s="110">
        <v>5003.0990000000002</v>
      </c>
      <c r="L695" s="110">
        <v>4880.9120000000003</v>
      </c>
      <c r="M695" s="110">
        <v>4653.5469999999996</v>
      </c>
      <c r="N695" s="110">
        <v>4040.2950000000001</v>
      </c>
      <c r="O695" s="110">
        <v>3577.5250000000001</v>
      </c>
      <c r="P695" s="110">
        <v>3235.7649999999999</v>
      </c>
      <c r="Q695" s="110">
        <v>2861.7080000000001</v>
      </c>
      <c r="R695" s="110">
        <v>2571.2040000000002</v>
      </c>
      <c r="S695" s="110">
        <v>2166.134</v>
      </c>
      <c r="T695" s="110">
        <v>1762.0029999999999</v>
      </c>
      <c r="U695" s="110">
        <v>1301.481</v>
      </c>
      <c r="V695" s="110">
        <v>905.75699999999995</v>
      </c>
      <c r="W695" s="110">
        <v>550.72299999999996</v>
      </c>
      <c r="X695" s="110">
        <v>326.27800000000002</v>
      </c>
      <c r="Y695" s="110">
        <v>122.70099999999999</v>
      </c>
      <c r="Z695" s="110">
        <v>27.503</v>
      </c>
      <c r="AA695" s="110">
        <v>3.4540000000000002</v>
      </c>
      <c r="AB695" s="110">
        <v>0.28499999999999998</v>
      </c>
      <c r="AC695" s="115">
        <f t="shared" si="30"/>
        <v>28252.851000000002</v>
      </c>
      <c r="AD695">
        <f t="shared" si="31"/>
        <v>1.0139048490516209</v>
      </c>
    </row>
    <row r="696" spans="1:30" x14ac:dyDescent="0.25">
      <c r="A696" s="104" t="str">
        <f t="shared" si="29"/>
        <v>Philippines2021</v>
      </c>
      <c r="C696" s="107" t="s">
        <v>257</v>
      </c>
      <c r="D696" s="108" t="s">
        <v>148</v>
      </c>
      <c r="E696" s="109"/>
      <c r="F696" s="109">
        <v>608</v>
      </c>
      <c r="G696" s="109">
        <v>2021</v>
      </c>
      <c r="H696" s="110">
        <v>5768.8469999999998</v>
      </c>
      <c r="I696" s="110">
        <v>5575.741</v>
      </c>
      <c r="J696" s="110">
        <v>5350.3580000000002</v>
      </c>
      <c r="K696" s="110">
        <v>5038.9399999999996</v>
      </c>
      <c r="L696" s="110">
        <v>4891.4440000000004</v>
      </c>
      <c r="M696" s="110">
        <v>4719.8140000000003</v>
      </c>
      <c r="N696" s="110">
        <v>4151.4740000000002</v>
      </c>
      <c r="O696" s="110">
        <v>3646.268</v>
      </c>
      <c r="P696" s="110">
        <v>3292.9</v>
      </c>
      <c r="Q696" s="110">
        <v>2915.0479999999998</v>
      </c>
      <c r="R696" s="110">
        <v>2616.8679999999999</v>
      </c>
      <c r="S696" s="110">
        <v>2225.857</v>
      </c>
      <c r="T696" s="110">
        <v>1817.375</v>
      </c>
      <c r="U696" s="110">
        <v>1355.8869999999999</v>
      </c>
      <c r="V696" s="110">
        <v>944.25900000000001</v>
      </c>
      <c r="W696" s="110">
        <v>573.22299999999996</v>
      </c>
      <c r="X696" s="110">
        <v>331.37099999999998</v>
      </c>
      <c r="Y696" s="110">
        <v>135.22200000000001</v>
      </c>
      <c r="Z696" s="110">
        <v>32.81</v>
      </c>
      <c r="AA696" s="110">
        <v>4.1820000000000004</v>
      </c>
      <c r="AB696" s="110">
        <v>0.29499999999999998</v>
      </c>
      <c r="AC696" s="115">
        <f t="shared" si="30"/>
        <v>28655.887999999999</v>
      </c>
      <c r="AD696">
        <f t="shared" si="31"/>
        <v>1.0142653567953195</v>
      </c>
    </row>
    <row r="697" spans="1:30" x14ac:dyDescent="0.25">
      <c r="A697" s="104" t="str">
        <f t="shared" si="29"/>
        <v>Philippines2022</v>
      </c>
      <c r="C697" s="107" t="s">
        <v>257</v>
      </c>
      <c r="D697" s="108" t="s">
        <v>148</v>
      </c>
      <c r="E697" s="109"/>
      <c r="F697" s="109">
        <v>608</v>
      </c>
      <c r="G697" s="109">
        <v>2022</v>
      </c>
      <c r="H697" s="110">
        <v>5793.1329999999998</v>
      </c>
      <c r="I697" s="110">
        <v>5613.97</v>
      </c>
      <c r="J697" s="110">
        <v>5395.6880000000001</v>
      </c>
      <c r="K697" s="110">
        <v>5088.9669999999996</v>
      </c>
      <c r="L697" s="110">
        <v>4897.4589999999998</v>
      </c>
      <c r="M697" s="110">
        <v>4763.4049999999997</v>
      </c>
      <c r="N697" s="110">
        <v>4274.5060000000003</v>
      </c>
      <c r="O697" s="110">
        <v>3719.0680000000002</v>
      </c>
      <c r="P697" s="110">
        <v>3347.2510000000002</v>
      </c>
      <c r="Q697" s="110">
        <v>2976.98</v>
      </c>
      <c r="R697" s="110">
        <v>2656.2579999999998</v>
      </c>
      <c r="S697" s="110">
        <v>2290.1930000000002</v>
      </c>
      <c r="T697" s="110">
        <v>1871.0609999999999</v>
      </c>
      <c r="U697" s="110">
        <v>1415.808</v>
      </c>
      <c r="V697" s="110">
        <v>983.61099999999999</v>
      </c>
      <c r="W697" s="110">
        <v>602.90700000000004</v>
      </c>
      <c r="X697" s="110">
        <v>333.01100000000002</v>
      </c>
      <c r="Y697" s="110">
        <v>145.49600000000001</v>
      </c>
      <c r="Z697" s="110">
        <v>36.386000000000003</v>
      </c>
      <c r="AA697" s="110">
        <v>5.4790000000000001</v>
      </c>
      <c r="AB697" s="110">
        <v>0.307</v>
      </c>
      <c r="AC697" s="115">
        <f t="shared" si="30"/>
        <v>29067.635999999999</v>
      </c>
      <c r="AD697">
        <f t="shared" si="31"/>
        <v>1.0143687049586458</v>
      </c>
    </row>
    <row r="698" spans="1:30" x14ac:dyDescent="0.25">
      <c r="A698" s="104" t="str">
        <f t="shared" si="29"/>
        <v>Philippines2023</v>
      </c>
      <c r="C698" s="107" t="s">
        <v>257</v>
      </c>
      <c r="D698" s="108" t="s">
        <v>148</v>
      </c>
      <c r="E698" s="109"/>
      <c r="F698" s="109">
        <v>608</v>
      </c>
      <c r="G698" s="109">
        <v>2023</v>
      </c>
      <c r="H698" s="110">
        <v>5811.39</v>
      </c>
      <c r="I698" s="110">
        <v>5650.1289999999999</v>
      </c>
      <c r="J698" s="110">
        <v>5438.4560000000001</v>
      </c>
      <c r="K698" s="110">
        <v>5148.59</v>
      </c>
      <c r="L698" s="110">
        <v>4903.8509999999997</v>
      </c>
      <c r="M698" s="110">
        <v>4789.0460000000003</v>
      </c>
      <c r="N698" s="110">
        <v>4399.1409999999996</v>
      </c>
      <c r="O698" s="110">
        <v>3798.1959999999999</v>
      </c>
      <c r="P698" s="110">
        <v>3401.241</v>
      </c>
      <c r="Q698" s="110">
        <v>3044.049</v>
      </c>
      <c r="R698" s="110">
        <v>2693.3319999999999</v>
      </c>
      <c r="S698" s="110">
        <v>2355.7269999999999</v>
      </c>
      <c r="T698" s="110">
        <v>1925.127</v>
      </c>
      <c r="U698" s="110">
        <v>1479.09</v>
      </c>
      <c r="V698" s="110">
        <v>1025.277</v>
      </c>
      <c r="W698" s="110">
        <v>638.029</v>
      </c>
      <c r="X698" s="110">
        <v>335.53800000000001</v>
      </c>
      <c r="Y698" s="110">
        <v>151.57499999999999</v>
      </c>
      <c r="Z698" s="110">
        <v>38.567999999999998</v>
      </c>
      <c r="AA698" s="110">
        <v>6.468</v>
      </c>
      <c r="AB698" s="110">
        <v>0.32</v>
      </c>
      <c r="AC698" s="115">
        <f t="shared" si="30"/>
        <v>29484.113999999994</v>
      </c>
      <c r="AD698">
        <f t="shared" si="31"/>
        <v>1.0143278937440938</v>
      </c>
    </row>
    <row r="699" spans="1:30" x14ac:dyDescent="0.25">
      <c r="A699" s="104" t="str">
        <f t="shared" si="29"/>
        <v>Philippines2024</v>
      </c>
      <c r="C699" s="107" t="s">
        <v>257</v>
      </c>
      <c r="D699" s="108" t="s">
        <v>148</v>
      </c>
      <c r="E699" s="109"/>
      <c r="F699" s="109">
        <v>608</v>
      </c>
      <c r="G699" s="109">
        <v>2024</v>
      </c>
      <c r="H699" s="110">
        <v>5826.6540000000005</v>
      </c>
      <c r="I699" s="110">
        <v>5682.8869999999997</v>
      </c>
      <c r="J699" s="110">
        <v>5480.0950000000003</v>
      </c>
      <c r="K699" s="110">
        <v>5209.2610000000004</v>
      </c>
      <c r="L699" s="110">
        <v>4917.375</v>
      </c>
      <c r="M699" s="110">
        <v>4805.2479999999996</v>
      </c>
      <c r="N699" s="110">
        <v>4509.6049999999996</v>
      </c>
      <c r="O699" s="110">
        <v>3886.9929999999999</v>
      </c>
      <c r="P699" s="110">
        <v>3458.8020000000001</v>
      </c>
      <c r="Q699" s="110">
        <v>3110.2919999999999</v>
      </c>
      <c r="R699" s="110">
        <v>2734.366</v>
      </c>
      <c r="S699" s="110">
        <v>2417.4349999999999</v>
      </c>
      <c r="T699" s="110">
        <v>1982.36</v>
      </c>
      <c r="U699" s="110">
        <v>1542.5820000000001</v>
      </c>
      <c r="V699" s="110">
        <v>1071.575</v>
      </c>
      <c r="W699" s="110">
        <v>675.72299999999996</v>
      </c>
      <c r="X699" s="110">
        <v>343.31900000000002</v>
      </c>
      <c r="Y699" s="110">
        <v>153.32499999999999</v>
      </c>
      <c r="Z699" s="110">
        <v>38.340000000000003</v>
      </c>
      <c r="AA699" s="110">
        <v>6.4119999999999999</v>
      </c>
      <c r="AB699" s="110">
        <v>0.33600000000000002</v>
      </c>
      <c r="AC699" s="115">
        <f t="shared" si="30"/>
        <v>29897.576000000001</v>
      </c>
      <c r="AD699">
        <f t="shared" si="31"/>
        <v>1.0140232126357946</v>
      </c>
    </row>
    <row r="700" spans="1:30" x14ac:dyDescent="0.25">
      <c r="A700" s="104" t="str">
        <f t="shared" si="29"/>
        <v>Philippines2025</v>
      </c>
      <c r="C700" s="107" t="s">
        <v>257</v>
      </c>
      <c r="D700" s="108" t="s">
        <v>148</v>
      </c>
      <c r="E700" s="109"/>
      <c r="F700" s="109">
        <v>608</v>
      </c>
      <c r="G700" s="109">
        <v>2025</v>
      </c>
      <c r="H700" s="110">
        <v>5841.1059999999998</v>
      </c>
      <c r="I700" s="110">
        <v>5710.9549999999999</v>
      </c>
      <c r="J700" s="110">
        <v>5521.1220000000003</v>
      </c>
      <c r="K700" s="110">
        <v>5265.2879999999996</v>
      </c>
      <c r="L700" s="110">
        <v>4942.5910000000003</v>
      </c>
      <c r="M700" s="110">
        <v>4818.1260000000002</v>
      </c>
      <c r="N700" s="110">
        <v>4595.9920000000002</v>
      </c>
      <c r="O700" s="110">
        <v>3986.605</v>
      </c>
      <c r="P700" s="110">
        <v>3522.4949999999999</v>
      </c>
      <c r="Q700" s="110">
        <v>3172.1309999999999</v>
      </c>
      <c r="R700" s="110">
        <v>2783.165</v>
      </c>
      <c r="S700" s="110">
        <v>2472.5859999999998</v>
      </c>
      <c r="T700" s="110">
        <v>2043.8679999999999</v>
      </c>
      <c r="U700" s="110">
        <v>1604.6479999999999</v>
      </c>
      <c r="V700" s="110">
        <v>1123.7180000000001</v>
      </c>
      <c r="W700" s="110">
        <v>714.43200000000002</v>
      </c>
      <c r="X700" s="110">
        <v>358.27699999999999</v>
      </c>
      <c r="Y700" s="110">
        <v>151.36099999999999</v>
      </c>
      <c r="Z700" s="110">
        <v>35.475000000000001</v>
      </c>
      <c r="AA700" s="110">
        <v>4.7220000000000004</v>
      </c>
      <c r="AB700" s="110">
        <v>0.35399999999999998</v>
      </c>
      <c r="AC700" s="115">
        <f t="shared" si="30"/>
        <v>30303.228000000003</v>
      </c>
      <c r="AD700">
        <f t="shared" si="31"/>
        <v>1.0135680564872551</v>
      </c>
    </row>
    <row r="701" spans="1:30" x14ac:dyDescent="0.25">
      <c r="A701" s="104" t="str">
        <f t="shared" si="29"/>
        <v>Philippines2026</v>
      </c>
      <c r="C701" s="107" t="s">
        <v>257</v>
      </c>
      <c r="D701" s="108" t="s">
        <v>148</v>
      </c>
      <c r="E701" s="109"/>
      <c r="F701" s="109">
        <v>608</v>
      </c>
      <c r="G701" s="109">
        <v>2026</v>
      </c>
      <c r="H701" s="110">
        <v>5856.9340000000002</v>
      </c>
      <c r="I701" s="110">
        <v>5740.0460000000003</v>
      </c>
      <c r="J701" s="110">
        <v>5559.8549999999996</v>
      </c>
      <c r="K701" s="110">
        <v>5315.9979999999996</v>
      </c>
      <c r="L701" s="110">
        <v>4982.6840000000002</v>
      </c>
      <c r="M701" s="110">
        <v>4831.0020000000004</v>
      </c>
      <c r="N701" s="110">
        <v>4663.3249999999998</v>
      </c>
      <c r="O701" s="110">
        <v>4098.2719999999999</v>
      </c>
      <c r="P701" s="110">
        <v>3591.51</v>
      </c>
      <c r="Q701" s="110">
        <v>3229.085</v>
      </c>
      <c r="R701" s="110">
        <v>2836.4569999999999</v>
      </c>
      <c r="S701" s="110">
        <v>2516.9920000000002</v>
      </c>
      <c r="T701" s="110">
        <v>2100.0700000000002</v>
      </c>
      <c r="U701" s="110">
        <v>1656.0350000000001</v>
      </c>
      <c r="V701" s="110">
        <v>1171.5419999999999</v>
      </c>
      <c r="W701" s="110">
        <v>743.97900000000004</v>
      </c>
      <c r="X701" s="110">
        <v>378.44</v>
      </c>
      <c r="Y701" s="110">
        <v>159.447</v>
      </c>
      <c r="Z701" s="110">
        <v>42.75</v>
      </c>
      <c r="AA701" s="110">
        <v>5.6280000000000001</v>
      </c>
      <c r="AB701" s="110">
        <v>0.376</v>
      </c>
      <c r="AC701" s="115">
        <f t="shared" si="30"/>
        <v>30711.876000000004</v>
      </c>
      <c r="AD701">
        <f t="shared" si="31"/>
        <v>1.0134852960219287</v>
      </c>
    </row>
    <row r="702" spans="1:30" x14ac:dyDescent="0.25">
      <c r="A702" s="104" t="str">
        <f t="shared" si="29"/>
        <v>Philippines2027</v>
      </c>
      <c r="C702" s="107" t="s">
        <v>257</v>
      </c>
      <c r="D702" s="108" t="s">
        <v>148</v>
      </c>
      <c r="E702" s="109"/>
      <c r="F702" s="109">
        <v>608</v>
      </c>
      <c r="G702" s="109">
        <v>2027</v>
      </c>
      <c r="H702" s="110">
        <v>5870.6490000000003</v>
      </c>
      <c r="I702" s="110">
        <v>5765.4120000000003</v>
      </c>
      <c r="J702" s="110">
        <v>5597.3249999999998</v>
      </c>
      <c r="K702" s="110">
        <v>5362.085</v>
      </c>
      <c r="L702" s="110">
        <v>5035.3940000000002</v>
      </c>
      <c r="M702" s="110">
        <v>4838.6689999999999</v>
      </c>
      <c r="N702" s="110">
        <v>4707.817</v>
      </c>
      <c r="O702" s="110">
        <v>4221.5280000000002</v>
      </c>
      <c r="P702" s="110">
        <v>3664.4059999999999</v>
      </c>
      <c r="Q702" s="110">
        <v>3283.2649999999999</v>
      </c>
      <c r="R702" s="110">
        <v>2898.0740000000001</v>
      </c>
      <c r="S702" s="110">
        <v>2555.808</v>
      </c>
      <c r="T702" s="110">
        <v>2161.2289999999998</v>
      </c>
      <c r="U702" s="110">
        <v>1706.2760000000001</v>
      </c>
      <c r="V702" s="110">
        <v>1224.6990000000001</v>
      </c>
      <c r="W702" s="110">
        <v>774.49300000000005</v>
      </c>
      <c r="X702" s="110">
        <v>400.608</v>
      </c>
      <c r="Y702" s="110">
        <v>163.315</v>
      </c>
      <c r="Z702" s="110">
        <v>48.142000000000003</v>
      </c>
      <c r="AA702" s="110">
        <v>7.2249999999999996</v>
      </c>
      <c r="AB702" s="110">
        <v>0.40100000000000002</v>
      </c>
      <c r="AC702" s="115">
        <f t="shared" si="30"/>
        <v>31113.164000000001</v>
      </c>
      <c r="AD702">
        <f t="shared" si="31"/>
        <v>1.0130662158182717</v>
      </c>
    </row>
    <row r="703" spans="1:30" x14ac:dyDescent="0.25">
      <c r="A703" s="104" t="str">
        <f t="shared" si="29"/>
        <v>Philippines2028</v>
      </c>
      <c r="C703" s="107" t="s">
        <v>257</v>
      </c>
      <c r="D703" s="108" t="s">
        <v>148</v>
      </c>
      <c r="E703" s="109"/>
      <c r="F703" s="109">
        <v>608</v>
      </c>
      <c r="G703" s="109">
        <v>2028</v>
      </c>
      <c r="H703" s="110">
        <v>5882.4690000000001</v>
      </c>
      <c r="I703" s="110">
        <v>5786.4809999999998</v>
      </c>
      <c r="J703" s="110">
        <v>5633.2950000000001</v>
      </c>
      <c r="K703" s="110">
        <v>5404.8109999999997</v>
      </c>
      <c r="L703" s="110">
        <v>5095.768</v>
      </c>
      <c r="M703" s="110">
        <v>4846.1610000000001</v>
      </c>
      <c r="N703" s="110">
        <v>4734.326</v>
      </c>
      <c r="O703" s="110">
        <v>4346.1949999999997</v>
      </c>
      <c r="P703" s="110">
        <v>3743.5050000000001</v>
      </c>
      <c r="Q703" s="110">
        <v>3337.2759999999998</v>
      </c>
      <c r="R703" s="110">
        <v>2964.5140000000001</v>
      </c>
      <c r="S703" s="110">
        <v>2592.7460000000001</v>
      </c>
      <c r="T703" s="110">
        <v>2224.556</v>
      </c>
      <c r="U703" s="110">
        <v>1757.1469999999999</v>
      </c>
      <c r="V703" s="110">
        <v>1281.0540000000001</v>
      </c>
      <c r="W703" s="110">
        <v>808.63900000000001</v>
      </c>
      <c r="X703" s="110">
        <v>423.97300000000001</v>
      </c>
      <c r="Y703" s="110">
        <v>164.59299999999999</v>
      </c>
      <c r="Z703" s="110">
        <v>51.137999999999998</v>
      </c>
      <c r="AA703" s="110">
        <v>8.4429999999999996</v>
      </c>
      <c r="AB703" s="110">
        <v>0.42799999999999999</v>
      </c>
      <c r="AC703" s="115">
        <f t="shared" si="30"/>
        <v>31508.042000000001</v>
      </c>
      <c r="AD703">
        <f t="shared" si="31"/>
        <v>1.0126916696739683</v>
      </c>
    </row>
    <row r="704" spans="1:30" x14ac:dyDescent="0.25">
      <c r="A704" s="104" t="str">
        <f t="shared" si="29"/>
        <v>Philippines2029</v>
      </c>
      <c r="C704" s="107" t="s">
        <v>257</v>
      </c>
      <c r="D704" s="108" t="s">
        <v>148</v>
      </c>
      <c r="E704" s="109"/>
      <c r="F704" s="109">
        <v>608</v>
      </c>
      <c r="G704" s="109">
        <v>2029</v>
      </c>
      <c r="H704" s="110">
        <v>5892.1090000000004</v>
      </c>
      <c r="I704" s="110">
        <v>5803.4849999999997</v>
      </c>
      <c r="J704" s="110">
        <v>5666.9380000000001</v>
      </c>
      <c r="K704" s="110">
        <v>5446.393</v>
      </c>
      <c r="L704" s="110">
        <v>5155.7060000000001</v>
      </c>
      <c r="M704" s="110">
        <v>4860.4759999999997</v>
      </c>
      <c r="N704" s="110">
        <v>4751.5739999999996</v>
      </c>
      <c r="O704" s="110">
        <v>4456.8649999999998</v>
      </c>
      <c r="P704" s="110">
        <v>3832.4360000000001</v>
      </c>
      <c r="Q704" s="110">
        <v>3395.2370000000001</v>
      </c>
      <c r="R704" s="110">
        <v>3030.1779999999999</v>
      </c>
      <c r="S704" s="110">
        <v>2634.0050000000001</v>
      </c>
      <c r="T704" s="110">
        <v>2285.4319999999998</v>
      </c>
      <c r="U704" s="110">
        <v>1811.37</v>
      </c>
      <c r="V704" s="110">
        <v>1338.067</v>
      </c>
      <c r="W704" s="110">
        <v>848.54</v>
      </c>
      <c r="X704" s="110">
        <v>447.57400000000001</v>
      </c>
      <c r="Y704" s="110">
        <v>166.32300000000001</v>
      </c>
      <c r="Z704" s="110">
        <v>50.372</v>
      </c>
      <c r="AA704" s="110">
        <v>8.3829999999999991</v>
      </c>
      <c r="AB704" s="110">
        <v>0.45800000000000002</v>
      </c>
      <c r="AC704" s="115">
        <f t="shared" si="30"/>
        <v>31898.687000000005</v>
      </c>
      <c r="AD704">
        <f t="shared" si="31"/>
        <v>1.0123982632751347</v>
      </c>
    </row>
    <row r="705" spans="1:30" x14ac:dyDescent="0.25">
      <c r="A705" s="104" t="str">
        <f t="shared" si="29"/>
        <v>Philippines2030</v>
      </c>
      <c r="C705" s="107" t="s">
        <v>257</v>
      </c>
      <c r="D705" s="108" t="s">
        <v>148</v>
      </c>
      <c r="E705" s="109"/>
      <c r="F705" s="109">
        <v>608</v>
      </c>
      <c r="G705" s="109">
        <v>2030</v>
      </c>
      <c r="H705" s="110">
        <v>5899.6940000000004</v>
      </c>
      <c r="I705" s="110">
        <v>5817.116</v>
      </c>
      <c r="J705" s="110">
        <v>5697.0519999999997</v>
      </c>
      <c r="K705" s="110">
        <v>5487.91</v>
      </c>
      <c r="L705" s="110">
        <v>5210.2979999999998</v>
      </c>
      <c r="M705" s="110">
        <v>4885.9290000000001</v>
      </c>
      <c r="N705" s="110">
        <v>4765.5929999999998</v>
      </c>
      <c r="O705" s="110">
        <v>4543.8879999999999</v>
      </c>
      <c r="P705" s="110">
        <v>3932.4960000000001</v>
      </c>
      <c r="Q705" s="110">
        <v>3459.67</v>
      </c>
      <c r="R705" s="110">
        <v>3091.8560000000002</v>
      </c>
      <c r="S705" s="110">
        <v>2683.28</v>
      </c>
      <c r="T705" s="110">
        <v>2340.9879999999998</v>
      </c>
      <c r="U705" s="110">
        <v>1870.383</v>
      </c>
      <c r="V705" s="110">
        <v>1394.6510000000001</v>
      </c>
      <c r="W705" s="110">
        <v>894.471</v>
      </c>
      <c r="X705" s="110">
        <v>471.94</v>
      </c>
      <c r="Y705" s="110">
        <v>170.21700000000001</v>
      </c>
      <c r="Z705" s="110">
        <v>45.222000000000001</v>
      </c>
      <c r="AA705" s="110">
        <v>6.3040000000000003</v>
      </c>
      <c r="AB705" s="110">
        <v>0.49</v>
      </c>
      <c r="AC705" s="115">
        <f t="shared" si="30"/>
        <v>32285.784</v>
      </c>
      <c r="AD705">
        <f t="shared" si="31"/>
        <v>1.0121352016777365</v>
      </c>
    </row>
    <row r="706" spans="1:30" x14ac:dyDescent="0.25">
      <c r="A706" s="104" t="str">
        <f t="shared" si="29"/>
        <v>Philippines2031</v>
      </c>
      <c r="C706" s="107" t="s">
        <v>257</v>
      </c>
      <c r="D706" s="108" t="s">
        <v>148</v>
      </c>
      <c r="E706" s="109"/>
      <c r="F706" s="109">
        <v>608</v>
      </c>
      <c r="G706" s="109">
        <v>2031</v>
      </c>
      <c r="H706" s="110">
        <v>5911.26</v>
      </c>
      <c r="I706" s="110">
        <v>5833.8760000000002</v>
      </c>
      <c r="J706" s="110">
        <v>5723.2089999999998</v>
      </c>
      <c r="K706" s="110">
        <v>5526.9210000000003</v>
      </c>
      <c r="L706" s="110">
        <v>5262.924</v>
      </c>
      <c r="M706" s="110">
        <v>4926.3419999999996</v>
      </c>
      <c r="N706" s="110">
        <v>4778.1819999999998</v>
      </c>
      <c r="O706" s="110">
        <v>4610.518</v>
      </c>
      <c r="P706" s="110">
        <v>4042.931</v>
      </c>
      <c r="Q706" s="110">
        <v>3527.5079999999998</v>
      </c>
      <c r="R706" s="110">
        <v>3147.875</v>
      </c>
      <c r="S706" s="110">
        <v>2734.9870000000001</v>
      </c>
      <c r="T706" s="110">
        <v>2382.2550000000001</v>
      </c>
      <c r="U706" s="110">
        <v>1923.318</v>
      </c>
      <c r="V706" s="110">
        <v>1440.0119999999999</v>
      </c>
      <c r="W706" s="110">
        <v>932.84900000000005</v>
      </c>
      <c r="X706" s="110">
        <v>496.863</v>
      </c>
      <c r="Y706" s="110">
        <v>188.27</v>
      </c>
      <c r="Z706" s="110">
        <v>51.241999999999997</v>
      </c>
      <c r="AA706" s="110">
        <v>7.63</v>
      </c>
      <c r="AB706" s="110">
        <v>0.52300000000000002</v>
      </c>
      <c r="AC706" s="115">
        <f t="shared" si="30"/>
        <v>32675.326000000001</v>
      </c>
      <c r="AD706">
        <f t="shared" si="31"/>
        <v>1.0120654341241955</v>
      </c>
    </row>
    <row r="707" spans="1:30" x14ac:dyDescent="0.25">
      <c r="A707" s="104" t="str">
        <f t="shared" si="29"/>
        <v>Philippines2032</v>
      </c>
      <c r="C707" s="107" t="s">
        <v>257</v>
      </c>
      <c r="D707" s="108" t="s">
        <v>148</v>
      </c>
      <c r="E707" s="109"/>
      <c r="F707" s="109">
        <v>608</v>
      </c>
      <c r="G707" s="109">
        <v>2032</v>
      </c>
      <c r="H707" s="110">
        <v>5919.1509999999998</v>
      </c>
      <c r="I707" s="110">
        <v>5848.72</v>
      </c>
      <c r="J707" s="110">
        <v>5746.652</v>
      </c>
      <c r="K707" s="110">
        <v>5564.3680000000004</v>
      </c>
      <c r="L707" s="110">
        <v>5310.1840000000002</v>
      </c>
      <c r="M707" s="110">
        <v>4979.2790000000005</v>
      </c>
      <c r="N707" s="110">
        <v>4785.8490000000002</v>
      </c>
      <c r="O707" s="110">
        <v>4654.8230000000003</v>
      </c>
      <c r="P707" s="110">
        <v>4165.2089999999998</v>
      </c>
      <c r="Q707" s="110">
        <v>3599.4560000000001</v>
      </c>
      <c r="R707" s="110">
        <v>3201.5569999999998</v>
      </c>
      <c r="S707" s="110">
        <v>2795.415</v>
      </c>
      <c r="T707" s="110">
        <v>2419.1709999999998</v>
      </c>
      <c r="U707" s="110">
        <v>1981.3520000000001</v>
      </c>
      <c r="V707" s="110">
        <v>1485.394</v>
      </c>
      <c r="W707" s="110">
        <v>975.69</v>
      </c>
      <c r="X707" s="110">
        <v>520.34400000000005</v>
      </c>
      <c r="Y707" s="110">
        <v>203.66399999999999</v>
      </c>
      <c r="Z707" s="110">
        <v>54.792999999999999</v>
      </c>
      <c r="AA707" s="110">
        <v>9.8450000000000006</v>
      </c>
      <c r="AB707" s="110">
        <v>0.55900000000000005</v>
      </c>
      <c r="AC707" s="115">
        <f t="shared" si="30"/>
        <v>33059.167999999998</v>
      </c>
      <c r="AD707">
        <f t="shared" si="31"/>
        <v>1.0117471513520628</v>
      </c>
    </row>
    <row r="708" spans="1:30" x14ac:dyDescent="0.25">
      <c r="A708" s="104" t="str">
        <f t="shared" si="29"/>
        <v>Philippines2033</v>
      </c>
      <c r="C708" s="107" t="s">
        <v>257</v>
      </c>
      <c r="D708" s="108" t="s">
        <v>148</v>
      </c>
      <c r="E708" s="109"/>
      <c r="F708" s="109">
        <v>608</v>
      </c>
      <c r="G708" s="109">
        <v>2033</v>
      </c>
      <c r="H708" s="110">
        <v>5923.7460000000001</v>
      </c>
      <c r="I708" s="110">
        <v>5861.165</v>
      </c>
      <c r="J708" s="110">
        <v>5767.7060000000001</v>
      </c>
      <c r="K708" s="110">
        <v>5600.143</v>
      </c>
      <c r="L708" s="110">
        <v>5352.8779999999997</v>
      </c>
      <c r="M708" s="110">
        <v>5039.7640000000001</v>
      </c>
      <c r="N708" s="110">
        <v>4793.5879999999997</v>
      </c>
      <c r="O708" s="110">
        <v>4681.5450000000001</v>
      </c>
      <c r="P708" s="110">
        <v>4289.1480000000001</v>
      </c>
      <c r="Q708" s="110">
        <v>3677.9520000000002</v>
      </c>
      <c r="R708" s="110">
        <v>3255.2719999999999</v>
      </c>
      <c r="S708" s="110">
        <v>2860.8739999999998</v>
      </c>
      <c r="T708" s="110">
        <v>2455.8020000000001</v>
      </c>
      <c r="U708" s="110">
        <v>2041.569</v>
      </c>
      <c r="V708" s="110">
        <v>1532.1489999999999</v>
      </c>
      <c r="W708" s="110">
        <v>1022.849</v>
      </c>
      <c r="X708" s="110">
        <v>544.61400000000003</v>
      </c>
      <c r="Y708" s="110">
        <v>215.167</v>
      </c>
      <c r="Z708" s="110">
        <v>56.823</v>
      </c>
      <c r="AA708" s="110">
        <v>11.465999999999999</v>
      </c>
      <c r="AB708" s="110">
        <v>0.59599999999999997</v>
      </c>
      <c r="AC708" s="115">
        <f t="shared" si="30"/>
        <v>33435.017999999996</v>
      </c>
      <c r="AD708">
        <f t="shared" si="31"/>
        <v>1.0113690096496075</v>
      </c>
    </row>
    <row r="709" spans="1:30" x14ac:dyDescent="0.25">
      <c r="A709" s="104" t="str">
        <f t="shared" si="29"/>
        <v>Philippines2034</v>
      </c>
      <c r="C709" s="107" t="s">
        <v>257</v>
      </c>
      <c r="D709" s="108" t="s">
        <v>148</v>
      </c>
      <c r="E709" s="109"/>
      <c r="F709" s="109">
        <v>608</v>
      </c>
      <c r="G709" s="109">
        <v>2034</v>
      </c>
      <c r="H709" s="110">
        <v>5925.598</v>
      </c>
      <c r="I709" s="110">
        <v>5870.7619999999997</v>
      </c>
      <c r="J709" s="110">
        <v>5786.7359999999999</v>
      </c>
      <c r="K709" s="110">
        <v>5633.5640000000003</v>
      </c>
      <c r="L709" s="110">
        <v>5393.2280000000001</v>
      </c>
      <c r="M709" s="110">
        <v>5099.54</v>
      </c>
      <c r="N709" s="110">
        <v>4808.2269999999999</v>
      </c>
      <c r="O709" s="110">
        <v>4699.2049999999999</v>
      </c>
      <c r="P709" s="110">
        <v>4399.384</v>
      </c>
      <c r="Q709" s="110">
        <v>3766.5839999999998</v>
      </c>
      <c r="R709" s="110">
        <v>3312.9389999999999</v>
      </c>
      <c r="S709" s="110">
        <v>2925.8710000000001</v>
      </c>
      <c r="T709" s="110">
        <v>2497.9879999999998</v>
      </c>
      <c r="U709" s="110">
        <v>2099.6880000000001</v>
      </c>
      <c r="V709" s="110">
        <v>1582.71</v>
      </c>
      <c r="W709" s="110">
        <v>1072.5999999999999</v>
      </c>
      <c r="X709" s="110">
        <v>571.75900000000001</v>
      </c>
      <c r="Y709" s="110">
        <v>224.25899999999999</v>
      </c>
      <c r="Z709" s="110">
        <v>56.378</v>
      </c>
      <c r="AA709" s="110">
        <v>11.308999999999999</v>
      </c>
      <c r="AB709" s="110">
        <v>0.63800000000000001</v>
      </c>
      <c r="AC709" s="115">
        <f t="shared" si="30"/>
        <v>33799.732000000004</v>
      </c>
      <c r="AD709">
        <f t="shared" si="31"/>
        <v>1.0109081442695802</v>
      </c>
    </row>
    <row r="710" spans="1:30" x14ac:dyDescent="0.25">
      <c r="A710" s="104" t="str">
        <f t="shared" si="29"/>
        <v>Philippines2035</v>
      </c>
      <c r="C710" s="107" t="s">
        <v>257</v>
      </c>
      <c r="D710" s="108" t="s">
        <v>148</v>
      </c>
      <c r="E710" s="109"/>
      <c r="F710" s="109">
        <v>608</v>
      </c>
      <c r="G710" s="109">
        <v>2035</v>
      </c>
      <c r="H710" s="110">
        <v>5925.4309999999996</v>
      </c>
      <c r="I710" s="110">
        <v>5877.0550000000003</v>
      </c>
      <c r="J710" s="110">
        <v>5803.6819999999998</v>
      </c>
      <c r="K710" s="110">
        <v>5664.0460000000003</v>
      </c>
      <c r="L710" s="110">
        <v>5432.8770000000004</v>
      </c>
      <c r="M710" s="110">
        <v>5153.3410000000003</v>
      </c>
      <c r="N710" s="110">
        <v>4833.8710000000001</v>
      </c>
      <c r="O710" s="110">
        <v>4713.7389999999996</v>
      </c>
      <c r="P710" s="110">
        <v>4486.366</v>
      </c>
      <c r="Q710" s="110">
        <v>3866.5439999999999</v>
      </c>
      <c r="R710" s="110">
        <v>3377.12</v>
      </c>
      <c r="S710" s="110">
        <v>2987.357</v>
      </c>
      <c r="T710" s="110">
        <v>2548.7240000000002</v>
      </c>
      <c r="U710" s="110">
        <v>2153.5479999999998</v>
      </c>
      <c r="V710" s="110">
        <v>1638.434</v>
      </c>
      <c r="W710" s="110">
        <v>1123.421</v>
      </c>
      <c r="X710" s="110">
        <v>603.24300000000005</v>
      </c>
      <c r="Y710" s="110">
        <v>232.06700000000001</v>
      </c>
      <c r="Z710" s="110">
        <v>53.408000000000001</v>
      </c>
      <c r="AA710" s="110">
        <v>8.49</v>
      </c>
      <c r="AB710" s="110">
        <v>0.68300000000000005</v>
      </c>
      <c r="AC710" s="115">
        <f t="shared" si="30"/>
        <v>34150.784000000007</v>
      </c>
      <c r="AD710">
        <f t="shared" si="31"/>
        <v>1.0103862361985594</v>
      </c>
    </row>
    <row r="711" spans="1:30" x14ac:dyDescent="0.25">
      <c r="A711" s="104" t="str">
        <f t="shared" si="29"/>
        <v>Philippines2036</v>
      </c>
      <c r="C711" s="107" t="s">
        <v>257</v>
      </c>
      <c r="D711" s="108" t="s">
        <v>148</v>
      </c>
      <c r="E711" s="109"/>
      <c r="F711" s="109">
        <v>608</v>
      </c>
      <c r="G711" s="109">
        <v>2036</v>
      </c>
      <c r="H711" s="110">
        <v>5930.0209999999997</v>
      </c>
      <c r="I711" s="110">
        <v>5886.4939999999997</v>
      </c>
      <c r="J711" s="110">
        <v>5818.3919999999998</v>
      </c>
      <c r="K711" s="110">
        <v>5690.3779999999997</v>
      </c>
      <c r="L711" s="110">
        <v>5473.8029999999999</v>
      </c>
      <c r="M711" s="110">
        <v>5206.1949999999997</v>
      </c>
      <c r="N711" s="110">
        <v>4873.8940000000002</v>
      </c>
      <c r="O711" s="110">
        <v>4726.0600000000004</v>
      </c>
      <c r="P711" s="110">
        <v>4552.0829999999996</v>
      </c>
      <c r="Q711" s="110">
        <v>3975.3130000000001</v>
      </c>
      <c r="R711" s="110">
        <v>3443.9810000000002</v>
      </c>
      <c r="S711" s="110">
        <v>3041.556</v>
      </c>
      <c r="T711" s="110">
        <v>2597.5079999999998</v>
      </c>
      <c r="U711" s="110">
        <v>2192.48</v>
      </c>
      <c r="V711" s="110">
        <v>1686.0719999999999</v>
      </c>
      <c r="W711" s="110">
        <v>1159.3710000000001</v>
      </c>
      <c r="X711" s="110">
        <v>636.077</v>
      </c>
      <c r="Y711" s="110">
        <v>253.999</v>
      </c>
      <c r="Z711" s="110">
        <v>63.762</v>
      </c>
      <c r="AA711" s="110">
        <v>9.6430000000000007</v>
      </c>
      <c r="AB711" s="110">
        <v>0.73399999999999999</v>
      </c>
      <c r="AC711" s="115">
        <f t="shared" si="30"/>
        <v>34497.726000000002</v>
      </c>
      <c r="AD711">
        <f t="shared" si="31"/>
        <v>1.0101591225548436</v>
      </c>
    </row>
    <row r="712" spans="1:30" x14ac:dyDescent="0.25">
      <c r="A712" s="104" t="str">
        <f t="shared" si="29"/>
        <v>Philippines2037</v>
      </c>
      <c r="C712" s="107" t="s">
        <v>257</v>
      </c>
      <c r="D712" s="108" t="s">
        <v>148</v>
      </c>
      <c r="E712" s="109"/>
      <c r="F712" s="109">
        <v>608</v>
      </c>
      <c r="G712" s="109">
        <v>2037</v>
      </c>
      <c r="H712" s="110">
        <v>5929.5010000000002</v>
      </c>
      <c r="I712" s="110">
        <v>5894.6220000000003</v>
      </c>
      <c r="J712" s="110">
        <v>5831.8639999999996</v>
      </c>
      <c r="K712" s="110">
        <v>5713.6149999999998</v>
      </c>
      <c r="L712" s="110">
        <v>5512.442</v>
      </c>
      <c r="M712" s="110">
        <v>5253.6880000000001</v>
      </c>
      <c r="N712" s="110">
        <v>4926.6760000000004</v>
      </c>
      <c r="O712" s="110">
        <v>4733.8</v>
      </c>
      <c r="P712" s="110">
        <v>4596.152</v>
      </c>
      <c r="Q712" s="110">
        <v>4096.1499999999996</v>
      </c>
      <c r="R712" s="110">
        <v>3515.163</v>
      </c>
      <c r="S712" s="110">
        <v>3094.348</v>
      </c>
      <c r="T712" s="110">
        <v>2655.4450000000002</v>
      </c>
      <c r="U712" s="110">
        <v>2228.1709999999998</v>
      </c>
      <c r="V712" s="110">
        <v>1739.2929999999999</v>
      </c>
      <c r="W712" s="110">
        <v>1195.93</v>
      </c>
      <c r="X712" s="110">
        <v>669.404</v>
      </c>
      <c r="Y712" s="110">
        <v>271.16000000000003</v>
      </c>
      <c r="Z712" s="110">
        <v>71.784000000000006</v>
      </c>
      <c r="AA712" s="110">
        <v>11.731999999999999</v>
      </c>
      <c r="AB712" s="110">
        <v>0.79100000000000004</v>
      </c>
      <c r="AC712" s="115">
        <f t="shared" si="30"/>
        <v>34832.523000000001</v>
      </c>
      <c r="AD712">
        <f t="shared" si="31"/>
        <v>1.009704900549097</v>
      </c>
    </row>
    <row r="713" spans="1:30" x14ac:dyDescent="0.25">
      <c r="A713" s="104" t="str">
        <f t="shared" si="29"/>
        <v>Philippines2038</v>
      </c>
      <c r="C713" s="107" t="s">
        <v>257</v>
      </c>
      <c r="D713" s="108" t="s">
        <v>148</v>
      </c>
      <c r="E713" s="109"/>
      <c r="F713" s="109">
        <v>608</v>
      </c>
      <c r="G713" s="109">
        <v>2038</v>
      </c>
      <c r="H713" s="110">
        <v>5925.1130000000003</v>
      </c>
      <c r="I713" s="110">
        <v>5900.7820000000002</v>
      </c>
      <c r="J713" s="110">
        <v>5844.0969999999998</v>
      </c>
      <c r="K713" s="110">
        <v>5734.4530000000004</v>
      </c>
      <c r="L713" s="110">
        <v>5548.1890000000003</v>
      </c>
      <c r="M713" s="110">
        <v>5296.5519999999997</v>
      </c>
      <c r="N713" s="110">
        <v>4987.201</v>
      </c>
      <c r="O713" s="110">
        <v>4741.83</v>
      </c>
      <c r="P713" s="110">
        <v>4623.1710000000003</v>
      </c>
      <c r="Q713" s="110">
        <v>4219.0659999999998</v>
      </c>
      <c r="R713" s="110">
        <v>3592.8780000000002</v>
      </c>
      <c r="S713" s="110">
        <v>3147.7469999999998</v>
      </c>
      <c r="T713" s="110">
        <v>2719.4140000000002</v>
      </c>
      <c r="U713" s="110">
        <v>2264.19</v>
      </c>
      <c r="V713" s="110">
        <v>1794.98</v>
      </c>
      <c r="W713" s="110">
        <v>1236.25</v>
      </c>
      <c r="X713" s="110">
        <v>703.553</v>
      </c>
      <c r="Y713" s="110">
        <v>283.63299999999998</v>
      </c>
      <c r="Z713" s="110">
        <v>77.587000000000003</v>
      </c>
      <c r="AA713" s="110">
        <v>13.404</v>
      </c>
      <c r="AB713" s="110">
        <v>0.85</v>
      </c>
      <c r="AC713" s="115">
        <f t="shared" si="30"/>
        <v>35150.462</v>
      </c>
      <c r="AD713">
        <f t="shared" si="31"/>
        <v>1.0091276477446092</v>
      </c>
    </row>
    <row r="714" spans="1:30" x14ac:dyDescent="0.25">
      <c r="A714" s="104" t="str">
        <f t="shared" si="29"/>
        <v>Philippines2039</v>
      </c>
      <c r="C714" s="107" t="s">
        <v>257</v>
      </c>
      <c r="D714" s="108" t="s">
        <v>148</v>
      </c>
      <c r="E714" s="109"/>
      <c r="F714" s="109">
        <v>608</v>
      </c>
      <c r="G714" s="109">
        <v>2039</v>
      </c>
      <c r="H714" s="110">
        <v>5918.5050000000001</v>
      </c>
      <c r="I714" s="110">
        <v>5904.2139999999999</v>
      </c>
      <c r="J714" s="110">
        <v>5854.9549999999999</v>
      </c>
      <c r="K714" s="110">
        <v>5753.5010000000002</v>
      </c>
      <c r="L714" s="110">
        <v>5580.3980000000001</v>
      </c>
      <c r="M714" s="110">
        <v>5336.8270000000002</v>
      </c>
      <c r="N714" s="110">
        <v>5047.1059999999998</v>
      </c>
      <c r="O714" s="110">
        <v>4756.8670000000002</v>
      </c>
      <c r="P714" s="110">
        <v>4641.4549999999999</v>
      </c>
      <c r="Q714" s="110">
        <v>4328.8230000000003</v>
      </c>
      <c r="R714" s="110">
        <v>3680.6529999999998</v>
      </c>
      <c r="S714" s="110">
        <v>3205.4</v>
      </c>
      <c r="T714" s="110">
        <v>2784.2040000000002</v>
      </c>
      <c r="U714" s="110">
        <v>2305.9490000000001</v>
      </c>
      <c r="V714" s="110">
        <v>1849.367</v>
      </c>
      <c r="W714" s="110">
        <v>1282.6420000000001</v>
      </c>
      <c r="X714" s="110">
        <v>737.96500000000003</v>
      </c>
      <c r="Y714" s="110">
        <v>294.89299999999997</v>
      </c>
      <c r="Z714" s="110">
        <v>79.227000000000004</v>
      </c>
      <c r="AA714" s="110">
        <v>13.4</v>
      </c>
      <c r="AB714" s="110">
        <v>0.90800000000000003</v>
      </c>
      <c r="AC714" s="115">
        <f t="shared" si="30"/>
        <v>35444.976999999999</v>
      </c>
      <c r="AD714">
        <f t="shared" si="31"/>
        <v>1.0083786949941085</v>
      </c>
    </row>
    <row r="715" spans="1:30" x14ac:dyDescent="0.25">
      <c r="A715" s="104" t="str">
        <f t="shared" si="29"/>
        <v>Philippines2040</v>
      </c>
      <c r="C715" s="107" t="s">
        <v>257</v>
      </c>
      <c r="D715" s="108" t="s">
        <v>148</v>
      </c>
      <c r="E715" s="109"/>
      <c r="F715" s="109">
        <v>608</v>
      </c>
      <c r="G715" s="109">
        <v>2040</v>
      </c>
      <c r="H715" s="110">
        <v>5911.1549999999997</v>
      </c>
      <c r="I715" s="110">
        <v>5904.085</v>
      </c>
      <c r="J715" s="110">
        <v>5864.12</v>
      </c>
      <c r="K715" s="110">
        <v>5771.018</v>
      </c>
      <c r="L715" s="110">
        <v>5609.058</v>
      </c>
      <c r="M715" s="110">
        <v>5375.7650000000003</v>
      </c>
      <c r="N715" s="110">
        <v>5100.9520000000002</v>
      </c>
      <c r="O715" s="110">
        <v>4782.9840000000004</v>
      </c>
      <c r="P715" s="110">
        <v>4656.82</v>
      </c>
      <c r="Q715" s="110">
        <v>4415.8860000000004</v>
      </c>
      <c r="R715" s="110">
        <v>3779.82</v>
      </c>
      <c r="S715" s="110">
        <v>3269.7150000000001</v>
      </c>
      <c r="T715" s="110">
        <v>2846.5520000000001</v>
      </c>
      <c r="U715" s="110">
        <v>2356.509</v>
      </c>
      <c r="V715" s="110">
        <v>1900.8789999999999</v>
      </c>
      <c r="W715" s="110">
        <v>1335.164</v>
      </c>
      <c r="X715" s="110">
        <v>773.15300000000002</v>
      </c>
      <c r="Y715" s="110">
        <v>306.863</v>
      </c>
      <c r="Z715" s="110">
        <v>76.450999999999993</v>
      </c>
      <c r="AA715" s="110">
        <v>10.605</v>
      </c>
      <c r="AB715" s="110">
        <v>0.96199999999999997</v>
      </c>
      <c r="AC715" s="115">
        <f t="shared" si="30"/>
        <v>35712.483</v>
      </c>
      <c r="AD715">
        <f t="shared" si="31"/>
        <v>1.0075470778271347</v>
      </c>
    </row>
    <row r="716" spans="1:30" x14ac:dyDescent="0.25">
      <c r="A716" s="104" t="str">
        <f t="shared" si="29"/>
        <v>Philippines2041</v>
      </c>
      <c r="C716" s="107" t="s">
        <v>257</v>
      </c>
      <c r="D716" s="108" t="s">
        <v>148</v>
      </c>
      <c r="E716" s="109"/>
      <c r="F716" s="109">
        <v>608</v>
      </c>
      <c r="G716" s="109">
        <v>2041</v>
      </c>
      <c r="H716" s="110">
        <v>5907.4049999999997</v>
      </c>
      <c r="I716" s="110">
        <v>5906.6549999999997</v>
      </c>
      <c r="J716" s="110">
        <v>5871.8739999999998</v>
      </c>
      <c r="K716" s="110">
        <v>5786.04</v>
      </c>
      <c r="L716" s="110">
        <v>5637.4830000000002</v>
      </c>
      <c r="M716" s="110">
        <v>5417.1120000000001</v>
      </c>
      <c r="N716" s="110">
        <v>5153.4579999999996</v>
      </c>
      <c r="O716" s="110">
        <v>4822.701</v>
      </c>
      <c r="P716" s="110">
        <v>4668.99</v>
      </c>
      <c r="Q716" s="110">
        <v>4480.5029999999997</v>
      </c>
      <c r="R716" s="110">
        <v>3887.05</v>
      </c>
      <c r="S716" s="110">
        <v>3334.7460000000001</v>
      </c>
      <c r="T716" s="110">
        <v>2897.4070000000002</v>
      </c>
      <c r="U716" s="110">
        <v>2403.1590000000001</v>
      </c>
      <c r="V716" s="110">
        <v>1935.7149999999999</v>
      </c>
      <c r="W716" s="110">
        <v>1373.8879999999999</v>
      </c>
      <c r="X716" s="110">
        <v>804.53700000000003</v>
      </c>
      <c r="Y716" s="110">
        <v>335.99900000000002</v>
      </c>
      <c r="Z716" s="110">
        <v>89.918000000000006</v>
      </c>
      <c r="AA716" s="110">
        <v>12.8</v>
      </c>
      <c r="AB716" s="110">
        <v>1.0129999999999999</v>
      </c>
      <c r="AC716" s="115">
        <f t="shared" si="30"/>
        <v>35966.286999999997</v>
      </c>
      <c r="AD716">
        <f t="shared" si="31"/>
        <v>1.0071068707264066</v>
      </c>
    </row>
    <row r="717" spans="1:30" x14ac:dyDescent="0.25">
      <c r="A717" s="104" t="str">
        <f t="shared" si="29"/>
        <v>Philippines2042</v>
      </c>
      <c r="C717" s="107" t="s">
        <v>257</v>
      </c>
      <c r="D717" s="108" t="s">
        <v>148</v>
      </c>
      <c r="E717" s="109"/>
      <c r="F717" s="109">
        <v>608</v>
      </c>
      <c r="G717" s="109">
        <v>2042</v>
      </c>
      <c r="H717" s="110">
        <v>5901.8630000000003</v>
      </c>
      <c r="I717" s="110">
        <v>5906.87</v>
      </c>
      <c r="J717" s="110">
        <v>5878.8050000000003</v>
      </c>
      <c r="K717" s="110">
        <v>5799.1750000000002</v>
      </c>
      <c r="L717" s="110">
        <v>5661.8710000000001</v>
      </c>
      <c r="M717" s="110">
        <v>5455.933</v>
      </c>
      <c r="N717" s="110">
        <v>5200.7370000000001</v>
      </c>
      <c r="O717" s="110">
        <v>4875.2309999999998</v>
      </c>
      <c r="P717" s="110">
        <v>4676.7790000000005</v>
      </c>
      <c r="Q717" s="110">
        <v>4524.0739999999996</v>
      </c>
      <c r="R717" s="110">
        <v>4006.36</v>
      </c>
      <c r="S717" s="110">
        <v>3404.5880000000002</v>
      </c>
      <c r="T717" s="110">
        <v>2947.944</v>
      </c>
      <c r="U717" s="110">
        <v>2458.8470000000002</v>
      </c>
      <c r="V717" s="110">
        <v>1969.0350000000001</v>
      </c>
      <c r="W717" s="110">
        <v>1417.6849999999999</v>
      </c>
      <c r="X717" s="110">
        <v>833.72</v>
      </c>
      <c r="Y717" s="110">
        <v>360.291</v>
      </c>
      <c r="Z717" s="110">
        <v>99.429000000000002</v>
      </c>
      <c r="AA717" s="110">
        <v>16.552</v>
      </c>
      <c r="AB717" s="110">
        <v>1.0609999999999999</v>
      </c>
      <c r="AC717" s="115">
        <f t="shared" si="30"/>
        <v>36193.800000000003</v>
      </c>
      <c r="AD717">
        <f t="shared" si="31"/>
        <v>1.006325729425448</v>
      </c>
    </row>
    <row r="718" spans="1:30" x14ac:dyDescent="0.25">
      <c r="A718" s="104" t="str">
        <f t="shared" si="29"/>
        <v>Philippines2043</v>
      </c>
      <c r="C718" s="107" t="s">
        <v>257</v>
      </c>
      <c r="D718" s="108" t="s">
        <v>148</v>
      </c>
      <c r="E718" s="109"/>
      <c r="F718" s="109">
        <v>608</v>
      </c>
      <c r="G718" s="109">
        <v>2043</v>
      </c>
      <c r="H718" s="110">
        <v>5894.7349999999997</v>
      </c>
      <c r="I718" s="110">
        <v>5904.2659999999996</v>
      </c>
      <c r="J718" s="110">
        <v>5884.8280000000004</v>
      </c>
      <c r="K718" s="110">
        <v>5811.0309999999999</v>
      </c>
      <c r="L718" s="110">
        <v>5682.585</v>
      </c>
      <c r="M718" s="110">
        <v>5491.7269999999999</v>
      </c>
      <c r="N718" s="110">
        <v>5243.6090000000004</v>
      </c>
      <c r="O718" s="110">
        <v>4935.6180000000004</v>
      </c>
      <c r="P718" s="110">
        <v>4685.0559999999996</v>
      </c>
      <c r="Q718" s="110">
        <v>4551.3760000000002</v>
      </c>
      <c r="R718" s="110">
        <v>4127.768</v>
      </c>
      <c r="S718" s="110">
        <v>3481.2139999999999</v>
      </c>
      <c r="T718" s="110">
        <v>3000.6460000000002</v>
      </c>
      <c r="U718" s="110">
        <v>2520.3530000000001</v>
      </c>
      <c r="V718" s="110">
        <v>2003.7080000000001</v>
      </c>
      <c r="W718" s="110">
        <v>1466.0139999999999</v>
      </c>
      <c r="X718" s="110">
        <v>864.02099999999996</v>
      </c>
      <c r="Y718" s="110">
        <v>378.30399999999997</v>
      </c>
      <c r="Z718" s="110">
        <v>106.117</v>
      </c>
      <c r="AA718" s="110">
        <v>19.507999999999999</v>
      </c>
      <c r="AB718" s="110">
        <v>1.115</v>
      </c>
      <c r="AC718" s="115">
        <f t="shared" si="30"/>
        <v>36401.002</v>
      </c>
      <c r="AD718">
        <f t="shared" si="31"/>
        <v>1.005724792644044</v>
      </c>
    </row>
    <row r="719" spans="1:30" x14ac:dyDescent="0.25">
      <c r="A719" s="104" t="str">
        <f t="shared" si="29"/>
        <v>Philippines2044</v>
      </c>
      <c r="C719" s="107" t="s">
        <v>257</v>
      </c>
      <c r="D719" s="108" t="s">
        <v>148</v>
      </c>
      <c r="E719" s="109"/>
      <c r="F719" s="109">
        <v>608</v>
      </c>
      <c r="G719" s="109">
        <v>2044</v>
      </c>
      <c r="H719" s="110">
        <v>5885.9750000000004</v>
      </c>
      <c r="I719" s="110">
        <v>5898.8779999999997</v>
      </c>
      <c r="J719" s="110">
        <v>5889.393</v>
      </c>
      <c r="K719" s="110">
        <v>5821.9189999999999</v>
      </c>
      <c r="L719" s="110">
        <v>5700.4350000000004</v>
      </c>
      <c r="M719" s="110">
        <v>5523.8540000000003</v>
      </c>
      <c r="N719" s="110">
        <v>5284.1059999999998</v>
      </c>
      <c r="O719" s="110">
        <v>4995.6220000000003</v>
      </c>
      <c r="P719" s="110">
        <v>4700.6109999999999</v>
      </c>
      <c r="Q719" s="110">
        <v>4570.6279999999997</v>
      </c>
      <c r="R719" s="110">
        <v>4236.3370000000004</v>
      </c>
      <c r="S719" s="110">
        <v>3568.1460000000002</v>
      </c>
      <c r="T719" s="110">
        <v>3058.9929999999999</v>
      </c>
      <c r="U719" s="110">
        <v>2582.9899999999998</v>
      </c>
      <c r="V719" s="110">
        <v>2044.6559999999999</v>
      </c>
      <c r="W719" s="110">
        <v>1516.1569999999999</v>
      </c>
      <c r="X719" s="110">
        <v>897.84</v>
      </c>
      <c r="Y719" s="110">
        <v>393.01600000000002</v>
      </c>
      <c r="Z719" s="110">
        <v>108.11199999999999</v>
      </c>
      <c r="AA719" s="110">
        <v>19.797000000000001</v>
      </c>
      <c r="AB719" s="110">
        <v>1.18</v>
      </c>
      <c r="AC719" s="115">
        <f t="shared" si="30"/>
        <v>36597.174999999996</v>
      </c>
      <c r="AD719">
        <f t="shared" si="31"/>
        <v>1.0053892197802685</v>
      </c>
    </row>
    <row r="720" spans="1:30" x14ac:dyDescent="0.25">
      <c r="A720" s="104" t="str">
        <f t="shared" si="29"/>
        <v>Philippines2045</v>
      </c>
      <c r="C720" s="107" t="s">
        <v>257</v>
      </c>
      <c r="D720" s="108" t="s">
        <v>148</v>
      </c>
      <c r="E720" s="109"/>
      <c r="F720" s="109">
        <v>608</v>
      </c>
      <c r="G720" s="109">
        <v>2045</v>
      </c>
      <c r="H720" s="110">
        <v>5875.8509999999997</v>
      </c>
      <c r="I720" s="110">
        <v>5891.027</v>
      </c>
      <c r="J720" s="110">
        <v>5891.6409999999996</v>
      </c>
      <c r="K720" s="110">
        <v>5831.8310000000001</v>
      </c>
      <c r="L720" s="110">
        <v>5716.31</v>
      </c>
      <c r="M720" s="110">
        <v>5551.9740000000002</v>
      </c>
      <c r="N720" s="110">
        <v>5323.3069999999998</v>
      </c>
      <c r="O720" s="110">
        <v>5049.866</v>
      </c>
      <c r="P720" s="110">
        <v>4727.5469999999996</v>
      </c>
      <c r="Q720" s="110">
        <v>4587.3810000000003</v>
      </c>
      <c r="R720" s="110">
        <v>4322.902</v>
      </c>
      <c r="S720" s="110">
        <v>3666.7620000000002</v>
      </c>
      <c r="T720" s="110">
        <v>3124.75</v>
      </c>
      <c r="U720" s="110">
        <v>2644.2959999999998</v>
      </c>
      <c r="V720" s="110">
        <v>2094.7730000000001</v>
      </c>
      <c r="W720" s="110">
        <v>1565.8969999999999</v>
      </c>
      <c r="X720" s="110">
        <v>936.495</v>
      </c>
      <c r="Y720" s="110">
        <v>406.11500000000001</v>
      </c>
      <c r="Z720" s="110">
        <v>105.908</v>
      </c>
      <c r="AA720" s="110">
        <v>16.026</v>
      </c>
      <c r="AB720" s="110">
        <v>1.2649999999999999</v>
      </c>
      <c r="AC720" s="115">
        <f t="shared" si="30"/>
        <v>36788.216</v>
      </c>
      <c r="AD720">
        <f t="shared" si="31"/>
        <v>1.0052201023712897</v>
      </c>
    </row>
    <row r="721" spans="1:30" x14ac:dyDescent="0.25">
      <c r="A721" s="104" t="str">
        <f t="shared" si="29"/>
        <v>Philippines2046</v>
      </c>
      <c r="C721" s="107" t="s">
        <v>257</v>
      </c>
      <c r="D721" s="108" t="s">
        <v>148</v>
      </c>
      <c r="E721" s="109"/>
      <c r="F721" s="109">
        <v>608</v>
      </c>
      <c r="G721" s="109">
        <v>2046</v>
      </c>
      <c r="H721" s="110">
        <v>5870.5789999999997</v>
      </c>
      <c r="I721" s="110">
        <v>5886.9219999999996</v>
      </c>
      <c r="J721" s="110">
        <v>5891.4859999999999</v>
      </c>
      <c r="K721" s="110">
        <v>5839.5990000000002</v>
      </c>
      <c r="L721" s="110">
        <v>5733.1</v>
      </c>
      <c r="M721" s="110">
        <v>5580.5479999999998</v>
      </c>
      <c r="N721" s="110">
        <v>5364.0690000000004</v>
      </c>
      <c r="O721" s="110">
        <v>5101.643</v>
      </c>
      <c r="P721" s="110">
        <v>4766.665</v>
      </c>
      <c r="Q721" s="110">
        <v>4599.1049999999996</v>
      </c>
      <c r="R721" s="110">
        <v>4386.4470000000001</v>
      </c>
      <c r="S721" s="110">
        <v>3771.0520000000001</v>
      </c>
      <c r="T721" s="110">
        <v>3186.1179999999999</v>
      </c>
      <c r="U721" s="110">
        <v>2692.3020000000001</v>
      </c>
      <c r="V721" s="110">
        <v>2137.38</v>
      </c>
      <c r="W721" s="110">
        <v>1593.1869999999999</v>
      </c>
      <c r="X721" s="110">
        <v>971.471</v>
      </c>
      <c r="Y721" s="110">
        <v>436.55399999999997</v>
      </c>
      <c r="Z721" s="110">
        <v>124.596</v>
      </c>
      <c r="AA721" s="110">
        <v>19.018000000000001</v>
      </c>
      <c r="AB721" s="110">
        <v>1.3720000000000001</v>
      </c>
      <c r="AC721" s="115">
        <f t="shared" si="30"/>
        <v>36984.728999999999</v>
      </c>
      <c r="AD721">
        <f t="shared" si="31"/>
        <v>1.0053417376912215</v>
      </c>
    </row>
    <row r="722" spans="1:30" x14ac:dyDescent="0.25">
      <c r="A722" s="104" t="str">
        <f t="shared" si="29"/>
        <v>Philippines2047</v>
      </c>
      <c r="C722" s="107" t="s">
        <v>257</v>
      </c>
      <c r="D722" s="108" t="s">
        <v>148</v>
      </c>
      <c r="E722" s="109"/>
      <c r="F722" s="109">
        <v>608</v>
      </c>
      <c r="G722" s="109">
        <v>2047</v>
      </c>
      <c r="H722" s="110">
        <v>5861.9629999999997</v>
      </c>
      <c r="I722" s="110">
        <v>5881.9790000000003</v>
      </c>
      <c r="J722" s="110">
        <v>5889.95</v>
      </c>
      <c r="K722" s="110">
        <v>5846.3370000000004</v>
      </c>
      <c r="L722" s="110">
        <v>5747.3789999999999</v>
      </c>
      <c r="M722" s="110">
        <v>5605.1610000000001</v>
      </c>
      <c r="N722" s="110">
        <v>5402.7160000000003</v>
      </c>
      <c r="O722" s="110">
        <v>5148.67</v>
      </c>
      <c r="P722" s="110">
        <v>4818.9229999999998</v>
      </c>
      <c r="Q722" s="110">
        <v>4606.9049999999997</v>
      </c>
      <c r="R722" s="110">
        <v>4429.9709999999995</v>
      </c>
      <c r="S722" s="110">
        <v>3888.0720000000001</v>
      </c>
      <c r="T722" s="110">
        <v>3253.15</v>
      </c>
      <c r="U722" s="110">
        <v>2741.087</v>
      </c>
      <c r="V722" s="110">
        <v>2189.3919999999998</v>
      </c>
      <c r="W722" s="110">
        <v>1620.1659999999999</v>
      </c>
      <c r="X722" s="110">
        <v>1007.12</v>
      </c>
      <c r="Y722" s="110">
        <v>460.00400000000002</v>
      </c>
      <c r="Z722" s="110">
        <v>138.011</v>
      </c>
      <c r="AA722" s="110">
        <v>23.890999999999998</v>
      </c>
      <c r="AB722" s="110">
        <v>1.5009999999999999</v>
      </c>
      <c r="AC722" s="115">
        <f t="shared" si="30"/>
        <v>37176.091</v>
      </c>
      <c r="AD722">
        <f t="shared" si="31"/>
        <v>1.0051740814431815</v>
      </c>
    </row>
    <row r="723" spans="1:30" x14ac:dyDescent="0.25">
      <c r="A723" s="104" t="str">
        <f t="shared" si="29"/>
        <v>Philippines2048</v>
      </c>
      <c r="C723" s="107" t="s">
        <v>257</v>
      </c>
      <c r="D723" s="108" t="s">
        <v>148</v>
      </c>
      <c r="E723" s="109"/>
      <c r="F723" s="109">
        <v>608</v>
      </c>
      <c r="G723" s="109">
        <v>2048</v>
      </c>
      <c r="H723" s="110">
        <v>5850.4970000000003</v>
      </c>
      <c r="I723" s="110">
        <v>5875.7079999999996</v>
      </c>
      <c r="J723" s="110">
        <v>5887.2560000000003</v>
      </c>
      <c r="K723" s="110">
        <v>5852.1850000000004</v>
      </c>
      <c r="L723" s="110">
        <v>5759.2719999999999</v>
      </c>
      <c r="M723" s="110">
        <v>5626.116</v>
      </c>
      <c r="N723" s="110">
        <v>5438.692</v>
      </c>
      <c r="O723" s="110">
        <v>5191.674</v>
      </c>
      <c r="P723" s="110">
        <v>4879.29</v>
      </c>
      <c r="Q723" s="110">
        <v>4615.723</v>
      </c>
      <c r="R723" s="110">
        <v>4457.9340000000002</v>
      </c>
      <c r="S723" s="110">
        <v>4007.6779999999999</v>
      </c>
      <c r="T723" s="110">
        <v>3328.2710000000002</v>
      </c>
      <c r="U723" s="110">
        <v>2792.6889999999999</v>
      </c>
      <c r="V723" s="110">
        <v>2247.2199999999998</v>
      </c>
      <c r="W723" s="110">
        <v>1651.7429999999999</v>
      </c>
      <c r="X723" s="110">
        <v>1044.22</v>
      </c>
      <c r="Y723" s="110">
        <v>476.63099999999997</v>
      </c>
      <c r="Z723" s="110">
        <v>147.173</v>
      </c>
      <c r="AA723" s="110">
        <v>27.759</v>
      </c>
      <c r="AB723" s="110">
        <v>1.647</v>
      </c>
      <c r="AC723" s="115">
        <f t="shared" si="30"/>
        <v>37362.951999999997</v>
      </c>
      <c r="AD723">
        <f t="shared" si="31"/>
        <v>1.0050263756886111</v>
      </c>
    </row>
    <row r="724" spans="1:30" x14ac:dyDescent="0.25">
      <c r="A724" s="104" t="str">
        <f t="shared" si="29"/>
        <v>Philippines2049</v>
      </c>
      <c r="C724" s="107" t="s">
        <v>257</v>
      </c>
      <c r="D724" s="108" t="s">
        <v>148</v>
      </c>
      <c r="E724" s="109"/>
      <c r="F724" s="109">
        <v>608</v>
      </c>
      <c r="G724" s="109">
        <v>2049</v>
      </c>
      <c r="H724" s="110">
        <v>5836.9120000000003</v>
      </c>
      <c r="I724" s="110">
        <v>5867.5479999999998</v>
      </c>
      <c r="J724" s="110">
        <v>5883.6580000000004</v>
      </c>
      <c r="K724" s="110">
        <v>5856.7759999999998</v>
      </c>
      <c r="L724" s="110">
        <v>5769.1090000000004</v>
      </c>
      <c r="M724" s="110">
        <v>5644.0550000000003</v>
      </c>
      <c r="N724" s="110">
        <v>5471.201</v>
      </c>
      <c r="O724" s="110">
        <v>5232.5630000000001</v>
      </c>
      <c r="P724" s="110">
        <v>4939.5339999999997</v>
      </c>
      <c r="Q724" s="110">
        <v>4632.2780000000002</v>
      </c>
      <c r="R724" s="110">
        <v>4478.1840000000002</v>
      </c>
      <c r="S724" s="110">
        <v>4115.1390000000001</v>
      </c>
      <c r="T724" s="110">
        <v>3414.9659999999999</v>
      </c>
      <c r="U724" s="110">
        <v>2850.2669999999998</v>
      </c>
      <c r="V724" s="110">
        <v>2306.826</v>
      </c>
      <c r="W724" s="110">
        <v>1692.52</v>
      </c>
      <c r="X724" s="110">
        <v>1081.44</v>
      </c>
      <c r="Y724" s="110">
        <v>491.596</v>
      </c>
      <c r="Z724" s="110">
        <v>149.78</v>
      </c>
      <c r="AA724" s="110">
        <v>28.225999999999999</v>
      </c>
      <c r="AB724" s="110">
        <v>1.8069999999999999</v>
      </c>
      <c r="AC724" s="115">
        <f t="shared" si="30"/>
        <v>37545.516000000003</v>
      </c>
      <c r="AD724">
        <f t="shared" si="31"/>
        <v>1.0048862306168957</v>
      </c>
    </row>
    <row r="725" spans="1:30" x14ac:dyDescent="0.25">
      <c r="A725" s="104" t="str">
        <f t="shared" si="29"/>
        <v>Philippines2050</v>
      </c>
      <c r="C725" s="107" t="s">
        <v>257</v>
      </c>
      <c r="D725" s="108" t="s">
        <v>148</v>
      </c>
      <c r="E725" s="109"/>
      <c r="F725" s="109">
        <v>608</v>
      </c>
      <c r="G725" s="109">
        <v>2050</v>
      </c>
      <c r="H725" s="110">
        <v>5822.0150000000003</v>
      </c>
      <c r="I725" s="110">
        <v>5856.8649999999998</v>
      </c>
      <c r="J725" s="110">
        <v>5879.0709999999999</v>
      </c>
      <c r="K725" s="110">
        <v>5859.7250000000004</v>
      </c>
      <c r="L725" s="110">
        <v>5777.4579999999996</v>
      </c>
      <c r="M725" s="110">
        <v>5659.4840000000004</v>
      </c>
      <c r="N725" s="110">
        <v>5499.6989999999996</v>
      </c>
      <c r="O725" s="110">
        <v>5272.3670000000002</v>
      </c>
      <c r="P725" s="110">
        <v>4994.3580000000002</v>
      </c>
      <c r="Q725" s="110">
        <v>4660.5069999999996</v>
      </c>
      <c r="R725" s="110">
        <v>4496.1689999999999</v>
      </c>
      <c r="S725" s="110">
        <v>4201.5510000000004</v>
      </c>
      <c r="T725" s="110">
        <v>3514.127</v>
      </c>
      <c r="U725" s="110">
        <v>2915.7779999999998</v>
      </c>
      <c r="V725" s="110">
        <v>2366.556</v>
      </c>
      <c r="W725" s="110">
        <v>1743.6079999999999</v>
      </c>
      <c r="X725" s="110">
        <v>1118.5519999999999</v>
      </c>
      <c r="Y725" s="110">
        <v>507.411</v>
      </c>
      <c r="Z725" s="110">
        <v>146.66800000000001</v>
      </c>
      <c r="AA725" s="110">
        <v>23.422999999999998</v>
      </c>
      <c r="AB725" s="110">
        <v>1.9770000000000001</v>
      </c>
      <c r="AC725" s="115">
        <f t="shared" si="30"/>
        <v>37723.597999999998</v>
      </c>
      <c r="AD725">
        <f t="shared" si="31"/>
        <v>1.0047430963527042</v>
      </c>
    </row>
    <row r="726" spans="1:30" x14ac:dyDescent="0.25">
      <c r="A726" s="104" t="str">
        <f t="shared" si="29"/>
        <v>Philippines2051</v>
      </c>
      <c r="C726" s="107" t="s">
        <v>257</v>
      </c>
      <c r="D726" s="108" t="s">
        <v>148</v>
      </c>
      <c r="E726" s="109"/>
      <c r="F726" s="109">
        <v>608</v>
      </c>
      <c r="G726" s="109">
        <v>2051</v>
      </c>
      <c r="H726" s="110">
        <v>5811.5370000000003</v>
      </c>
      <c r="I726" s="110">
        <v>5849.2659999999996</v>
      </c>
      <c r="J726" s="110">
        <v>5873.2690000000002</v>
      </c>
      <c r="K726" s="110">
        <v>5860.07</v>
      </c>
      <c r="L726" s="110">
        <v>5787.5739999999996</v>
      </c>
      <c r="M726" s="110">
        <v>5676.9229999999998</v>
      </c>
      <c r="N726" s="110">
        <v>5528.107</v>
      </c>
      <c r="O726" s="110">
        <v>5312.7780000000002</v>
      </c>
      <c r="P726" s="110">
        <v>5045.5839999999998</v>
      </c>
      <c r="Q726" s="110">
        <v>4699.1279999999997</v>
      </c>
      <c r="R726" s="110">
        <v>4508.2349999999997</v>
      </c>
      <c r="S726" s="110">
        <v>4263.2430000000004</v>
      </c>
      <c r="T726" s="110">
        <v>3613.489</v>
      </c>
      <c r="U726" s="110">
        <v>2974.1819999999998</v>
      </c>
      <c r="V726" s="110">
        <v>2409.83</v>
      </c>
      <c r="W726" s="110">
        <v>1778.797</v>
      </c>
      <c r="X726" s="110">
        <v>1144.75</v>
      </c>
      <c r="Y726" s="110">
        <v>542.98</v>
      </c>
      <c r="Z726" s="110">
        <v>168.65899999999999</v>
      </c>
      <c r="AA726" s="110">
        <v>27.751000000000001</v>
      </c>
      <c r="AB726" s="110">
        <v>2.1579999999999999</v>
      </c>
      <c r="AC726" s="115">
        <f t="shared" si="30"/>
        <v>37910.163999999997</v>
      </c>
      <c r="AD726">
        <f t="shared" si="31"/>
        <v>1.004945604605372</v>
      </c>
    </row>
    <row r="727" spans="1:30" x14ac:dyDescent="0.25">
      <c r="A727" s="104" t="str">
        <f t="shared" si="29"/>
        <v>Philippines2052</v>
      </c>
      <c r="C727" s="107" t="s">
        <v>257</v>
      </c>
      <c r="D727" s="108" t="s">
        <v>148</v>
      </c>
      <c r="E727" s="109"/>
      <c r="F727" s="109">
        <v>608</v>
      </c>
      <c r="G727" s="109">
        <v>2052</v>
      </c>
      <c r="H727" s="110">
        <v>5797.2070000000003</v>
      </c>
      <c r="I727" s="110">
        <v>5840.9040000000005</v>
      </c>
      <c r="J727" s="110">
        <v>5867.2060000000001</v>
      </c>
      <c r="K727" s="110">
        <v>5858.6109999999999</v>
      </c>
      <c r="L727" s="110">
        <v>5796</v>
      </c>
      <c r="M727" s="110">
        <v>5691.9219999999996</v>
      </c>
      <c r="N727" s="110">
        <v>5552.9520000000002</v>
      </c>
      <c r="O727" s="110">
        <v>5351.5050000000001</v>
      </c>
      <c r="P727" s="110">
        <v>5092.5609999999997</v>
      </c>
      <c r="Q727" s="110">
        <v>4751.107</v>
      </c>
      <c r="R727" s="110">
        <v>4516.83</v>
      </c>
      <c r="S727" s="110">
        <v>4306.6289999999999</v>
      </c>
      <c r="T727" s="110">
        <v>3726.4029999999998</v>
      </c>
      <c r="U727" s="110">
        <v>3038.739</v>
      </c>
      <c r="V727" s="110">
        <v>2455.7190000000001</v>
      </c>
      <c r="W727" s="110">
        <v>1822.481</v>
      </c>
      <c r="X727" s="110">
        <v>1167.8230000000001</v>
      </c>
      <c r="Y727" s="110">
        <v>572.26</v>
      </c>
      <c r="Z727" s="110">
        <v>183.02500000000001</v>
      </c>
      <c r="AA727" s="110">
        <v>34.674999999999997</v>
      </c>
      <c r="AB727" s="110">
        <v>2.35</v>
      </c>
      <c r="AC727" s="115">
        <f t="shared" si="30"/>
        <v>38094.657999999996</v>
      </c>
      <c r="AD727">
        <f t="shared" si="31"/>
        <v>1.0048666104425188</v>
      </c>
    </row>
    <row r="728" spans="1:30" x14ac:dyDescent="0.25">
      <c r="A728" s="104" t="str">
        <f t="shared" si="29"/>
        <v>Philippines2053</v>
      </c>
      <c r="C728" s="107" t="s">
        <v>257</v>
      </c>
      <c r="D728" s="108" t="s">
        <v>148</v>
      </c>
      <c r="E728" s="109"/>
      <c r="F728" s="109">
        <v>608</v>
      </c>
      <c r="G728" s="109">
        <v>2053</v>
      </c>
      <c r="H728" s="110">
        <v>5779.6869999999999</v>
      </c>
      <c r="I728" s="110">
        <v>5831.1289999999999</v>
      </c>
      <c r="J728" s="110">
        <v>5860.7839999999997</v>
      </c>
      <c r="K728" s="110">
        <v>5855.9740000000002</v>
      </c>
      <c r="L728" s="110">
        <v>5802.3630000000003</v>
      </c>
      <c r="M728" s="110">
        <v>5704.5249999999996</v>
      </c>
      <c r="N728" s="110">
        <v>5574.46</v>
      </c>
      <c r="O728" s="110">
        <v>5387.8940000000002</v>
      </c>
      <c r="P728" s="110">
        <v>5135.8900000000003</v>
      </c>
      <c r="Q728" s="110">
        <v>4811.5460000000003</v>
      </c>
      <c r="R728" s="110">
        <v>4526.5950000000003</v>
      </c>
      <c r="S728" s="110">
        <v>4335.6440000000002</v>
      </c>
      <c r="T728" s="110">
        <v>3843.4450000000002</v>
      </c>
      <c r="U728" s="110">
        <v>3111.4850000000001</v>
      </c>
      <c r="V728" s="110">
        <v>2505.4250000000002</v>
      </c>
      <c r="W728" s="110">
        <v>1873.8869999999999</v>
      </c>
      <c r="X728" s="110">
        <v>1193.568</v>
      </c>
      <c r="Y728" s="110">
        <v>593.45500000000004</v>
      </c>
      <c r="Z728" s="110">
        <v>192.208</v>
      </c>
      <c r="AA728" s="110">
        <v>40.069000000000003</v>
      </c>
      <c r="AB728" s="110">
        <v>2.5579999999999998</v>
      </c>
      <c r="AC728" s="115">
        <f t="shared" si="30"/>
        <v>38272.652000000002</v>
      </c>
      <c r="AD728">
        <f t="shared" si="31"/>
        <v>1.0046724136491789</v>
      </c>
    </row>
    <row r="729" spans="1:30" x14ac:dyDescent="0.25">
      <c r="A729" s="104" t="str">
        <f t="shared" ref="A729:A792" si="32">D729&amp;G729</f>
        <v>Philippines2054</v>
      </c>
      <c r="C729" s="107" t="s">
        <v>257</v>
      </c>
      <c r="D729" s="108" t="s">
        <v>148</v>
      </c>
      <c r="E729" s="109"/>
      <c r="F729" s="109">
        <v>608</v>
      </c>
      <c r="G729" s="109">
        <v>2054</v>
      </c>
      <c r="H729" s="110">
        <v>5759.585</v>
      </c>
      <c r="I729" s="110">
        <v>5819.232</v>
      </c>
      <c r="J729" s="110">
        <v>5853.7420000000002</v>
      </c>
      <c r="K729" s="110">
        <v>5852.6440000000002</v>
      </c>
      <c r="L729" s="110">
        <v>5806.2790000000005</v>
      </c>
      <c r="M729" s="110">
        <v>5714.8779999999997</v>
      </c>
      <c r="N729" s="110">
        <v>5593.1120000000001</v>
      </c>
      <c r="O729" s="110">
        <v>5421.0420000000004</v>
      </c>
      <c r="P729" s="110">
        <v>5177.3689999999997</v>
      </c>
      <c r="Q729" s="110">
        <v>4872.2809999999999</v>
      </c>
      <c r="R729" s="110">
        <v>4544.1049999999996</v>
      </c>
      <c r="S729" s="110">
        <v>4357.6170000000002</v>
      </c>
      <c r="T729" s="110">
        <v>3950.26</v>
      </c>
      <c r="U729" s="110">
        <v>3195.922</v>
      </c>
      <c r="V729" s="110">
        <v>2561.7379999999998</v>
      </c>
      <c r="W729" s="110">
        <v>1930.3620000000001</v>
      </c>
      <c r="X729" s="110">
        <v>1226.306</v>
      </c>
      <c r="Y729" s="110">
        <v>610.32399999999996</v>
      </c>
      <c r="Z729" s="110">
        <v>194.36699999999999</v>
      </c>
      <c r="AA729" s="110">
        <v>40.700000000000003</v>
      </c>
      <c r="AB729" s="110">
        <v>2.7869999999999999</v>
      </c>
      <c r="AC729" s="115">
        <f t="shared" si="30"/>
        <v>38437.605000000003</v>
      </c>
      <c r="AD729">
        <f t="shared" si="31"/>
        <v>1.0043099443435486</v>
      </c>
    </row>
    <row r="730" spans="1:30" x14ac:dyDescent="0.25">
      <c r="A730" s="104" t="str">
        <f t="shared" si="32"/>
        <v>Philippines2055</v>
      </c>
      <c r="C730" s="107" t="s">
        <v>257</v>
      </c>
      <c r="D730" s="108" t="s">
        <v>148</v>
      </c>
      <c r="E730" s="109"/>
      <c r="F730" s="109">
        <v>608</v>
      </c>
      <c r="G730" s="109">
        <v>2055</v>
      </c>
      <c r="H730" s="110">
        <v>5737.5940000000001</v>
      </c>
      <c r="I730" s="110">
        <v>5804.4380000000001</v>
      </c>
      <c r="J730" s="110">
        <v>5845.6540000000005</v>
      </c>
      <c r="K730" s="110">
        <v>5848.7629999999999</v>
      </c>
      <c r="L730" s="110">
        <v>5807.8779999999997</v>
      </c>
      <c r="M730" s="110">
        <v>5723.1270000000004</v>
      </c>
      <c r="N730" s="110">
        <v>5609.1890000000003</v>
      </c>
      <c r="O730" s="110">
        <v>5450.3379999999997</v>
      </c>
      <c r="P730" s="110">
        <v>5217.9840000000004</v>
      </c>
      <c r="Q730" s="110">
        <v>4927.9530000000004</v>
      </c>
      <c r="R730" s="110">
        <v>4573.3339999999998</v>
      </c>
      <c r="S730" s="110">
        <v>4377.6620000000003</v>
      </c>
      <c r="T730" s="110">
        <v>4037.7289999999998</v>
      </c>
      <c r="U730" s="110">
        <v>3293.4169999999999</v>
      </c>
      <c r="V730" s="110">
        <v>2626.616</v>
      </c>
      <c r="W730" s="110">
        <v>1989.702</v>
      </c>
      <c r="X730" s="110">
        <v>1267.693</v>
      </c>
      <c r="Y730" s="110">
        <v>624.62199999999996</v>
      </c>
      <c r="Z730" s="110">
        <v>191.589</v>
      </c>
      <c r="AA730" s="110">
        <v>34.216000000000001</v>
      </c>
      <c r="AB730" s="110">
        <v>3.04</v>
      </c>
      <c r="AC730" s="115">
        <f t="shared" ref="AC730:AC793" si="33">SUM(K730:Q730)</f>
        <v>38585.232000000004</v>
      </c>
      <c r="AD730">
        <f t="shared" ref="AD730:AD793" si="34">IF(D730=D729,AC730/AC729,"")</f>
        <v>1.0038406919473781</v>
      </c>
    </row>
    <row r="731" spans="1:30" x14ac:dyDescent="0.25">
      <c r="A731" s="104" t="str">
        <f t="shared" si="32"/>
        <v>Philippines2056</v>
      </c>
      <c r="C731" s="107" t="s">
        <v>257</v>
      </c>
      <c r="D731" s="108" t="s">
        <v>148</v>
      </c>
      <c r="E731" s="109"/>
      <c r="F731" s="109">
        <v>608</v>
      </c>
      <c r="G731" s="109">
        <v>2056</v>
      </c>
      <c r="H731" s="110">
        <v>5718.7780000000002</v>
      </c>
      <c r="I731" s="110">
        <v>5792.1289999999999</v>
      </c>
      <c r="J731" s="110">
        <v>5836.6570000000002</v>
      </c>
      <c r="K731" s="110">
        <v>5843.6360000000004</v>
      </c>
      <c r="L731" s="110">
        <v>5810.6509999999998</v>
      </c>
      <c r="M731" s="110">
        <v>5734.0640000000003</v>
      </c>
      <c r="N731" s="110">
        <v>5626.701</v>
      </c>
      <c r="O731" s="110">
        <v>5478.6139999999996</v>
      </c>
      <c r="P731" s="110">
        <v>5258.1570000000002</v>
      </c>
      <c r="Q731" s="110">
        <v>4978.5649999999996</v>
      </c>
      <c r="R731" s="110">
        <v>4611.9960000000001</v>
      </c>
      <c r="S731" s="110">
        <v>4389.7049999999999</v>
      </c>
      <c r="T731" s="110">
        <v>4095.6030000000001</v>
      </c>
      <c r="U731" s="110">
        <v>3387.8130000000001</v>
      </c>
      <c r="V731" s="110">
        <v>2679.692</v>
      </c>
      <c r="W731" s="110">
        <v>2024.1790000000001</v>
      </c>
      <c r="X731" s="110">
        <v>1301.2550000000001</v>
      </c>
      <c r="Y731" s="110">
        <v>656.06299999999999</v>
      </c>
      <c r="Z731" s="110">
        <v>218.95099999999999</v>
      </c>
      <c r="AA731" s="110">
        <v>39.445999999999998</v>
      </c>
      <c r="AB731" s="110">
        <v>3.3210000000000002</v>
      </c>
      <c r="AC731" s="115">
        <f t="shared" si="33"/>
        <v>38730.388000000006</v>
      </c>
      <c r="AD731">
        <f t="shared" si="34"/>
        <v>1.0037619574245402</v>
      </c>
    </row>
    <row r="732" spans="1:30" x14ac:dyDescent="0.25">
      <c r="A732" s="104" t="str">
        <f t="shared" si="32"/>
        <v>Philippines2057</v>
      </c>
      <c r="C732" s="107" t="s">
        <v>257</v>
      </c>
      <c r="D732" s="108" t="s">
        <v>148</v>
      </c>
      <c r="E732" s="109"/>
      <c r="F732" s="109">
        <v>608</v>
      </c>
      <c r="G732" s="109">
        <v>2057</v>
      </c>
      <c r="H732" s="110">
        <v>5696.2870000000003</v>
      </c>
      <c r="I732" s="110">
        <v>5778.1620000000003</v>
      </c>
      <c r="J732" s="110">
        <v>5827.3239999999996</v>
      </c>
      <c r="K732" s="110">
        <v>5837.683</v>
      </c>
      <c r="L732" s="110">
        <v>5810.8459999999995</v>
      </c>
      <c r="M732" s="110">
        <v>5743.2039999999997</v>
      </c>
      <c r="N732" s="110">
        <v>5642.0010000000002</v>
      </c>
      <c r="O732" s="110">
        <v>5503.598</v>
      </c>
      <c r="P732" s="110">
        <v>5296.9449999999997</v>
      </c>
      <c r="Q732" s="110">
        <v>5025.2939999999999</v>
      </c>
      <c r="R732" s="110">
        <v>4664.0600000000004</v>
      </c>
      <c r="S732" s="110">
        <v>4399.134</v>
      </c>
      <c r="T732" s="110">
        <v>4137.473</v>
      </c>
      <c r="U732" s="110">
        <v>3496.15</v>
      </c>
      <c r="V732" s="110">
        <v>2739.9459999999999</v>
      </c>
      <c r="W732" s="110">
        <v>2062.2620000000002</v>
      </c>
      <c r="X732" s="110">
        <v>1337.473</v>
      </c>
      <c r="Y732" s="110">
        <v>678.58</v>
      </c>
      <c r="Z732" s="110">
        <v>237.154</v>
      </c>
      <c r="AA732" s="110">
        <v>47.753</v>
      </c>
      <c r="AB732" s="110">
        <v>3.6269999999999998</v>
      </c>
      <c r="AC732" s="115">
        <f t="shared" si="33"/>
        <v>38859.571000000004</v>
      </c>
      <c r="AD732">
        <f t="shared" si="34"/>
        <v>1.0033354429601893</v>
      </c>
    </row>
    <row r="733" spans="1:30" x14ac:dyDescent="0.25">
      <c r="A733" s="104" t="str">
        <f t="shared" si="32"/>
        <v>Philippines2058</v>
      </c>
      <c r="C733" s="107" t="s">
        <v>257</v>
      </c>
      <c r="D733" s="108" t="s">
        <v>148</v>
      </c>
      <c r="E733" s="109"/>
      <c r="F733" s="109">
        <v>608</v>
      </c>
      <c r="G733" s="109">
        <v>2058</v>
      </c>
      <c r="H733" s="110">
        <v>5671.08</v>
      </c>
      <c r="I733" s="110">
        <v>5761.9279999999999</v>
      </c>
      <c r="J733" s="110">
        <v>5817.451</v>
      </c>
      <c r="K733" s="110">
        <v>5831.26</v>
      </c>
      <c r="L733" s="110">
        <v>5808.6679999999997</v>
      </c>
      <c r="M733" s="110">
        <v>5750.1819999999998</v>
      </c>
      <c r="N733" s="110">
        <v>5655.1210000000001</v>
      </c>
      <c r="O733" s="110">
        <v>5525.4979999999996</v>
      </c>
      <c r="P733" s="110">
        <v>5333.6310000000003</v>
      </c>
      <c r="Q733" s="110">
        <v>5068.893</v>
      </c>
      <c r="R733" s="110">
        <v>4724.5190000000002</v>
      </c>
      <c r="S733" s="110">
        <v>4410.1000000000004</v>
      </c>
      <c r="T733" s="110">
        <v>4167.6549999999997</v>
      </c>
      <c r="U733" s="110">
        <v>3608.9830000000002</v>
      </c>
      <c r="V733" s="110">
        <v>2808.6779999999999</v>
      </c>
      <c r="W733" s="110">
        <v>2107.4549999999999</v>
      </c>
      <c r="X733" s="110">
        <v>1378.059</v>
      </c>
      <c r="Y733" s="110">
        <v>693.82100000000003</v>
      </c>
      <c r="Z733" s="110">
        <v>248.36099999999999</v>
      </c>
      <c r="AA733" s="110">
        <v>54.24</v>
      </c>
      <c r="AB733" s="110">
        <v>3.956</v>
      </c>
      <c r="AC733" s="115">
        <f t="shared" si="33"/>
        <v>38973.252999999997</v>
      </c>
      <c r="AD733">
        <f t="shared" si="34"/>
        <v>1.0029254568970922</v>
      </c>
    </row>
    <row r="734" spans="1:30" x14ac:dyDescent="0.25">
      <c r="A734" s="104" t="str">
        <f t="shared" si="32"/>
        <v>Philippines2059</v>
      </c>
      <c r="C734" s="107" t="s">
        <v>257</v>
      </c>
      <c r="D734" s="108" t="s">
        <v>148</v>
      </c>
      <c r="E734" s="109"/>
      <c r="F734" s="109">
        <v>608</v>
      </c>
      <c r="G734" s="109">
        <v>2059</v>
      </c>
      <c r="H734" s="110">
        <v>5644.46</v>
      </c>
      <c r="I734" s="110">
        <v>5743.02</v>
      </c>
      <c r="J734" s="110">
        <v>5806.5330000000004</v>
      </c>
      <c r="K734" s="110">
        <v>5824.3990000000003</v>
      </c>
      <c r="L734" s="110">
        <v>5804.6530000000002</v>
      </c>
      <c r="M734" s="110">
        <v>5754.509</v>
      </c>
      <c r="N734" s="110">
        <v>5666.1120000000001</v>
      </c>
      <c r="O734" s="110">
        <v>5544.7560000000003</v>
      </c>
      <c r="P734" s="110">
        <v>5367.3019999999997</v>
      </c>
      <c r="Q734" s="110">
        <v>5111.1009999999997</v>
      </c>
      <c r="R734" s="110">
        <v>4785.3130000000001</v>
      </c>
      <c r="S734" s="110">
        <v>4429.0140000000001</v>
      </c>
      <c r="T734" s="110">
        <v>4192.8829999999998</v>
      </c>
      <c r="U734" s="110">
        <v>3712.616</v>
      </c>
      <c r="V734" s="110">
        <v>2889.5050000000001</v>
      </c>
      <c r="W734" s="110">
        <v>2162.6689999999999</v>
      </c>
      <c r="X734" s="110">
        <v>1422.2829999999999</v>
      </c>
      <c r="Y734" s="110">
        <v>709.04100000000005</v>
      </c>
      <c r="Z734" s="110">
        <v>250.49</v>
      </c>
      <c r="AA734" s="110">
        <v>54.969000000000001</v>
      </c>
      <c r="AB734" s="110">
        <v>4.3029999999999999</v>
      </c>
      <c r="AC734" s="115">
        <f t="shared" si="33"/>
        <v>39072.832000000002</v>
      </c>
      <c r="AD734">
        <f t="shared" si="34"/>
        <v>1.0025550600048707</v>
      </c>
    </row>
    <row r="735" spans="1:30" x14ac:dyDescent="0.25">
      <c r="A735" s="104" t="str">
        <f t="shared" si="32"/>
        <v>Philippines2060</v>
      </c>
      <c r="C735" s="107" t="s">
        <v>257</v>
      </c>
      <c r="D735" s="108" t="s">
        <v>148</v>
      </c>
      <c r="E735" s="109"/>
      <c r="F735" s="109">
        <v>608</v>
      </c>
      <c r="G735" s="109">
        <v>2060</v>
      </c>
      <c r="H735" s="110">
        <v>5617.5429999999997</v>
      </c>
      <c r="I735" s="110">
        <v>5721.1769999999997</v>
      </c>
      <c r="J735" s="110">
        <v>5793.8680000000004</v>
      </c>
      <c r="K735" s="110">
        <v>5816.9189999999999</v>
      </c>
      <c r="L735" s="110">
        <v>5799.4629999999997</v>
      </c>
      <c r="M735" s="110">
        <v>5755.9610000000002</v>
      </c>
      <c r="N735" s="110">
        <v>5674.9430000000002</v>
      </c>
      <c r="O735" s="110">
        <v>5561.6130000000003</v>
      </c>
      <c r="P735" s="110">
        <v>5397.3729999999996</v>
      </c>
      <c r="Q735" s="110">
        <v>5152.7299999999996</v>
      </c>
      <c r="R735" s="110">
        <v>4841.317</v>
      </c>
      <c r="S735" s="110">
        <v>4459.8410000000003</v>
      </c>
      <c r="T735" s="110">
        <v>4217.1989999999996</v>
      </c>
      <c r="U735" s="110">
        <v>3798.9340000000002</v>
      </c>
      <c r="V735" s="110">
        <v>2984.2379999999998</v>
      </c>
      <c r="W735" s="110">
        <v>2228.3249999999998</v>
      </c>
      <c r="X735" s="110">
        <v>1469.835</v>
      </c>
      <c r="Y735" s="110">
        <v>727.59199999999998</v>
      </c>
      <c r="Z735" s="110">
        <v>245.715</v>
      </c>
      <c r="AA735" s="110">
        <v>46.991999999999997</v>
      </c>
      <c r="AB735" s="110">
        <v>4.665</v>
      </c>
      <c r="AC735" s="115">
        <f t="shared" si="33"/>
        <v>39159.001999999993</v>
      </c>
      <c r="AD735">
        <f t="shared" si="34"/>
        <v>1.0022053686817478</v>
      </c>
    </row>
    <row r="736" spans="1:30" x14ac:dyDescent="0.25">
      <c r="A736" s="104" t="str">
        <f t="shared" si="32"/>
        <v>Philippines2061</v>
      </c>
      <c r="C736" s="107" t="s">
        <v>257</v>
      </c>
      <c r="D736" s="108" t="s">
        <v>148</v>
      </c>
      <c r="E736" s="109"/>
      <c r="F736" s="109">
        <v>608</v>
      </c>
      <c r="G736" s="109">
        <v>2061</v>
      </c>
      <c r="H736" s="110">
        <v>5593.5820000000003</v>
      </c>
      <c r="I736" s="110">
        <v>5701.884</v>
      </c>
      <c r="J736" s="110">
        <v>5779.9939999999997</v>
      </c>
      <c r="K736" s="110">
        <v>5808.6559999999999</v>
      </c>
      <c r="L736" s="110">
        <v>5796.7370000000001</v>
      </c>
      <c r="M736" s="110">
        <v>5759.6229999999996</v>
      </c>
      <c r="N736" s="110">
        <v>5686.0429999999997</v>
      </c>
      <c r="O736" s="110">
        <v>5579.143</v>
      </c>
      <c r="P736" s="110">
        <v>5425.5730000000003</v>
      </c>
      <c r="Q736" s="110">
        <v>5192.5479999999998</v>
      </c>
      <c r="R736" s="110">
        <v>4891.6989999999996</v>
      </c>
      <c r="S736" s="110">
        <v>4498.0050000000001</v>
      </c>
      <c r="T736" s="110">
        <v>4227.9719999999998</v>
      </c>
      <c r="U736" s="110">
        <v>3853.5309999999999</v>
      </c>
      <c r="V736" s="110">
        <v>3070.547</v>
      </c>
      <c r="W736" s="110">
        <v>2271.7869999999998</v>
      </c>
      <c r="X736" s="110">
        <v>1502.0350000000001</v>
      </c>
      <c r="Y736" s="110">
        <v>766.14300000000003</v>
      </c>
      <c r="Z736" s="110">
        <v>274.06900000000002</v>
      </c>
      <c r="AA736" s="110">
        <v>53.832999999999998</v>
      </c>
      <c r="AB736" s="110">
        <v>5.0430000000000001</v>
      </c>
      <c r="AC736" s="115">
        <f t="shared" si="33"/>
        <v>39248.323000000004</v>
      </c>
      <c r="AD736">
        <f t="shared" si="34"/>
        <v>1.0022809825439374</v>
      </c>
    </row>
    <row r="737" spans="1:30" x14ac:dyDescent="0.25">
      <c r="A737" s="104" t="str">
        <f t="shared" si="32"/>
        <v>Philippines2062</v>
      </c>
      <c r="C737" s="107" t="s">
        <v>257</v>
      </c>
      <c r="D737" s="108" t="s">
        <v>148</v>
      </c>
      <c r="E737" s="109"/>
      <c r="F737" s="109">
        <v>608</v>
      </c>
      <c r="G737" s="109">
        <v>2062</v>
      </c>
      <c r="H737" s="110">
        <v>5569.6310000000003</v>
      </c>
      <c r="I737" s="110">
        <v>5680.3950000000004</v>
      </c>
      <c r="J737" s="110">
        <v>5764.9719999999998</v>
      </c>
      <c r="K737" s="110">
        <v>5799.4830000000002</v>
      </c>
      <c r="L737" s="110">
        <v>5792.3490000000002</v>
      </c>
      <c r="M737" s="110">
        <v>5760.5280000000002</v>
      </c>
      <c r="N737" s="110">
        <v>5695.4709999999995</v>
      </c>
      <c r="O737" s="110">
        <v>5594.6239999999998</v>
      </c>
      <c r="P737" s="110">
        <v>5450.7020000000002</v>
      </c>
      <c r="Q737" s="110">
        <v>5231.1869999999999</v>
      </c>
      <c r="R737" s="110">
        <v>4938.5519999999997</v>
      </c>
      <c r="S737" s="110">
        <v>4549.9960000000001</v>
      </c>
      <c r="T737" s="110">
        <v>4237.2749999999996</v>
      </c>
      <c r="U737" s="110">
        <v>3894.7759999999998</v>
      </c>
      <c r="V737" s="110">
        <v>3171.7330000000002</v>
      </c>
      <c r="W737" s="110">
        <v>2322.31</v>
      </c>
      <c r="X737" s="110">
        <v>1533.865</v>
      </c>
      <c r="Y737" s="110">
        <v>797.92499999999995</v>
      </c>
      <c r="Z737" s="110">
        <v>290.62700000000001</v>
      </c>
      <c r="AA737" s="110">
        <v>64.555000000000007</v>
      </c>
      <c r="AB737" s="110">
        <v>5.4379999999999997</v>
      </c>
      <c r="AC737" s="115">
        <f t="shared" si="33"/>
        <v>39324.343999999997</v>
      </c>
      <c r="AD737">
        <f t="shared" si="34"/>
        <v>1.0019369235215474</v>
      </c>
    </row>
    <row r="738" spans="1:30" x14ac:dyDescent="0.25">
      <c r="A738" s="104" t="str">
        <f t="shared" si="32"/>
        <v>Philippines2063</v>
      </c>
      <c r="C738" s="107" t="s">
        <v>257</v>
      </c>
      <c r="D738" s="108" t="s">
        <v>148</v>
      </c>
      <c r="E738" s="109"/>
      <c r="F738" s="109">
        <v>608</v>
      </c>
      <c r="G738" s="109">
        <v>2063</v>
      </c>
      <c r="H738" s="110">
        <v>5545.3710000000001</v>
      </c>
      <c r="I738" s="110">
        <v>5656.4030000000002</v>
      </c>
      <c r="J738" s="110">
        <v>5748.8059999999996</v>
      </c>
      <c r="K738" s="110">
        <v>5789.5910000000003</v>
      </c>
      <c r="L738" s="110">
        <v>5786.3149999999996</v>
      </c>
      <c r="M738" s="110">
        <v>5758.9359999999997</v>
      </c>
      <c r="N738" s="110">
        <v>5702.9040000000005</v>
      </c>
      <c r="O738" s="110">
        <v>5608.1260000000002</v>
      </c>
      <c r="P738" s="110">
        <v>5472.96</v>
      </c>
      <c r="Q738" s="110">
        <v>5268.1390000000001</v>
      </c>
      <c r="R738" s="110">
        <v>4982.4960000000001</v>
      </c>
      <c r="S738" s="110">
        <v>4610.509</v>
      </c>
      <c r="T738" s="110">
        <v>4249.6819999999998</v>
      </c>
      <c r="U738" s="110">
        <v>3926.4059999999999</v>
      </c>
      <c r="V738" s="110">
        <v>3278.0909999999999</v>
      </c>
      <c r="W738" s="110">
        <v>2383.8020000000001</v>
      </c>
      <c r="X738" s="110">
        <v>1570.8240000000001</v>
      </c>
      <c r="Y738" s="110">
        <v>822.09500000000003</v>
      </c>
      <c r="Z738" s="110">
        <v>299.93099999999998</v>
      </c>
      <c r="AA738" s="110">
        <v>72.730999999999995</v>
      </c>
      <c r="AB738" s="110">
        <v>5.8529999999999998</v>
      </c>
      <c r="AC738" s="115">
        <f t="shared" si="33"/>
        <v>39386.971000000005</v>
      </c>
      <c r="AD738">
        <f t="shared" si="34"/>
        <v>1.0015925758354673</v>
      </c>
    </row>
    <row r="739" spans="1:30" x14ac:dyDescent="0.25">
      <c r="A739" s="104" t="str">
        <f t="shared" si="32"/>
        <v>Philippines2064</v>
      </c>
      <c r="C739" s="107" t="s">
        <v>257</v>
      </c>
      <c r="D739" s="108" t="s">
        <v>148</v>
      </c>
      <c r="E739" s="109"/>
      <c r="F739" s="109">
        <v>608</v>
      </c>
      <c r="G739" s="109">
        <v>2064</v>
      </c>
      <c r="H739" s="110">
        <v>5520.0829999999996</v>
      </c>
      <c r="I739" s="110">
        <v>5630.1769999999997</v>
      </c>
      <c r="J739" s="110">
        <v>5731.1459999999997</v>
      </c>
      <c r="K739" s="110">
        <v>5778.7889999999998</v>
      </c>
      <c r="L739" s="110">
        <v>5778.8</v>
      </c>
      <c r="M739" s="110">
        <v>5755.3549999999996</v>
      </c>
      <c r="N739" s="110">
        <v>5707.8559999999998</v>
      </c>
      <c r="O739" s="110">
        <v>5619.7389999999996</v>
      </c>
      <c r="P739" s="110">
        <v>5492.8360000000002</v>
      </c>
      <c r="Q739" s="110">
        <v>5302.5659999999998</v>
      </c>
      <c r="R739" s="110">
        <v>5025.2120000000004</v>
      </c>
      <c r="S739" s="110">
        <v>4671.6379999999999</v>
      </c>
      <c r="T739" s="110">
        <v>4271.5519999999997</v>
      </c>
      <c r="U739" s="110">
        <v>3954.3829999999998</v>
      </c>
      <c r="V739" s="110">
        <v>3376.9989999999998</v>
      </c>
      <c r="W739" s="110">
        <v>2460.6689999999999</v>
      </c>
      <c r="X739" s="110">
        <v>1616.307</v>
      </c>
      <c r="Y739" s="110">
        <v>844.14700000000005</v>
      </c>
      <c r="Z739" s="110">
        <v>301.048</v>
      </c>
      <c r="AA739" s="110">
        <v>73.454999999999998</v>
      </c>
      <c r="AB739" s="110">
        <v>6.2969999999999997</v>
      </c>
      <c r="AC739" s="115">
        <f t="shared" si="33"/>
        <v>39435.940999999999</v>
      </c>
      <c r="AD739">
        <f t="shared" si="34"/>
        <v>1.0012433045435252</v>
      </c>
    </row>
    <row r="740" spans="1:30" x14ac:dyDescent="0.25">
      <c r="A740" s="104" t="str">
        <f t="shared" si="32"/>
        <v>Philippines2065</v>
      </c>
      <c r="C740" s="107" t="s">
        <v>257</v>
      </c>
      <c r="D740" s="108" t="s">
        <v>148</v>
      </c>
      <c r="E740" s="109"/>
      <c r="F740" s="109">
        <v>608</v>
      </c>
      <c r="G740" s="109">
        <v>2065</v>
      </c>
      <c r="H740" s="110">
        <v>5493.4970000000003</v>
      </c>
      <c r="I740" s="110">
        <v>5602.33</v>
      </c>
      <c r="J740" s="110">
        <v>5711.2749999999996</v>
      </c>
      <c r="K740" s="110">
        <v>5766.7240000000002</v>
      </c>
      <c r="L740" s="110">
        <v>5770.1450000000004</v>
      </c>
      <c r="M740" s="110">
        <v>5750.1220000000003</v>
      </c>
      <c r="N740" s="110">
        <v>5709.9520000000002</v>
      </c>
      <c r="O740" s="110">
        <v>5629.415</v>
      </c>
      <c r="P740" s="110">
        <v>5510.61</v>
      </c>
      <c r="Q740" s="110">
        <v>5333.7820000000002</v>
      </c>
      <c r="R740" s="110">
        <v>5067.5590000000002</v>
      </c>
      <c r="S740" s="110">
        <v>4728.4780000000001</v>
      </c>
      <c r="T740" s="110">
        <v>4306.2250000000004</v>
      </c>
      <c r="U740" s="110">
        <v>3982.4569999999999</v>
      </c>
      <c r="V740" s="110">
        <v>3461.5929999999998</v>
      </c>
      <c r="W740" s="110">
        <v>2553.6610000000001</v>
      </c>
      <c r="X740" s="110">
        <v>1671.4749999999999</v>
      </c>
      <c r="Y740" s="110">
        <v>866.26199999999994</v>
      </c>
      <c r="Z740" s="110">
        <v>297.86799999999999</v>
      </c>
      <c r="AA740" s="110">
        <v>63.325000000000003</v>
      </c>
      <c r="AB740" s="110">
        <v>6.7729999999999997</v>
      </c>
      <c r="AC740" s="115">
        <f t="shared" si="33"/>
        <v>39470.75</v>
      </c>
      <c r="AD740">
        <f t="shared" si="34"/>
        <v>1.0008826719768142</v>
      </c>
    </row>
    <row r="741" spans="1:30" x14ac:dyDescent="0.25">
      <c r="A741" s="104" t="str">
        <f t="shared" si="32"/>
        <v>Philippines2066</v>
      </c>
      <c r="C741" s="107" t="s">
        <v>257</v>
      </c>
      <c r="D741" s="108" t="s">
        <v>148</v>
      </c>
      <c r="E741" s="109"/>
      <c r="F741" s="109">
        <v>608</v>
      </c>
      <c r="G741" s="109">
        <v>2066</v>
      </c>
      <c r="H741" s="110">
        <v>5472.4080000000004</v>
      </c>
      <c r="I741" s="110">
        <v>5578.6480000000001</v>
      </c>
      <c r="J741" s="110">
        <v>5689.81</v>
      </c>
      <c r="K741" s="110">
        <v>5753.3609999999999</v>
      </c>
      <c r="L741" s="110">
        <v>5763.9440000000004</v>
      </c>
      <c r="M741" s="110">
        <v>5748.0249999999996</v>
      </c>
      <c r="N741" s="110">
        <v>5713.5929999999998</v>
      </c>
      <c r="O741" s="110">
        <v>5640.3329999999996</v>
      </c>
      <c r="P741" s="110">
        <v>5527.951</v>
      </c>
      <c r="Q741" s="110">
        <v>5361.5910000000003</v>
      </c>
      <c r="R741" s="110">
        <v>5107.2290000000003</v>
      </c>
      <c r="S741" s="110">
        <v>4777.74</v>
      </c>
      <c r="T741" s="110">
        <v>4342.28</v>
      </c>
      <c r="U741" s="110">
        <v>3993.2440000000001</v>
      </c>
      <c r="V741" s="110">
        <v>3510.3870000000002</v>
      </c>
      <c r="W741" s="110">
        <v>2626.2049999999999</v>
      </c>
      <c r="X741" s="110">
        <v>1711.42</v>
      </c>
      <c r="Y741" s="110">
        <v>904.98500000000001</v>
      </c>
      <c r="Z741" s="110">
        <v>332.334</v>
      </c>
      <c r="AA741" s="110">
        <v>70.576999999999998</v>
      </c>
      <c r="AB741" s="110">
        <v>7.2910000000000004</v>
      </c>
      <c r="AC741" s="115">
        <f t="shared" si="33"/>
        <v>39508.798000000003</v>
      </c>
      <c r="AD741">
        <f t="shared" si="34"/>
        <v>1.0009639543206046</v>
      </c>
    </row>
    <row r="742" spans="1:30" x14ac:dyDescent="0.25">
      <c r="A742" s="104" t="str">
        <f t="shared" si="32"/>
        <v>Philippines2067</v>
      </c>
      <c r="C742" s="107" t="s">
        <v>257</v>
      </c>
      <c r="D742" s="108" t="s">
        <v>148</v>
      </c>
      <c r="E742" s="109"/>
      <c r="F742" s="109">
        <v>608</v>
      </c>
      <c r="G742" s="109">
        <v>2067</v>
      </c>
      <c r="H742" s="110">
        <v>5447.9440000000004</v>
      </c>
      <c r="I742" s="110">
        <v>5555.0889999999999</v>
      </c>
      <c r="J742" s="110">
        <v>5666.9260000000004</v>
      </c>
      <c r="K742" s="110">
        <v>5738.67</v>
      </c>
      <c r="L742" s="110">
        <v>5756.36</v>
      </c>
      <c r="M742" s="110">
        <v>5744.3860000000004</v>
      </c>
      <c r="N742" s="110">
        <v>5714.8919999999998</v>
      </c>
      <c r="O742" s="110">
        <v>5650.0339999999997</v>
      </c>
      <c r="P742" s="110">
        <v>5543.7209999999995</v>
      </c>
      <c r="Q742" s="110">
        <v>5386.8280000000004</v>
      </c>
      <c r="R742" s="110">
        <v>5146.2489999999998</v>
      </c>
      <c r="S742" s="110">
        <v>4824.6769999999997</v>
      </c>
      <c r="T742" s="110">
        <v>4393.0479999999998</v>
      </c>
      <c r="U742" s="110">
        <v>4003.9389999999999</v>
      </c>
      <c r="V742" s="110">
        <v>3550.2469999999998</v>
      </c>
      <c r="W742" s="110">
        <v>2713.5360000000001</v>
      </c>
      <c r="X742" s="110">
        <v>1752.825</v>
      </c>
      <c r="Y742" s="110">
        <v>935.06299999999999</v>
      </c>
      <c r="Z742" s="110">
        <v>354.226</v>
      </c>
      <c r="AA742" s="110">
        <v>82.046999999999997</v>
      </c>
      <c r="AB742" s="110">
        <v>7.8449999999999998</v>
      </c>
      <c r="AC742" s="115">
        <f t="shared" si="33"/>
        <v>39534.890999999996</v>
      </c>
      <c r="AD742">
        <f t="shared" si="34"/>
        <v>1.000660435176995</v>
      </c>
    </row>
    <row r="743" spans="1:30" x14ac:dyDescent="0.25">
      <c r="A743" s="104" t="str">
        <f t="shared" si="32"/>
        <v>Philippines2068</v>
      </c>
      <c r="C743" s="107" t="s">
        <v>257</v>
      </c>
      <c r="D743" s="108" t="s">
        <v>148</v>
      </c>
      <c r="E743" s="109"/>
      <c r="F743" s="109">
        <v>608</v>
      </c>
      <c r="G743" s="109">
        <v>2068</v>
      </c>
      <c r="H743" s="110">
        <v>5420.9679999999998</v>
      </c>
      <c r="I743" s="110">
        <v>5531.223</v>
      </c>
      <c r="J743" s="110">
        <v>5642.8919999999998</v>
      </c>
      <c r="K743" s="110">
        <v>5722.6989999999996</v>
      </c>
      <c r="L743" s="110">
        <v>5747.0659999999998</v>
      </c>
      <c r="M743" s="110">
        <v>5739.1040000000003</v>
      </c>
      <c r="N743" s="110">
        <v>5713.9669999999996</v>
      </c>
      <c r="O743" s="110">
        <v>5658.0609999999997</v>
      </c>
      <c r="P743" s="110">
        <v>5557.8069999999998</v>
      </c>
      <c r="Q743" s="110">
        <v>5409.7070000000003</v>
      </c>
      <c r="R743" s="110">
        <v>5183.84</v>
      </c>
      <c r="S743" s="110">
        <v>4869.3739999999998</v>
      </c>
      <c r="T743" s="110">
        <v>4453.6620000000003</v>
      </c>
      <c r="U743" s="110">
        <v>4018.4929999999999</v>
      </c>
      <c r="V743" s="110">
        <v>3583.614</v>
      </c>
      <c r="W743" s="110">
        <v>2809.2289999999998</v>
      </c>
      <c r="X743" s="110">
        <v>1802.3030000000001</v>
      </c>
      <c r="Y743" s="110">
        <v>958.11</v>
      </c>
      <c r="Z743" s="110">
        <v>367.69099999999997</v>
      </c>
      <c r="AA743" s="110">
        <v>90.963999999999999</v>
      </c>
      <c r="AB743" s="110">
        <v>8.4280000000000008</v>
      </c>
      <c r="AC743" s="115">
        <f t="shared" si="33"/>
        <v>39548.411</v>
      </c>
      <c r="AD743">
        <f t="shared" si="34"/>
        <v>1.0003419764076245</v>
      </c>
    </row>
    <row r="744" spans="1:30" x14ac:dyDescent="0.25">
      <c r="A744" s="104" t="str">
        <f t="shared" si="32"/>
        <v>Philippines2069</v>
      </c>
      <c r="C744" s="107" t="s">
        <v>257</v>
      </c>
      <c r="D744" s="108" t="s">
        <v>148</v>
      </c>
      <c r="E744" s="109"/>
      <c r="F744" s="109">
        <v>608</v>
      </c>
      <c r="G744" s="109">
        <v>2069</v>
      </c>
      <c r="H744" s="110">
        <v>5392.9139999999998</v>
      </c>
      <c r="I744" s="110">
        <v>5506.3040000000001</v>
      </c>
      <c r="J744" s="110">
        <v>5618.19</v>
      </c>
      <c r="K744" s="110">
        <v>5705.1409999999996</v>
      </c>
      <c r="L744" s="110">
        <v>5735.7740000000003</v>
      </c>
      <c r="M744" s="110">
        <v>5732.107</v>
      </c>
      <c r="N744" s="110">
        <v>5711.0950000000003</v>
      </c>
      <c r="O744" s="110">
        <v>5663.7470000000003</v>
      </c>
      <c r="P744" s="110">
        <v>5570.1469999999999</v>
      </c>
      <c r="Q744" s="110">
        <v>5430.5720000000001</v>
      </c>
      <c r="R744" s="110">
        <v>5218.982</v>
      </c>
      <c r="S744" s="110">
        <v>4913.1480000000001</v>
      </c>
      <c r="T744" s="110">
        <v>4516.3509999999997</v>
      </c>
      <c r="U744" s="110">
        <v>4042.998</v>
      </c>
      <c r="V744" s="110">
        <v>3615.279</v>
      </c>
      <c r="W744" s="110">
        <v>2902.7460000000001</v>
      </c>
      <c r="X744" s="110">
        <v>1865.5039999999999</v>
      </c>
      <c r="Y744" s="110">
        <v>982.25800000000004</v>
      </c>
      <c r="Z744" s="110">
        <v>371.26499999999999</v>
      </c>
      <c r="AA744" s="110">
        <v>91.873000000000005</v>
      </c>
      <c r="AB744" s="110">
        <v>9.0280000000000005</v>
      </c>
      <c r="AC744" s="115">
        <f t="shared" si="33"/>
        <v>39548.582999999999</v>
      </c>
      <c r="AD744">
        <f t="shared" si="34"/>
        <v>1.0000043491001447</v>
      </c>
    </row>
    <row r="745" spans="1:30" x14ac:dyDescent="0.25">
      <c r="A745" s="104" t="str">
        <f t="shared" si="32"/>
        <v>Philippines2070</v>
      </c>
      <c r="C745" s="107" t="s">
        <v>257</v>
      </c>
      <c r="D745" s="108" t="s">
        <v>148</v>
      </c>
      <c r="E745" s="109"/>
      <c r="F745" s="109">
        <v>608</v>
      </c>
      <c r="G745" s="109">
        <v>2070</v>
      </c>
      <c r="H745" s="110">
        <v>5365.0110000000004</v>
      </c>
      <c r="I745" s="110">
        <v>5479.3590000000004</v>
      </c>
      <c r="J745" s="110">
        <v>5593.0649999999996</v>
      </c>
      <c r="K745" s="110">
        <v>5685.6959999999999</v>
      </c>
      <c r="L745" s="110">
        <v>5722.5630000000001</v>
      </c>
      <c r="M745" s="110">
        <v>5723.3729999999996</v>
      </c>
      <c r="N745" s="110">
        <v>5706.4269999999997</v>
      </c>
      <c r="O745" s="110">
        <v>5666.6409999999996</v>
      </c>
      <c r="P745" s="110">
        <v>5580.6850000000004</v>
      </c>
      <c r="Q745" s="110">
        <v>5449.5320000000002</v>
      </c>
      <c r="R745" s="110">
        <v>5251.0290000000005</v>
      </c>
      <c r="S745" s="110">
        <v>4956.7659999999996</v>
      </c>
      <c r="T745" s="110">
        <v>4575.8590000000004</v>
      </c>
      <c r="U745" s="110">
        <v>4080.989</v>
      </c>
      <c r="V745" s="110">
        <v>3648.4839999999999</v>
      </c>
      <c r="W745" s="110">
        <v>2987.2060000000001</v>
      </c>
      <c r="X745" s="110">
        <v>1944.345</v>
      </c>
      <c r="Y745" s="110">
        <v>1011.059</v>
      </c>
      <c r="Z745" s="110">
        <v>368.90499999999997</v>
      </c>
      <c r="AA745" s="110">
        <v>80.668999999999997</v>
      </c>
      <c r="AB745" s="110">
        <v>9.6389999999999993</v>
      </c>
      <c r="AC745" s="115">
        <f t="shared" si="33"/>
        <v>39534.916999999994</v>
      </c>
      <c r="AD745">
        <f t="shared" si="34"/>
        <v>0.99965445032505962</v>
      </c>
    </row>
    <row r="746" spans="1:30" x14ac:dyDescent="0.25">
      <c r="A746" s="104" t="str">
        <f t="shared" si="32"/>
        <v>Philippines2071</v>
      </c>
      <c r="C746" s="107" t="s">
        <v>257</v>
      </c>
      <c r="D746" s="108" t="s">
        <v>148</v>
      </c>
      <c r="E746" s="109"/>
      <c r="F746" s="109">
        <v>608</v>
      </c>
      <c r="G746" s="109">
        <v>2071</v>
      </c>
      <c r="H746" s="110">
        <v>5341.7049999999999</v>
      </c>
      <c r="I746" s="110">
        <v>5455.7709999999997</v>
      </c>
      <c r="J746" s="110">
        <v>5568.6289999999999</v>
      </c>
      <c r="K746" s="110">
        <v>5664.9170000000004</v>
      </c>
      <c r="L746" s="110">
        <v>5711.45</v>
      </c>
      <c r="M746" s="110">
        <v>5718.09</v>
      </c>
      <c r="N746" s="110">
        <v>5704.616</v>
      </c>
      <c r="O746" s="110">
        <v>5670.3869999999997</v>
      </c>
      <c r="P746" s="110">
        <v>5591.6959999999999</v>
      </c>
      <c r="Q746" s="110">
        <v>5466.7960000000003</v>
      </c>
      <c r="R746" s="110">
        <v>5279.0249999999996</v>
      </c>
      <c r="S746" s="110">
        <v>4995.8739999999998</v>
      </c>
      <c r="T746" s="110">
        <v>4622.4359999999997</v>
      </c>
      <c r="U746" s="110">
        <v>4116.17</v>
      </c>
      <c r="V746" s="110">
        <v>3658.701</v>
      </c>
      <c r="W746" s="110">
        <v>3025.7130000000002</v>
      </c>
      <c r="X746" s="110">
        <v>2008.884</v>
      </c>
      <c r="Y746" s="110">
        <v>1056.9780000000001</v>
      </c>
      <c r="Z746" s="110">
        <v>406.68799999999999</v>
      </c>
      <c r="AA746" s="110">
        <v>90.162000000000006</v>
      </c>
      <c r="AB746" s="110">
        <v>10.263999999999999</v>
      </c>
      <c r="AC746" s="115">
        <f t="shared" si="33"/>
        <v>39527.952000000005</v>
      </c>
      <c r="AD746">
        <f t="shared" si="34"/>
        <v>0.99982382661888503</v>
      </c>
    </row>
    <row r="747" spans="1:30" x14ac:dyDescent="0.25">
      <c r="A747" s="104" t="str">
        <f t="shared" si="32"/>
        <v>Philippines2072</v>
      </c>
      <c r="C747" s="107" t="s">
        <v>257</v>
      </c>
      <c r="D747" s="108" t="s">
        <v>148</v>
      </c>
      <c r="E747" s="109"/>
      <c r="F747" s="109">
        <v>608</v>
      </c>
      <c r="G747" s="109">
        <v>2072</v>
      </c>
      <c r="H747" s="110">
        <v>5317.2849999999999</v>
      </c>
      <c r="I747" s="110">
        <v>5431.5690000000004</v>
      </c>
      <c r="J747" s="110">
        <v>5544.4859999999999</v>
      </c>
      <c r="K747" s="110">
        <v>5642.1170000000002</v>
      </c>
      <c r="L747" s="110">
        <v>5698.28</v>
      </c>
      <c r="M747" s="110">
        <v>5711.2640000000001</v>
      </c>
      <c r="N747" s="110">
        <v>5701.3860000000004</v>
      </c>
      <c r="O747" s="110">
        <v>5671.9679999999998</v>
      </c>
      <c r="P747" s="110">
        <v>5601.69</v>
      </c>
      <c r="Q747" s="110">
        <v>5482.6940000000004</v>
      </c>
      <c r="R747" s="110">
        <v>5304.7380000000003</v>
      </c>
      <c r="S747" s="110">
        <v>5035.1480000000001</v>
      </c>
      <c r="T747" s="110">
        <v>4668.1490000000003</v>
      </c>
      <c r="U747" s="110">
        <v>4166.4840000000004</v>
      </c>
      <c r="V747" s="110">
        <v>3670.982</v>
      </c>
      <c r="W747" s="110">
        <v>3059.6509999999998</v>
      </c>
      <c r="X747" s="110">
        <v>2081.5940000000001</v>
      </c>
      <c r="Y747" s="110">
        <v>1093.617</v>
      </c>
      <c r="Z747" s="110">
        <v>429.28800000000001</v>
      </c>
      <c r="AA747" s="110">
        <v>105.05800000000001</v>
      </c>
      <c r="AB747" s="110">
        <v>10.904999999999999</v>
      </c>
      <c r="AC747" s="115">
        <f t="shared" si="33"/>
        <v>39509.399000000005</v>
      </c>
      <c r="AD747">
        <f t="shared" si="34"/>
        <v>0.99953063594086533</v>
      </c>
    </row>
    <row r="748" spans="1:30" x14ac:dyDescent="0.25">
      <c r="A748" s="104" t="str">
        <f t="shared" si="32"/>
        <v>Philippines2073</v>
      </c>
      <c r="C748" s="107" t="s">
        <v>257</v>
      </c>
      <c r="D748" s="108" t="s">
        <v>148</v>
      </c>
      <c r="E748" s="109"/>
      <c r="F748" s="109">
        <v>608</v>
      </c>
      <c r="G748" s="109">
        <v>2073</v>
      </c>
      <c r="H748" s="110">
        <v>5291.9459999999999</v>
      </c>
      <c r="I748" s="110">
        <v>5406.3190000000004</v>
      </c>
      <c r="J748" s="110">
        <v>5520.4780000000001</v>
      </c>
      <c r="K748" s="110">
        <v>5618.0839999999998</v>
      </c>
      <c r="L748" s="110">
        <v>5682.7780000000002</v>
      </c>
      <c r="M748" s="110">
        <v>5702.6080000000002</v>
      </c>
      <c r="N748" s="110">
        <v>5696.6469999999999</v>
      </c>
      <c r="O748" s="110">
        <v>5671.5230000000001</v>
      </c>
      <c r="P748" s="110">
        <v>5610.1769999999997</v>
      </c>
      <c r="Q748" s="110">
        <v>5497.2740000000003</v>
      </c>
      <c r="R748" s="110">
        <v>5328.2610000000004</v>
      </c>
      <c r="S748" s="110">
        <v>5073.4089999999997</v>
      </c>
      <c r="T748" s="110">
        <v>4713.5069999999996</v>
      </c>
      <c r="U748" s="110">
        <v>4226.857</v>
      </c>
      <c r="V748" s="110">
        <v>3688.0549999999998</v>
      </c>
      <c r="W748" s="110">
        <v>3093.7190000000001</v>
      </c>
      <c r="X748" s="110">
        <v>2160.0909999999999</v>
      </c>
      <c r="Y748" s="110">
        <v>1124.3589999999999</v>
      </c>
      <c r="Z748" s="110">
        <v>443.125</v>
      </c>
      <c r="AA748" s="110">
        <v>116.605</v>
      </c>
      <c r="AB748" s="110">
        <v>11.574999999999999</v>
      </c>
      <c r="AC748" s="115">
        <f t="shared" si="33"/>
        <v>39479.091</v>
      </c>
      <c r="AD748">
        <f t="shared" si="34"/>
        <v>0.9992328913937667</v>
      </c>
    </row>
    <row r="749" spans="1:30" x14ac:dyDescent="0.25">
      <c r="A749" s="104" t="str">
        <f t="shared" si="32"/>
        <v>Philippines2074</v>
      </c>
      <c r="C749" s="107" t="s">
        <v>257</v>
      </c>
      <c r="D749" s="108" t="s">
        <v>148</v>
      </c>
      <c r="E749" s="109"/>
      <c r="F749" s="109">
        <v>608</v>
      </c>
      <c r="G749" s="109">
        <v>2074</v>
      </c>
      <c r="H749" s="110">
        <v>5265.5829999999996</v>
      </c>
      <c r="I749" s="110">
        <v>5379.7719999999999</v>
      </c>
      <c r="J749" s="110">
        <v>5496.1019999999999</v>
      </c>
      <c r="K749" s="110">
        <v>5593.6229999999996</v>
      </c>
      <c r="L749" s="110">
        <v>5664.723</v>
      </c>
      <c r="M749" s="110">
        <v>5691.7870000000003</v>
      </c>
      <c r="N749" s="110">
        <v>5690.2960000000003</v>
      </c>
      <c r="O749" s="110">
        <v>5669.34</v>
      </c>
      <c r="P749" s="110">
        <v>5616.527</v>
      </c>
      <c r="Q749" s="110">
        <v>5510.5209999999997</v>
      </c>
      <c r="R749" s="110">
        <v>5349.9049999999997</v>
      </c>
      <c r="S749" s="110">
        <v>5109.5510000000004</v>
      </c>
      <c r="T749" s="110">
        <v>4759.6210000000001</v>
      </c>
      <c r="U749" s="110">
        <v>4289.9260000000004</v>
      </c>
      <c r="V749" s="110">
        <v>3715.902</v>
      </c>
      <c r="W749" s="110">
        <v>3131.98</v>
      </c>
      <c r="X749" s="110">
        <v>2237.3620000000001</v>
      </c>
      <c r="Y749" s="110">
        <v>1161.068</v>
      </c>
      <c r="Z749" s="110">
        <v>447.79899999999998</v>
      </c>
      <c r="AA749" s="110">
        <v>118.188</v>
      </c>
      <c r="AB749" s="110">
        <v>12.295</v>
      </c>
      <c r="AC749" s="115">
        <f t="shared" si="33"/>
        <v>39436.817000000003</v>
      </c>
      <c r="AD749">
        <f t="shared" si="34"/>
        <v>0.99892920533555352</v>
      </c>
    </row>
    <row r="750" spans="1:30" x14ac:dyDescent="0.25">
      <c r="A750" s="104" t="str">
        <f t="shared" si="32"/>
        <v>Philippines2075</v>
      </c>
      <c r="C750" s="107" t="s">
        <v>257</v>
      </c>
      <c r="D750" s="108" t="s">
        <v>148</v>
      </c>
      <c r="E750" s="109"/>
      <c r="F750" s="109">
        <v>608</v>
      </c>
      <c r="G750" s="109">
        <v>2075</v>
      </c>
      <c r="H750" s="110">
        <v>5238.335</v>
      </c>
      <c r="I750" s="110">
        <v>5351.7659999999996</v>
      </c>
      <c r="J750" s="110">
        <v>5470.72</v>
      </c>
      <c r="K750" s="110">
        <v>5569.0829999999996</v>
      </c>
      <c r="L750" s="110">
        <v>5644.2479999999996</v>
      </c>
      <c r="M750" s="110">
        <v>5678.5709999999999</v>
      </c>
      <c r="N750" s="110">
        <v>5682.17</v>
      </c>
      <c r="O750" s="110">
        <v>5665.5159999999996</v>
      </c>
      <c r="P750" s="110">
        <v>5620.31</v>
      </c>
      <c r="Q750" s="110">
        <v>5522.2529999999997</v>
      </c>
      <c r="R750" s="110">
        <v>5369.8209999999999</v>
      </c>
      <c r="S750" s="110">
        <v>5142.9629999999997</v>
      </c>
      <c r="T750" s="110">
        <v>4806.5339999999997</v>
      </c>
      <c r="U750" s="110">
        <v>4351.1149999999998</v>
      </c>
      <c r="V750" s="110">
        <v>3758.3870000000002</v>
      </c>
      <c r="W750" s="110">
        <v>3175.1149999999998</v>
      </c>
      <c r="X750" s="110">
        <v>2309.473</v>
      </c>
      <c r="Y750" s="110">
        <v>1208.1980000000001</v>
      </c>
      <c r="Z750" s="110">
        <v>448.72800000000001</v>
      </c>
      <c r="AA750" s="110">
        <v>105.32299999999999</v>
      </c>
      <c r="AB750" s="110">
        <v>13.08</v>
      </c>
      <c r="AC750" s="115">
        <f t="shared" si="33"/>
        <v>39382.150999999998</v>
      </c>
      <c r="AD750">
        <f t="shared" si="34"/>
        <v>0.99861383336286991</v>
      </c>
    </row>
    <row r="751" spans="1:30" x14ac:dyDescent="0.25">
      <c r="A751" s="104" t="str">
        <f t="shared" si="32"/>
        <v>Philippines2076</v>
      </c>
      <c r="C751" s="107" t="s">
        <v>257</v>
      </c>
      <c r="D751" s="108" t="s">
        <v>148</v>
      </c>
      <c r="E751" s="109"/>
      <c r="F751" s="109">
        <v>608</v>
      </c>
      <c r="G751" s="109">
        <v>2076</v>
      </c>
      <c r="H751" s="110">
        <v>5215.9160000000002</v>
      </c>
      <c r="I751" s="110">
        <v>5327.8</v>
      </c>
      <c r="J751" s="110">
        <v>5445.7129999999997</v>
      </c>
      <c r="K751" s="110">
        <v>5545.2089999999998</v>
      </c>
      <c r="L751" s="110">
        <v>5625.4309999999996</v>
      </c>
      <c r="M751" s="110">
        <v>5668.1790000000001</v>
      </c>
      <c r="N751" s="110">
        <v>5677.0240000000003</v>
      </c>
      <c r="O751" s="110">
        <v>5663.6639999999998</v>
      </c>
      <c r="P751" s="110">
        <v>5624.049</v>
      </c>
      <c r="Q751" s="110">
        <v>5533.1189999999997</v>
      </c>
      <c r="R751" s="110">
        <v>5387.2790000000005</v>
      </c>
      <c r="S751" s="110">
        <v>5170.5370000000003</v>
      </c>
      <c r="T751" s="110">
        <v>4843.3599999999997</v>
      </c>
      <c r="U751" s="110">
        <v>4395.4840000000004</v>
      </c>
      <c r="V751" s="110">
        <v>3791.1729999999998</v>
      </c>
      <c r="W751" s="110">
        <v>3181.5259999999998</v>
      </c>
      <c r="X751" s="110">
        <v>2344.4920000000002</v>
      </c>
      <c r="Y751" s="110">
        <v>1273.8879999999999</v>
      </c>
      <c r="Z751" s="110">
        <v>492.87900000000002</v>
      </c>
      <c r="AA751" s="110">
        <v>116.285</v>
      </c>
      <c r="AB751" s="110">
        <v>13.948</v>
      </c>
      <c r="AC751" s="115">
        <f t="shared" si="33"/>
        <v>39336.675000000003</v>
      </c>
      <c r="AD751">
        <f t="shared" si="34"/>
        <v>0.99884526368303261</v>
      </c>
    </row>
    <row r="752" spans="1:30" x14ac:dyDescent="0.25">
      <c r="A752" s="104" t="str">
        <f t="shared" si="32"/>
        <v>Philippines2077</v>
      </c>
      <c r="C752" s="107" t="s">
        <v>257</v>
      </c>
      <c r="D752" s="108" t="s">
        <v>148</v>
      </c>
      <c r="E752" s="109"/>
      <c r="F752" s="109">
        <v>608</v>
      </c>
      <c r="G752" s="109">
        <v>2077</v>
      </c>
      <c r="H752" s="110">
        <v>5191.2070000000003</v>
      </c>
      <c r="I752" s="110">
        <v>5303.732</v>
      </c>
      <c r="J752" s="110">
        <v>5420.5510000000004</v>
      </c>
      <c r="K752" s="110">
        <v>5521.3</v>
      </c>
      <c r="L752" s="110">
        <v>5604.0709999999999</v>
      </c>
      <c r="M752" s="110">
        <v>5655.7340000000004</v>
      </c>
      <c r="N752" s="110">
        <v>5670.6080000000002</v>
      </c>
      <c r="O752" s="110">
        <v>5660.7139999999999</v>
      </c>
      <c r="P752" s="110">
        <v>5625.9589999999998</v>
      </c>
      <c r="Q752" s="110">
        <v>5543.31</v>
      </c>
      <c r="R752" s="110">
        <v>5403.76</v>
      </c>
      <c r="S752" s="110">
        <v>5196.8019999999997</v>
      </c>
      <c r="T752" s="110">
        <v>4881.7740000000003</v>
      </c>
      <c r="U752" s="110">
        <v>4440.7780000000002</v>
      </c>
      <c r="V752" s="110">
        <v>3840.3939999999998</v>
      </c>
      <c r="W752" s="110">
        <v>3191.5830000000001</v>
      </c>
      <c r="X752" s="110">
        <v>2374.4920000000002</v>
      </c>
      <c r="Y752" s="110">
        <v>1333.7670000000001</v>
      </c>
      <c r="Z752" s="110">
        <v>519.34199999999998</v>
      </c>
      <c r="AA752" s="110">
        <v>133.09800000000001</v>
      </c>
      <c r="AB752" s="110">
        <v>14.89</v>
      </c>
      <c r="AC752" s="115">
        <f t="shared" si="33"/>
        <v>39281.695999999996</v>
      </c>
      <c r="AD752">
        <f t="shared" si="34"/>
        <v>0.99860234755479449</v>
      </c>
    </row>
    <row r="753" spans="1:30" x14ac:dyDescent="0.25">
      <c r="A753" s="104" t="str">
        <f t="shared" si="32"/>
        <v>Philippines2078</v>
      </c>
      <c r="C753" s="107" t="s">
        <v>257</v>
      </c>
      <c r="D753" s="108" t="s">
        <v>148</v>
      </c>
      <c r="E753" s="109"/>
      <c r="F753" s="109">
        <v>608</v>
      </c>
      <c r="G753" s="109">
        <v>2078</v>
      </c>
      <c r="H753" s="110">
        <v>5164.6850000000004</v>
      </c>
      <c r="I753" s="110">
        <v>5279.0929999999998</v>
      </c>
      <c r="J753" s="110">
        <v>5395.2160000000003</v>
      </c>
      <c r="K753" s="110">
        <v>5497.4269999999997</v>
      </c>
      <c r="L753" s="110">
        <v>5580.5739999999996</v>
      </c>
      <c r="M753" s="110">
        <v>5640.9160000000002</v>
      </c>
      <c r="N753" s="110">
        <v>5662.5590000000002</v>
      </c>
      <c r="O753" s="110">
        <v>5656.5259999999998</v>
      </c>
      <c r="P753" s="110">
        <v>5626.0690000000004</v>
      </c>
      <c r="Q753" s="110">
        <v>5552.4179999999997</v>
      </c>
      <c r="R753" s="110">
        <v>5419.1409999999996</v>
      </c>
      <c r="S753" s="110">
        <v>5221.3530000000001</v>
      </c>
      <c r="T753" s="110">
        <v>4920.95</v>
      </c>
      <c r="U753" s="110">
        <v>4487.0540000000001</v>
      </c>
      <c r="V753" s="110">
        <v>3900.0239999999999</v>
      </c>
      <c r="W753" s="110">
        <v>3210.4059999999999</v>
      </c>
      <c r="X753" s="110">
        <v>2406.9</v>
      </c>
      <c r="Y753" s="110">
        <v>1383.7809999999999</v>
      </c>
      <c r="Z753" s="110">
        <v>537.37400000000002</v>
      </c>
      <c r="AA753" s="110">
        <v>146.33600000000001</v>
      </c>
      <c r="AB753" s="110">
        <v>15.895</v>
      </c>
      <c r="AC753" s="115">
        <f t="shared" si="33"/>
        <v>39216.489000000001</v>
      </c>
      <c r="AD753">
        <f t="shared" si="34"/>
        <v>0.9983400156653115</v>
      </c>
    </row>
    <row r="754" spans="1:30" x14ac:dyDescent="0.25">
      <c r="A754" s="104" t="str">
        <f t="shared" si="32"/>
        <v>Philippines2079</v>
      </c>
      <c r="C754" s="107" t="s">
        <v>257</v>
      </c>
      <c r="D754" s="108" t="s">
        <v>148</v>
      </c>
      <c r="E754" s="109"/>
      <c r="F754" s="109">
        <v>608</v>
      </c>
      <c r="G754" s="109">
        <v>2079</v>
      </c>
      <c r="H754" s="110">
        <v>5137.05</v>
      </c>
      <c r="I754" s="110">
        <v>5253.3649999999998</v>
      </c>
      <c r="J754" s="110">
        <v>5369.6719999999996</v>
      </c>
      <c r="K754" s="110">
        <v>5473.2420000000002</v>
      </c>
      <c r="L754" s="110">
        <v>5555.7449999999999</v>
      </c>
      <c r="M754" s="110">
        <v>5623.3819999999996</v>
      </c>
      <c r="N754" s="110">
        <v>5652.4260000000004</v>
      </c>
      <c r="O754" s="110">
        <v>5650.9219999999996</v>
      </c>
      <c r="P754" s="110">
        <v>5624.6180000000004</v>
      </c>
      <c r="Q754" s="110">
        <v>5559.7650000000003</v>
      </c>
      <c r="R754" s="110">
        <v>5433.3</v>
      </c>
      <c r="S754" s="110">
        <v>5244.3029999999999</v>
      </c>
      <c r="T754" s="110">
        <v>4959.6490000000003</v>
      </c>
      <c r="U754" s="110">
        <v>4535.0450000000001</v>
      </c>
      <c r="V754" s="110">
        <v>3963.3150000000001</v>
      </c>
      <c r="W754" s="110">
        <v>3244.5259999999998</v>
      </c>
      <c r="X754" s="110">
        <v>2445.2170000000001</v>
      </c>
      <c r="Y754" s="110">
        <v>1429.6</v>
      </c>
      <c r="Z754" s="110">
        <v>547.096</v>
      </c>
      <c r="AA754" s="110">
        <v>148.625</v>
      </c>
      <c r="AB754" s="110">
        <v>16.95</v>
      </c>
      <c r="AC754" s="115">
        <f t="shared" si="33"/>
        <v>39140.1</v>
      </c>
      <c r="AD754">
        <f t="shared" si="34"/>
        <v>0.99805212037212199</v>
      </c>
    </row>
    <row r="755" spans="1:30" x14ac:dyDescent="0.25">
      <c r="A755" s="104" t="str">
        <f t="shared" si="32"/>
        <v>Philippines2080</v>
      </c>
      <c r="C755" s="107" t="s">
        <v>257</v>
      </c>
      <c r="D755" s="108" t="s">
        <v>148</v>
      </c>
      <c r="E755" s="109"/>
      <c r="F755" s="109">
        <v>608</v>
      </c>
      <c r="G755" s="109">
        <v>2080</v>
      </c>
      <c r="H755" s="110">
        <v>5108.9440000000004</v>
      </c>
      <c r="I755" s="110">
        <v>5225.9620000000004</v>
      </c>
      <c r="J755" s="110">
        <v>5343.6940000000004</v>
      </c>
      <c r="K755" s="110">
        <v>5448.3819999999996</v>
      </c>
      <c r="L755" s="110">
        <v>5530.34</v>
      </c>
      <c r="M755" s="110">
        <v>5602.98</v>
      </c>
      <c r="N755" s="110">
        <v>5639.8490000000002</v>
      </c>
      <c r="O755" s="110">
        <v>5643.6880000000001</v>
      </c>
      <c r="P755" s="110">
        <v>5621.7259999999997</v>
      </c>
      <c r="Q755" s="110">
        <v>5564.8069999999998</v>
      </c>
      <c r="R755" s="110">
        <v>5446.11</v>
      </c>
      <c r="S755" s="110">
        <v>5265.8209999999999</v>
      </c>
      <c r="T755" s="110">
        <v>4996.6589999999997</v>
      </c>
      <c r="U755" s="110">
        <v>4584.8459999999995</v>
      </c>
      <c r="V755" s="110">
        <v>4026.77</v>
      </c>
      <c r="W755" s="110">
        <v>3296.2939999999999</v>
      </c>
      <c r="X755" s="110">
        <v>2489.4949999999999</v>
      </c>
      <c r="Y755" s="110">
        <v>1471.2049999999999</v>
      </c>
      <c r="Z755" s="110">
        <v>557.25699999999995</v>
      </c>
      <c r="AA755" s="110">
        <v>134.685</v>
      </c>
      <c r="AB755" s="110">
        <v>18.042999999999999</v>
      </c>
      <c r="AC755" s="115">
        <f t="shared" si="33"/>
        <v>39051.772000000004</v>
      </c>
      <c r="AD755">
        <f t="shared" si="34"/>
        <v>0.99774328629717368</v>
      </c>
    </row>
    <row r="756" spans="1:30" x14ac:dyDescent="0.25">
      <c r="A756" s="104" t="str">
        <f t="shared" si="32"/>
        <v>Philippines2081</v>
      </c>
      <c r="C756" s="107" t="s">
        <v>257</v>
      </c>
      <c r="D756" s="108" t="s">
        <v>148</v>
      </c>
      <c r="E756" s="109"/>
      <c r="F756" s="109">
        <v>608</v>
      </c>
      <c r="G756" s="109">
        <v>2081</v>
      </c>
      <c r="H756" s="110">
        <v>5084.9210000000003</v>
      </c>
      <c r="I756" s="110">
        <v>5202.009</v>
      </c>
      <c r="J756" s="110">
        <v>5318.6490000000003</v>
      </c>
      <c r="K756" s="110">
        <v>5423.8530000000001</v>
      </c>
      <c r="L756" s="110">
        <v>5508.32</v>
      </c>
      <c r="M756" s="110">
        <v>5584.8630000000003</v>
      </c>
      <c r="N756" s="110">
        <v>5629.5959999999995</v>
      </c>
      <c r="O756" s="110">
        <v>5638.5010000000002</v>
      </c>
      <c r="P756" s="110">
        <v>5619.9009999999998</v>
      </c>
      <c r="Q756" s="110">
        <v>5568.451</v>
      </c>
      <c r="R756" s="110">
        <v>5457.2510000000002</v>
      </c>
      <c r="S756" s="110">
        <v>5283.11</v>
      </c>
      <c r="T756" s="110">
        <v>5022.3059999999996</v>
      </c>
      <c r="U756" s="110">
        <v>4620.1099999999997</v>
      </c>
      <c r="V756" s="110">
        <v>4067.0630000000001</v>
      </c>
      <c r="W756" s="110">
        <v>3323.2179999999998</v>
      </c>
      <c r="X756" s="110">
        <v>2500.3409999999999</v>
      </c>
      <c r="Y756" s="110">
        <v>1517.471</v>
      </c>
      <c r="Z756" s="110">
        <v>616.94500000000005</v>
      </c>
      <c r="AA756" s="110">
        <v>148.047</v>
      </c>
      <c r="AB756" s="110">
        <v>19.190999999999999</v>
      </c>
      <c r="AC756" s="115">
        <f t="shared" si="33"/>
        <v>38973.485000000001</v>
      </c>
      <c r="AD756">
        <f t="shared" si="34"/>
        <v>0.99799530223622113</v>
      </c>
    </row>
    <row r="757" spans="1:30" x14ac:dyDescent="0.25">
      <c r="A757" s="104" t="str">
        <f t="shared" si="32"/>
        <v>Philippines2082</v>
      </c>
      <c r="C757" s="107" t="s">
        <v>257</v>
      </c>
      <c r="D757" s="108" t="s">
        <v>148</v>
      </c>
      <c r="E757" s="109"/>
      <c r="F757" s="109">
        <v>608</v>
      </c>
      <c r="G757" s="109">
        <v>2082</v>
      </c>
      <c r="H757" s="110">
        <v>5059.5010000000002</v>
      </c>
      <c r="I757" s="110">
        <v>5177.5519999999997</v>
      </c>
      <c r="J757" s="110">
        <v>5293.8580000000002</v>
      </c>
      <c r="K757" s="110">
        <v>5398.8</v>
      </c>
      <c r="L757" s="110">
        <v>5485.7550000000001</v>
      </c>
      <c r="M757" s="110">
        <v>5564.1959999999999</v>
      </c>
      <c r="N757" s="110">
        <v>5617.5320000000002</v>
      </c>
      <c r="O757" s="110">
        <v>5632.3289999999997</v>
      </c>
      <c r="P757" s="110">
        <v>5617.2730000000001</v>
      </c>
      <c r="Q757" s="110">
        <v>5570.5810000000001</v>
      </c>
      <c r="R757" s="110">
        <v>5468.0640000000003</v>
      </c>
      <c r="S757" s="110">
        <v>5300.3149999999996</v>
      </c>
      <c r="T757" s="110">
        <v>5048.1000000000004</v>
      </c>
      <c r="U757" s="110">
        <v>4658.5429999999997</v>
      </c>
      <c r="V757" s="110">
        <v>4111.3530000000001</v>
      </c>
      <c r="W757" s="110">
        <v>3366.66</v>
      </c>
      <c r="X757" s="110">
        <v>2510.7440000000001</v>
      </c>
      <c r="Y757" s="110">
        <v>1551.0630000000001</v>
      </c>
      <c r="Z757" s="110">
        <v>656.39700000000005</v>
      </c>
      <c r="AA757" s="110">
        <v>168.72800000000001</v>
      </c>
      <c r="AB757" s="110">
        <v>20.393000000000001</v>
      </c>
      <c r="AC757" s="115">
        <f t="shared" si="33"/>
        <v>38886.466</v>
      </c>
      <c r="AD757">
        <f t="shared" si="34"/>
        <v>0.99776722558939746</v>
      </c>
    </row>
    <row r="758" spans="1:30" x14ac:dyDescent="0.25">
      <c r="A758" s="104" t="str">
        <f t="shared" si="32"/>
        <v>Philippines2083</v>
      </c>
      <c r="C758" s="107" t="s">
        <v>257</v>
      </c>
      <c r="D758" s="108" t="s">
        <v>148</v>
      </c>
      <c r="E758" s="109"/>
      <c r="F758" s="109">
        <v>608</v>
      </c>
      <c r="G758" s="109">
        <v>2083</v>
      </c>
      <c r="H758" s="110">
        <v>5032.9769999999999</v>
      </c>
      <c r="I758" s="110">
        <v>5152.1450000000004</v>
      </c>
      <c r="J758" s="110">
        <v>5269.1670000000004</v>
      </c>
      <c r="K758" s="110">
        <v>5373.5429999999997</v>
      </c>
      <c r="L758" s="110">
        <v>5462.3909999999996</v>
      </c>
      <c r="M758" s="110">
        <v>5541.3760000000002</v>
      </c>
      <c r="N758" s="110">
        <v>5603.3019999999997</v>
      </c>
      <c r="O758" s="110">
        <v>5624.8119999999999</v>
      </c>
      <c r="P758" s="110">
        <v>5613.634</v>
      </c>
      <c r="Q758" s="110">
        <v>5571.33</v>
      </c>
      <c r="R758" s="110">
        <v>5478.0150000000003</v>
      </c>
      <c r="S758" s="110">
        <v>5316.8459999999995</v>
      </c>
      <c r="T758" s="110">
        <v>5073.9709999999995</v>
      </c>
      <c r="U758" s="110">
        <v>4698.9290000000001</v>
      </c>
      <c r="V758" s="110">
        <v>4158.4960000000001</v>
      </c>
      <c r="W758" s="110">
        <v>3423.2539999999999</v>
      </c>
      <c r="X758" s="110">
        <v>2529.9</v>
      </c>
      <c r="Y758" s="110">
        <v>1574.175</v>
      </c>
      <c r="Z758" s="110">
        <v>683.35500000000002</v>
      </c>
      <c r="AA758" s="110">
        <v>185.577</v>
      </c>
      <c r="AB758" s="110">
        <v>21.664000000000001</v>
      </c>
      <c r="AC758" s="115">
        <f t="shared" si="33"/>
        <v>38790.387999999999</v>
      </c>
      <c r="AD758">
        <f t="shared" si="34"/>
        <v>0.99752926892353755</v>
      </c>
    </row>
    <row r="759" spans="1:30" x14ac:dyDescent="0.25">
      <c r="A759" s="104" t="str">
        <f t="shared" si="32"/>
        <v>Philippines2084</v>
      </c>
      <c r="C759" s="107" t="s">
        <v>257</v>
      </c>
      <c r="D759" s="108" t="s">
        <v>148</v>
      </c>
      <c r="E759" s="109"/>
      <c r="F759" s="109">
        <v>608</v>
      </c>
      <c r="G759" s="109">
        <v>2084</v>
      </c>
      <c r="H759" s="110">
        <v>5005.6270000000004</v>
      </c>
      <c r="I759" s="110">
        <v>5125.4949999999999</v>
      </c>
      <c r="J759" s="110">
        <v>5244.2079999999996</v>
      </c>
      <c r="K759" s="110">
        <v>5348.259</v>
      </c>
      <c r="L759" s="110">
        <v>5437.9170000000004</v>
      </c>
      <c r="M759" s="110">
        <v>5517.1270000000004</v>
      </c>
      <c r="N759" s="110">
        <v>5586.4920000000002</v>
      </c>
      <c r="O759" s="110">
        <v>5615.4639999999999</v>
      </c>
      <c r="P759" s="110">
        <v>5608.7939999999999</v>
      </c>
      <c r="Q759" s="110">
        <v>5570.9369999999999</v>
      </c>
      <c r="R759" s="110">
        <v>5486.3670000000002</v>
      </c>
      <c r="S759" s="110">
        <v>5332.44</v>
      </c>
      <c r="T759" s="110">
        <v>5099.88</v>
      </c>
      <c r="U759" s="110">
        <v>4739.8850000000002</v>
      </c>
      <c r="V759" s="110">
        <v>4208.8370000000004</v>
      </c>
      <c r="W759" s="110">
        <v>3488.145</v>
      </c>
      <c r="X759" s="110">
        <v>2565.2910000000002</v>
      </c>
      <c r="Y759" s="110">
        <v>1597.105</v>
      </c>
      <c r="Z759" s="110">
        <v>696.80600000000004</v>
      </c>
      <c r="AA759" s="110">
        <v>189.887</v>
      </c>
      <c r="AB759" s="110">
        <v>23.018999999999998</v>
      </c>
      <c r="AC759" s="115">
        <f t="shared" si="33"/>
        <v>38684.99</v>
      </c>
      <c r="AD759">
        <f t="shared" si="34"/>
        <v>0.99728288358445905</v>
      </c>
    </row>
    <row r="760" spans="1:30" x14ac:dyDescent="0.25">
      <c r="A760" s="104" t="str">
        <f t="shared" si="32"/>
        <v>Philippines2085</v>
      </c>
      <c r="C760" s="107" t="s">
        <v>257</v>
      </c>
      <c r="D760" s="108" t="s">
        <v>148</v>
      </c>
      <c r="E760" s="109"/>
      <c r="F760" s="109">
        <v>608</v>
      </c>
      <c r="G760" s="109">
        <v>2085</v>
      </c>
      <c r="H760" s="110">
        <v>4977.7809999999999</v>
      </c>
      <c r="I760" s="110">
        <v>5097.3829999999998</v>
      </c>
      <c r="J760" s="110">
        <v>5218.4449999999997</v>
      </c>
      <c r="K760" s="110">
        <v>5322.8829999999998</v>
      </c>
      <c r="L760" s="110">
        <v>5412.3320000000003</v>
      </c>
      <c r="M760" s="110">
        <v>5491.9170000000004</v>
      </c>
      <c r="N760" s="110">
        <v>5566.8149999999996</v>
      </c>
      <c r="O760" s="110">
        <v>5603.8540000000003</v>
      </c>
      <c r="P760" s="110">
        <v>5602.5519999999997</v>
      </c>
      <c r="Q760" s="110">
        <v>5569.3890000000001</v>
      </c>
      <c r="R760" s="110">
        <v>5492.5990000000002</v>
      </c>
      <c r="S760" s="110">
        <v>5346.9830000000002</v>
      </c>
      <c r="T760" s="110">
        <v>5125.3639999999996</v>
      </c>
      <c r="U760" s="110">
        <v>4780.3819999999996</v>
      </c>
      <c r="V760" s="110">
        <v>4262.6679999999997</v>
      </c>
      <c r="W760" s="110">
        <v>3557.6869999999999</v>
      </c>
      <c r="X760" s="110">
        <v>2618.9450000000002</v>
      </c>
      <c r="Y760" s="110">
        <v>1623.625</v>
      </c>
      <c r="Z760" s="110">
        <v>703.928</v>
      </c>
      <c r="AA760" s="110">
        <v>175.554</v>
      </c>
      <c r="AB760" s="110">
        <v>24.475000000000001</v>
      </c>
      <c r="AC760" s="115">
        <f t="shared" si="33"/>
        <v>38569.742000000006</v>
      </c>
      <c r="AD760">
        <f t="shared" si="34"/>
        <v>0.99702086002865731</v>
      </c>
    </row>
    <row r="761" spans="1:30" x14ac:dyDescent="0.25">
      <c r="A761" s="104" t="str">
        <f t="shared" si="32"/>
        <v>Philippines2086</v>
      </c>
      <c r="C761" s="107" t="s">
        <v>257</v>
      </c>
      <c r="D761" s="108" t="s">
        <v>148</v>
      </c>
      <c r="E761" s="109"/>
      <c r="F761" s="109">
        <v>608</v>
      </c>
      <c r="G761" s="109">
        <v>2086</v>
      </c>
      <c r="H761" s="110">
        <v>4953.8360000000002</v>
      </c>
      <c r="I761" s="110">
        <v>5072.6850000000004</v>
      </c>
      <c r="J761" s="110">
        <v>5193.2110000000002</v>
      </c>
      <c r="K761" s="110">
        <v>5298.2780000000002</v>
      </c>
      <c r="L761" s="110">
        <v>5389.4920000000002</v>
      </c>
      <c r="M761" s="110">
        <v>5470.52</v>
      </c>
      <c r="N761" s="110">
        <v>5548.808</v>
      </c>
      <c r="O761" s="110">
        <v>5593.5280000000002</v>
      </c>
      <c r="P761" s="110">
        <v>5597.3829999999998</v>
      </c>
      <c r="Q761" s="110">
        <v>5567.4939999999997</v>
      </c>
      <c r="R761" s="110">
        <v>5496.5439999999999</v>
      </c>
      <c r="S761" s="110">
        <v>5358.06</v>
      </c>
      <c r="T761" s="110">
        <v>5141.0309999999999</v>
      </c>
      <c r="U761" s="110">
        <v>4804.8059999999996</v>
      </c>
      <c r="V761" s="110">
        <v>4294.7749999999996</v>
      </c>
      <c r="W761" s="110">
        <v>3589.6350000000002</v>
      </c>
      <c r="X761" s="110">
        <v>2647.0709999999999</v>
      </c>
      <c r="Y761" s="110">
        <v>1654.2760000000001</v>
      </c>
      <c r="Z761" s="110">
        <v>759.149</v>
      </c>
      <c r="AA761" s="110">
        <v>195.22900000000001</v>
      </c>
      <c r="AB761" s="110">
        <v>26.042999999999999</v>
      </c>
      <c r="AC761" s="115">
        <f t="shared" si="33"/>
        <v>38465.503000000004</v>
      </c>
      <c r="AD761">
        <f t="shared" si="34"/>
        <v>0.99729738923324918</v>
      </c>
    </row>
    <row r="762" spans="1:30" x14ac:dyDescent="0.25">
      <c r="A762" s="104" t="str">
        <f t="shared" si="32"/>
        <v>Philippines2087</v>
      </c>
      <c r="C762" s="107" t="s">
        <v>257</v>
      </c>
      <c r="D762" s="108" t="s">
        <v>148</v>
      </c>
      <c r="E762" s="109"/>
      <c r="F762" s="109">
        <v>608</v>
      </c>
      <c r="G762" s="109">
        <v>2087</v>
      </c>
      <c r="H762" s="110">
        <v>4928.8509999999997</v>
      </c>
      <c r="I762" s="110">
        <v>5047.674</v>
      </c>
      <c r="J762" s="110">
        <v>5167.951</v>
      </c>
      <c r="K762" s="110">
        <v>5273.7</v>
      </c>
      <c r="L762" s="110">
        <v>5365.7240000000002</v>
      </c>
      <c r="M762" s="110">
        <v>5448.643</v>
      </c>
      <c r="N762" s="110">
        <v>5528.5569999999998</v>
      </c>
      <c r="O762" s="110">
        <v>5581.7309999999998</v>
      </c>
      <c r="P762" s="110">
        <v>5591.5780000000004</v>
      </c>
      <c r="Q762" s="110">
        <v>5565.1559999999999</v>
      </c>
      <c r="R762" s="110">
        <v>5499.3860000000004</v>
      </c>
      <c r="S762" s="110">
        <v>5369.73</v>
      </c>
      <c r="T762" s="110">
        <v>5158.0829999999996</v>
      </c>
      <c r="U762" s="110">
        <v>4831.1570000000002</v>
      </c>
      <c r="V762" s="110">
        <v>4332.9210000000003</v>
      </c>
      <c r="W762" s="110">
        <v>3628.4369999999999</v>
      </c>
      <c r="X762" s="110">
        <v>2685.1729999999998</v>
      </c>
      <c r="Y762" s="110">
        <v>1673.748</v>
      </c>
      <c r="Z762" s="110">
        <v>787.32600000000002</v>
      </c>
      <c r="AA762" s="110">
        <v>223.83</v>
      </c>
      <c r="AB762" s="110">
        <v>27.712</v>
      </c>
      <c r="AC762" s="115">
        <f t="shared" si="33"/>
        <v>38355.089</v>
      </c>
      <c r="AD762">
        <f t="shared" si="34"/>
        <v>0.99712953188211251</v>
      </c>
    </row>
    <row r="763" spans="1:30" x14ac:dyDescent="0.25">
      <c r="A763" s="104" t="str">
        <f t="shared" si="32"/>
        <v>Philippines2088</v>
      </c>
      <c r="C763" s="107" t="s">
        <v>257</v>
      </c>
      <c r="D763" s="108" t="s">
        <v>148</v>
      </c>
      <c r="E763" s="109"/>
      <c r="F763" s="109">
        <v>608</v>
      </c>
      <c r="G763" s="109">
        <v>2088</v>
      </c>
      <c r="H763" s="110">
        <v>4902.9669999999996</v>
      </c>
      <c r="I763" s="110">
        <v>5021.9560000000001</v>
      </c>
      <c r="J763" s="110">
        <v>5142.5959999999995</v>
      </c>
      <c r="K763" s="110">
        <v>5249.2</v>
      </c>
      <c r="L763" s="110">
        <v>5341.0410000000002</v>
      </c>
      <c r="M763" s="110">
        <v>5426.009</v>
      </c>
      <c r="N763" s="110">
        <v>5506.4040000000005</v>
      </c>
      <c r="O763" s="110">
        <v>5568.1</v>
      </c>
      <c r="P763" s="110">
        <v>5584.6869999999999</v>
      </c>
      <c r="Q763" s="110">
        <v>5562.2529999999997</v>
      </c>
      <c r="R763" s="110">
        <v>5501.1310000000003</v>
      </c>
      <c r="S763" s="110">
        <v>5380.982</v>
      </c>
      <c r="T763" s="110">
        <v>5176.2049999999999</v>
      </c>
      <c r="U763" s="110">
        <v>4858.9309999999996</v>
      </c>
      <c r="V763" s="110">
        <v>4374.692</v>
      </c>
      <c r="W763" s="110">
        <v>3674.962</v>
      </c>
      <c r="X763" s="110">
        <v>2734.8989999999999</v>
      </c>
      <c r="Y763" s="110">
        <v>1687.7349999999999</v>
      </c>
      <c r="Z763" s="110">
        <v>801.27700000000004</v>
      </c>
      <c r="AA763" s="110">
        <v>245.87100000000001</v>
      </c>
      <c r="AB763" s="110">
        <v>29.516999999999999</v>
      </c>
      <c r="AC763" s="115">
        <f t="shared" si="33"/>
        <v>38237.693999999996</v>
      </c>
      <c r="AD763">
        <f t="shared" si="34"/>
        <v>0.99693925882951273</v>
      </c>
    </row>
    <row r="764" spans="1:30" x14ac:dyDescent="0.25">
      <c r="A764" s="104" t="str">
        <f t="shared" si="32"/>
        <v>Philippines2089</v>
      </c>
      <c r="C764" s="107" t="s">
        <v>257</v>
      </c>
      <c r="D764" s="108" t="s">
        <v>148</v>
      </c>
      <c r="E764" s="109"/>
      <c r="F764" s="109">
        <v>608</v>
      </c>
      <c r="G764" s="109">
        <v>2089</v>
      </c>
      <c r="H764" s="110">
        <v>4876.2809999999999</v>
      </c>
      <c r="I764" s="110">
        <v>4995.1809999999996</v>
      </c>
      <c r="J764" s="110">
        <v>5116.9080000000004</v>
      </c>
      <c r="K764" s="110">
        <v>5224.5050000000001</v>
      </c>
      <c r="L764" s="110">
        <v>5315.5640000000003</v>
      </c>
      <c r="M764" s="110">
        <v>5402.1440000000002</v>
      </c>
      <c r="N764" s="110">
        <v>5482.915</v>
      </c>
      <c r="O764" s="110">
        <v>5552.1080000000002</v>
      </c>
      <c r="P764" s="110">
        <v>5576.1360000000004</v>
      </c>
      <c r="Q764" s="110">
        <v>5558.5050000000001</v>
      </c>
      <c r="R764" s="110">
        <v>5501.8549999999996</v>
      </c>
      <c r="S764" s="110">
        <v>5390.848</v>
      </c>
      <c r="T764" s="110">
        <v>5194.9160000000002</v>
      </c>
      <c r="U764" s="110">
        <v>4887.7950000000001</v>
      </c>
      <c r="V764" s="110">
        <v>4418.54</v>
      </c>
      <c r="W764" s="110">
        <v>3729.8980000000001</v>
      </c>
      <c r="X764" s="110">
        <v>2794.5970000000002</v>
      </c>
      <c r="Y764" s="110">
        <v>1710.029</v>
      </c>
      <c r="Z764" s="110">
        <v>804.17399999999998</v>
      </c>
      <c r="AA764" s="110">
        <v>250.69399999999999</v>
      </c>
      <c r="AB764" s="110">
        <v>31.501000000000001</v>
      </c>
      <c r="AC764" s="115">
        <f t="shared" si="33"/>
        <v>38111.877</v>
      </c>
      <c r="AD764">
        <f t="shared" si="34"/>
        <v>0.99670960806370812</v>
      </c>
    </row>
    <row r="765" spans="1:30" x14ac:dyDescent="0.25">
      <c r="A765" s="104" t="str">
        <f t="shared" si="32"/>
        <v>Philippines2090</v>
      </c>
      <c r="C765" s="107" t="s">
        <v>257</v>
      </c>
      <c r="D765" s="108" t="s">
        <v>148</v>
      </c>
      <c r="E765" s="109"/>
      <c r="F765" s="109">
        <v>608</v>
      </c>
      <c r="G765" s="109">
        <v>2090</v>
      </c>
      <c r="H765" s="110">
        <v>4848.9219999999996</v>
      </c>
      <c r="I765" s="110">
        <v>4967.0129999999999</v>
      </c>
      <c r="J765" s="110">
        <v>5090.4120000000003</v>
      </c>
      <c r="K765" s="110">
        <v>5199.2020000000002</v>
      </c>
      <c r="L765" s="110">
        <v>5289.4660000000003</v>
      </c>
      <c r="M765" s="110">
        <v>5376.683</v>
      </c>
      <c r="N765" s="110">
        <v>5458.3289999999997</v>
      </c>
      <c r="O765" s="110">
        <v>5533.2920000000004</v>
      </c>
      <c r="P765" s="110">
        <v>5565.402</v>
      </c>
      <c r="Q765" s="110">
        <v>5553.4840000000004</v>
      </c>
      <c r="R765" s="110">
        <v>5501.4480000000003</v>
      </c>
      <c r="S765" s="110">
        <v>5398.7370000000001</v>
      </c>
      <c r="T765" s="110">
        <v>5213.3980000000001</v>
      </c>
      <c r="U765" s="110">
        <v>4917.2709999999997</v>
      </c>
      <c r="V765" s="110">
        <v>4463.7740000000003</v>
      </c>
      <c r="W765" s="110">
        <v>3792.2150000000001</v>
      </c>
      <c r="X765" s="110">
        <v>2862.136</v>
      </c>
      <c r="Y765" s="110">
        <v>1746.4949999999999</v>
      </c>
      <c r="Z765" s="110">
        <v>804.52200000000005</v>
      </c>
      <c r="AA765" s="110">
        <v>232.36699999999999</v>
      </c>
      <c r="AB765" s="110">
        <v>33.689</v>
      </c>
      <c r="AC765" s="115">
        <f t="shared" si="33"/>
        <v>37975.858000000007</v>
      </c>
      <c r="AD765">
        <f t="shared" si="34"/>
        <v>0.99643106006035875</v>
      </c>
    </row>
    <row r="766" spans="1:30" x14ac:dyDescent="0.25">
      <c r="A766" s="104" t="str">
        <f t="shared" si="32"/>
        <v>Philippines2091</v>
      </c>
      <c r="C766" s="107" t="s">
        <v>257</v>
      </c>
      <c r="D766" s="108" t="s">
        <v>148</v>
      </c>
      <c r="E766" s="109"/>
      <c r="F766" s="109">
        <v>608</v>
      </c>
      <c r="G766" s="109">
        <v>2091</v>
      </c>
      <c r="H766" s="110">
        <v>4825.8320000000003</v>
      </c>
      <c r="I766" s="110">
        <v>4942.4960000000001</v>
      </c>
      <c r="J766" s="110">
        <v>5064.817</v>
      </c>
      <c r="K766" s="110">
        <v>5174.6509999999998</v>
      </c>
      <c r="L766" s="110">
        <v>5266.7309999999998</v>
      </c>
      <c r="M766" s="110">
        <v>5354.7209999999995</v>
      </c>
      <c r="N766" s="110">
        <v>5437.3519999999999</v>
      </c>
      <c r="O766" s="110">
        <v>5515.53</v>
      </c>
      <c r="P766" s="110">
        <v>5555.3919999999998</v>
      </c>
      <c r="Q766" s="110">
        <v>5548.5680000000002</v>
      </c>
      <c r="R766" s="110">
        <v>5500.2</v>
      </c>
      <c r="S766" s="110">
        <v>5403.0320000000002</v>
      </c>
      <c r="T766" s="110">
        <v>5223.3040000000001</v>
      </c>
      <c r="U766" s="110">
        <v>4932.3180000000002</v>
      </c>
      <c r="V766" s="110">
        <v>4485.8609999999999</v>
      </c>
      <c r="W766" s="110">
        <v>3817.44</v>
      </c>
      <c r="X766" s="110">
        <v>2892.2820000000002</v>
      </c>
      <c r="Y766" s="110">
        <v>1790.2560000000001</v>
      </c>
      <c r="Z766" s="110">
        <v>853.351</v>
      </c>
      <c r="AA766" s="110">
        <v>250.87100000000001</v>
      </c>
      <c r="AB766" s="110">
        <v>36.103999999999999</v>
      </c>
      <c r="AC766" s="115">
        <f t="shared" si="33"/>
        <v>37852.945</v>
      </c>
      <c r="AD766">
        <f t="shared" si="34"/>
        <v>0.99676339109968215</v>
      </c>
    </row>
    <row r="767" spans="1:30" x14ac:dyDescent="0.25">
      <c r="A767" s="104" t="str">
        <f t="shared" si="32"/>
        <v>Philippines2092</v>
      </c>
      <c r="C767" s="107" t="s">
        <v>257</v>
      </c>
      <c r="D767" s="108" t="s">
        <v>148</v>
      </c>
      <c r="E767" s="109"/>
      <c r="F767" s="109">
        <v>608</v>
      </c>
      <c r="G767" s="109">
        <v>2092</v>
      </c>
      <c r="H767" s="110">
        <v>4801.2950000000001</v>
      </c>
      <c r="I767" s="110">
        <v>4917.9219999999996</v>
      </c>
      <c r="J767" s="110">
        <v>5039.2420000000002</v>
      </c>
      <c r="K767" s="110">
        <v>5149.7650000000003</v>
      </c>
      <c r="L767" s="110">
        <v>5243.5630000000001</v>
      </c>
      <c r="M767" s="110">
        <v>5331.8050000000003</v>
      </c>
      <c r="N767" s="110">
        <v>5416.0839999999998</v>
      </c>
      <c r="O767" s="110">
        <v>5495.7629999999999</v>
      </c>
      <c r="P767" s="110">
        <v>5544.1589999999997</v>
      </c>
      <c r="Q767" s="110">
        <v>5543.2560000000003</v>
      </c>
      <c r="R767" s="110">
        <v>5498.7889999999998</v>
      </c>
      <c r="S767" s="110">
        <v>5407.0290000000005</v>
      </c>
      <c r="T767" s="110">
        <v>5235.1540000000005</v>
      </c>
      <c r="U767" s="110">
        <v>4950.4040000000005</v>
      </c>
      <c r="V767" s="110">
        <v>4512.8739999999998</v>
      </c>
      <c r="W767" s="110">
        <v>3851.2359999999999</v>
      </c>
      <c r="X767" s="110">
        <v>2926.2809999999999</v>
      </c>
      <c r="Y767" s="110">
        <v>1828.9490000000001</v>
      </c>
      <c r="Z767" s="110">
        <v>874.85699999999997</v>
      </c>
      <c r="AA767" s="110">
        <v>276.64400000000001</v>
      </c>
      <c r="AB767" s="110">
        <v>38.697000000000003</v>
      </c>
      <c r="AC767" s="115">
        <f t="shared" si="33"/>
        <v>37724.394999999997</v>
      </c>
      <c r="AD767">
        <f t="shared" si="34"/>
        <v>0.99660396304699661</v>
      </c>
    </row>
    <row r="768" spans="1:30" x14ac:dyDescent="0.25">
      <c r="A768" s="104" t="str">
        <f t="shared" si="32"/>
        <v>Philippines2093</v>
      </c>
      <c r="C768" s="107" t="s">
        <v>257</v>
      </c>
      <c r="D768" s="108" t="s">
        <v>148</v>
      </c>
      <c r="E768" s="109"/>
      <c r="F768" s="109">
        <v>608</v>
      </c>
      <c r="G768" s="109">
        <v>2093</v>
      </c>
      <c r="H768" s="110">
        <v>4775.5</v>
      </c>
      <c r="I768" s="110">
        <v>4892.7860000000001</v>
      </c>
      <c r="J768" s="110">
        <v>5013.5110000000004</v>
      </c>
      <c r="K768" s="110">
        <v>5124.5749999999998</v>
      </c>
      <c r="L768" s="110">
        <v>5219.6130000000003</v>
      </c>
      <c r="M768" s="110">
        <v>5307.8159999999998</v>
      </c>
      <c r="N768" s="110">
        <v>5394.0770000000002</v>
      </c>
      <c r="O768" s="110">
        <v>5474.2070000000003</v>
      </c>
      <c r="P768" s="110">
        <v>5531.1360000000004</v>
      </c>
      <c r="Q768" s="110">
        <v>5537.0630000000001</v>
      </c>
      <c r="R768" s="110">
        <v>5496.8620000000001</v>
      </c>
      <c r="S768" s="110">
        <v>5410.1469999999999</v>
      </c>
      <c r="T768" s="110">
        <v>5248.0720000000001</v>
      </c>
      <c r="U768" s="110">
        <v>4970.6909999999998</v>
      </c>
      <c r="V768" s="110">
        <v>4542.9399999999996</v>
      </c>
      <c r="W768" s="110">
        <v>3893.0940000000001</v>
      </c>
      <c r="X768" s="110">
        <v>2969.1179999999999</v>
      </c>
      <c r="Y768" s="110">
        <v>1863.1679999999999</v>
      </c>
      <c r="Z768" s="110">
        <v>884.60400000000004</v>
      </c>
      <c r="AA768" s="110">
        <v>295.98700000000002</v>
      </c>
      <c r="AB768" s="110">
        <v>41.423000000000002</v>
      </c>
      <c r="AC768" s="115">
        <f t="shared" si="33"/>
        <v>37588.487000000001</v>
      </c>
      <c r="AD768">
        <f t="shared" si="34"/>
        <v>0.9963973444769626</v>
      </c>
    </row>
    <row r="769" spans="1:30" x14ac:dyDescent="0.25">
      <c r="A769" s="104" t="str">
        <f t="shared" si="32"/>
        <v>Philippines2094</v>
      </c>
      <c r="C769" s="107" t="s">
        <v>257</v>
      </c>
      <c r="D769" s="108" t="s">
        <v>148</v>
      </c>
      <c r="E769" s="109"/>
      <c r="F769" s="109">
        <v>608</v>
      </c>
      <c r="G769" s="109">
        <v>2094</v>
      </c>
      <c r="H769" s="110">
        <v>4748.7550000000001</v>
      </c>
      <c r="I769" s="110">
        <v>4866.6009999999997</v>
      </c>
      <c r="J769" s="110">
        <v>4987.4089999999997</v>
      </c>
      <c r="K769" s="110">
        <v>5098.9570000000003</v>
      </c>
      <c r="L769" s="110">
        <v>5194.5739999999996</v>
      </c>
      <c r="M769" s="110">
        <v>5282.7520000000004</v>
      </c>
      <c r="N769" s="110">
        <v>5370.7449999999999</v>
      </c>
      <c r="O769" s="110">
        <v>5451.3389999999999</v>
      </c>
      <c r="P769" s="110">
        <v>5515.7290000000003</v>
      </c>
      <c r="Q769" s="110">
        <v>5529.3559999999998</v>
      </c>
      <c r="R769" s="110">
        <v>5494.0169999999998</v>
      </c>
      <c r="S769" s="110">
        <v>5412.2370000000001</v>
      </c>
      <c r="T769" s="110">
        <v>5260.8950000000004</v>
      </c>
      <c r="U769" s="110">
        <v>4992.433</v>
      </c>
      <c r="V769" s="110">
        <v>4575.4530000000004</v>
      </c>
      <c r="W769" s="110">
        <v>3942.2089999999998</v>
      </c>
      <c r="X769" s="110">
        <v>3022.886</v>
      </c>
      <c r="Y769" s="110">
        <v>1902.4739999999999</v>
      </c>
      <c r="Z769" s="110">
        <v>887.41099999999994</v>
      </c>
      <c r="AA769" s="110">
        <v>298.654</v>
      </c>
      <c r="AB769" s="110">
        <v>44.225999999999999</v>
      </c>
      <c r="AC769" s="115">
        <f t="shared" si="33"/>
        <v>37443.451999999997</v>
      </c>
      <c r="AD769">
        <f t="shared" si="34"/>
        <v>0.99614150471126961</v>
      </c>
    </row>
    <row r="770" spans="1:30" x14ac:dyDescent="0.25">
      <c r="A770" s="104" t="str">
        <f t="shared" si="32"/>
        <v>Philippines2095</v>
      </c>
      <c r="C770" s="107" t="s">
        <v>257</v>
      </c>
      <c r="D770" s="108" t="s">
        <v>148</v>
      </c>
      <c r="E770" s="109"/>
      <c r="F770" s="109">
        <v>608</v>
      </c>
      <c r="G770" s="109">
        <v>2095</v>
      </c>
      <c r="H770" s="110">
        <v>4721.4399999999996</v>
      </c>
      <c r="I770" s="110">
        <v>4838.8819999999996</v>
      </c>
      <c r="J770" s="110">
        <v>4960.5829999999996</v>
      </c>
      <c r="K770" s="110">
        <v>5072.6750000000002</v>
      </c>
      <c r="L770" s="110">
        <v>5168.3990000000003</v>
      </c>
      <c r="M770" s="110">
        <v>5256.5820000000003</v>
      </c>
      <c r="N770" s="110">
        <v>5345.6559999999999</v>
      </c>
      <c r="O770" s="110">
        <v>5427.3720000000003</v>
      </c>
      <c r="P770" s="110">
        <v>5497.5389999999998</v>
      </c>
      <c r="Q770" s="110">
        <v>5519.549</v>
      </c>
      <c r="R770" s="110">
        <v>5489.875</v>
      </c>
      <c r="S770" s="110">
        <v>5413.2610000000004</v>
      </c>
      <c r="T770" s="110">
        <v>5272.4859999999999</v>
      </c>
      <c r="U770" s="110">
        <v>5014.9250000000002</v>
      </c>
      <c r="V770" s="110">
        <v>4610.3149999999996</v>
      </c>
      <c r="W770" s="110">
        <v>3996.9879999999998</v>
      </c>
      <c r="X770" s="110">
        <v>3086.7910000000002</v>
      </c>
      <c r="Y770" s="110">
        <v>1949.143</v>
      </c>
      <c r="Z770" s="110">
        <v>894.71100000000001</v>
      </c>
      <c r="AA770" s="110">
        <v>277.80200000000002</v>
      </c>
      <c r="AB770" s="110">
        <v>47.052</v>
      </c>
      <c r="AC770" s="115">
        <f t="shared" si="33"/>
        <v>37287.772000000004</v>
      </c>
      <c r="AD770">
        <f t="shared" si="34"/>
        <v>0.99584226368872208</v>
      </c>
    </row>
    <row r="771" spans="1:30" x14ac:dyDescent="0.25">
      <c r="A771" s="104" t="str">
        <f t="shared" si="32"/>
        <v>Philippines2096</v>
      </c>
      <c r="C771" s="107" t="s">
        <v>257</v>
      </c>
      <c r="D771" s="108" t="s">
        <v>148</v>
      </c>
      <c r="E771" s="109"/>
      <c r="F771" s="109">
        <v>608</v>
      </c>
      <c r="G771" s="109">
        <v>2096</v>
      </c>
      <c r="H771" s="110">
        <v>4698.4260000000004</v>
      </c>
      <c r="I771" s="110">
        <v>4814.99</v>
      </c>
      <c r="J771" s="110">
        <v>4935.424</v>
      </c>
      <c r="K771" s="110">
        <v>5047.799</v>
      </c>
      <c r="L771" s="110">
        <v>5145.6580000000004</v>
      </c>
      <c r="M771" s="110">
        <v>5234.741</v>
      </c>
      <c r="N771" s="110">
        <v>5324.1710000000003</v>
      </c>
      <c r="O771" s="110">
        <v>5406.7079999999996</v>
      </c>
      <c r="P771" s="110">
        <v>5480.2089999999998</v>
      </c>
      <c r="Q771" s="110">
        <v>5509.9110000000001</v>
      </c>
      <c r="R771" s="110">
        <v>5485.6930000000002</v>
      </c>
      <c r="S771" s="110">
        <v>5412.5259999999998</v>
      </c>
      <c r="T771" s="110">
        <v>5275.8530000000001</v>
      </c>
      <c r="U771" s="110">
        <v>5024.4030000000002</v>
      </c>
      <c r="V771" s="110">
        <v>4623.625</v>
      </c>
      <c r="W771" s="110">
        <v>4013.1149999999998</v>
      </c>
      <c r="X771" s="110">
        <v>3111.386</v>
      </c>
      <c r="Y771" s="110">
        <v>1993.4449999999999</v>
      </c>
      <c r="Z771" s="110">
        <v>952.553</v>
      </c>
      <c r="AA771" s="110">
        <v>294.65899999999999</v>
      </c>
      <c r="AB771" s="110">
        <v>49.893999999999998</v>
      </c>
      <c r="AC771" s="115">
        <f t="shared" si="33"/>
        <v>37149.197</v>
      </c>
      <c r="AD771">
        <f t="shared" si="34"/>
        <v>0.99628363421660049</v>
      </c>
    </row>
    <row r="772" spans="1:30" x14ac:dyDescent="0.25">
      <c r="A772" s="104" t="str">
        <f t="shared" si="32"/>
        <v>Philippines2097</v>
      </c>
      <c r="C772" s="107" t="s">
        <v>257</v>
      </c>
      <c r="D772" s="108" t="s">
        <v>148</v>
      </c>
      <c r="E772" s="109"/>
      <c r="F772" s="109">
        <v>608</v>
      </c>
      <c r="G772" s="109">
        <v>2097</v>
      </c>
      <c r="H772" s="110">
        <v>4674.3029999999999</v>
      </c>
      <c r="I772" s="110">
        <v>4790.7820000000002</v>
      </c>
      <c r="J772" s="110">
        <v>4910.3490000000002</v>
      </c>
      <c r="K772" s="110">
        <v>5022.5029999999997</v>
      </c>
      <c r="L772" s="110">
        <v>5122.0349999999999</v>
      </c>
      <c r="M772" s="110">
        <v>5212.3059999999996</v>
      </c>
      <c r="N772" s="110">
        <v>5301.7730000000001</v>
      </c>
      <c r="O772" s="110">
        <v>5385.8270000000002</v>
      </c>
      <c r="P772" s="110">
        <v>5460.951</v>
      </c>
      <c r="Q772" s="110">
        <v>5499.1329999999998</v>
      </c>
      <c r="R772" s="110">
        <v>5481.2330000000002</v>
      </c>
      <c r="S772" s="110">
        <v>5412.2479999999996</v>
      </c>
      <c r="T772" s="110">
        <v>5280.1310000000003</v>
      </c>
      <c r="U772" s="110">
        <v>5037.3639999999996</v>
      </c>
      <c r="V772" s="110">
        <v>4642.8220000000001</v>
      </c>
      <c r="W772" s="110">
        <v>4036.9920000000002</v>
      </c>
      <c r="X772" s="110">
        <v>3141.3</v>
      </c>
      <c r="Y772" s="110">
        <v>2029.5640000000001</v>
      </c>
      <c r="Z772" s="110">
        <v>984.46699999999998</v>
      </c>
      <c r="AA772" s="110">
        <v>319.88499999999999</v>
      </c>
      <c r="AB772" s="110">
        <v>52.674999999999997</v>
      </c>
      <c r="AC772" s="115">
        <f t="shared" si="33"/>
        <v>37004.528000000006</v>
      </c>
      <c r="AD772">
        <f t="shared" si="34"/>
        <v>0.99610573009155501</v>
      </c>
    </row>
    <row r="773" spans="1:30" x14ac:dyDescent="0.25">
      <c r="A773" s="104" t="str">
        <f t="shared" si="32"/>
        <v>Philippines2098</v>
      </c>
      <c r="C773" s="107" t="s">
        <v>257</v>
      </c>
      <c r="D773" s="108" t="s">
        <v>148</v>
      </c>
      <c r="E773" s="109"/>
      <c r="F773" s="109">
        <v>608</v>
      </c>
      <c r="G773" s="109">
        <v>2098</v>
      </c>
      <c r="H773" s="110">
        <v>4649.24</v>
      </c>
      <c r="I773" s="110">
        <v>4765.8059999999996</v>
      </c>
      <c r="J773" s="110">
        <v>4885.1549999999997</v>
      </c>
      <c r="K773" s="110">
        <v>4996.8869999999997</v>
      </c>
      <c r="L773" s="110">
        <v>5097.3360000000002</v>
      </c>
      <c r="M773" s="110">
        <v>5188.9639999999999</v>
      </c>
      <c r="N773" s="110">
        <v>5278.3320000000003</v>
      </c>
      <c r="O773" s="110">
        <v>5364.3310000000001</v>
      </c>
      <c r="P773" s="110">
        <v>5439.951</v>
      </c>
      <c r="Q773" s="110">
        <v>5486.77</v>
      </c>
      <c r="R773" s="110">
        <v>5475.9579999999996</v>
      </c>
      <c r="S773" s="110">
        <v>5411.6540000000005</v>
      </c>
      <c r="T773" s="110">
        <v>5284.9830000000002</v>
      </c>
      <c r="U773" s="110">
        <v>5052.567</v>
      </c>
      <c r="V773" s="110">
        <v>4665.8109999999997</v>
      </c>
      <c r="W773" s="110">
        <v>4068.4920000000002</v>
      </c>
      <c r="X773" s="110">
        <v>3180.6210000000001</v>
      </c>
      <c r="Y773" s="110">
        <v>2060.1559999999999</v>
      </c>
      <c r="Z773" s="110">
        <v>1004.652</v>
      </c>
      <c r="AA773" s="110">
        <v>339.37799999999999</v>
      </c>
      <c r="AB773" s="110">
        <v>55.354999999999997</v>
      </c>
      <c r="AC773" s="115">
        <f t="shared" si="33"/>
        <v>36852.570999999996</v>
      </c>
      <c r="AD773">
        <f t="shared" si="34"/>
        <v>0.99589355659393874</v>
      </c>
    </row>
    <row r="774" spans="1:30" x14ac:dyDescent="0.25">
      <c r="A774" s="104" t="str">
        <f t="shared" si="32"/>
        <v>Philippines2099</v>
      </c>
      <c r="C774" s="107" t="s">
        <v>257</v>
      </c>
      <c r="D774" s="108" t="s">
        <v>148</v>
      </c>
      <c r="E774" s="109"/>
      <c r="F774" s="109">
        <v>608</v>
      </c>
      <c r="G774" s="109">
        <v>2099</v>
      </c>
      <c r="H774" s="110">
        <v>4623.299</v>
      </c>
      <c r="I774" s="110">
        <v>4739.6959999999999</v>
      </c>
      <c r="J774" s="110">
        <v>4859.5029999999997</v>
      </c>
      <c r="K774" s="110">
        <v>4970.8990000000003</v>
      </c>
      <c r="L774" s="110">
        <v>5071.4679999999998</v>
      </c>
      <c r="M774" s="110">
        <v>5164.3559999999998</v>
      </c>
      <c r="N774" s="110">
        <v>5253.799</v>
      </c>
      <c r="O774" s="110">
        <v>5341.616</v>
      </c>
      <c r="P774" s="110">
        <v>5417.6869999999999</v>
      </c>
      <c r="Q774" s="110">
        <v>5472.2349999999997</v>
      </c>
      <c r="R774" s="110">
        <v>5469.183</v>
      </c>
      <c r="S774" s="110">
        <v>5410.1909999999998</v>
      </c>
      <c r="T774" s="110">
        <v>5290.1019999999999</v>
      </c>
      <c r="U774" s="110">
        <v>5068.6360000000004</v>
      </c>
      <c r="V774" s="110">
        <v>4691.6540000000005</v>
      </c>
      <c r="W774" s="110">
        <v>4107.6559999999999</v>
      </c>
      <c r="X774" s="110">
        <v>3230.4459999999999</v>
      </c>
      <c r="Y774" s="110">
        <v>2097.0970000000002</v>
      </c>
      <c r="Z774" s="110">
        <v>1016.422</v>
      </c>
      <c r="AA774" s="110">
        <v>342.60300000000001</v>
      </c>
      <c r="AB774" s="110">
        <v>57.899000000000001</v>
      </c>
      <c r="AC774" s="115">
        <f t="shared" si="33"/>
        <v>36692.06</v>
      </c>
      <c r="AD774">
        <f t="shared" si="34"/>
        <v>0.99564451012115274</v>
      </c>
    </row>
    <row r="775" spans="1:30" x14ac:dyDescent="0.25">
      <c r="A775" s="104" t="str">
        <f t="shared" si="32"/>
        <v>Philippines2100</v>
      </c>
      <c r="C775" s="107" t="s">
        <v>257</v>
      </c>
      <c r="D775" s="108" t="s">
        <v>148</v>
      </c>
      <c r="E775" s="109"/>
      <c r="F775" s="109">
        <v>608</v>
      </c>
      <c r="G775" s="109">
        <v>2100</v>
      </c>
      <c r="H775" s="110">
        <v>4596.4709999999995</v>
      </c>
      <c r="I775" s="110">
        <v>4712.1120000000001</v>
      </c>
      <c r="J775" s="110">
        <v>4832.9279999999999</v>
      </c>
      <c r="K775" s="110">
        <v>4944.3429999999998</v>
      </c>
      <c r="L775" s="110">
        <v>5044.4740000000002</v>
      </c>
      <c r="M775" s="110">
        <v>5138.2020000000002</v>
      </c>
      <c r="N775" s="110">
        <v>5228.0429999999997</v>
      </c>
      <c r="O775" s="110">
        <v>5317.1840000000002</v>
      </c>
      <c r="P775" s="110">
        <v>5394.3919999999998</v>
      </c>
      <c r="Q775" s="110">
        <v>5455.0280000000002</v>
      </c>
      <c r="R775" s="110">
        <v>5460.32</v>
      </c>
      <c r="S775" s="110">
        <v>5407.5140000000001</v>
      </c>
      <c r="T775" s="110">
        <v>5294.875</v>
      </c>
      <c r="U775" s="110">
        <v>5084.4650000000001</v>
      </c>
      <c r="V775" s="110">
        <v>4719.9979999999996</v>
      </c>
      <c r="W775" s="110">
        <v>4153.4250000000002</v>
      </c>
      <c r="X775" s="110">
        <v>3289.4650000000001</v>
      </c>
      <c r="Y775" s="110">
        <v>2144.056</v>
      </c>
      <c r="Z775" s="110">
        <v>1030.5509999999999</v>
      </c>
      <c r="AA775" s="110">
        <v>322.596</v>
      </c>
      <c r="AB775" s="110">
        <v>60.276000000000003</v>
      </c>
      <c r="AC775" s="115">
        <f t="shared" si="33"/>
        <v>36521.665999999997</v>
      </c>
      <c r="AD775">
        <f t="shared" si="34"/>
        <v>0.99535610701606836</v>
      </c>
    </row>
    <row r="776" spans="1:30" x14ac:dyDescent="0.25">
      <c r="A776" s="104" t="str">
        <f t="shared" si="32"/>
        <v>Pakistan2015</v>
      </c>
      <c r="C776" s="107" t="s">
        <v>257</v>
      </c>
      <c r="D776" s="108" t="s">
        <v>146</v>
      </c>
      <c r="E776" s="109"/>
      <c r="F776" s="109">
        <v>586</v>
      </c>
      <c r="G776" s="109">
        <v>2015</v>
      </c>
      <c r="H776" s="110">
        <v>11894.991</v>
      </c>
      <c r="I776" s="110">
        <v>10629.263999999999</v>
      </c>
      <c r="J776" s="110">
        <v>9378.0139999999992</v>
      </c>
      <c r="K776" s="110">
        <v>9347.1689999999999</v>
      </c>
      <c r="L776" s="110">
        <v>8939.2939999999999</v>
      </c>
      <c r="M776" s="110">
        <v>8226.7690000000002</v>
      </c>
      <c r="N776" s="110">
        <v>6829.7349999999997</v>
      </c>
      <c r="O776" s="110">
        <v>5651.1629999999996</v>
      </c>
      <c r="P776" s="110">
        <v>4715.4660000000003</v>
      </c>
      <c r="Q776" s="110">
        <v>4100.7219999999998</v>
      </c>
      <c r="R776" s="110">
        <v>3505.1039999999998</v>
      </c>
      <c r="S776" s="110">
        <v>2764.9920000000002</v>
      </c>
      <c r="T776" s="110">
        <v>1984.8920000000001</v>
      </c>
      <c r="U776" s="110">
        <v>1580.79</v>
      </c>
      <c r="V776" s="110">
        <v>1213.5229999999999</v>
      </c>
      <c r="W776" s="110">
        <v>754.95899999999995</v>
      </c>
      <c r="X776" s="110">
        <v>393.59199999999998</v>
      </c>
      <c r="Y776" s="110">
        <v>146.285</v>
      </c>
      <c r="Z776" s="110">
        <v>33.198999999999998</v>
      </c>
      <c r="AA776" s="110">
        <v>3.9830000000000001</v>
      </c>
      <c r="AB776" s="110">
        <v>0.27100000000000002</v>
      </c>
      <c r="AC776" s="115">
        <f t="shared" si="33"/>
        <v>47810.317999999999</v>
      </c>
      <c r="AD776" t="str">
        <f t="shared" si="34"/>
        <v/>
      </c>
    </row>
    <row r="777" spans="1:30" x14ac:dyDescent="0.25">
      <c r="A777" s="104" t="str">
        <f t="shared" si="32"/>
        <v>Pakistan2016</v>
      </c>
      <c r="C777" s="107" t="s">
        <v>257</v>
      </c>
      <c r="D777" s="108" t="s">
        <v>146</v>
      </c>
      <c r="E777" s="109"/>
      <c r="F777" s="109">
        <v>586</v>
      </c>
      <c r="G777" s="109">
        <v>2016</v>
      </c>
      <c r="H777" s="110">
        <v>12002.344999999999</v>
      </c>
      <c r="I777" s="110">
        <v>10903.718999999999</v>
      </c>
      <c r="J777" s="110">
        <v>9520.2639999999992</v>
      </c>
      <c r="K777" s="110">
        <v>9323.94</v>
      </c>
      <c r="L777" s="110">
        <v>9016.527</v>
      </c>
      <c r="M777" s="110">
        <v>8404.2549999999992</v>
      </c>
      <c r="N777" s="110">
        <v>7091.509</v>
      </c>
      <c r="O777" s="110">
        <v>5849.3959999999997</v>
      </c>
      <c r="P777" s="110">
        <v>4856.3869999999997</v>
      </c>
      <c r="Q777" s="110">
        <v>4192.1390000000001</v>
      </c>
      <c r="R777" s="110">
        <v>3606.721</v>
      </c>
      <c r="S777" s="110">
        <v>2888.6619999999998</v>
      </c>
      <c r="T777" s="110">
        <v>2074.5920000000001</v>
      </c>
      <c r="U777" s="110">
        <v>1599.616</v>
      </c>
      <c r="V777" s="110">
        <v>1233.47</v>
      </c>
      <c r="W777" s="110">
        <v>782.66399999999999</v>
      </c>
      <c r="X777" s="110">
        <v>409.15100000000001</v>
      </c>
      <c r="Y777" s="110">
        <v>159.012</v>
      </c>
      <c r="Z777" s="110">
        <v>39.238999999999997</v>
      </c>
      <c r="AA777" s="110">
        <v>4.7610000000000001</v>
      </c>
      <c r="AB777" s="110">
        <v>0.27200000000000002</v>
      </c>
      <c r="AC777" s="115">
        <f t="shared" si="33"/>
        <v>48734.153000000006</v>
      </c>
      <c r="AD777">
        <f t="shared" si="34"/>
        <v>1.0193229210481303</v>
      </c>
    </row>
    <row r="778" spans="1:30" x14ac:dyDescent="0.25">
      <c r="A778" s="104" t="str">
        <f t="shared" si="32"/>
        <v>Pakistan2017</v>
      </c>
      <c r="C778" s="107" t="s">
        <v>257</v>
      </c>
      <c r="D778" s="108" t="s">
        <v>146</v>
      </c>
      <c r="E778" s="109"/>
      <c r="F778" s="109">
        <v>586</v>
      </c>
      <c r="G778" s="109">
        <v>2017</v>
      </c>
      <c r="H778" s="110">
        <v>12076.773999999999</v>
      </c>
      <c r="I778" s="110">
        <v>11154.192999999999</v>
      </c>
      <c r="J778" s="110">
        <v>9737.7839999999997</v>
      </c>
      <c r="K778" s="110">
        <v>9269.9500000000007</v>
      </c>
      <c r="L778" s="110">
        <v>9092.4230000000007</v>
      </c>
      <c r="M778" s="110">
        <v>8538.0020000000004</v>
      </c>
      <c r="N778" s="110">
        <v>7369.25</v>
      </c>
      <c r="O778" s="110">
        <v>6051.3819999999996</v>
      </c>
      <c r="P778" s="110">
        <v>5014.0919999999996</v>
      </c>
      <c r="Q778" s="110">
        <v>4284.82</v>
      </c>
      <c r="R778" s="110">
        <v>3703.9690000000001</v>
      </c>
      <c r="S778" s="110">
        <v>3010.4830000000002</v>
      </c>
      <c r="T778" s="110">
        <v>2187.7440000000001</v>
      </c>
      <c r="U778" s="110">
        <v>1621.0650000000001</v>
      </c>
      <c r="V778" s="110">
        <v>1251.854</v>
      </c>
      <c r="W778" s="110">
        <v>813.49599999999998</v>
      </c>
      <c r="X778" s="110">
        <v>421.452</v>
      </c>
      <c r="Y778" s="110">
        <v>168.06100000000001</v>
      </c>
      <c r="Z778" s="110">
        <v>43.255000000000003</v>
      </c>
      <c r="AA778" s="110">
        <v>6.274</v>
      </c>
      <c r="AB778" s="110">
        <v>0.27800000000000002</v>
      </c>
      <c r="AC778" s="115">
        <f t="shared" si="33"/>
        <v>49619.918999999994</v>
      </c>
      <c r="AD778">
        <f t="shared" si="34"/>
        <v>1.0181754672129006</v>
      </c>
    </row>
    <row r="779" spans="1:30" x14ac:dyDescent="0.25">
      <c r="A779" s="104" t="str">
        <f t="shared" si="32"/>
        <v>Pakistan2018</v>
      </c>
      <c r="C779" s="107" t="s">
        <v>257</v>
      </c>
      <c r="D779" s="108" t="s">
        <v>146</v>
      </c>
      <c r="E779" s="109"/>
      <c r="F779" s="109">
        <v>586</v>
      </c>
      <c r="G779" s="109">
        <v>2018</v>
      </c>
      <c r="H779" s="110">
        <v>12130.867</v>
      </c>
      <c r="I779" s="110">
        <v>11369.485000000001</v>
      </c>
      <c r="J779" s="110">
        <v>10009.513999999999</v>
      </c>
      <c r="K779" s="110">
        <v>9217.3649999999998</v>
      </c>
      <c r="L779" s="110">
        <v>9157.3960000000006</v>
      </c>
      <c r="M779" s="110">
        <v>8636.7659999999996</v>
      </c>
      <c r="N779" s="110">
        <v>7646.1189999999997</v>
      </c>
      <c r="O779" s="110">
        <v>6260.73</v>
      </c>
      <c r="P779" s="110">
        <v>5185.7979999999998</v>
      </c>
      <c r="Q779" s="110">
        <v>4382.84</v>
      </c>
      <c r="R779" s="110">
        <v>3797.857</v>
      </c>
      <c r="S779" s="110">
        <v>3129.5390000000002</v>
      </c>
      <c r="T779" s="110">
        <v>2316.3939999999998</v>
      </c>
      <c r="U779" s="110">
        <v>1651.61</v>
      </c>
      <c r="V779" s="110">
        <v>1271.0060000000001</v>
      </c>
      <c r="W779" s="110">
        <v>845.33600000000001</v>
      </c>
      <c r="X779" s="110">
        <v>432.548</v>
      </c>
      <c r="Y779" s="110">
        <v>172.745</v>
      </c>
      <c r="Z779" s="110">
        <v>45.323</v>
      </c>
      <c r="AA779" s="110">
        <v>7.3650000000000002</v>
      </c>
      <c r="AB779" s="110">
        <v>0.28599999999999998</v>
      </c>
      <c r="AC779" s="115">
        <f t="shared" si="33"/>
        <v>50487.01400000001</v>
      </c>
      <c r="AD779">
        <f t="shared" si="34"/>
        <v>1.017474736304991</v>
      </c>
    </row>
    <row r="780" spans="1:30" x14ac:dyDescent="0.25">
      <c r="A780" s="104" t="str">
        <f t="shared" si="32"/>
        <v>Pakistan2019</v>
      </c>
      <c r="C780" s="107" t="s">
        <v>257</v>
      </c>
      <c r="D780" s="108" t="s">
        <v>146</v>
      </c>
      <c r="E780" s="109"/>
      <c r="F780" s="109">
        <v>586</v>
      </c>
      <c r="G780" s="109">
        <v>2019</v>
      </c>
      <c r="H780" s="110">
        <v>12164.951999999999</v>
      </c>
      <c r="I780" s="110">
        <v>11549.623</v>
      </c>
      <c r="J780" s="110">
        <v>10296.36</v>
      </c>
      <c r="K780" s="110">
        <v>9215.4619999999995</v>
      </c>
      <c r="L780" s="110">
        <v>9196.6419999999998</v>
      </c>
      <c r="M780" s="110">
        <v>8718.7180000000008</v>
      </c>
      <c r="N780" s="110">
        <v>7897.7830000000004</v>
      </c>
      <c r="O780" s="110">
        <v>6485.05</v>
      </c>
      <c r="P780" s="110">
        <v>5367.5810000000001</v>
      </c>
      <c r="Q780" s="110">
        <v>4492.732</v>
      </c>
      <c r="R780" s="110">
        <v>3890.817</v>
      </c>
      <c r="S780" s="110">
        <v>3245.4409999999998</v>
      </c>
      <c r="T780" s="110">
        <v>2449.33</v>
      </c>
      <c r="U780" s="110">
        <v>1701.07</v>
      </c>
      <c r="V780" s="110">
        <v>1293.066</v>
      </c>
      <c r="W780" s="110">
        <v>874.89400000000001</v>
      </c>
      <c r="X780" s="110">
        <v>444.90899999999999</v>
      </c>
      <c r="Y780" s="110">
        <v>174.19399999999999</v>
      </c>
      <c r="Z780" s="110">
        <v>44.13</v>
      </c>
      <c r="AA780" s="110">
        <v>7.056</v>
      </c>
      <c r="AB780" s="110">
        <v>0.29499999999999998</v>
      </c>
      <c r="AC780" s="115">
        <f t="shared" si="33"/>
        <v>51373.968000000008</v>
      </c>
      <c r="AD780">
        <f t="shared" si="34"/>
        <v>1.0175679631201797</v>
      </c>
    </row>
    <row r="781" spans="1:30" x14ac:dyDescent="0.25">
      <c r="A781" s="104" t="str">
        <f t="shared" si="32"/>
        <v>Pakistan2020</v>
      </c>
      <c r="C781" s="107" t="s">
        <v>257</v>
      </c>
      <c r="D781" s="108" t="s">
        <v>146</v>
      </c>
      <c r="E781" s="109"/>
      <c r="F781" s="109">
        <v>586</v>
      </c>
      <c r="G781" s="109">
        <v>2020</v>
      </c>
      <c r="H781" s="110">
        <v>12180.91</v>
      </c>
      <c r="I781" s="110">
        <v>11700.967000000001</v>
      </c>
      <c r="J781" s="110">
        <v>10565.573</v>
      </c>
      <c r="K781" s="110">
        <v>9293.1689999999999</v>
      </c>
      <c r="L781" s="110">
        <v>9204.6479999999992</v>
      </c>
      <c r="M781" s="110">
        <v>8795.6010000000006</v>
      </c>
      <c r="N781" s="110">
        <v>8108.4070000000002</v>
      </c>
      <c r="O781" s="110">
        <v>6727.25</v>
      </c>
      <c r="P781" s="110">
        <v>5556.7920000000004</v>
      </c>
      <c r="Q781" s="110">
        <v>4618.49</v>
      </c>
      <c r="R781" s="110">
        <v>3984.866</v>
      </c>
      <c r="S781" s="110">
        <v>3357.5949999999998</v>
      </c>
      <c r="T781" s="110">
        <v>2579.7080000000001</v>
      </c>
      <c r="U781" s="110">
        <v>1774.7180000000001</v>
      </c>
      <c r="V781" s="110">
        <v>1319.35</v>
      </c>
      <c r="W781" s="110">
        <v>901.09</v>
      </c>
      <c r="X781" s="110">
        <v>460.09199999999998</v>
      </c>
      <c r="Y781" s="110">
        <v>173.05799999999999</v>
      </c>
      <c r="Z781" s="110">
        <v>39.098999999999997</v>
      </c>
      <c r="AA781" s="110">
        <v>4.5609999999999999</v>
      </c>
      <c r="AB781" s="110">
        <v>0.30399999999999999</v>
      </c>
      <c r="AC781" s="115">
        <f t="shared" si="33"/>
        <v>52304.356999999996</v>
      </c>
      <c r="AD781">
        <f t="shared" si="34"/>
        <v>1.0181101253459726</v>
      </c>
    </row>
    <row r="782" spans="1:30" x14ac:dyDescent="0.25">
      <c r="A782" s="104" t="str">
        <f t="shared" si="32"/>
        <v>Pakistan2021</v>
      </c>
      <c r="C782" s="107" t="s">
        <v>257</v>
      </c>
      <c r="D782" s="108" t="s">
        <v>146</v>
      </c>
      <c r="E782" s="109"/>
      <c r="F782" s="109">
        <v>586</v>
      </c>
      <c r="G782" s="109">
        <v>2021</v>
      </c>
      <c r="H782" s="110">
        <v>12155.382</v>
      </c>
      <c r="I782" s="110">
        <v>11850.632</v>
      </c>
      <c r="J782" s="110">
        <v>10819.746999999999</v>
      </c>
      <c r="K782" s="110">
        <v>9439.7080000000005</v>
      </c>
      <c r="L782" s="110">
        <v>9192.3580000000002</v>
      </c>
      <c r="M782" s="110">
        <v>8878.375</v>
      </c>
      <c r="N782" s="110">
        <v>8286.1209999999992</v>
      </c>
      <c r="O782" s="110">
        <v>6988.4880000000003</v>
      </c>
      <c r="P782" s="110">
        <v>5753.1419999999998</v>
      </c>
      <c r="Q782" s="110">
        <v>4756.95</v>
      </c>
      <c r="R782" s="110">
        <v>4073.5079999999998</v>
      </c>
      <c r="S782" s="110">
        <v>3453.88</v>
      </c>
      <c r="T782" s="110">
        <v>2694.5030000000002</v>
      </c>
      <c r="U782" s="110">
        <v>1855.577</v>
      </c>
      <c r="V782" s="110">
        <v>1334.6420000000001</v>
      </c>
      <c r="W782" s="110">
        <v>917.46600000000001</v>
      </c>
      <c r="X782" s="110">
        <v>483.75900000000001</v>
      </c>
      <c r="Y782" s="110">
        <v>187.042</v>
      </c>
      <c r="Z782" s="110">
        <v>46.447000000000003</v>
      </c>
      <c r="AA782" s="110">
        <v>5.5330000000000004</v>
      </c>
      <c r="AB782" s="110">
        <v>0.313</v>
      </c>
      <c r="AC782" s="115">
        <f t="shared" si="33"/>
        <v>53295.141999999993</v>
      </c>
      <c r="AD782">
        <f t="shared" si="34"/>
        <v>1.0189426857881074</v>
      </c>
    </row>
    <row r="783" spans="1:30" x14ac:dyDescent="0.25">
      <c r="A783" s="104" t="str">
        <f t="shared" si="32"/>
        <v>Pakistan2022</v>
      </c>
      <c r="C783" s="107" t="s">
        <v>257</v>
      </c>
      <c r="D783" s="108" t="s">
        <v>146</v>
      </c>
      <c r="E783" s="109"/>
      <c r="F783" s="109">
        <v>586</v>
      </c>
      <c r="G783" s="109">
        <v>2022</v>
      </c>
      <c r="H783" s="110">
        <v>12144.509</v>
      </c>
      <c r="I783" s="110">
        <v>11950.771000000001</v>
      </c>
      <c r="J783" s="110">
        <v>11058.351000000001</v>
      </c>
      <c r="K783" s="110">
        <v>9659.6039999999994</v>
      </c>
      <c r="L783" s="110">
        <v>9145.4639999999999</v>
      </c>
      <c r="M783" s="110">
        <v>8958.4509999999991</v>
      </c>
      <c r="N783" s="110">
        <v>8420.3559999999998</v>
      </c>
      <c r="O783" s="110">
        <v>7265.3249999999998</v>
      </c>
      <c r="P783" s="110">
        <v>5953.1120000000001</v>
      </c>
      <c r="Q783" s="110">
        <v>4911.9939999999997</v>
      </c>
      <c r="R783" s="110">
        <v>4163.732</v>
      </c>
      <c r="S783" s="110">
        <v>3546.694</v>
      </c>
      <c r="T783" s="110">
        <v>2808.6680000000001</v>
      </c>
      <c r="U783" s="110">
        <v>1957.653</v>
      </c>
      <c r="V783" s="110">
        <v>1351.5540000000001</v>
      </c>
      <c r="W783" s="110">
        <v>931.78300000000002</v>
      </c>
      <c r="X783" s="110">
        <v>506.16199999999998</v>
      </c>
      <c r="Y783" s="110">
        <v>195.95400000000001</v>
      </c>
      <c r="Z783" s="110">
        <v>51.45</v>
      </c>
      <c r="AA783" s="110">
        <v>7.351</v>
      </c>
      <c r="AB783" s="110">
        <v>0.32100000000000001</v>
      </c>
      <c r="AC783" s="115">
        <f t="shared" si="33"/>
        <v>54314.305999999997</v>
      </c>
      <c r="AD783">
        <f t="shared" si="34"/>
        <v>1.0191230187546927</v>
      </c>
    </row>
    <row r="784" spans="1:30" x14ac:dyDescent="0.25">
      <c r="A784" s="104" t="str">
        <f t="shared" si="32"/>
        <v>Pakistan2023</v>
      </c>
      <c r="C784" s="107" t="s">
        <v>257</v>
      </c>
      <c r="D784" s="108" t="s">
        <v>146</v>
      </c>
      <c r="E784" s="109"/>
      <c r="F784" s="109">
        <v>586</v>
      </c>
      <c r="G784" s="109">
        <v>2023</v>
      </c>
      <c r="H784" s="110">
        <v>12140.081</v>
      </c>
      <c r="I784" s="110">
        <v>12000.459000000001</v>
      </c>
      <c r="J784" s="110">
        <v>11279.941999999999</v>
      </c>
      <c r="K784" s="110">
        <v>9931.6039999999994</v>
      </c>
      <c r="L784" s="110">
        <v>9096.7649999999994</v>
      </c>
      <c r="M784" s="110">
        <v>9027.7279999999992</v>
      </c>
      <c r="N784" s="110">
        <v>8522.0529999999999</v>
      </c>
      <c r="O784" s="110">
        <v>7542.192</v>
      </c>
      <c r="P784" s="110">
        <v>6161.5290000000005</v>
      </c>
      <c r="Q784" s="110">
        <v>5081.893</v>
      </c>
      <c r="R784" s="110">
        <v>4260.2129999999997</v>
      </c>
      <c r="S784" s="110">
        <v>3637.9839999999999</v>
      </c>
      <c r="T784" s="110">
        <v>2921.7860000000001</v>
      </c>
      <c r="U784" s="110">
        <v>2074.1460000000002</v>
      </c>
      <c r="V784" s="110">
        <v>1377.106</v>
      </c>
      <c r="W784" s="110">
        <v>946.72900000000004</v>
      </c>
      <c r="X784" s="110">
        <v>525.84400000000005</v>
      </c>
      <c r="Y784" s="110">
        <v>200.215</v>
      </c>
      <c r="Z784" s="110">
        <v>54.069000000000003</v>
      </c>
      <c r="AA784" s="110">
        <v>8.6609999999999996</v>
      </c>
      <c r="AB784" s="110">
        <v>0.33</v>
      </c>
      <c r="AC784" s="115">
        <f t="shared" si="33"/>
        <v>55363.763999999996</v>
      </c>
      <c r="AD784">
        <f t="shared" si="34"/>
        <v>1.0193219443879113</v>
      </c>
    </row>
    <row r="785" spans="1:30" x14ac:dyDescent="0.25">
      <c r="A785" s="104" t="str">
        <f t="shared" si="32"/>
        <v>Pakistan2024</v>
      </c>
      <c r="C785" s="107" t="s">
        <v>257</v>
      </c>
      <c r="D785" s="108" t="s">
        <v>146</v>
      </c>
      <c r="E785" s="109"/>
      <c r="F785" s="109">
        <v>586</v>
      </c>
      <c r="G785" s="109">
        <v>2024</v>
      </c>
      <c r="H785" s="110">
        <v>12131.627</v>
      </c>
      <c r="I785" s="110">
        <v>12012.33</v>
      </c>
      <c r="J785" s="110">
        <v>11478.431</v>
      </c>
      <c r="K785" s="110">
        <v>10217.213</v>
      </c>
      <c r="L785" s="110">
        <v>9095.7630000000008</v>
      </c>
      <c r="M785" s="110">
        <v>9071.2549999999992</v>
      </c>
      <c r="N785" s="110">
        <v>8609.1720000000005</v>
      </c>
      <c r="O785" s="110">
        <v>7795.12</v>
      </c>
      <c r="P785" s="110">
        <v>6386.1180000000004</v>
      </c>
      <c r="Q785" s="110">
        <v>5262.9539999999997</v>
      </c>
      <c r="R785" s="110">
        <v>4369.4840000000004</v>
      </c>
      <c r="S785" s="110">
        <v>3730.1350000000002</v>
      </c>
      <c r="T785" s="110">
        <v>3033.2330000000002</v>
      </c>
      <c r="U785" s="110">
        <v>2195.5140000000001</v>
      </c>
      <c r="V785" s="110">
        <v>1420.732</v>
      </c>
      <c r="W785" s="110">
        <v>963.84199999999998</v>
      </c>
      <c r="X785" s="110">
        <v>541.02099999999996</v>
      </c>
      <c r="Y785" s="110">
        <v>202.43700000000001</v>
      </c>
      <c r="Z785" s="110">
        <v>52.722999999999999</v>
      </c>
      <c r="AA785" s="110">
        <v>8.3320000000000007</v>
      </c>
      <c r="AB785" s="110">
        <v>0.33900000000000002</v>
      </c>
      <c r="AC785" s="115">
        <f t="shared" si="33"/>
        <v>56437.595000000001</v>
      </c>
      <c r="AD785">
        <f t="shared" si="34"/>
        <v>1.0193959175174578</v>
      </c>
    </row>
    <row r="786" spans="1:30" x14ac:dyDescent="0.25">
      <c r="A786" s="104" t="str">
        <f t="shared" si="32"/>
        <v>Pakistan2025</v>
      </c>
      <c r="C786" s="107" t="s">
        <v>257</v>
      </c>
      <c r="D786" s="108" t="s">
        <v>146</v>
      </c>
      <c r="E786" s="109"/>
      <c r="F786" s="109">
        <v>586</v>
      </c>
      <c r="G786" s="109">
        <v>2025</v>
      </c>
      <c r="H786" s="110">
        <v>12111.705</v>
      </c>
      <c r="I786" s="110">
        <v>12008.15</v>
      </c>
      <c r="J786" s="110">
        <v>11641.478999999999</v>
      </c>
      <c r="K786" s="110">
        <v>10489.23</v>
      </c>
      <c r="L786" s="110">
        <v>9172.759</v>
      </c>
      <c r="M786" s="110">
        <v>9082.5</v>
      </c>
      <c r="N786" s="110">
        <v>8692.1839999999993</v>
      </c>
      <c r="O786" s="110">
        <v>8008.7079999999996</v>
      </c>
      <c r="P786" s="110">
        <v>6629.6580000000004</v>
      </c>
      <c r="Q786" s="110">
        <v>5452.5249999999996</v>
      </c>
      <c r="R786" s="110">
        <v>4495.5050000000001</v>
      </c>
      <c r="S786" s="110">
        <v>3824.752</v>
      </c>
      <c r="T786" s="110">
        <v>3142.3429999999998</v>
      </c>
      <c r="U786" s="110">
        <v>2316.2049999999999</v>
      </c>
      <c r="V786" s="110">
        <v>1487.1289999999999</v>
      </c>
      <c r="W786" s="110">
        <v>984.08799999999997</v>
      </c>
      <c r="X786" s="110">
        <v>552.21299999999997</v>
      </c>
      <c r="Y786" s="110">
        <v>203.65600000000001</v>
      </c>
      <c r="Z786" s="110">
        <v>46.692999999999998</v>
      </c>
      <c r="AA786" s="110">
        <v>5.4429999999999996</v>
      </c>
      <c r="AB786" s="110">
        <v>0.35</v>
      </c>
      <c r="AC786" s="115">
        <f t="shared" si="33"/>
        <v>57527.564000000006</v>
      </c>
      <c r="AD786">
        <f t="shared" si="34"/>
        <v>1.0193128179894981</v>
      </c>
    </row>
    <row r="787" spans="1:30" x14ac:dyDescent="0.25">
      <c r="A787" s="104" t="str">
        <f t="shared" si="32"/>
        <v>Pakistan2026</v>
      </c>
      <c r="C787" s="107" t="s">
        <v>257</v>
      </c>
      <c r="D787" s="108" t="s">
        <v>146</v>
      </c>
      <c r="E787" s="109"/>
      <c r="F787" s="109">
        <v>586</v>
      </c>
      <c r="G787" s="109">
        <v>2026</v>
      </c>
      <c r="H787" s="110">
        <v>12104.179</v>
      </c>
      <c r="I787" s="110">
        <v>12020.734</v>
      </c>
      <c r="J787" s="110">
        <v>11762.319</v>
      </c>
      <c r="K787" s="110">
        <v>10742.189</v>
      </c>
      <c r="L787" s="110">
        <v>9323.84</v>
      </c>
      <c r="M787" s="110">
        <v>9071.6059999999998</v>
      </c>
      <c r="N787" s="110">
        <v>8772.3279999999995</v>
      </c>
      <c r="O787" s="110">
        <v>8183.3630000000003</v>
      </c>
      <c r="P787" s="110">
        <v>6885.8329999999996</v>
      </c>
      <c r="Q787" s="110">
        <v>5643.1959999999999</v>
      </c>
      <c r="R787" s="110">
        <v>4628.3519999999999</v>
      </c>
      <c r="S787" s="110">
        <v>3907.279</v>
      </c>
      <c r="T787" s="110">
        <v>3230.357</v>
      </c>
      <c r="U787" s="110">
        <v>2416.8240000000001</v>
      </c>
      <c r="V787" s="110">
        <v>1555.7139999999999</v>
      </c>
      <c r="W787" s="110">
        <v>997.08</v>
      </c>
      <c r="X787" s="110">
        <v>568.18299999999999</v>
      </c>
      <c r="Y787" s="110">
        <v>223.49799999999999</v>
      </c>
      <c r="Z787" s="110">
        <v>54.902000000000001</v>
      </c>
      <c r="AA787" s="110">
        <v>6.6429999999999998</v>
      </c>
      <c r="AB787" s="110">
        <v>0.36199999999999999</v>
      </c>
      <c r="AC787" s="115">
        <f t="shared" si="33"/>
        <v>58622.354999999996</v>
      </c>
      <c r="AD787">
        <f t="shared" si="34"/>
        <v>1.019030720647236</v>
      </c>
    </row>
    <row r="788" spans="1:30" x14ac:dyDescent="0.25">
      <c r="A788" s="104" t="str">
        <f t="shared" si="32"/>
        <v>Pakistan2027</v>
      </c>
      <c r="C788" s="107" t="s">
        <v>257</v>
      </c>
      <c r="D788" s="108" t="s">
        <v>146</v>
      </c>
      <c r="E788" s="109"/>
      <c r="F788" s="109">
        <v>586</v>
      </c>
      <c r="G788" s="109">
        <v>2027</v>
      </c>
      <c r="H788" s="110">
        <v>12080.718999999999</v>
      </c>
      <c r="I788" s="110">
        <v>12022.598</v>
      </c>
      <c r="J788" s="110">
        <v>11846.288</v>
      </c>
      <c r="K788" s="110">
        <v>10984.012000000001</v>
      </c>
      <c r="L788" s="110">
        <v>9548.2129999999997</v>
      </c>
      <c r="M788" s="110">
        <v>9028.9159999999993</v>
      </c>
      <c r="N788" s="110">
        <v>8853.4779999999992</v>
      </c>
      <c r="O788" s="110">
        <v>8318.1409999999996</v>
      </c>
      <c r="P788" s="110">
        <v>7160.2529999999997</v>
      </c>
      <c r="Q788" s="110">
        <v>5839.9269999999997</v>
      </c>
      <c r="R788" s="110">
        <v>4779.7169999999996</v>
      </c>
      <c r="S788" s="110">
        <v>3993.6550000000002</v>
      </c>
      <c r="T788" s="110">
        <v>3317.6039999999998</v>
      </c>
      <c r="U788" s="110">
        <v>2519.4250000000002</v>
      </c>
      <c r="V788" s="110">
        <v>1642.0170000000001</v>
      </c>
      <c r="W788" s="110">
        <v>1009.343</v>
      </c>
      <c r="X788" s="110">
        <v>580.33500000000004</v>
      </c>
      <c r="Y788" s="110">
        <v>238.64599999999999</v>
      </c>
      <c r="Z788" s="110">
        <v>60.08</v>
      </c>
      <c r="AA788" s="110">
        <v>8.8469999999999995</v>
      </c>
      <c r="AB788" s="110">
        <v>0.375</v>
      </c>
      <c r="AC788" s="115">
        <f t="shared" si="33"/>
        <v>59732.939999999988</v>
      </c>
      <c r="AD788">
        <f t="shared" si="34"/>
        <v>1.0189447353317689</v>
      </c>
    </row>
    <row r="789" spans="1:30" x14ac:dyDescent="0.25">
      <c r="A789" s="104" t="str">
        <f t="shared" si="32"/>
        <v>Pakistan2028</v>
      </c>
      <c r="C789" s="107" t="s">
        <v>257</v>
      </c>
      <c r="D789" s="108" t="s">
        <v>146</v>
      </c>
      <c r="E789" s="109"/>
      <c r="F789" s="109">
        <v>586</v>
      </c>
      <c r="G789" s="109">
        <v>2028</v>
      </c>
      <c r="H789" s="110">
        <v>12047.337</v>
      </c>
      <c r="I789" s="110">
        <v>12013.962</v>
      </c>
      <c r="J789" s="110">
        <v>11899.704</v>
      </c>
      <c r="K789" s="110">
        <v>11207.556</v>
      </c>
      <c r="L789" s="110">
        <v>9822.1280000000006</v>
      </c>
      <c r="M789" s="110">
        <v>8985.0349999999999</v>
      </c>
      <c r="N789" s="110">
        <v>8926.4860000000008</v>
      </c>
      <c r="O789" s="110">
        <v>8422.2389999999996</v>
      </c>
      <c r="P789" s="110">
        <v>7436.4120000000003</v>
      </c>
      <c r="Q789" s="110">
        <v>6046.6360000000004</v>
      </c>
      <c r="R789" s="110">
        <v>4946.9639999999999</v>
      </c>
      <c r="S789" s="110">
        <v>4087.9479999999999</v>
      </c>
      <c r="T789" s="110">
        <v>3405.3209999999999</v>
      </c>
      <c r="U789" s="110">
        <v>2623.4459999999999</v>
      </c>
      <c r="V789" s="110">
        <v>1740.5150000000001</v>
      </c>
      <c r="W789" s="110">
        <v>1027.979</v>
      </c>
      <c r="X789" s="110">
        <v>590.25199999999995</v>
      </c>
      <c r="Y789" s="110">
        <v>246.941</v>
      </c>
      <c r="Z789" s="110">
        <v>62.816000000000003</v>
      </c>
      <c r="AA789" s="110">
        <v>10.433999999999999</v>
      </c>
      <c r="AB789" s="110">
        <v>0.38900000000000001</v>
      </c>
      <c r="AC789" s="115">
        <f t="shared" si="33"/>
        <v>60846.491999999998</v>
      </c>
      <c r="AD789">
        <f t="shared" si="34"/>
        <v>1.018642176326831</v>
      </c>
    </row>
    <row r="790" spans="1:30" x14ac:dyDescent="0.25">
      <c r="A790" s="104" t="str">
        <f t="shared" si="32"/>
        <v>Pakistan2029</v>
      </c>
      <c r="C790" s="107" t="s">
        <v>257</v>
      </c>
      <c r="D790" s="108" t="s">
        <v>146</v>
      </c>
      <c r="E790" s="109"/>
      <c r="F790" s="109">
        <v>586</v>
      </c>
      <c r="G790" s="109">
        <v>2029</v>
      </c>
      <c r="H790" s="110">
        <v>12016.757</v>
      </c>
      <c r="I790" s="110">
        <v>11993.647999999999</v>
      </c>
      <c r="J790" s="110">
        <v>11933.159</v>
      </c>
      <c r="K790" s="110">
        <v>11404.111999999999</v>
      </c>
      <c r="L790" s="110">
        <v>10105.913</v>
      </c>
      <c r="M790" s="110">
        <v>8987.1679999999997</v>
      </c>
      <c r="N790" s="110">
        <v>8974.5750000000007</v>
      </c>
      <c r="O790" s="110">
        <v>8511.8459999999995</v>
      </c>
      <c r="P790" s="110">
        <v>7689.223</v>
      </c>
      <c r="Q790" s="110">
        <v>6269.884</v>
      </c>
      <c r="R790" s="110">
        <v>5125.6270000000004</v>
      </c>
      <c r="S790" s="110">
        <v>4195.835</v>
      </c>
      <c r="T790" s="110">
        <v>3495.0210000000002</v>
      </c>
      <c r="U790" s="110">
        <v>2727.4960000000001</v>
      </c>
      <c r="V790" s="110">
        <v>1843.8330000000001</v>
      </c>
      <c r="W790" s="110">
        <v>1061.4829999999999</v>
      </c>
      <c r="X790" s="110">
        <v>598.52800000000002</v>
      </c>
      <c r="Y790" s="110">
        <v>249.21799999999999</v>
      </c>
      <c r="Z790" s="110">
        <v>61.451999999999998</v>
      </c>
      <c r="AA790" s="110">
        <v>10.042999999999999</v>
      </c>
      <c r="AB790" s="110">
        <v>0.40400000000000003</v>
      </c>
      <c r="AC790" s="115">
        <f t="shared" si="33"/>
        <v>61942.72099999999</v>
      </c>
      <c r="AD790">
        <f t="shared" si="34"/>
        <v>1.0180163056894058</v>
      </c>
    </row>
    <row r="791" spans="1:30" x14ac:dyDescent="0.25">
      <c r="A791" s="104" t="str">
        <f t="shared" si="32"/>
        <v>Pakistan2030</v>
      </c>
      <c r="C791" s="107" t="s">
        <v>257</v>
      </c>
      <c r="D791" s="108" t="s">
        <v>146</v>
      </c>
      <c r="E791" s="109"/>
      <c r="F791" s="109">
        <v>586</v>
      </c>
      <c r="G791" s="109">
        <v>2030</v>
      </c>
      <c r="H791" s="110">
        <v>11999.807000000001</v>
      </c>
      <c r="I791" s="110">
        <v>11960.012000000001</v>
      </c>
      <c r="J791" s="110">
        <v>11953.233</v>
      </c>
      <c r="K791" s="110">
        <v>11567.460999999999</v>
      </c>
      <c r="L791" s="110">
        <v>10373.579</v>
      </c>
      <c r="M791" s="110">
        <v>9064.0949999999993</v>
      </c>
      <c r="N791" s="110">
        <v>8989.7189999999991</v>
      </c>
      <c r="O791" s="110">
        <v>8597.1180000000004</v>
      </c>
      <c r="P791" s="110">
        <v>7902.8850000000002</v>
      </c>
      <c r="Q791" s="110">
        <v>6511.9359999999997</v>
      </c>
      <c r="R791" s="110">
        <v>5312.9120000000003</v>
      </c>
      <c r="S791" s="110">
        <v>4320.7219999999998</v>
      </c>
      <c r="T791" s="110">
        <v>3587.9740000000002</v>
      </c>
      <c r="U791" s="110">
        <v>2830.4659999999999</v>
      </c>
      <c r="V791" s="110">
        <v>1948.229</v>
      </c>
      <c r="W791" s="110">
        <v>1113.8219999999999</v>
      </c>
      <c r="X791" s="110">
        <v>606.31799999999998</v>
      </c>
      <c r="Y791" s="110">
        <v>246.21</v>
      </c>
      <c r="Z791" s="110">
        <v>55.466000000000001</v>
      </c>
      <c r="AA791" s="110">
        <v>6.5839999999999996</v>
      </c>
      <c r="AB791" s="110">
        <v>0.42</v>
      </c>
      <c r="AC791" s="115">
        <f t="shared" si="33"/>
        <v>63006.793000000005</v>
      </c>
      <c r="AD791">
        <f t="shared" si="34"/>
        <v>1.0171783218887012</v>
      </c>
    </row>
    <row r="792" spans="1:30" x14ac:dyDescent="0.25">
      <c r="A792" s="104" t="str">
        <f t="shared" si="32"/>
        <v>Pakistan2031</v>
      </c>
      <c r="C792" s="107" t="s">
        <v>257</v>
      </c>
      <c r="D792" s="108" t="s">
        <v>146</v>
      </c>
      <c r="E792" s="109"/>
      <c r="F792" s="109">
        <v>586</v>
      </c>
      <c r="G792" s="109">
        <v>2031</v>
      </c>
      <c r="H792" s="110">
        <v>12010.944</v>
      </c>
      <c r="I792" s="110">
        <v>11942.183999999999</v>
      </c>
      <c r="J792" s="110">
        <v>11960.214</v>
      </c>
      <c r="K792" s="110">
        <v>11689.308000000001</v>
      </c>
      <c r="L792" s="110">
        <v>10632.596</v>
      </c>
      <c r="M792" s="110">
        <v>9217.0879999999997</v>
      </c>
      <c r="N792" s="110">
        <v>8978.6890000000003</v>
      </c>
      <c r="O792" s="110">
        <v>8677.9240000000009</v>
      </c>
      <c r="P792" s="110">
        <v>8076.299</v>
      </c>
      <c r="Q792" s="110">
        <v>6764.4189999999999</v>
      </c>
      <c r="R792" s="110">
        <v>5498.6210000000001</v>
      </c>
      <c r="S792" s="110">
        <v>4447.5739999999996</v>
      </c>
      <c r="T792" s="110">
        <v>3664.404</v>
      </c>
      <c r="U792" s="110">
        <v>2908.5120000000002</v>
      </c>
      <c r="V792" s="110">
        <v>2032.752</v>
      </c>
      <c r="W792" s="110">
        <v>1170.749</v>
      </c>
      <c r="X792" s="110">
        <v>621.07500000000005</v>
      </c>
      <c r="Y792" s="110">
        <v>263.23899999999998</v>
      </c>
      <c r="Z792" s="110">
        <v>66.771000000000001</v>
      </c>
      <c r="AA792" s="110">
        <v>7.9290000000000003</v>
      </c>
      <c r="AB792" s="110">
        <v>0.437</v>
      </c>
      <c r="AC792" s="115">
        <f t="shared" si="33"/>
        <v>64036.323000000004</v>
      </c>
      <c r="AD792">
        <f t="shared" si="34"/>
        <v>1.0163399841664691</v>
      </c>
    </row>
    <row r="793" spans="1:30" x14ac:dyDescent="0.25">
      <c r="A793" s="104" t="str">
        <f t="shared" ref="A793:A856" si="35">D793&amp;G793</f>
        <v>Pakistan2032</v>
      </c>
      <c r="C793" s="107" t="s">
        <v>257</v>
      </c>
      <c r="D793" s="108" t="s">
        <v>146</v>
      </c>
      <c r="E793" s="109"/>
      <c r="F793" s="109">
        <v>586</v>
      </c>
      <c r="G793" s="109">
        <v>2032</v>
      </c>
      <c r="H793" s="110">
        <v>12021.960999999999</v>
      </c>
      <c r="I793" s="110">
        <v>11923.978999999999</v>
      </c>
      <c r="J793" s="110">
        <v>11957.703</v>
      </c>
      <c r="K793" s="110">
        <v>11772.243</v>
      </c>
      <c r="L793" s="110">
        <v>10877.602999999999</v>
      </c>
      <c r="M793" s="110">
        <v>9442.2569999999996</v>
      </c>
      <c r="N793" s="110">
        <v>8936.0859999999993</v>
      </c>
      <c r="O793" s="110">
        <v>8759.4599999999991</v>
      </c>
      <c r="P793" s="110">
        <v>8210.3029999999999</v>
      </c>
      <c r="Q793" s="110">
        <v>7035.31</v>
      </c>
      <c r="R793" s="110">
        <v>5691.0360000000001</v>
      </c>
      <c r="S793" s="110">
        <v>4593.3100000000004</v>
      </c>
      <c r="T793" s="110">
        <v>3745.5990000000002</v>
      </c>
      <c r="U793" s="110">
        <v>2987.2640000000001</v>
      </c>
      <c r="V793" s="110">
        <v>2119.8449999999998</v>
      </c>
      <c r="W793" s="110">
        <v>1238.124</v>
      </c>
      <c r="X793" s="110">
        <v>631.05999999999995</v>
      </c>
      <c r="Y793" s="110">
        <v>274.72199999999998</v>
      </c>
      <c r="Z793" s="110">
        <v>74.606999999999999</v>
      </c>
      <c r="AA793" s="110">
        <v>10.442</v>
      </c>
      <c r="AB793" s="110">
        <v>0.45500000000000002</v>
      </c>
      <c r="AC793" s="115">
        <f t="shared" si="33"/>
        <v>65033.261999999995</v>
      </c>
      <c r="AD793">
        <f t="shared" si="34"/>
        <v>1.0155683361144892</v>
      </c>
    </row>
    <row r="794" spans="1:30" x14ac:dyDescent="0.25">
      <c r="A794" s="104" t="str">
        <f t="shared" si="35"/>
        <v>Pakistan2033</v>
      </c>
      <c r="C794" s="107" t="s">
        <v>257</v>
      </c>
      <c r="D794" s="108" t="s">
        <v>146</v>
      </c>
      <c r="E794" s="109"/>
      <c r="F794" s="109">
        <v>586</v>
      </c>
      <c r="G794" s="109">
        <v>2033</v>
      </c>
      <c r="H794" s="110">
        <v>12036.475</v>
      </c>
      <c r="I794" s="110">
        <v>11905.317999999999</v>
      </c>
      <c r="J794" s="110">
        <v>11947.564</v>
      </c>
      <c r="K794" s="110">
        <v>11824.242</v>
      </c>
      <c r="L794" s="110">
        <v>11100.352999999999</v>
      </c>
      <c r="M794" s="110">
        <v>9715.7440000000006</v>
      </c>
      <c r="N794" s="110">
        <v>8892.92</v>
      </c>
      <c r="O794" s="110">
        <v>8832.3629999999994</v>
      </c>
      <c r="P794" s="110">
        <v>8313.99</v>
      </c>
      <c r="Q794" s="110">
        <v>7308.2049999999999</v>
      </c>
      <c r="R794" s="110">
        <v>5893.848</v>
      </c>
      <c r="S794" s="110">
        <v>4755.4660000000003</v>
      </c>
      <c r="T794" s="110">
        <v>3835.4830000000002</v>
      </c>
      <c r="U794" s="110">
        <v>3068.2170000000001</v>
      </c>
      <c r="V794" s="110">
        <v>2209.5909999999999</v>
      </c>
      <c r="W794" s="110">
        <v>1312.6110000000001</v>
      </c>
      <c r="X794" s="110">
        <v>642.39599999999996</v>
      </c>
      <c r="Y794" s="110">
        <v>279.58600000000001</v>
      </c>
      <c r="Z794" s="110">
        <v>78.7</v>
      </c>
      <c r="AA794" s="110">
        <v>12.284000000000001</v>
      </c>
      <c r="AB794" s="110">
        <v>0.47399999999999998</v>
      </c>
      <c r="AC794" s="115">
        <f t="shared" ref="AC794:AC857" si="36">SUM(K794:Q794)</f>
        <v>65987.816999999995</v>
      </c>
      <c r="AD794">
        <f t="shared" ref="AD794:AD857" si="37">IF(D794=D793,AC794/AC793,"")</f>
        <v>1.0146779504924726</v>
      </c>
    </row>
    <row r="795" spans="1:30" x14ac:dyDescent="0.25">
      <c r="A795" s="104" t="str">
        <f t="shared" si="35"/>
        <v>Pakistan2034</v>
      </c>
      <c r="C795" s="107" t="s">
        <v>257</v>
      </c>
      <c r="D795" s="108" t="s">
        <v>146</v>
      </c>
      <c r="E795" s="109"/>
      <c r="F795" s="109">
        <v>586</v>
      </c>
      <c r="G795" s="109">
        <v>2034</v>
      </c>
      <c r="H795" s="110">
        <v>12056.950999999999</v>
      </c>
      <c r="I795" s="110">
        <v>11885.932000000001</v>
      </c>
      <c r="J795" s="110">
        <v>11931.13</v>
      </c>
      <c r="K795" s="110">
        <v>11857.893</v>
      </c>
      <c r="L795" s="110">
        <v>11293.228999999999</v>
      </c>
      <c r="M795" s="110">
        <v>9998.4500000000007</v>
      </c>
      <c r="N795" s="110">
        <v>8896.6509999999998</v>
      </c>
      <c r="O795" s="110">
        <v>8880.5830000000005</v>
      </c>
      <c r="P795" s="110">
        <v>8403.8760000000002</v>
      </c>
      <c r="Q795" s="110">
        <v>7558.7250000000004</v>
      </c>
      <c r="R795" s="110">
        <v>6113.8670000000002</v>
      </c>
      <c r="S795" s="110">
        <v>4930.1369999999997</v>
      </c>
      <c r="T795" s="110">
        <v>3939.9180000000001</v>
      </c>
      <c r="U795" s="110">
        <v>3152.9679999999998</v>
      </c>
      <c r="V795" s="110">
        <v>2300.7910000000002</v>
      </c>
      <c r="W795" s="110">
        <v>1390.1679999999999</v>
      </c>
      <c r="X795" s="110">
        <v>661.96299999999997</v>
      </c>
      <c r="Y795" s="110">
        <v>278.97300000000001</v>
      </c>
      <c r="Z795" s="110">
        <v>76.832999999999998</v>
      </c>
      <c r="AA795" s="110">
        <v>11.896000000000001</v>
      </c>
      <c r="AB795" s="110">
        <v>0.49399999999999999</v>
      </c>
      <c r="AC795" s="115">
        <f t="shared" si="36"/>
        <v>66889.407000000007</v>
      </c>
      <c r="AD795">
        <f t="shared" si="37"/>
        <v>1.0136629766067273</v>
      </c>
    </row>
    <row r="796" spans="1:30" x14ac:dyDescent="0.25">
      <c r="A796" s="104" t="str">
        <f t="shared" si="35"/>
        <v>Pakistan2035</v>
      </c>
      <c r="C796" s="107" t="s">
        <v>257</v>
      </c>
      <c r="D796" s="108" t="s">
        <v>146</v>
      </c>
      <c r="E796" s="109"/>
      <c r="F796" s="109">
        <v>586</v>
      </c>
      <c r="G796" s="109">
        <v>2035</v>
      </c>
      <c r="H796" s="110">
        <v>12087.597</v>
      </c>
      <c r="I796" s="110">
        <v>11864.901</v>
      </c>
      <c r="J796" s="110">
        <v>11908.991</v>
      </c>
      <c r="K796" s="110">
        <v>11881.121999999999</v>
      </c>
      <c r="L796" s="110">
        <v>11452.067999999999</v>
      </c>
      <c r="M796" s="110">
        <v>10263.986999999999</v>
      </c>
      <c r="N796" s="110">
        <v>8975.3490000000002</v>
      </c>
      <c r="O796" s="110">
        <v>8896.8240000000005</v>
      </c>
      <c r="P796" s="110">
        <v>8490.1219999999994</v>
      </c>
      <c r="Q796" s="110">
        <v>7771.4350000000004</v>
      </c>
      <c r="R796" s="110">
        <v>6353.5110000000004</v>
      </c>
      <c r="S796" s="110">
        <v>5114.7169999999996</v>
      </c>
      <c r="T796" s="110">
        <v>4062.4209999999998</v>
      </c>
      <c r="U796" s="110">
        <v>3242.6109999999999</v>
      </c>
      <c r="V796" s="110">
        <v>2392.5259999999998</v>
      </c>
      <c r="W796" s="110">
        <v>1469.652</v>
      </c>
      <c r="X796" s="110">
        <v>692.99099999999999</v>
      </c>
      <c r="Y796" s="110">
        <v>273.95699999999999</v>
      </c>
      <c r="Z796" s="110">
        <v>68.277000000000001</v>
      </c>
      <c r="AA796" s="110">
        <v>7.9989999999999997</v>
      </c>
      <c r="AB796" s="110">
        <v>0.51400000000000001</v>
      </c>
      <c r="AC796" s="115">
        <f t="shared" si="36"/>
        <v>67730.906999999992</v>
      </c>
      <c r="AD796">
        <f t="shared" si="37"/>
        <v>1.0125804673376755</v>
      </c>
    </row>
    <row r="797" spans="1:30" x14ac:dyDescent="0.25">
      <c r="A797" s="104" t="str">
        <f t="shared" si="35"/>
        <v>Pakistan2036</v>
      </c>
      <c r="C797" s="107" t="s">
        <v>257</v>
      </c>
      <c r="D797" s="108" t="s">
        <v>146</v>
      </c>
      <c r="E797" s="109"/>
      <c r="F797" s="109">
        <v>586</v>
      </c>
      <c r="G797" s="109">
        <v>2036</v>
      </c>
      <c r="H797" s="110">
        <v>12152.75</v>
      </c>
      <c r="I797" s="110">
        <v>11869.018</v>
      </c>
      <c r="J797" s="110">
        <v>11884.335999999999</v>
      </c>
      <c r="K797" s="110">
        <v>11888.088</v>
      </c>
      <c r="L797" s="110">
        <v>11579.037</v>
      </c>
      <c r="M797" s="110">
        <v>10523.161</v>
      </c>
      <c r="N797" s="110">
        <v>9126.3639999999996</v>
      </c>
      <c r="O797" s="110">
        <v>8885.8590000000004</v>
      </c>
      <c r="P797" s="110">
        <v>8569.9359999999997</v>
      </c>
      <c r="Q797" s="110">
        <v>7941.1629999999996</v>
      </c>
      <c r="R797" s="110">
        <v>6599.3029999999999</v>
      </c>
      <c r="S797" s="110">
        <v>5291.6239999999998</v>
      </c>
      <c r="T797" s="110">
        <v>4180.4780000000001</v>
      </c>
      <c r="U797" s="110">
        <v>3310.096</v>
      </c>
      <c r="V797" s="110">
        <v>2458.0729999999999</v>
      </c>
      <c r="W797" s="110">
        <v>1537.1859999999999</v>
      </c>
      <c r="X797" s="110">
        <v>739.24900000000002</v>
      </c>
      <c r="Y797" s="110">
        <v>290.459</v>
      </c>
      <c r="Z797" s="110">
        <v>79.712999999999994</v>
      </c>
      <c r="AA797" s="110">
        <v>9.8710000000000004</v>
      </c>
      <c r="AB797" s="110">
        <v>0.53500000000000003</v>
      </c>
      <c r="AC797" s="115">
        <f t="shared" si="36"/>
        <v>68513.608000000007</v>
      </c>
      <c r="AD797">
        <f t="shared" si="37"/>
        <v>1.0115560389586991</v>
      </c>
    </row>
    <row r="798" spans="1:30" x14ac:dyDescent="0.25">
      <c r="A798" s="104" t="str">
        <f t="shared" si="35"/>
        <v>Pakistan2037</v>
      </c>
      <c r="C798" s="107" t="s">
        <v>257</v>
      </c>
      <c r="D798" s="108" t="s">
        <v>146</v>
      </c>
      <c r="E798" s="109"/>
      <c r="F798" s="109">
        <v>586</v>
      </c>
      <c r="G798" s="109">
        <v>2037</v>
      </c>
      <c r="H798" s="110">
        <v>12208.023999999999</v>
      </c>
      <c r="I798" s="110">
        <v>11884.368</v>
      </c>
      <c r="J798" s="110">
        <v>11861.357</v>
      </c>
      <c r="K798" s="110">
        <v>11884.902</v>
      </c>
      <c r="L798" s="110">
        <v>11665.706</v>
      </c>
      <c r="M798" s="110">
        <v>10768.869000000001</v>
      </c>
      <c r="N798" s="110">
        <v>9350.3130000000001</v>
      </c>
      <c r="O798" s="110">
        <v>8844.3019999999997</v>
      </c>
      <c r="P798" s="110">
        <v>8651.4560000000001</v>
      </c>
      <c r="Q798" s="110">
        <v>8073.5619999999999</v>
      </c>
      <c r="R798" s="110">
        <v>6864.7920000000004</v>
      </c>
      <c r="S798" s="110">
        <v>5476.9629999999997</v>
      </c>
      <c r="T798" s="110">
        <v>4318.1090000000004</v>
      </c>
      <c r="U798" s="110">
        <v>3383.4830000000002</v>
      </c>
      <c r="V798" s="110">
        <v>2525.1579999999999</v>
      </c>
      <c r="W798" s="110">
        <v>1605.521</v>
      </c>
      <c r="X798" s="110">
        <v>786.67100000000005</v>
      </c>
      <c r="Y798" s="110">
        <v>299.74099999999999</v>
      </c>
      <c r="Z798" s="110">
        <v>87.281000000000006</v>
      </c>
      <c r="AA798" s="110">
        <v>13.215999999999999</v>
      </c>
      <c r="AB798" s="110">
        <v>0.55700000000000005</v>
      </c>
      <c r="AC798" s="115">
        <f t="shared" si="36"/>
        <v>69239.11</v>
      </c>
      <c r="AD798">
        <f t="shared" si="37"/>
        <v>1.0105891664616464</v>
      </c>
    </row>
    <row r="799" spans="1:30" x14ac:dyDescent="0.25">
      <c r="A799" s="104" t="str">
        <f t="shared" si="35"/>
        <v>Pakistan2038</v>
      </c>
      <c r="C799" s="107" t="s">
        <v>257</v>
      </c>
      <c r="D799" s="108" t="s">
        <v>146</v>
      </c>
      <c r="E799" s="109"/>
      <c r="F799" s="109">
        <v>586</v>
      </c>
      <c r="G799" s="109">
        <v>2038</v>
      </c>
      <c r="H799" s="110">
        <v>12256.154</v>
      </c>
      <c r="I799" s="110">
        <v>11909.191000000001</v>
      </c>
      <c r="J799" s="110">
        <v>11841.173000000001</v>
      </c>
      <c r="K799" s="110">
        <v>11874.514999999999</v>
      </c>
      <c r="L799" s="110">
        <v>11718.543</v>
      </c>
      <c r="M799" s="110">
        <v>10992.376</v>
      </c>
      <c r="N799" s="110">
        <v>9623.634</v>
      </c>
      <c r="O799" s="110">
        <v>8802.4609999999993</v>
      </c>
      <c r="P799" s="110">
        <v>8725.0079999999998</v>
      </c>
      <c r="Q799" s="110">
        <v>8177.3680000000004</v>
      </c>
      <c r="R799" s="110">
        <v>7133.3869999999997</v>
      </c>
      <c r="S799" s="110">
        <v>5674.3689999999997</v>
      </c>
      <c r="T799" s="110">
        <v>4472.799</v>
      </c>
      <c r="U799" s="110">
        <v>3466.8</v>
      </c>
      <c r="V799" s="110">
        <v>2596.0030000000002</v>
      </c>
      <c r="W799" s="110">
        <v>1675.4659999999999</v>
      </c>
      <c r="X799" s="110">
        <v>833.50900000000001</v>
      </c>
      <c r="Y799" s="110">
        <v>304.46899999999999</v>
      </c>
      <c r="Z799" s="110">
        <v>90.691999999999993</v>
      </c>
      <c r="AA799" s="110">
        <v>15.598000000000001</v>
      </c>
      <c r="AB799" s="110">
        <v>0.57999999999999996</v>
      </c>
      <c r="AC799" s="115">
        <f t="shared" si="36"/>
        <v>69913.904999999999</v>
      </c>
      <c r="AD799">
        <f t="shared" si="37"/>
        <v>1.0097458647287638</v>
      </c>
    </row>
    <row r="800" spans="1:30" x14ac:dyDescent="0.25">
      <c r="A800" s="104" t="str">
        <f t="shared" si="35"/>
        <v>Pakistan2039</v>
      </c>
      <c r="C800" s="107" t="s">
        <v>257</v>
      </c>
      <c r="D800" s="108" t="s">
        <v>146</v>
      </c>
      <c r="E800" s="109"/>
      <c r="F800" s="109">
        <v>586</v>
      </c>
      <c r="G800" s="109">
        <v>2039</v>
      </c>
      <c r="H800" s="110">
        <v>12299.689</v>
      </c>
      <c r="I800" s="110">
        <v>11938.745999999999</v>
      </c>
      <c r="J800" s="110">
        <v>11825.879000000001</v>
      </c>
      <c r="K800" s="110">
        <v>11858.903</v>
      </c>
      <c r="L800" s="110">
        <v>11749.916999999999</v>
      </c>
      <c r="M800" s="110">
        <v>11185.371999999999</v>
      </c>
      <c r="N800" s="110">
        <v>9906.9419999999991</v>
      </c>
      <c r="O800" s="110">
        <v>8807.2060000000001</v>
      </c>
      <c r="P800" s="110">
        <v>8774.3130000000001</v>
      </c>
      <c r="Q800" s="110">
        <v>8268.3549999999996</v>
      </c>
      <c r="R800" s="110">
        <v>7380.7879999999996</v>
      </c>
      <c r="S800" s="110">
        <v>5890.2579999999998</v>
      </c>
      <c r="T800" s="110">
        <v>4640.9480000000003</v>
      </c>
      <c r="U800" s="110">
        <v>3565.7710000000002</v>
      </c>
      <c r="V800" s="110">
        <v>2672.1010000000001</v>
      </c>
      <c r="W800" s="110">
        <v>1746.2080000000001</v>
      </c>
      <c r="X800" s="110">
        <v>878.73400000000004</v>
      </c>
      <c r="Y800" s="110">
        <v>309.67700000000002</v>
      </c>
      <c r="Z800" s="110">
        <v>87.757000000000005</v>
      </c>
      <c r="AA800" s="110">
        <v>15.052</v>
      </c>
      <c r="AB800" s="110">
        <v>0.60599999999999998</v>
      </c>
      <c r="AC800" s="115">
        <f t="shared" si="36"/>
        <v>70551.007999999987</v>
      </c>
      <c r="AD800">
        <f t="shared" si="37"/>
        <v>1.0091126793732947</v>
      </c>
    </row>
    <row r="801" spans="1:30" x14ac:dyDescent="0.25">
      <c r="A801" s="104" t="str">
        <f t="shared" si="35"/>
        <v>Pakistan2040</v>
      </c>
      <c r="C801" s="107" t="s">
        <v>257</v>
      </c>
      <c r="D801" s="108" t="s">
        <v>146</v>
      </c>
      <c r="E801" s="109"/>
      <c r="F801" s="109">
        <v>586</v>
      </c>
      <c r="G801" s="109">
        <v>2040</v>
      </c>
      <c r="H801" s="110">
        <v>12342.339</v>
      </c>
      <c r="I801" s="110">
        <v>11965.960999999999</v>
      </c>
      <c r="J801" s="110">
        <v>11817.468999999999</v>
      </c>
      <c r="K801" s="110">
        <v>11839.602999999999</v>
      </c>
      <c r="L801" s="110">
        <v>11769.254000000001</v>
      </c>
      <c r="M801" s="110">
        <v>11342.753000000001</v>
      </c>
      <c r="N801" s="110">
        <v>10173.159</v>
      </c>
      <c r="O801" s="110">
        <v>8886.74</v>
      </c>
      <c r="P801" s="110">
        <v>8792.0300000000007</v>
      </c>
      <c r="Q801" s="110">
        <v>8356.1659999999993</v>
      </c>
      <c r="R801" s="110">
        <v>7591.8590000000004</v>
      </c>
      <c r="S801" s="110">
        <v>6126.6819999999998</v>
      </c>
      <c r="T801" s="110">
        <v>4820.4040000000005</v>
      </c>
      <c r="U801" s="110">
        <v>3683.692</v>
      </c>
      <c r="V801" s="110">
        <v>2754.3040000000001</v>
      </c>
      <c r="W801" s="110">
        <v>1817.665</v>
      </c>
      <c r="X801" s="110">
        <v>923.78800000000001</v>
      </c>
      <c r="Y801" s="110">
        <v>317.42</v>
      </c>
      <c r="Z801" s="110">
        <v>77.38</v>
      </c>
      <c r="AA801" s="110">
        <v>10.073</v>
      </c>
      <c r="AB801" s="110">
        <v>0.63400000000000001</v>
      </c>
      <c r="AC801" s="115">
        <f t="shared" si="36"/>
        <v>71159.705000000002</v>
      </c>
      <c r="AD801">
        <f t="shared" si="37"/>
        <v>1.0086277576643556</v>
      </c>
    </row>
    <row r="802" spans="1:30" x14ac:dyDescent="0.25">
      <c r="A802" s="104" t="str">
        <f t="shared" si="35"/>
        <v>Pakistan2041</v>
      </c>
      <c r="C802" s="107" t="s">
        <v>257</v>
      </c>
      <c r="D802" s="108" t="s">
        <v>146</v>
      </c>
      <c r="E802" s="109"/>
      <c r="F802" s="109">
        <v>586</v>
      </c>
      <c r="G802" s="109">
        <v>2041</v>
      </c>
      <c r="H802" s="110">
        <v>12409.592000000001</v>
      </c>
      <c r="I802" s="110">
        <v>12013.995000000001</v>
      </c>
      <c r="J802" s="110">
        <v>11819.007</v>
      </c>
      <c r="K802" s="110">
        <v>11815.197</v>
      </c>
      <c r="L802" s="110">
        <v>11781.896000000001</v>
      </c>
      <c r="M802" s="110">
        <v>11470.804</v>
      </c>
      <c r="N802" s="110">
        <v>10430.120000000001</v>
      </c>
      <c r="O802" s="110">
        <v>9037.3029999999999</v>
      </c>
      <c r="P802" s="110">
        <v>8780.9689999999991</v>
      </c>
      <c r="Q802" s="110">
        <v>8434.4220000000005</v>
      </c>
      <c r="R802" s="110">
        <v>7756.4009999999998</v>
      </c>
      <c r="S802" s="110">
        <v>6362.1869999999999</v>
      </c>
      <c r="T802" s="110">
        <v>4985.3220000000001</v>
      </c>
      <c r="U802" s="110">
        <v>3789.6210000000001</v>
      </c>
      <c r="V802" s="110">
        <v>2811.34</v>
      </c>
      <c r="W802" s="110">
        <v>1871.4780000000001</v>
      </c>
      <c r="X802" s="110">
        <v>977.50199999999995</v>
      </c>
      <c r="Y802" s="110">
        <v>353.03500000000003</v>
      </c>
      <c r="Z802" s="110">
        <v>88.501000000000005</v>
      </c>
      <c r="AA802" s="110">
        <v>12.063000000000001</v>
      </c>
      <c r="AB802" s="110">
        <v>0.66600000000000004</v>
      </c>
      <c r="AC802" s="115">
        <f t="shared" si="36"/>
        <v>71750.710999999996</v>
      </c>
      <c r="AD802">
        <f t="shared" si="37"/>
        <v>1.0083053464035578</v>
      </c>
    </row>
    <row r="803" spans="1:30" x14ac:dyDescent="0.25">
      <c r="A803" s="104" t="str">
        <f t="shared" si="35"/>
        <v>Pakistan2042</v>
      </c>
      <c r="C803" s="107" t="s">
        <v>257</v>
      </c>
      <c r="D803" s="108" t="s">
        <v>146</v>
      </c>
      <c r="E803" s="109"/>
      <c r="F803" s="109">
        <v>586</v>
      </c>
      <c r="G803" s="109">
        <v>2042</v>
      </c>
      <c r="H803" s="110">
        <v>12451.359</v>
      </c>
      <c r="I803" s="110">
        <v>12069.843999999999</v>
      </c>
      <c r="J803" s="110">
        <v>11832.109</v>
      </c>
      <c r="K803" s="110">
        <v>11791.02</v>
      </c>
      <c r="L803" s="110">
        <v>11782.674000000001</v>
      </c>
      <c r="M803" s="110">
        <v>11558.919</v>
      </c>
      <c r="N803" s="110">
        <v>10674.703</v>
      </c>
      <c r="O803" s="110">
        <v>9260.8459999999995</v>
      </c>
      <c r="P803" s="110">
        <v>8740.35</v>
      </c>
      <c r="Q803" s="110">
        <v>8515.5229999999992</v>
      </c>
      <c r="R803" s="110">
        <v>7886.3779999999997</v>
      </c>
      <c r="S803" s="110">
        <v>6618.951</v>
      </c>
      <c r="T803" s="110">
        <v>5160.3959999999997</v>
      </c>
      <c r="U803" s="110">
        <v>3915.0349999999999</v>
      </c>
      <c r="V803" s="110">
        <v>2873.84</v>
      </c>
      <c r="W803" s="110">
        <v>1924.81</v>
      </c>
      <c r="X803" s="110">
        <v>1027.078</v>
      </c>
      <c r="Y803" s="110">
        <v>382.04500000000002</v>
      </c>
      <c r="Z803" s="110">
        <v>95.424999999999997</v>
      </c>
      <c r="AA803" s="110">
        <v>15.616</v>
      </c>
      <c r="AB803" s="110">
        <v>0.70199999999999996</v>
      </c>
      <c r="AC803" s="115">
        <f t="shared" si="36"/>
        <v>72324.035000000003</v>
      </c>
      <c r="AD803">
        <f t="shared" si="37"/>
        <v>1.0079904992160984</v>
      </c>
    </row>
    <row r="804" spans="1:30" x14ac:dyDescent="0.25">
      <c r="A804" s="104" t="str">
        <f t="shared" si="35"/>
        <v>Pakistan2043</v>
      </c>
      <c r="C804" s="107" t="s">
        <v>257</v>
      </c>
      <c r="D804" s="108" t="s">
        <v>146</v>
      </c>
      <c r="E804" s="109"/>
      <c r="F804" s="109">
        <v>586</v>
      </c>
      <c r="G804" s="109">
        <v>2043</v>
      </c>
      <c r="H804" s="110">
        <v>12472.82</v>
      </c>
      <c r="I804" s="110">
        <v>12129.518</v>
      </c>
      <c r="J804" s="110">
        <v>11854.798000000001</v>
      </c>
      <c r="K804" s="110">
        <v>11770.326999999999</v>
      </c>
      <c r="L804" s="110">
        <v>11773.171</v>
      </c>
      <c r="M804" s="110">
        <v>11613.081</v>
      </c>
      <c r="N804" s="110">
        <v>10898.404</v>
      </c>
      <c r="O804" s="110">
        <v>9533.4480000000003</v>
      </c>
      <c r="P804" s="110">
        <v>8700.0110000000004</v>
      </c>
      <c r="Q804" s="110">
        <v>8589.5830000000005</v>
      </c>
      <c r="R804" s="110">
        <v>7989.933</v>
      </c>
      <c r="S804" s="110">
        <v>6880.6729999999998</v>
      </c>
      <c r="T804" s="110">
        <v>5349.0739999999996</v>
      </c>
      <c r="U804" s="110">
        <v>4057.913</v>
      </c>
      <c r="V804" s="110">
        <v>2946.683</v>
      </c>
      <c r="W804" s="110">
        <v>1980.9010000000001</v>
      </c>
      <c r="X804" s="110">
        <v>1072.827</v>
      </c>
      <c r="Y804" s="110">
        <v>402.52800000000002</v>
      </c>
      <c r="Z804" s="110">
        <v>99.507000000000005</v>
      </c>
      <c r="AA804" s="110">
        <v>18.132999999999999</v>
      </c>
      <c r="AB804" s="110">
        <v>0.73899999999999999</v>
      </c>
      <c r="AC804" s="115">
        <f t="shared" si="36"/>
        <v>72878.024999999994</v>
      </c>
      <c r="AD804">
        <f t="shared" si="37"/>
        <v>1.0076598325853914</v>
      </c>
    </row>
    <row r="805" spans="1:30" x14ac:dyDescent="0.25">
      <c r="A805" s="104" t="str">
        <f t="shared" si="35"/>
        <v>Pakistan2044</v>
      </c>
      <c r="C805" s="107" t="s">
        <v>257</v>
      </c>
      <c r="D805" s="108" t="s">
        <v>146</v>
      </c>
      <c r="E805" s="109"/>
      <c r="F805" s="109">
        <v>586</v>
      </c>
      <c r="G805" s="109">
        <v>2044</v>
      </c>
      <c r="H805" s="110">
        <v>12479.119000000001</v>
      </c>
      <c r="I805" s="110">
        <v>12186.267</v>
      </c>
      <c r="J805" s="110">
        <v>11884.992</v>
      </c>
      <c r="K805" s="110">
        <v>11756.291999999999</v>
      </c>
      <c r="L805" s="110">
        <v>11755.341</v>
      </c>
      <c r="M805" s="110">
        <v>11645.052</v>
      </c>
      <c r="N805" s="110">
        <v>11092.462</v>
      </c>
      <c r="O805" s="110">
        <v>9815.7849999999999</v>
      </c>
      <c r="P805" s="110">
        <v>8706.2510000000002</v>
      </c>
      <c r="Q805" s="110">
        <v>8640.2029999999995</v>
      </c>
      <c r="R805" s="110">
        <v>8082.01</v>
      </c>
      <c r="S805" s="110">
        <v>7123.4530000000004</v>
      </c>
      <c r="T805" s="110">
        <v>5557.5339999999997</v>
      </c>
      <c r="U805" s="110">
        <v>4215.4480000000003</v>
      </c>
      <c r="V805" s="110">
        <v>3035.7179999999998</v>
      </c>
      <c r="W805" s="110">
        <v>2041.328</v>
      </c>
      <c r="X805" s="110">
        <v>1114.5640000000001</v>
      </c>
      <c r="Y805" s="110">
        <v>417.70699999999999</v>
      </c>
      <c r="Z805" s="110">
        <v>98.376999999999995</v>
      </c>
      <c r="AA805" s="110">
        <v>17.413</v>
      </c>
      <c r="AB805" s="110">
        <v>0.77500000000000002</v>
      </c>
      <c r="AC805" s="115">
        <f t="shared" si="36"/>
        <v>73411.385999999999</v>
      </c>
      <c r="AD805">
        <f t="shared" si="37"/>
        <v>1.0073185435527376</v>
      </c>
    </row>
    <row r="806" spans="1:30" x14ac:dyDescent="0.25">
      <c r="A806" s="104" t="str">
        <f t="shared" si="35"/>
        <v>Pakistan2045</v>
      </c>
      <c r="C806" s="107" t="s">
        <v>257</v>
      </c>
      <c r="D806" s="108" t="s">
        <v>146</v>
      </c>
      <c r="E806" s="109"/>
      <c r="F806" s="109">
        <v>586</v>
      </c>
      <c r="G806" s="109">
        <v>2045</v>
      </c>
      <c r="H806" s="110">
        <v>12475.169</v>
      </c>
      <c r="I806" s="110">
        <v>12231.397000000001</v>
      </c>
      <c r="J806" s="110">
        <v>11921.441999999999</v>
      </c>
      <c r="K806" s="110">
        <v>11750.789000000001</v>
      </c>
      <c r="L806" s="110">
        <v>11732.227999999999</v>
      </c>
      <c r="M806" s="110">
        <v>11663.385</v>
      </c>
      <c r="N806" s="110">
        <v>11250.957</v>
      </c>
      <c r="O806" s="110">
        <v>10081.352000000001</v>
      </c>
      <c r="P806" s="110">
        <v>8786.9210000000003</v>
      </c>
      <c r="Q806" s="110">
        <v>8660.0010000000002</v>
      </c>
      <c r="R806" s="110">
        <v>8171.7489999999998</v>
      </c>
      <c r="S806" s="110">
        <v>7332.3980000000001</v>
      </c>
      <c r="T806" s="110">
        <v>5787.8459999999995</v>
      </c>
      <c r="U806" s="110">
        <v>4386.08</v>
      </c>
      <c r="V806" s="110">
        <v>3144.0650000000001</v>
      </c>
      <c r="W806" s="110">
        <v>2107.183</v>
      </c>
      <c r="X806" s="110">
        <v>1154.0409999999999</v>
      </c>
      <c r="Y806" s="110">
        <v>429.01100000000002</v>
      </c>
      <c r="Z806" s="110">
        <v>91.301000000000002</v>
      </c>
      <c r="AA806" s="110">
        <v>11.676</v>
      </c>
      <c r="AB806" s="110">
        <v>0.80800000000000005</v>
      </c>
      <c r="AC806" s="115">
        <f t="shared" si="36"/>
        <v>73925.633000000002</v>
      </c>
      <c r="AD806">
        <f t="shared" si="37"/>
        <v>1.0070050032838231</v>
      </c>
    </row>
    <row r="807" spans="1:30" x14ac:dyDescent="0.25">
      <c r="A807" s="104" t="str">
        <f t="shared" si="35"/>
        <v>Pakistan2046</v>
      </c>
      <c r="C807" s="107" t="s">
        <v>257</v>
      </c>
      <c r="D807" s="108" t="s">
        <v>146</v>
      </c>
      <c r="E807" s="109"/>
      <c r="F807" s="109">
        <v>586</v>
      </c>
      <c r="G807" s="109">
        <v>2046</v>
      </c>
      <c r="H807" s="110">
        <v>12474.092000000001</v>
      </c>
      <c r="I807" s="110">
        <v>12285.16</v>
      </c>
      <c r="J807" s="110">
        <v>11967.785</v>
      </c>
      <c r="K807" s="110">
        <v>11753.195</v>
      </c>
      <c r="L807" s="110">
        <v>11713.941999999999</v>
      </c>
      <c r="M807" s="110">
        <v>11678.130999999999</v>
      </c>
      <c r="N807" s="110">
        <v>11378.235000000001</v>
      </c>
      <c r="O807" s="110">
        <v>10337.627</v>
      </c>
      <c r="P807" s="110">
        <v>8936.9349999999995</v>
      </c>
      <c r="Q807" s="110">
        <v>8648.7839999999997</v>
      </c>
      <c r="R807" s="110">
        <v>8248.1080000000002</v>
      </c>
      <c r="S807" s="110">
        <v>7489.0370000000003</v>
      </c>
      <c r="T807" s="110">
        <v>6009.3130000000001</v>
      </c>
      <c r="U807" s="110">
        <v>4534.3770000000004</v>
      </c>
      <c r="V807" s="110">
        <v>3235.4090000000001</v>
      </c>
      <c r="W807" s="110">
        <v>2155.547</v>
      </c>
      <c r="X807" s="110">
        <v>1200.797</v>
      </c>
      <c r="Y807" s="110">
        <v>471.774</v>
      </c>
      <c r="Z807" s="110">
        <v>110.334</v>
      </c>
      <c r="AA807" s="110">
        <v>13.702</v>
      </c>
      <c r="AB807" s="110">
        <v>0.83899999999999997</v>
      </c>
      <c r="AC807" s="115">
        <f t="shared" si="36"/>
        <v>74446.849000000002</v>
      </c>
      <c r="AD807">
        <f t="shared" si="37"/>
        <v>1.0070505449713227</v>
      </c>
    </row>
    <row r="808" spans="1:30" x14ac:dyDescent="0.25">
      <c r="A808" s="104" t="str">
        <f t="shared" si="35"/>
        <v>Pakistan2047</v>
      </c>
      <c r="C808" s="107" t="s">
        <v>257</v>
      </c>
      <c r="D808" s="108" t="s">
        <v>146</v>
      </c>
      <c r="E808" s="109"/>
      <c r="F808" s="109">
        <v>586</v>
      </c>
      <c r="G808" s="109">
        <v>2047</v>
      </c>
      <c r="H808" s="110">
        <v>12450.790999999999</v>
      </c>
      <c r="I808" s="110">
        <v>12329.42</v>
      </c>
      <c r="J808" s="110">
        <v>12022.145</v>
      </c>
      <c r="K808" s="110">
        <v>11764.861000000001</v>
      </c>
      <c r="L808" s="110">
        <v>11693.325000000001</v>
      </c>
      <c r="M808" s="110">
        <v>11680.343999999999</v>
      </c>
      <c r="N808" s="110">
        <v>11465.837</v>
      </c>
      <c r="O808" s="110">
        <v>10581.564</v>
      </c>
      <c r="P808" s="110">
        <v>9159.3150000000005</v>
      </c>
      <c r="Q808" s="110">
        <v>8608.8610000000008</v>
      </c>
      <c r="R808" s="110">
        <v>8328.3459999999995</v>
      </c>
      <c r="S808" s="110">
        <v>7614.5370000000003</v>
      </c>
      <c r="T808" s="110">
        <v>6253.2640000000001</v>
      </c>
      <c r="U808" s="110">
        <v>4693.9290000000001</v>
      </c>
      <c r="V808" s="110">
        <v>3343.5970000000002</v>
      </c>
      <c r="W808" s="110">
        <v>2205.3820000000001</v>
      </c>
      <c r="X808" s="110">
        <v>1241.6990000000001</v>
      </c>
      <c r="Y808" s="110">
        <v>504.73599999999999</v>
      </c>
      <c r="Z808" s="110">
        <v>124.40600000000001</v>
      </c>
      <c r="AA808" s="110">
        <v>17.628</v>
      </c>
      <c r="AB808" s="110">
        <v>0.86899999999999999</v>
      </c>
      <c r="AC808" s="115">
        <f t="shared" si="36"/>
        <v>74954.107000000004</v>
      </c>
      <c r="AD808">
        <f t="shared" si="37"/>
        <v>1.0068136933505407</v>
      </c>
    </row>
    <row r="809" spans="1:30" x14ac:dyDescent="0.25">
      <c r="A809" s="104" t="str">
        <f t="shared" si="35"/>
        <v>Pakistan2048</v>
      </c>
      <c r="C809" s="107" t="s">
        <v>257</v>
      </c>
      <c r="D809" s="108" t="s">
        <v>146</v>
      </c>
      <c r="E809" s="109"/>
      <c r="F809" s="109">
        <v>586</v>
      </c>
      <c r="G809" s="109">
        <v>2048</v>
      </c>
      <c r="H809" s="110">
        <v>12410.111000000001</v>
      </c>
      <c r="I809" s="110">
        <v>12360.438</v>
      </c>
      <c r="J809" s="110">
        <v>12081.03</v>
      </c>
      <c r="K809" s="110">
        <v>11786.512000000001</v>
      </c>
      <c r="L809" s="110">
        <v>11673.022999999999</v>
      </c>
      <c r="M809" s="110">
        <v>11671.856</v>
      </c>
      <c r="N809" s="110">
        <v>11520.521000000001</v>
      </c>
      <c r="O809" s="110">
        <v>10804.778</v>
      </c>
      <c r="P809" s="110">
        <v>9430.5229999999992</v>
      </c>
      <c r="Q809" s="110">
        <v>8570.0920000000006</v>
      </c>
      <c r="R809" s="110">
        <v>8402.5759999999991</v>
      </c>
      <c r="S809" s="110">
        <v>7717.1580000000004</v>
      </c>
      <c r="T809" s="110">
        <v>6504.0450000000001</v>
      </c>
      <c r="U809" s="110">
        <v>4868.75</v>
      </c>
      <c r="V809" s="110">
        <v>3468.2660000000001</v>
      </c>
      <c r="W809" s="110">
        <v>2263.0790000000002</v>
      </c>
      <c r="X809" s="110">
        <v>1279.4649999999999</v>
      </c>
      <c r="Y809" s="110">
        <v>525.52700000000004</v>
      </c>
      <c r="Z809" s="110">
        <v>133.852</v>
      </c>
      <c r="AA809" s="110">
        <v>20.614000000000001</v>
      </c>
      <c r="AB809" s="110">
        <v>0.89800000000000002</v>
      </c>
      <c r="AC809" s="115">
        <f t="shared" si="36"/>
        <v>75457.305000000008</v>
      </c>
      <c r="AD809">
        <f t="shared" si="37"/>
        <v>1.0067134146498471</v>
      </c>
    </row>
    <row r="810" spans="1:30" x14ac:dyDescent="0.25">
      <c r="A810" s="104" t="str">
        <f t="shared" si="35"/>
        <v>Pakistan2049</v>
      </c>
      <c r="C810" s="107" t="s">
        <v>257</v>
      </c>
      <c r="D810" s="108" t="s">
        <v>146</v>
      </c>
      <c r="E810" s="109"/>
      <c r="F810" s="109">
        <v>586</v>
      </c>
      <c r="G810" s="109">
        <v>2049</v>
      </c>
      <c r="H810" s="110">
        <v>12356.992</v>
      </c>
      <c r="I810" s="110">
        <v>12376.037</v>
      </c>
      <c r="J810" s="110">
        <v>12138.641</v>
      </c>
      <c r="K810" s="110">
        <v>11817.630999999999</v>
      </c>
      <c r="L810" s="110">
        <v>11656.734</v>
      </c>
      <c r="M810" s="110">
        <v>11654.659</v>
      </c>
      <c r="N810" s="110">
        <v>11554.132</v>
      </c>
      <c r="O810" s="110">
        <v>10998.713</v>
      </c>
      <c r="P810" s="110">
        <v>9711.8449999999993</v>
      </c>
      <c r="Q810" s="110">
        <v>8578.4490000000005</v>
      </c>
      <c r="R810" s="110">
        <v>8454.7549999999992</v>
      </c>
      <c r="S810" s="110">
        <v>7811.1440000000002</v>
      </c>
      <c r="T810" s="110">
        <v>6738.9129999999996</v>
      </c>
      <c r="U810" s="110">
        <v>5065.2520000000004</v>
      </c>
      <c r="V810" s="110">
        <v>3608.31</v>
      </c>
      <c r="W810" s="110">
        <v>2334.7570000000001</v>
      </c>
      <c r="X810" s="110">
        <v>1315.5550000000001</v>
      </c>
      <c r="Y810" s="110">
        <v>537.95000000000005</v>
      </c>
      <c r="Z810" s="110">
        <v>134.66300000000001</v>
      </c>
      <c r="AA810" s="110">
        <v>20.155999999999999</v>
      </c>
      <c r="AB810" s="110">
        <v>0.92700000000000005</v>
      </c>
      <c r="AC810" s="115">
        <f t="shared" si="36"/>
        <v>75972.163</v>
      </c>
      <c r="AD810">
        <f t="shared" si="37"/>
        <v>1.0068231697381718</v>
      </c>
    </row>
    <row r="811" spans="1:30" x14ac:dyDescent="0.25">
      <c r="A811" s="104" t="str">
        <f t="shared" si="35"/>
        <v>Pakistan2050</v>
      </c>
      <c r="C811" s="107" t="s">
        <v>257</v>
      </c>
      <c r="D811" s="108" t="s">
        <v>146</v>
      </c>
      <c r="E811" s="109"/>
      <c r="F811" s="109">
        <v>586</v>
      </c>
      <c r="G811" s="109">
        <v>2050</v>
      </c>
      <c r="H811" s="110">
        <v>12295.525</v>
      </c>
      <c r="I811" s="110">
        <v>12375.217000000001</v>
      </c>
      <c r="J811" s="110">
        <v>12189.237999999999</v>
      </c>
      <c r="K811" s="110">
        <v>11856.951999999999</v>
      </c>
      <c r="L811" s="110">
        <v>11647.875</v>
      </c>
      <c r="M811" s="110">
        <v>11631.106</v>
      </c>
      <c r="N811" s="110">
        <v>11574.556</v>
      </c>
      <c r="O811" s="110">
        <v>11157.823</v>
      </c>
      <c r="P811" s="110">
        <v>9977.1370000000006</v>
      </c>
      <c r="Q811" s="110">
        <v>8661.3250000000007</v>
      </c>
      <c r="R811" s="110">
        <v>8477.7369999999992</v>
      </c>
      <c r="S811" s="110">
        <v>7904.6660000000002</v>
      </c>
      <c r="T811" s="110">
        <v>6943.942</v>
      </c>
      <c r="U811" s="110">
        <v>5285.5559999999996</v>
      </c>
      <c r="V811" s="110">
        <v>3763.2779999999998</v>
      </c>
      <c r="W811" s="110">
        <v>2423.605</v>
      </c>
      <c r="X811" s="110">
        <v>1352.27</v>
      </c>
      <c r="Y811" s="110">
        <v>543.99099999999999</v>
      </c>
      <c r="Z811" s="110">
        <v>125.911</v>
      </c>
      <c r="AA811" s="110">
        <v>14.13</v>
      </c>
      <c r="AB811" s="110">
        <v>0.95799999999999996</v>
      </c>
      <c r="AC811" s="115">
        <f t="shared" si="36"/>
        <v>76506.774000000005</v>
      </c>
      <c r="AD811">
        <f t="shared" si="37"/>
        <v>1.0070369327249509</v>
      </c>
    </row>
    <row r="812" spans="1:30" x14ac:dyDescent="0.25">
      <c r="A812" s="104" t="str">
        <f t="shared" si="35"/>
        <v>Pakistan2051</v>
      </c>
      <c r="C812" s="107" t="s">
        <v>257</v>
      </c>
      <c r="D812" s="108" t="s">
        <v>146</v>
      </c>
      <c r="E812" s="109"/>
      <c r="F812" s="109">
        <v>586</v>
      </c>
      <c r="G812" s="109">
        <v>2051</v>
      </c>
      <c r="H812" s="110">
        <v>12229.028</v>
      </c>
      <c r="I812" s="110">
        <v>12378.293</v>
      </c>
      <c r="J812" s="110">
        <v>12236.811</v>
      </c>
      <c r="K812" s="110">
        <v>11904.88</v>
      </c>
      <c r="L812" s="110">
        <v>11656.404</v>
      </c>
      <c r="M812" s="110">
        <v>11615.103999999999</v>
      </c>
      <c r="N812" s="110">
        <v>11589.26</v>
      </c>
      <c r="O812" s="110">
        <v>11285.388999999999</v>
      </c>
      <c r="P812" s="110">
        <v>10231.709999999999</v>
      </c>
      <c r="Q812" s="110">
        <v>8810.0020000000004</v>
      </c>
      <c r="R812" s="110">
        <v>8465.9830000000002</v>
      </c>
      <c r="S812" s="110">
        <v>7977.3689999999997</v>
      </c>
      <c r="T812" s="110">
        <v>7089.5129999999999</v>
      </c>
      <c r="U812" s="110">
        <v>5486.9279999999999</v>
      </c>
      <c r="V812" s="110">
        <v>3890.7249999999999</v>
      </c>
      <c r="W812" s="110">
        <v>2500.7579999999998</v>
      </c>
      <c r="X812" s="110">
        <v>1397.3209999999999</v>
      </c>
      <c r="Y812" s="110">
        <v>586.78599999999994</v>
      </c>
      <c r="Z812" s="110">
        <v>150.71600000000001</v>
      </c>
      <c r="AA812" s="110">
        <v>17.657</v>
      </c>
      <c r="AB812" s="110">
        <v>0.99099999999999999</v>
      </c>
      <c r="AC812" s="115">
        <f t="shared" si="36"/>
        <v>77092.749000000011</v>
      </c>
      <c r="AD812">
        <f t="shared" si="37"/>
        <v>1.0076591257134957</v>
      </c>
    </row>
    <row r="813" spans="1:30" x14ac:dyDescent="0.25">
      <c r="A813" s="104" t="str">
        <f t="shared" si="35"/>
        <v>Pakistan2052</v>
      </c>
      <c r="C813" s="107" t="s">
        <v>257</v>
      </c>
      <c r="D813" s="108" t="s">
        <v>146</v>
      </c>
      <c r="E813" s="109"/>
      <c r="F813" s="109">
        <v>586</v>
      </c>
      <c r="G813" s="109">
        <v>2052</v>
      </c>
      <c r="H813" s="110">
        <v>12157.953</v>
      </c>
      <c r="I813" s="110">
        <v>12362.402</v>
      </c>
      <c r="J813" s="110">
        <v>12277.415000000001</v>
      </c>
      <c r="K813" s="110">
        <v>11959.401</v>
      </c>
      <c r="L813" s="110">
        <v>11671.824000000001</v>
      </c>
      <c r="M813" s="110">
        <v>11596.224</v>
      </c>
      <c r="N813" s="110">
        <v>11591.584000000001</v>
      </c>
      <c r="O813" s="110">
        <v>11373.432000000001</v>
      </c>
      <c r="P813" s="110">
        <v>10474.418</v>
      </c>
      <c r="Q813" s="110">
        <v>9030.5110000000004</v>
      </c>
      <c r="R813" s="110">
        <v>8427.1740000000009</v>
      </c>
      <c r="S813" s="110">
        <v>8055.7659999999996</v>
      </c>
      <c r="T813" s="110">
        <v>7208.835</v>
      </c>
      <c r="U813" s="110">
        <v>5711.7079999999996</v>
      </c>
      <c r="V813" s="110">
        <v>4028.58</v>
      </c>
      <c r="W813" s="110">
        <v>2587.6970000000001</v>
      </c>
      <c r="X813" s="110">
        <v>1436.279</v>
      </c>
      <c r="Y813" s="110">
        <v>617.94600000000003</v>
      </c>
      <c r="Z813" s="110">
        <v>167.87100000000001</v>
      </c>
      <c r="AA813" s="110">
        <v>23.94</v>
      </c>
      <c r="AB813" s="110">
        <v>1.0249999999999999</v>
      </c>
      <c r="AC813" s="115">
        <f t="shared" si="36"/>
        <v>77697.394</v>
      </c>
      <c r="AD813">
        <f t="shared" si="37"/>
        <v>1.007843085216743</v>
      </c>
    </row>
    <row r="814" spans="1:30" x14ac:dyDescent="0.25">
      <c r="A814" s="104" t="str">
        <f t="shared" si="35"/>
        <v>Pakistan2053</v>
      </c>
      <c r="C814" s="107" t="s">
        <v>257</v>
      </c>
      <c r="D814" s="108" t="s">
        <v>146</v>
      </c>
      <c r="E814" s="109"/>
      <c r="F814" s="109">
        <v>586</v>
      </c>
      <c r="G814" s="109">
        <v>2053</v>
      </c>
      <c r="H814" s="110">
        <v>12083.152</v>
      </c>
      <c r="I814" s="110">
        <v>12326.322</v>
      </c>
      <c r="J814" s="110">
        <v>12309.944</v>
      </c>
      <c r="K814" s="110">
        <v>12018.029</v>
      </c>
      <c r="L814" s="110">
        <v>11694.291999999999</v>
      </c>
      <c r="M814" s="110">
        <v>11577.418</v>
      </c>
      <c r="N814" s="110">
        <v>11584.183000000001</v>
      </c>
      <c r="O814" s="110">
        <v>11428.85</v>
      </c>
      <c r="P814" s="110">
        <v>10697.266</v>
      </c>
      <c r="Q814" s="110">
        <v>9299.777</v>
      </c>
      <c r="R814" s="110">
        <v>8390.8130000000001</v>
      </c>
      <c r="S814" s="110">
        <v>8130.2929999999997</v>
      </c>
      <c r="T814" s="110">
        <v>7310.01</v>
      </c>
      <c r="U814" s="110">
        <v>5945.7049999999999</v>
      </c>
      <c r="V814" s="110">
        <v>4182.2510000000002</v>
      </c>
      <c r="W814" s="110">
        <v>2686.681</v>
      </c>
      <c r="X814" s="110">
        <v>1475.3130000000001</v>
      </c>
      <c r="Y814" s="110">
        <v>635.86400000000003</v>
      </c>
      <c r="Z814" s="110">
        <v>177.946</v>
      </c>
      <c r="AA814" s="110">
        <v>28.640999999999998</v>
      </c>
      <c r="AB814" s="110">
        <v>1.0660000000000001</v>
      </c>
      <c r="AC814" s="115">
        <f t="shared" si="36"/>
        <v>78299.815000000002</v>
      </c>
      <c r="AD814">
        <f t="shared" si="37"/>
        <v>1.0077534260672887</v>
      </c>
    </row>
    <row r="815" spans="1:30" x14ac:dyDescent="0.25">
      <c r="A815" s="104" t="str">
        <f t="shared" si="35"/>
        <v>Pakistan2054</v>
      </c>
      <c r="C815" s="107" t="s">
        <v>257</v>
      </c>
      <c r="D815" s="108" t="s">
        <v>146</v>
      </c>
      <c r="E815" s="109"/>
      <c r="F815" s="109">
        <v>586</v>
      </c>
      <c r="G815" s="109">
        <v>2054</v>
      </c>
      <c r="H815" s="110">
        <v>12005.284</v>
      </c>
      <c r="I815" s="110">
        <v>12272.985000000001</v>
      </c>
      <c r="J815" s="110">
        <v>12331.263000000001</v>
      </c>
      <c r="K815" s="110">
        <v>12075.919</v>
      </c>
      <c r="L815" s="110">
        <v>11723.822</v>
      </c>
      <c r="M815" s="110">
        <v>11562.449000000001</v>
      </c>
      <c r="N815" s="110">
        <v>11569.246999999999</v>
      </c>
      <c r="O815" s="110">
        <v>11463.706</v>
      </c>
      <c r="P815" s="110">
        <v>10891.852000000001</v>
      </c>
      <c r="Q815" s="110">
        <v>9579.8870000000006</v>
      </c>
      <c r="R815" s="110">
        <v>8402.2939999999999</v>
      </c>
      <c r="S815" s="110">
        <v>8185.3940000000002</v>
      </c>
      <c r="T815" s="110">
        <v>7406.2619999999997</v>
      </c>
      <c r="U815" s="110">
        <v>6168.0929999999998</v>
      </c>
      <c r="V815" s="110">
        <v>4358.8869999999997</v>
      </c>
      <c r="W815" s="110">
        <v>2798.8919999999998</v>
      </c>
      <c r="X815" s="110">
        <v>1520.021</v>
      </c>
      <c r="Y815" s="110">
        <v>645.16300000000001</v>
      </c>
      <c r="Z815" s="110">
        <v>176.69</v>
      </c>
      <c r="AA815" s="110">
        <v>28.253</v>
      </c>
      <c r="AB815" s="110">
        <v>1.1180000000000001</v>
      </c>
      <c r="AC815" s="115">
        <f t="shared" si="36"/>
        <v>78866.882000000012</v>
      </c>
      <c r="AD815">
        <f t="shared" si="37"/>
        <v>1.007242252104938</v>
      </c>
    </row>
    <row r="816" spans="1:30" x14ac:dyDescent="0.25">
      <c r="A816" s="104" t="str">
        <f t="shared" si="35"/>
        <v>Pakistan2055</v>
      </c>
      <c r="C816" s="107" t="s">
        <v>257</v>
      </c>
      <c r="D816" s="108" t="s">
        <v>146</v>
      </c>
      <c r="E816" s="109"/>
      <c r="F816" s="109">
        <v>586</v>
      </c>
      <c r="G816" s="109">
        <v>2055</v>
      </c>
      <c r="H816" s="110">
        <v>11925.378000000001</v>
      </c>
      <c r="I816" s="110">
        <v>12208.204</v>
      </c>
      <c r="J816" s="110">
        <v>12336.626</v>
      </c>
      <c r="K816" s="110">
        <v>12128.811</v>
      </c>
      <c r="L816" s="110">
        <v>11760.566999999999</v>
      </c>
      <c r="M816" s="110">
        <v>11553.985000000001</v>
      </c>
      <c r="N816" s="110">
        <v>11548.527</v>
      </c>
      <c r="O816" s="110">
        <v>11486.166999999999</v>
      </c>
      <c r="P816" s="110">
        <v>11052.478999999999</v>
      </c>
      <c r="Q816" s="110">
        <v>9845.1839999999993</v>
      </c>
      <c r="R816" s="110">
        <v>8488.4619999999995</v>
      </c>
      <c r="S816" s="110">
        <v>8213.9179999999997</v>
      </c>
      <c r="T816" s="110">
        <v>7504.7349999999997</v>
      </c>
      <c r="U816" s="110">
        <v>6366.2920000000004</v>
      </c>
      <c r="V816" s="110">
        <v>4561.067</v>
      </c>
      <c r="W816" s="110">
        <v>2925.489</v>
      </c>
      <c r="X816" s="110">
        <v>1574.2439999999999</v>
      </c>
      <c r="Y816" s="110">
        <v>648.43499999999995</v>
      </c>
      <c r="Z816" s="110">
        <v>163.506</v>
      </c>
      <c r="AA816" s="110">
        <v>20.091000000000001</v>
      </c>
      <c r="AB816" s="110">
        <v>1.1839999999999999</v>
      </c>
      <c r="AC816" s="115">
        <f t="shared" si="36"/>
        <v>79375.719999999987</v>
      </c>
      <c r="AD816">
        <f t="shared" si="37"/>
        <v>1.006451858969142</v>
      </c>
    </row>
    <row r="817" spans="1:30" x14ac:dyDescent="0.25">
      <c r="A817" s="104" t="str">
        <f t="shared" si="35"/>
        <v>Pakistan2056</v>
      </c>
      <c r="C817" s="107" t="s">
        <v>257</v>
      </c>
      <c r="D817" s="108" t="s">
        <v>146</v>
      </c>
      <c r="E817" s="109"/>
      <c r="F817" s="109">
        <v>586</v>
      </c>
      <c r="G817" s="109">
        <v>2056</v>
      </c>
      <c r="H817" s="110">
        <v>11854.558000000001</v>
      </c>
      <c r="I817" s="110">
        <v>12153.718000000001</v>
      </c>
      <c r="J817" s="110">
        <v>12330.151</v>
      </c>
      <c r="K817" s="110">
        <v>12177.433999999999</v>
      </c>
      <c r="L817" s="110">
        <v>11813.460999999999</v>
      </c>
      <c r="M817" s="110">
        <v>11563.837</v>
      </c>
      <c r="N817" s="110">
        <v>11531.939</v>
      </c>
      <c r="O817" s="110">
        <v>11501.11</v>
      </c>
      <c r="P817" s="110">
        <v>11178.793</v>
      </c>
      <c r="Q817" s="110">
        <v>10095.951999999999</v>
      </c>
      <c r="R817" s="110">
        <v>8634.2839999999997</v>
      </c>
      <c r="S817" s="110">
        <v>8199.9809999999998</v>
      </c>
      <c r="T817" s="110">
        <v>7571.98</v>
      </c>
      <c r="U817" s="110">
        <v>6495.4269999999997</v>
      </c>
      <c r="V817" s="110">
        <v>4736.058</v>
      </c>
      <c r="W817" s="110">
        <v>3030.6660000000002</v>
      </c>
      <c r="X817" s="110">
        <v>1641.461</v>
      </c>
      <c r="Y817" s="110">
        <v>693.01199999999994</v>
      </c>
      <c r="Z817" s="110">
        <v>191.52699999999999</v>
      </c>
      <c r="AA817" s="110">
        <v>24.736999999999998</v>
      </c>
      <c r="AB817" s="110">
        <v>1.2669999999999999</v>
      </c>
      <c r="AC817" s="115">
        <f t="shared" si="36"/>
        <v>79862.525999999998</v>
      </c>
      <c r="AD817">
        <f t="shared" si="37"/>
        <v>1.0061329333453606</v>
      </c>
    </row>
    <row r="818" spans="1:30" x14ac:dyDescent="0.25">
      <c r="A818" s="104" t="str">
        <f t="shared" si="35"/>
        <v>Pakistan2057</v>
      </c>
      <c r="C818" s="107" t="s">
        <v>257</v>
      </c>
      <c r="D818" s="108" t="s">
        <v>146</v>
      </c>
      <c r="E818" s="109"/>
      <c r="F818" s="109">
        <v>586</v>
      </c>
      <c r="G818" s="109">
        <v>2057</v>
      </c>
      <c r="H818" s="110">
        <v>11783.450999999999</v>
      </c>
      <c r="I818" s="110">
        <v>12089.741</v>
      </c>
      <c r="J818" s="110">
        <v>12308.636</v>
      </c>
      <c r="K818" s="110">
        <v>12219.143</v>
      </c>
      <c r="L818" s="110">
        <v>11871.616</v>
      </c>
      <c r="M818" s="110">
        <v>11580.882</v>
      </c>
      <c r="N818" s="110">
        <v>11513.436</v>
      </c>
      <c r="O818" s="110">
        <v>11504.481</v>
      </c>
      <c r="P818" s="110">
        <v>11266.95</v>
      </c>
      <c r="Q818" s="110">
        <v>10336.61</v>
      </c>
      <c r="R818" s="110">
        <v>8852.0220000000008</v>
      </c>
      <c r="S818" s="110">
        <v>8162.2849999999999</v>
      </c>
      <c r="T818" s="110">
        <v>7648.0050000000001</v>
      </c>
      <c r="U818" s="110">
        <v>6605.1360000000004</v>
      </c>
      <c r="V818" s="110">
        <v>4933.2960000000003</v>
      </c>
      <c r="W818" s="110">
        <v>3140.9470000000001</v>
      </c>
      <c r="X818" s="110">
        <v>1706.7149999999999</v>
      </c>
      <c r="Y818" s="110">
        <v>724.12800000000004</v>
      </c>
      <c r="Z818" s="110">
        <v>209.96299999999999</v>
      </c>
      <c r="AA818" s="110">
        <v>32.670999999999999</v>
      </c>
      <c r="AB818" s="110">
        <v>1.365</v>
      </c>
      <c r="AC818" s="115">
        <f t="shared" si="36"/>
        <v>80293.118000000002</v>
      </c>
      <c r="AD818">
        <f t="shared" si="37"/>
        <v>1.0053916651722237</v>
      </c>
    </row>
    <row r="819" spans="1:30" x14ac:dyDescent="0.25">
      <c r="A819" s="104" t="str">
        <f t="shared" si="35"/>
        <v>Pakistan2058</v>
      </c>
      <c r="C819" s="107" t="s">
        <v>257</v>
      </c>
      <c r="D819" s="108" t="s">
        <v>146</v>
      </c>
      <c r="E819" s="109"/>
      <c r="F819" s="109">
        <v>586</v>
      </c>
      <c r="G819" s="109">
        <v>2058</v>
      </c>
      <c r="H819" s="110">
        <v>11712.513999999999</v>
      </c>
      <c r="I819" s="110">
        <v>12016.549000000001</v>
      </c>
      <c r="J819" s="110">
        <v>12274.036</v>
      </c>
      <c r="K819" s="110">
        <v>12252.166999999999</v>
      </c>
      <c r="L819" s="110">
        <v>11931.413</v>
      </c>
      <c r="M819" s="110">
        <v>11605.026</v>
      </c>
      <c r="N819" s="110">
        <v>11496.141</v>
      </c>
      <c r="O819" s="110">
        <v>11498.51</v>
      </c>
      <c r="P819" s="110">
        <v>11323.624</v>
      </c>
      <c r="Q819" s="110">
        <v>10559.053</v>
      </c>
      <c r="R819" s="110">
        <v>9118.44</v>
      </c>
      <c r="S819" s="110">
        <v>8129.5889999999999</v>
      </c>
      <c r="T819" s="110">
        <v>7722.9960000000001</v>
      </c>
      <c r="U819" s="110">
        <v>6703.5060000000003</v>
      </c>
      <c r="V819" s="110">
        <v>5141.116</v>
      </c>
      <c r="W819" s="110">
        <v>3263.8820000000001</v>
      </c>
      <c r="X819" s="110">
        <v>1773.454</v>
      </c>
      <c r="Y819" s="110">
        <v>742.62300000000005</v>
      </c>
      <c r="Z819" s="110">
        <v>219.73</v>
      </c>
      <c r="AA819" s="110">
        <v>38.457000000000001</v>
      </c>
      <c r="AB819" s="110">
        <v>1.4750000000000001</v>
      </c>
      <c r="AC819" s="115">
        <f t="shared" si="36"/>
        <v>80665.934000000008</v>
      </c>
      <c r="AD819">
        <f t="shared" si="37"/>
        <v>1.0046431874771635</v>
      </c>
    </row>
    <row r="820" spans="1:30" x14ac:dyDescent="0.25">
      <c r="A820" s="104" t="str">
        <f t="shared" si="35"/>
        <v>Pakistan2059</v>
      </c>
      <c r="C820" s="107" t="s">
        <v>257</v>
      </c>
      <c r="D820" s="108" t="s">
        <v>146</v>
      </c>
      <c r="E820" s="109"/>
      <c r="F820" s="109">
        <v>586</v>
      </c>
      <c r="G820" s="109">
        <v>2059</v>
      </c>
      <c r="H820" s="110">
        <v>11643.028</v>
      </c>
      <c r="I820" s="110">
        <v>11935.752</v>
      </c>
      <c r="J820" s="110">
        <v>12228.751</v>
      </c>
      <c r="K820" s="110">
        <v>12273.4</v>
      </c>
      <c r="L820" s="110">
        <v>11988.01</v>
      </c>
      <c r="M820" s="110">
        <v>11635.887000000001</v>
      </c>
      <c r="N820" s="110">
        <v>11483.511</v>
      </c>
      <c r="O820" s="110">
        <v>11485.21</v>
      </c>
      <c r="P820" s="110">
        <v>11360.534</v>
      </c>
      <c r="Q820" s="110">
        <v>10754.468000000001</v>
      </c>
      <c r="R820" s="110">
        <v>9396.3150000000005</v>
      </c>
      <c r="S820" s="110">
        <v>8146.0060000000003</v>
      </c>
      <c r="T820" s="110">
        <v>7781.78</v>
      </c>
      <c r="U820" s="110">
        <v>6802.1170000000002</v>
      </c>
      <c r="V820" s="110">
        <v>5341.7830000000004</v>
      </c>
      <c r="W820" s="110">
        <v>3407.6669999999999</v>
      </c>
      <c r="X820" s="110">
        <v>1844.6179999999999</v>
      </c>
      <c r="Y820" s="110">
        <v>756.06700000000001</v>
      </c>
      <c r="Z820" s="110">
        <v>216.47200000000001</v>
      </c>
      <c r="AA820" s="110">
        <v>37.677</v>
      </c>
      <c r="AB820" s="110">
        <v>1.591</v>
      </c>
      <c r="AC820" s="115">
        <f t="shared" si="36"/>
        <v>80981.01999999999</v>
      </c>
      <c r="AD820">
        <f t="shared" si="37"/>
        <v>1.0039060602707455</v>
      </c>
    </row>
    <row r="821" spans="1:30" x14ac:dyDescent="0.25">
      <c r="A821" s="104" t="str">
        <f t="shared" si="35"/>
        <v>Pakistan2060</v>
      </c>
      <c r="C821" s="107" t="s">
        <v>257</v>
      </c>
      <c r="D821" s="108" t="s">
        <v>146</v>
      </c>
      <c r="E821" s="109"/>
      <c r="F821" s="109">
        <v>586</v>
      </c>
      <c r="G821" s="109">
        <v>2060</v>
      </c>
      <c r="H821" s="110">
        <v>11576.918</v>
      </c>
      <c r="I821" s="110">
        <v>11849.835999999999</v>
      </c>
      <c r="J821" s="110">
        <v>12173.404</v>
      </c>
      <c r="K821" s="110">
        <v>12280.316999999999</v>
      </c>
      <c r="L821" s="110">
        <v>12038.380999999999</v>
      </c>
      <c r="M821" s="110">
        <v>11672.821</v>
      </c>
      <c r="N821" s="110">
        <v>11477.558000000001</v>
      </c>
      <c r="O821" s="110">
        <v>11466.556</v>
      </c>
      <c r="P821" s="110">
        <v>11385.558000000001</v>
      </c>
      <c r="Q821" s="110">
        <v>10916.814</v>
      </c>
      <c r="R821" s="110">
        <v>9660.7900000000009</v>
      </c>
      <c r="S821" s="110">
        <v>8237.1679999999997</v>
      </c>
      <c r="T821" s="110">
        <v>7817.51</v>
      </c>
      <c r="U821" s="110">
        <v>6906.4390000000003</v>
      </c>
      <c r="V821" s="110">
        <v>5525.1670000000004</v>
      </c>
      <c r="W821" s="110">
        <v>3575.8380000000002</v>
      </c>
      <c r="X821" s="110">
        <v>1923.6959999999999</v>
      </c>
      <c r="Y821" s="110">
        <v>768.16800000000001</v>
      </c>
      <c r="Z821" s="110">
        <v>199.72399999999999</v>
      </c>
      <c r="AA821" s="110">
        <v>26.925999999999998</v>
      </c>
      <c r="AB821" s="110">
        <v>1.7110000000000001</v>
      </c>
      <c r="AC821" s="115">
        <f t="shared" si="36"/>
        <v>81238.005000000005</v>
      </c>
      <c r="AD821">
        <f t="shared" si="37"/>
        <v>1.0031733979147215</v>
      </c>
    </row>
    <row r="822" spans="1:30" x14ac:dyDescent="0.25">
      <c r="A822" s="104" t="str">
        <f t="shared" si="35"/>
        <v>Pakistan2061</v>
      </c>
      <c r="C822" s="107" t="s">
        <v>257</v>
      </c>
      <c r="D822" s="108" t="s">
        <v>146</v>
      </c>
      <c r="E822" s="109"/>
      <c r="F822" s="109">
        <v>586</v>
      </c>
      <c r="G822" s="109">
        <v>2061</v>
      </c>
      <c r="H822" s="110">
        <v>11532.807000000001</v>
      </c>
      <c r="I822" s="110">
        <v>11779.477000000001</v>
      </c>
      <c r="J822" s="110">
        <v>12113.04</v>
      </c>
      <c r="K822" s="110">
        <v>12274.406999999999</v>
      </c>
      <c r="L822" s="110">
        <v>12091.441999999999</v>
      </c>
      <c r="M822" s="110">
        <v>11726.591</v>
      </c>
      <c r="N822" s="110">
        <v>11486.505999999999</v>
      </c>
      <c r="O822" s="110">
        <v>11450.07</v>
      </c>
      <c r="P822" s="110">
        <v>11399.99</v>
      </c>
      <c r="Q822" s="110">
        <v>11040.718000000001</v>
      </c>
      <c r="R822" s="110">
        <v>9905.6239999999998</v>
      </c>
      <c r="S822" s="110">
        <v>8377.9969999999994</v>
      </c>
      <c r="T822" s="110">
        <v>7800.82</v>
      </c>
      <c r="U822" s="110">
        <v>6965.9279999999999</v>
      </c>
      <c r="V822" s="110">
        <v>5634.2690000000002</v>
      </c>
      <c r="W822" s="110">
        <v>3721.7220000000002</v>
      </c>
      <c r="X822" s="110">
        <v>2011.672</v>
      </c>
      <c r="Y822" s="110">
        <v>828.72400000000005</v>
      </c>
      <c r="Z822" s="110">
        <v>230.69900000000001</v>
      </c>
      <c r="AA822" s="110">
        <v>32.238999999999997</v>
      </c>
      <c r="AB822" s="110">
        <v>1.8340000000000001</v>
      </c>
      <c r="AC822" s="115">
        <f t="shared" si="36"/>
        <v>81469.724000000017</v>
      </c>
      <c r="AD822">
        <f t="shared" si="37"/>
        <v>1.0028523472480646</v>
      </c>
    </row>
    <row r="823" spans="1:30" x14ac:dyDescent="0.25">
      <c r="A823" s="104" t="str">
        <f t="shared" si="35"/>
        <v>Pakistan2062</v>
      </c>
      <c r="C823" s="107" t="s">
        <v>257</v>
      </c>
      <c r="D823" s="108" t="s">
        <v>146</v>
      </c>
      <c r="E823" s="109"/>
      <c r="F823" s="109">
        <v>586</v>
      </c>
      <c r="G823" s="109">
        <v>2062</v>
      </c>
      <c r="H823" s="110">
        <v>11483.832</v>
      </c>
      <c r="I823" s="110">
        <v>11711.248</v>
      </c>
      <c r="J823" s="110">
        <v>12045.233</v>
      </c>
      <c r="K823" s="110">
        <v>12253.217000000001</v>
      </c>
      <c r="L823" s="110">
        <v>12136.554</v>
      </c>
      <c r="M823" s="110">
        <v>11786.084000000001</v>
      </c>
      <c r="N823" s="110">
        <v>11503.674999999999</v>
      </c>
      <c r="O823" s="110">
        <v>11432.539000000001</v>
      </c>
      <c r="P823" s="110">
        <v>11404.047</v>
      </c>
      <c r="Q823" s="110">
        <v>11128.508</v>
      </c>
      <c r="R823" s="110">
        <v>10142.971</v>
      </c>
      <c r="S823" s="110">
        <v>8590.7749999999996</v>
      </c>
      <c r="T823" s="110">
        <v>7764.9279999999999</v>
      </c>
      <c r="U823" s="110">
        <v>7037.5969999999998</v>
      </c>
      <c r="V823" s="110">
        <v>5730.3860000000004</v>
      </c>
      <c r="W823" s="110">
        <v>3882.788</v>
      </c>
      <c r="X823" s="110">
        <v>2093.29</v>
      </c>
      <c r="Y823" s="110">
        <v>875.31200000000001</v>
      </c>
      <c r="Z823" s="110">
        <v>250.559</v>
      </c>
      <c r="AA823" s="110">
        <v>41.485999999999997</v>
      </c>
      <c r="AB823" s="110">
        <v>1.962</v>
      </c>
      <c r="AC823" s="115">
        <f t="shared" si="36"/>
        <v>81644.624000000011</v>
      </c>
      <c r="AD823">
        <f t="shared" si="37"/>
        <v>1.0021468097768442</v>
      </c>
    </row>
    <row r="824" spans="1:30" x14ac:dyDescent="0.25">
      <c r="A824" s="104" t="str">
        <f t="shared" si="35"/>
        <v>Pakistan2063</v>
      </c>
      <c r="C824" s="107" t="s">
        <v>257</v>
      </c>
      <c r="D824" s="108" t="s">
        <v>146</v>
      </c>
      <c r="E824" s="109"/>
      <c r="F824" s="109">
        <v>586</v>
      </c>
      <c r="G824" s="109">
        <v>2063</v>
      </c>
      <c r="H824" s="110">
        <v>11432.115</v>
      </c>
      <c r="I824" s="110">
        <v>11645.040999999999</v>
      </c>
      <c r="J824" s="110">
        <v>11971.798000000001</v>
      </c>
      <c r="K824" s="110">
        <v>12218.948</v>
      </c>
      <c r="L824" s="110">
        <v>12170.771000000001</v>
      </c>
      <c r="M824" s="110">
        <v>11847.364</v>
      </c>
      <c r="N824" s="110">
        <v>11529.058000000001</v>
      </c>
      <c r="O824" s="110">
        <v>11416.605</v>
      </c>
      <c r="P824" s="110">
        <v>11399.644</v>
      </c>
      <c r="Q824" s="110">
        <v>11186.531000000001</v>
      </c>
      <c r="R824" s="110">
        <v>10364.32</v>
      </c>
      <c r="S824" s="110">
        <v>8852.3700000000008</v>
      </c>
      <c r="T824" s="110">
        <v>7737.3190000000004</v>
      </c>
      <c r="U824" s="110">
        <v>7112.1940000000004</v>
      </c>
      <c r="V824" s="110">
        <v>5822.3729999999996</v>
      </c>
      <c r="W824" s="110">
        <v>4051.7669999999998</v>
      </c>
      <c r="X824" s="110">
        <v>2176.6039999999998</v>
      </c>
      <c r="Y824" s="110">
        <v>907.21299999999997</v>
      </c>
      <c r="Z824" s="110">
        <v>261.49299999999999</v>
      </c>
      <c r="AA824" s="110">
        <v>48.207000000000001</v>
      </c>
      <c r="AB824" s="110">
        <v>2.0920000000000001</v>
      </c>
      <c r="AC824" s="115">
        <f t="shared" si="36"/>
        <v>81768.921000000002</v>
      </c>
      <c r="AD824">
        <f t="shared" si="37"/>
        <v>1.001522414996975</v>
      </c>
    </row>
    <row r="825" spans="1:30" x14ac:dyDescent="0.25">
      <c r="A825" s="104" t="str">
        <f t="shared" si="35"/>
        <v>Pakistan2064</v>
      </c>
      <c r="C825" s="107" t="s">
        <v>257</v>
      </c>
      <c r="D825" s="108" t="s">
        <v>146</v>
      </c>
      <c r="E825" s="109"/>
      <c r="F825" s="109">
        <v>586</v>
      </c>
      <c r="G825" s="109">
        <v>2064</v>
      </c>
      <c r="H825" s="110">
        <v>11380.203</v>
      </c>
      <c r="I825" s="110">
        <v>11579.337</v>
      </c>
      <c r="J825" s="110">
        <v>11895.558000000001</v>
      </c>
      <c r="K825" s="110">
        <v>12174.388999999999</v>
      </c>
      <c r="L825" s="110">
        <v>12191.012000000001</v>
      </c>
      <c r="M825" s="110">
        <v>11905.286</v>
      </c>
      <c r="N825" s="110">
        <v>11562.061</v>
      </c>
      <c r="O825" s="110">
        <v>11405.597</v>
      </c>
      <c r="P825" s="110">
        <v>11388.66</v>
      </c>
      <c r="Q825" s="110">
        <v>11226.112999999999</v>
      </c>
      <c r="R825" s="110">
        <v>10560.36</v>
      </c>
      <c r="S825" s="110">
        <v>9126.8029999999999</v>
      </c>
      <c r="T825" s="110">
        <v>7760.3990000000003</v>
      </c>
      <c r="U825" s="110">
        <v>7175.5309999999999</v>
      </c>
      <c r="V825" s="110">
        <v>5920.2079999999996</v>
      </c>
      <c r="W825" s="110">
        <v>4215.7929999999997</v>
      </c>
      <c r="X825" s="110">
        <v>2270.5079999999998</v>
      </c>
      <c r="Y825" s="110">
        <v>932.64800000000002</v>
      </c>
      <c r="Z825" s="110">
        <v>258.81599999999997</v>
      </c>
      <c r="AA825" s="110">
        <v>47.082999999999998</v>
      </c>
      <c r="AB825" s="110">
        <v>2.226</v>
      </c>
      <c r="AC825" s="115">
        <f t="shared" si="36"/>
        <v>81853.118000000002</v>
      </c>
      <c r="AD825">
        <f t="shared" si="37"/>
        <v>1.0010296943994161</v>
      </c>
    </row>
    <row r="826" spans="1:30" x14ac:dyDescent="0.25">
      <c r="A826" s="104" t="str">
        <f t="shared" si="35"/>
        <v>Pakistan2065</v>
      </c>
      <c r="C826" s="107" t="s">
        <v>257</v>
      </c>
      <c r="D826" s="108" t="s">
        <v>146</v>
      </c>
      <c r="E826" s="109"/>
      <c r="F826" s="109">
        <v>586</v>
      </c>
      <c r="G826" s="109">
        <v>2065</v>
      </c>
      <c r="H826" s="110">
        <v>11331.079</v>
      </c>
      <c r="I826" s="110">
        <v>11511.483</v>
      </c>
      <c r="J826" s="110">
        <v>11818.796</v>
      </c>
      <c r="K826" s="110">
        <v>12121.34</v>
      </c>
      <c r="L826" s="110">
        <v>12196.004000000001</v>
      </c>
      <c r="M826" s="110">
        <v>11956.183999999999</v>
      </c>
      <c r="N826" s="110">
        <v>11601.543</v>
      </c>
      <c r="O826" s="110">
        <v>11401.832</v>
      </c>
      <c r="P826" s="110">
        <v>11373.01</v>
      </c>
      <c r="Q826" s="110">
        <v>11254.832</v>
      </c>
      <c r="R826" s="110">
        <v>10724.841</v>
      </c>
      <c r="S826" s="110">
        <v>9390.3140000000003</v>
      </c>
      <c r="T826" s="110">
        <v>7858.47</v>
      </c>
      <c r="U826" s="110">
        <v>7221.1379999999999</v>
      </c>
      <c r="V826" s="110">
        <v>6027.7889999999998</v>
      </c>
      <c r="W826" s="110">
        <v>4368.6779999999999</v>
      </c>
      <c r="X826" s="110">
        <v>2380.6869999999999</v>
      </c>
      <c r="Y826" s="110">
        <v>955.54899999999998</v>
      </c>
      <c r="Z826" s="110">
        <v>242.60300000000001</v>
      </c>
      <c r="AA826" s="110">
        <v>33.975000000000001</v>
      </c>
      <c r="AB826" s="110">
        <v>2.3639999999999999</v>
      </c>
      <c r="AC826" s="115">
        <f t="shared" si="36"/>
        <v>81904.744999999995</v>
      </c>
      <c r="AD826">
        <f t="shared" si="37"/>
        <v>1.0006307273474908</v>
      </c>
    </row>
    <row r="827" spans="1:30" x14ac:dyDescent="0.25">
      <c r="A827" s="104" t="str">
        <f t="shared" si="35"/>
        <v>Pakistan2066</v>
      </c>
      <c r="C827" s="107" t="s">
        <v>257</v>
      </c>
      <c r="D827" s="108" t="s">
        <v>146</v>
      </c>
      <c r="E827" s="109"/>
      <c r="F827" s="109">
        <v>586</v>
      </c>
      <c r="G827" s="109">
        <v>2066</v>
      </c>
      <c r="H827" s="110">
        <v>11302.1</v>
      </c>
      <c r="I827" s="110">
        <v>11458.008</v>
      </c>
      <c r="J827" s="110">
        <v>11746.296</v>
      </c>
      <c r="K827" s="110">
        <v>12061.034</v>
      </c>
      <c r="L827" s="110">
        <v>12193.894</v>
      </c>
      <c r="M827" s="110">
        <v>12009.632</v>
      </c>
      <c r="N827" s="110">
        <v>11653.861000000001</v>
      </c>
      <c r="O827" s="110">
        <v>11410.261</v>
      </c>
      <c r="P827" s="110">
        <v>11355.736000000001</v>
      </c>
      <c r="Q827" s="110">
        <v>11268.021000000001</v>
      </c>
      <c r="R827" s="110">
        <v>10845.21</v>
      </c>
      <c r="S827" s="110">
        <v>9626.1479999999992</v>
      </c>
      <c r="T827" s="110">
        <v>7993.3850000000002</v>
      </c>
      <c r="U827" s="110">
        <v>7203.03</v>
      </c>
      <c r="V827" s="110">
        <v>6082.665</v>
      </c>
      <c r="W827" s="110">
        <v>4462.6509999999998</v>
      </c>
      <c r="X827" s="110">
        <v>2505.4540000000002</v>
      </c>
      <c r="Y827" s="110">
        <v>1033.3900000000001</v>
      </c>
      <c r="Z827" s="110">
        <v>282.78100000000001</v>
      </c>
      <c r="AA827" s="110">
        <v>40.130000000000003</v>
      </c>
      <c r="AB827" s="110">
        <v>2.5070000000000001</v>
      </c>
      <c r="AC827" s="115">
        <f t="shared" si="36"/>
        <v>81952.439000000013</v>
      </c>
      <c r="AD827">
        <f t="shared" si="37"/>
        <v>1.0005823105853027</v>
      </c>
    </row>
    <row r="828" spans="1:30" x14ac:dyDescent="0.25">
      <c r="A828" s="104" t="str">
        <f t="shared" si="35"/>
        <v>Pakistan2067</v>
      </c>
      <c r="C828" s="107" t="s">
        <v>257</v>
      </c>
      <c r="D828" s="108" t="s">
        <v>146</v>
      </c>
      <c r="E828" s="109"/>
      <c r="F828" s="109">
        <v>586</v>
      </c>
      <c r="G828" s="109">
        <v>2067</v>
      </c>
      <c r="H828" s="110">
        <v>11263.773999999999</v>
      </c>
      <c r="I828" s="110">
        <v>11409.416999999999</v>
      </c>
      <c r="J828" s="110">
        <v>11676.522000000001</v>
      </c>
      <c r="K828" s="110">
        <v>11992.700999999999</v>
      </c>
      <c r="L828" s="110">
        <v>12175.691999999999</v>
      </c>
      <c r="M828" s="110">
        <v>12055.704</v>
      </c>
      <c r="N828" s="110">
        <v>11712.995000000001</v>
      </c>
      <c r="O828" s="110">
        <v>11427.798000000001</v>
      </c>
      <c r="P828" s="110">
        <v>11338.574000000001</v>
      </c>
      <c r="Q828" s="110">
        <v>11272.391</v>
      </c>
      <c r="R828" s="110">
        <v>10932.273999999999</v>
      </c>
      <c r="S828" s="110">
        <v>9858.1129999999994</v>
      </c>
      <c r="T828" s="110">
        <v>8199.5079999999998</v>
      </c>
      <c r="U828" s="110">
        <v>7170.7969999999996</v>
      </c>
      <c r="V828" s="110">
        <v>6150.7830000000004</v>
      </c>
      <c r="W828" s="110">
        <v>4545.82</v>
      </c>
      <c r="X828" s="110">
        <v>2630.681</v>
      </c>
      <c r="Y828" s="110">
        <v>1092.154</v>
      </c>
      <c r="Z828" s="110">
        <v>310.40600000000001</v>
      </c>
      <c r="AA828" s="110">
        <v>51.067999999999998</v>
      </c>
      <c r="AB828" s="110">
        <v>2.6560000000000001</v>
      </c>
      <c r="AC828" s="115">
        <f t="shared" si="36"/>
        <v>81975.85500000001</v>
      </c>
      <c r="AD828">
        <f t="shared" si="37"/>
        <v>1.0002857267005805</v>
      </c>
    </row>
    <row r="829" spans="1:30" x14ac:dyDescent="0.25">
      <c r="A829" s="104" t="str">
        <f t="shared" si="35"/>
        <v>Pakistan2068</v>
      </c>
      <c r="C829" s="107" t="s">
        <v>257</v>
      </c>
      <c r="D829" s="108" t="s">
        <v>146</v>
      </c>
      <c r="E829" s="109"/>
      <c r="F829" s="109">
        <v>586</v>
      </c>
      <c r="G829" s="109">
        <v>2068</v>
      </c>
      <c r="H829" s="110">
        <v>11219.296</v>
      </c>
      <c r="I829" s="110">
        <v>11364.47</v>
      </c>
      <c r="J829" s="110">
        <v>11609.370999999999</v>
      </c>
      <c r="K829" s="110">
        <v>11919.446</v>
      </c>
      <c r="L829" s="110">
        <v>12142.53</v>
      </c>
      <c r="M829" s="110">
        <v>12091.164000000001</v>
      </c>
      <c r="N829" s="110">
        <v>11775.127</v>
      </c>
      <c r="O829" s="110">
        <v>11454.023999999999</v>
      </c>
      <c r="P829" s="110">
        <v>11323.906999999999</v>
      </c>
      <c r="Q829" s="110">
        <v>11269.584999999999</v>
      </c>
      <c r="R829" s="110">
        <v>10991.819</v>
      </c>
      <c r="S829" s="110">
        <v>10077.521000000001</v>
      </c>
      <c r="T829" s="110">
        <v>8453.9040000000005</v>
      </c>
      <c r="U829" s="110">
        <v>7151.0619999999999</v>
      </c>
      <c r="V829" s="110">
        <v>6224.9480000000003</v>
      </c>
      <c r="W829" s="110">
        <v>4629.0550000000003</v>
      </c>
      <c r="X829" s="110">
        <v>2752.4110000000001</v>
      </c>
      <c r="Y829" s="110">
        <v>1134.039</v>
      </c>
      <c r="Z829" s="110">
        <v>327.892</v>
      </c>
      <c r="AA829" s="110">
        <v>59.256</v>
      </c>
      <c r="AB829" s="110">
        <v>2.8119999999999998</v>
      </c>
      <c r="AC829" s="115">
        <f t="shared" si="36"/>
        <v>81975.782999999996</v>
      </c>
      <c r="AD829">
        <f t="shared" si="37"/>
        <v>0.99999912169260063</v>
      </c>
    </row>
    <row r="830" spans="1:30" x14ac:dyDescent="0.25">
      <c r="A830" s="104" t="str">
        <f t="shared" si="35"/>
        <v>Pakistan2069</v>
      </c>
      <c r="C830" s="107" t="s">
        <v>257</v>
      </c>
      <c r="D830" s="108" t="s">
        <v>146</v>
      </c>
      <c r="E830" s="109"/>
      <c r="F830" s="109">
        <v>586</v>
      </c>
      <c r="G830" s="109">
        <v>2069</v>
      </c>
      <c r="H830" s="110">
        <v>11172.168</v>
      </c>
      <c r="I830" s="110">
        <v>11320.342000000001</v>
      </c>
      <c r="J830" s="110">
        <v>11544.806</v>
      </c>
      <c r="K830" s="110">
        <v>11844.654</v>
      </c>
      <c r="L830" s="110">
        <v>12097.11</v>
      </c>
      <c r="M830" s="110">
        <v>12112.54</v>
      </c>
      <c r="N830" s="110">
        <v>11834.806</v>
      </c>
      <c r="O830" s="110">
        <v>11488.138000000001</v>
      </c>
      <c r="P830" s="110">
        <v>11314.819</v>
      </c>
      <c r="Q830" s="110">
        <v>11261.222</v>
      </c>
      <c r="R830" s="110">
        <v>11034.519</v>
      </c>
      <c r="S830" s="110">
        <v>10274.342000000001</v>
      </c>
      <c r="T830" s="110">
        <v>8722.6360000000004</v>
      </c>
      <c r="U830" s="110">
        <v>7184.067</v>
      </c>
      <c r="V830" s="110">
        <v>6292.9530000000004</v>
      </c>
      <c r="W830" s="110">
        <v>4720.7529999999997</v>
      </c>
      <c r="X830" s="110">
        <v>2863.451</v>
      </c>
      <c r="Y830" s="110">
        <v>1173.777</v>
      </c>
      <c r="Z830" s="110">
        <v>329.15300000000002</v>
      </c>
      <c r="AA830" s="110">
        <v>58.433</v>
      </c>
      <c r="AB830" s="110">
        <v>2.976</v>
      </c>
      <c r="AC830" s="115">
        <f t="shared" si="36"/>
        <v>81953.28899999999</v>
      </c>
      <c r="AD830">
        <f t="shared" si="37"/>
        <v>0.99972560188903581</v>
      </c>
    </row>
    <row r="831" spans="1:30" x14ac:dyDescent="0.25">
      <c r="A831" s="104" t="str">
        <f t="shared" si="35"/>
        <v>Pakistan2070</v>
      </c>
      <c r="C831" s="107" t="s">
        <v>257</v>
      </c>
      <c r="D831" s="108" t="s">
        <v>146</v>
      </c>
      <c r="E831" s="109"/>
      <c r="F831" s="109">
        <v>586</v>
      </c>
      <c r="G831" s="109">
        <v>2070</v>
      </c>
      <c r="H831" s="110">
        <v>11125.721</v>
      </c>
      <c r="I831" s="110">
        <v>11273.031000000001</v>
      </c>
      <c r="J831" s="110">
        <v>11483.116</v>
      </c>
      <c r="K831" s="110">
        <v>11770.458000000001</v>
      </c>
      <c r="L831" s="110">
        <v>12042.234</v>
      </c>
      <c r="M831" s="110">
        <v>12117.841</v>
      </c>
      <c r="N831" s="110">
        <v>11887.752</v>
      </c>
      <c r="O831" s="110">
        <v>11529.162</v>
      </c>
      <c r="P831" s="110">
        <v>11313.428</v>
      </c>
      <c r="Q831" s="110">
        <v>11249.005999999999</v>
      </c>
      <c r="R831" s="110">
        <v>11067.521000000001</v>
      </c>
      <c r="S831" s="110">
        <v>10441.669</v>
      </c>
      <c r="T831" s="110">
        <v>8983.8639999999996</v>
      </c>
      <c r="U831" s="110">
        <v>7291.9480000000003</v>
      </c>
      <c r="V831" s="110">
        <v>6349.29</v>
      </c>
      <c r="W831" s="110">
        <v>4823.4189999999999</v>
      </c>
      <c r="X831" s="110">
        <v>2963.768</v>
      </c>
      <c r="Y831" s="110">
        <v>1217.126</v>
      </c>
      <c r="Z831" s="110">
        <v>314.76600000000002</v>
      </c>
      <c r="AA831" s="110">
        <v>43.643999999999998</v>
      </c>
      <c r="AB831" s="110">
        <v>3.149</v>
      </c>
      <c r="AC831" s="115">
        <f t="shared" si="36"/>
        <v>81909.880999999994</v>
      </c>
      <c r="AD831">
        <f t="shared" si="37"/>
        <v>0.9994703324231442</v>
      </c>
    </row>
    <row r="832" spans="1:30" x14ac:dyDescent="0.25">
      <c r="A832" s="104" t="str">
        <f t="shared" si="35"/>
        <v>Pakistan2071</v>
      </c>
      <c r="C832" s="107" t="s">
        <v>257</v>
      </c>
      <c r="D832" s="108" t="s">
        <v>146</v>
      </c>
      <c r="E832" s="109"/>
      <c r="F832" s="109">
        <v>586</v>
      </c>
      <c r="G832" s="109">
        <v>2071</v>
      </c>
      <c r="H832" s="110">
        <v>11090.172</v>
      </c>
      <c r="I832" s="110">
        <v>11236.005999999999</v>
      </c>
      <c r="J832" s="110">
        <v>11428.599</v>
      </c>
      <c r="K832" s="110">
        <v>11698.468000000001</v>
      </c>
      <c r="L832" s="110">
        <v>11986.135</v>
      </c>
      <c r="M832" s="110">
        <v>12116.771000000001</v>
      </c>
      <c r="N832" s="110">
        <v>11940.305</v>
      </c>
      <c r="O832" s="110">
        <v>11581.281000000001</v>
      </c>
      <c r="P832" s="110">
        <v>11321.491</v>
      </c>
      <c r="Q832" s="110">
        <v>11231.416999999999</v>
      </c>
      <c r="R832" s="110">
        <v>11080.076999999999</v>
      </c>
      <c r="S832" s="110">
        <v>10557.518</v>
      </c>
      <c r="T832" s="110">
        <v>9207.6830000000009</v>
      </c>
      <c r="U832" s="110">
        <v>7419.4</v>
      </c>
      <c r="V832" s="110">
        <v>6333.527</v>
      </c>
      <c r="W832" s="110">
        <v>4878.5230000000001</v>
      </c>
      <c r="X832" s="110">
        <v>3052.2109999999998</v>
      </c>
      <c r="Y832" s="110">
        <v>1325.33</v>
      </c>
      <c r="Z832" s="110">
        <v>366.34300000000002</v>
      </c>
      <c r="AA832" s="110">
        <v>52.186</v>
      </c>
      <c r="AB832" s="110">
        <v>3.335</v>
      </c>
      <c r="AC832" s="115">
        <f t="shared" si="36"/>
        <v>81875.868000000002</v>
      </c>
      <c r="AD832">
        <f t="shared" si="37"/>
        <v>0.9995847509533069</v>
      </c>
    </row>
    <row r="833" spans="1:30" x14ac:dyDescent="0.25">
      <c r="A833" s="104" t="str">
        <f t="shared" si="35"/>
        <v>Pakistan2072</v>
      </c>
      <c r="C833" s="107" t="s">
        <v>257</v>
      </c>
      <c r="D833" s="108" t="s">
        <v>146</v>
      </c>
      <c r="E833" s="109"/>
      <c r="F833" s="109">
        <v>586</v>
      </c>
      <c r="G833" s="109">
        <v>2072</v>
      </c>
      <c r="H833" s="110">
        <v>11048.464</v>
      </c>
      <c r="I833" s="110">
        <v>11199.021000000001</v>
      </c>
      <c r="J833" s="110">
        <v>11379.17</v>
      </c>
      <c r="K833" s="110">
        <v>11628.065000000001</v>
      </c>
      <c r="L833" s="110">
        <v>11920.678</v>
      </c>
      <c r="M833" s="110">
        <v>12099.642</v>
      </c>
      <c r="N833" s="110">
        <v>11986.041999999999</v>
      </c>
      <c r="O833" s="110">
        <v>11640.572</v>
      </c>
      <c r="P833" s="110">
        <v>11339.168</v>
      </c>
      <c r="Q833" s="110">
        <v>11214.822</v>
      </c>
      <c r="R833" s="110">
        <v>11085.328</v>
      </c>
      <c r="S833" s="110">
        <v>10643.523999999999</v>
      </c>
      <c r="T833" s="110">
        <v>9432.18</v>
      </c>
      <c r="U833" s="110">
        <v>7615.2560000000003</v>
      </c>
      <c r="V833" s="110">
        <v>6307.366</v>
      </c>
      <c r="W833" s="110">
        <v>4942.4560000000001</v>
      </c>
      <c r="X833" s="110">
        <v>3124.6660000000002</v>
      </c>
      <c r="Y833" s="110">
        <v>1415.038</v>
      </c>
      <c r="Z833" s="110">
        <v>400.447</v>
      </c>
      <c r="AA833" s="110">
        <v>66.962999999999994</v>
      </c>
      <c r="AB833" s="110">
        <v>3.536</v>
      </c>
      <c r="AC833" s="115">
        <f t="shared" si="36"/>
        <v>81828.989000000001</v>
      </c>
      <c r="AD833">
        <f t="shared" si="37"/>
        <v>0.99942743813109869</v>
      </c>
    </row>
    <row r="834" spans="1:30" x14ac:dyDescent="0.25">
      <c r="A834" s="104" t="str">
        <f t="shared" si="35"/>
        <v>Pakistan2073</v>
      </c>
      <c r="C834" s="107" t="s">
        <v>257</v>
      </c>
      <c r="D834" s="108" t="s">
        <v>146</v>
      </c>
      <c r="E834" s="109"/>
      <c r="F834" s="109">
        <v>586</v>
      </c>
      <c r="G834" s="109">
        <v>2073</v>
      </c>
      <c r="H834" s="110">
        <v>11001.678</v>
      </c>
      <c r="I834" s="110">
        <v>11160.6</v>
      </c>
      <c r="J834" s="110">
        <v>11333.710999999999</v>
      </c>
      <c r="K834" s="110">
        <v>11560.785</v>
      </c>
      <c r="L834" s="110">
        <v>11848.27</v>
      </c>
      <c r="M834" s="110">
        <v>12067.608</v>
      </c>
      <c r="N834" s="110">
        <v>12022.136</v>
      </c>
      <c r="O834" s="110">
        <v>11703.134</v>
      </c>
      <c r="P834" s="110">
        <v>11366.116</v>
      </c>
      <c r="Q834" s="110">
        <v>11201.619000000001</v>
      </c>
      <c r="R834" s="110">
        <v>11084.674000000001</v>
      </c>
      <c r="S834" s="110">
        <v>10705.209000000001</v>
      </c>
      <c r="T834" s="110">
        <v>9648.5560000000005</v>
      </c>
      <c r="U834" s="110">
        <v>7858.0360000000001</v>
      </c>
      <c r="V834" s="110">
        <v>6297.37</v>
      </c>
      <c r="W834" s="110">
        <v>5012.9489999999996</v>
      </c>
      <c r="X834" s="110">
        <v>3192.002</v>
      </c>
      <c r="Y834" s="110">
        <v>1478.9090000000001</v>
      </c>
      <c r="Z834" s="110">
        <v>423.06400000000002</v>
      </c>
      <c r="AA834" s="110">
        <v>78.180000000000007</v>
      </c>
      <c r="AB834" s="110">
        <v>3.7549999999999999</v>
      </c>
      <c r="AC834" s="115">
        <f t="shared" si="36"/>
        <v>81769.668000000005</v>
      </c>
      <c r="AD834">
        <f t="shared" si="37"/>
        <v>0.999275061311096</v>
      </c>
    </row>
    <row r="835" spans="1:30" x14ac:dyDescent="0.25">
      <c r="A835" s="104" t="str">
        <f t="shared" si="35"/>
        <v>Pakistan2074</v>
      </c>
      <c r="C835" s="107" t="s">
        <v>257</v>
      </c>
      <c r="D835" s="108" t="s">
        <v>146</v>
      </c>
      <c r="E835" s="109"/>
      <c r="F835" s="109">
        <v>586</v>
      </c>
      <c r="G835" s="109">
        <v>2074</v>
      </c>
      <c r="H835" s="110">
        <v>10949.941000000001</v>
      </c>
      <c r="I835" s="110">
        <v>11119.42</v>
      </c>
      <c r="J835" s="110">
        <v>11290.307000000001</v>
      </c>
      <c r="K835" s="110">
        <v>11497.477999999999</v>
      </c>
      <c r="L835" s="110">
        <v>11772.555</v>
      </c>
      <c r="M835" s="110">
        <v>12023.307000000001</v>
      </c>
      <c r="N835" s="110">
        <v>12045.161</v>
      </c>
      <c r="O835" s="110">
        <v>11763.647999999999</v>
      </c>
      <c r="P835" s="110">
        <v>11401.646000000001</v>
      </c>
      <c r="Q835" s="110">
        <v>11194.931</v>
      </c>
      <c r="R835" s="110">
        <v>11079.745999999999</v>
      </c>
      <c r="S835" s="110">
        <v>10752.7</v>
      </c>
      <c r="T835" s="110">
        <v>9846.1939999999995</v>
      </c>
      <c r="U835" s="110">
        <v>8117.5959999999995</v>
      </c>
      <c r="V835" s="110">
        <v>6341.482</v>
      </c>
      <c r="W835" s="110">
        <v>5080.9470000000001</v>
      </c>
      <c r="X835" s="110">
        <v>3260.9279999999999</v>
      </c>
      <c r="Y835" s="110">
        <v>1526.269</v>
      </c>
      <c r="Z835" s="110">
        <v>427.84899999999999</v>
      </c>
      <c r="AA835" s="110">
        <v>77.878</v>
      </c>
      <c r="AB835" s="110">
        <v>3.9980000000000002</v>
      </c>
      <c r="AC835" s="115">
        <f t="shared" si="36"/>
        <v>81698.725999999995</v>
      </c>
      <c r="AD835">
        <f t="shared" si="37"/>
        <v>0.99913241668047359</v>
      </c>
    </row>
    <row r="836" spans="1:30" x14ac:dyDescent="0.25">
      <c r="A836" s="104" t="str">
        <f t="shared" si="35"/>
        <v>Pakistan2075</v>
      </c>
      <c r="C836" s="107" t="s">
        <v>257</v>
      </c>
      <c r="D836" s="108" t="s">
        <v>146</v>
      </c>
      <c r="E836" s="109"/>
      <c r="F836" s="109">
        <v>586</v>
      </c>
      <c r="G836" s="109">
        <v>2075</v>
      </c>
      <c r="H836" s="110">
        <v>10893.887000000001</v>
      </c>
      <c r="I836" s="110">
        <v>11074.144</v>
      </c>
      <c r="J836" s="110">
        <v>11247.130999999999</v>
      </c>
      <c r="K836" s="110">
        <v>11438.297</v>
      </c>
      <c r="L836" s="110">
        <v>11696.767</v>
      </c>
      <c r="M836" s="110">
        <v>11969.002</v>
      </c>
      <c r="N836" s="110">
        <v>12052.681</v>
      </c>
      <c r="O836" s="110">
        <v>11818.133</v>
      </c>
      <c r="P836" s="110">
        <v>11444.754000000001</v>
      </c>
      <c r="Q836" s="110">
        <v>11196.787</v>
      </c>
      <c r="R836" s="110">
        <v>11072.252</v>
      </c>
      <c r="S836" s="110">
        <v>10792.486999999999</v>
      </c>
      <c r="T836" s="110">
        <v>10017.684999999999</v>
      </c>
      <c r="U836" s="110">
        <v>8375.0769999999993</v>
      </c>
      <c r="V836" s="110">
        <v>6459.3850000000002</v>
      </c>
      <c r="W836" s="110">
        <v>5142.1719999999996</v>
      </c>
      <c r="X836" s="110">
        <v>3335.0309999999999</v>
      </c>
      <c r="Y836" s="110">
        <v>1560.3230000000001</v>
      </c>
      <c r="Z836" s="110">
        <v>418.58199999999999</v>
      </c>
      <c r="AA836" s="110">
        <v>59.978999999999999</v>
      </c>
      <c r="AB836" s="110">
        <v>4.2699999999999996</v>
      </c>
      <c r="AC836" s="115">
        <f t="shared" si="36"/>
        <v>81616.421000000002</v>
      </c>
      <c r="AD836">
        <f t="shared" si="37"/>
        <v>0.99899257914988793</v>
      </c>
    </row>
    <row r="837" spans="1:30" x14ac:dyDescent="0.25">
      <c r="A837" s="104" t="str">
        <f t="shared" si="35"/>
        <v>Pakistan2076</v>
      </c>
      <c r="C837" s="107" t="s">
        <v>257</v>
      </c>
      <c r="D837" s="108" t="s">
        <v>146</v>
      </c>
      <c r="E837" s="109"/>
      <c r="F837" s="109">
        <v>586</v>
      </c>
      <c r="G837" s="109">
        <v>2076</v>
      </c>
      <c r="H837" s="110">
        <v>10843.623</v>
      </c>
      <c r="I837" s="110">
        <v>11036.513999999999</v>
      </c>
      <c r="J837" s="110">
        <v>11206.915999999999</v>
      </c>
      <c r="K837" s="110">
        <v>11384.031000000001</v>
      </c>
      <c r="L837" s="110">
        <v>11628.351000000001</v>
      </c>
      <c r="M837" s="110">
        <v>11913.587</v>
      </c>
      <c r="N837" s="110">
        <v>12050.538</v>
      </c>
      <c r="O837" s="110">
        <v>11870.112999999999</v>
      </c>
      <c r="P837" s="110">
        <v>11495.874</v>
      </c>
      <c r="Q837" s="110">
        <v>11203.945</v>
      </c>
      <c r="R837" s="110">
        <v>11054.161</v>
      </c>
      <c r="S837" s="110">
        <v>10803.632</v>
      </c>
      <c r="T837" s="110">
        <v>10126.636</v>
      </c>
      <c r="U837" s="110">
        <v>8580.9590000000007</v>
      </c>
      <c r="V837" s="110">
        <v>6578.2269999999999</v>
      </c>
      <c r="W837" s="110">
        <v>5134.9669999999996</v>
      </c>
      <c r="X837" s="110">
        <v>3400.297</v>
      </c>
      <c r="Y837" s="110">
        <v>1653.183</v>
      </c>
      <c r="Z837" s="110">
        <v>491.34199999999998</v>
      </c>
      <c r="AA837" s="110">
        <v>71.391999999999996</v>
      </c>
      <c r="AB837" s="110">
        <v>4.577</v>
      </c>
      <c r="AC837" s="115">
        <f t="shared" si="36"/>
        <v>81546.438999999984</v>
      </c>
      <c r="AD837">
        <f t="shared" si="37"/>
        <v>0.99914255000228425</v>
      </c>
    </row>
    <row r="838" spans="1:30" x14ac:dyDescent="0.25">
      <c r="A838" s="104" t="str">
        <f t="shared" si="35"/>
        <v>Pakistan2077</v>
      </c>
      <c r="C838" s="107" t="s">
        <v>257</v>
      </c>
      <c r="D838" s="108" t="s">
        <v>146</v>
      </c>
      <c r="E838" s="109"/>
      <c r="F838" s="109">
        <v>586</v>
      </c>
      <c r="G838" s="109">
        <v>2077</v>
      </c>
      <c r="H838" s="110">
        <v>10784.148999999999</v>
      </c>
      <c r="I838" s="110">
        <v>10996.397999999999</v>
      </c>
      <c r="J838" s="110">
        <v>11168.05</v>
      </c>
      <c r="K838" s="110">
        <v>11334.460999999999</v>
      </c>
      <c r="L838" s="110">
        <v>11560.712</v>
      </c>
      <c r="M838" s="110">
        <v>11849.252</v>
      </c>
      <c r="N838" s="110">
        <v>12033.31</v>
      </c>
      <c r="O838" s="110">
        <v>11916.084000000001</v>
      </c>
      <c r="P838" s="110">
        <v>11555.116</v>
      </c>
      <c r="Q838" s="110">
        <v>11221.852000000001</v>
      </c>
      <c r="R838" s="110">
        <v>11038.75</v>
      </c>
      <c r="S838" s="110">
        <v>10810.223</v>
      </c>
      <c r="T838" s="110">
        <v>10211.322</v>
      </c>
      <c r="U838" s="110">
        <v>8793.6299999999992</v>
      </c>
      <c r="V838" s="110">
        <v>6758.5919999999996</v>
      </c>
      <c r="W838" s="110">
        <v>5117.1610000000001</v>
      </c>
      <c r="X838" s="110">
        <v>3462.1239999999998</v>
      </c>
      <c r="Y838" s="110">
        <v>1718.4949999999999</v>
      </c>
      <c r="Z838" s="110">
        <v>541.07100000000003</v>
      </c>
      <c r="AA838" s="110">
        <v>90.754999999999995</v>
      </c>
      <c r="AB838" s="110">
        <v>4.92</v>
      </c>
      <c r="AC838" s="115">
        <f t="shared" si="36"/>
        <v>81470.786999999997</v>
      </c>
      <c r="AD838">
        <f t="shared" si="37"/>
        <v>0.99907228321766461</v>
      </c>
    </row>
    <row r="839" spans="1:30" x14ac:dyDescent="0.25">
      <c r="A839" s="104" t="str">
        <f t="shared" si="35"/>
        <v>Pakistan2078</v>
      </c>
      <c r="C839" s="107" t="s">
        <v>257</v>
      </c>
      <c r="D839" s="108" t="s">
        <v>146</v>
      </c>
      <c r="E839" s="109"/>
      <c r="F839" s="109">
        <v>586</v>
      </c>
      <c r="G839" s="109">
        <v>2078</v>
      </c>
      <c r="H839" s="110">
        <v>10717.709000000001</v>
      </c>
      <c r="I839" s="110">
        <v>10952.4</v>
      </c>
      <c r="J839" s="110">
        <v>11129.778</v>
      </c>
      <c r="K839" s="110">
        <v>11289.224</v>
      </c>
      <c r="L839" s="110">
        <v>11494.549000000001</v>
      </c>
      <c r="M839" s="110">
        <v>11778.249</v>
      </c>
      <c r="N839" s="110">
        <v>12002.347</v>
      </c>
      <c r="O839" s="110">
        <v>11952.977000000001</v>
      </c>
      <c r="P839" s="110">
        <v>11618.507</v>
      </c>
      <c r="Q839" s="110">
        <v>11250.071</v>
      </c>
      <c r="R839" s="110">
        <v>11028.025</v>
      </c>
      <c r="S839" s="110">
        <v>10813.183000000001</v>
      </c>
      <c r="T839" s="110">
        <v>10276.573</v>
      </c>
      <c r="U839" s="110">
        <v>9004.7019999999993</v>
      </c>
      <c r="V839" s="110">
        <v>6982.0110000000004</v>
      </c>
      <c r="W839" s="110">
        <v>5117.3010000000004</v>
      </c>
      <c r="X839" s="110">
        <v>3522.6570000000002</v>
      </c>
      <c r="Y839" s="110">
        <v>1756.539</v>
      </c>
      <c r="Z839" s="110">
        <v>572.16499999999996</v>
      </c>
      <c r="AA839" s="110">
        <v>105.67100000000001</v>
      </c>
      <c r="AB839" s="110">
        <v>5.3</v>
      </c>
      <c r="AC839" s="115">
        <f t="shared" si="36"/>
        <v>81385.923999999999</v>
      </c>
      <c r="AD839">
        <f t="shared" si="37"/>
        <v>0.99895836283010253</v>
      </c>
    </row>
    <row r="840" spans="1:30" x14ac:dyDescent="0.25">
      <c r="A840" s="104" t="str">
        <f t="shared" si="35"/>
        <v>Pakistan2079</v>
      </c>
      <c r="C840" s="107" t="s">
        <v>257</v>
      </c>
      <c r="D840" s="108" t="s">
        <v>146</v>
      </c>
      <c r="E840" s="109"/>
      <c r="F840" s="109">
        <v>586</v>
      </c>
      <c r="G840" s="109">
        <v>2079</v>
      </c>
      <c r="H840" s="110">
        <v>10647.346</v>
      </c>
      <c r="I840" s="110">
        <v>10903.322</v>
      </c>
      <c r="J840" s="110">
        <v>11091.039000000001</v>
      </c>
      <c r="K840" s="110">
        <v>11246.752</v>
      </c>
      <c r="L840" s="110">
        <v>11430.643</v>
      </c>
      <c r="M840" s="110">
        <v>11703.879000000001</v>
      </c>
      <c r="N840" s="110">
        <v>11960.01</v>
      </c>
      <c r="O840" s="110">
        <v>11977.183000000001</v>
      </c>
      <c r="P840" s="110">
        <v>11680.534</v>
      </c>
      <c r="Q840" s="110">
        <v>11287.7</v>
      </c>
      <c r="R840" s="110">
        <v>11024.784</v>
      </c>
      <c r="S840" s="110">
        <v>10813.814</v>
      </c>
      <c r="T840" s="110">
        <v>10331.415000000001</v>
      </c>
      <c r="U840" s="110">
        <v>9202.8729999999996</v>
      </c>
      <c r="V840" s="110">
        <v>7224.4359999999997</v>
      </c>
      <c r="W840" s="110">
        <v>5170.1880000000001</v>
      </c>
      <c r="X840" s="110">
        <v>3575.8649999999998</v>
      </c>
      <c r="Y840" s="110">
        <v>1783.625</v>
      </c>
      <c r="Z840" s="110">
        <v>576.78200000000004</v>
      </c>
      <c r="AA840" s="110">
        <v>106.08199999999999</v>
      </c>
      <c r="AB840" s="110">
        <v>5.7169999999999996</v>
      </c>
      <c r="AC840" s="115">
        <f t="shared" si="36"/>
        <v>81286.701000000001</v>
      </c>
      <c r="AD840">
        <f t="shared" si="37"/>
        <v>0.99878083340308332</v>
      </c>
    </row>
    <row r="841" spans="1:30" x14ac:dyDescent="0.25">
      <c r="A841" s="104" t="str">
        <f t="shared" si="35"/>
        <v>Pakistan2080</v>
      </c>
      <c r="C841" s="107" t="s">
        <v>257</v>
      </c>
      <c r="D841" s="108" t="s">
        <v>146</v>
      </c>
      <c r="E841" s="109"/>
      <c r="F841" s="109">
        <v>586</v>
      </c>
      <c r="G841" s="109">
        <v>2080</v>
      </c>
      <c r="H841" s="110">
        <v>10575.477000000001</v>
      </c>
      <c r="I841" s="110">
        <v>10848.14</v>
      </c>
      <c r="J841" s="110">
        <v>11050.498</v>
      </c>
      <c r="K841" s="110">
        <v>11205.541999999999</v>
      </c>
      <c r="L841" s="110">
        <v>11370.022999999999</v>
      </c>
      <c r="M841" s="110">
        <v>11628.737999999999</v>
      </c>
      <c r="N841" s="110">
        <v>11907.994000000001</v>
      </c>
      <c r="O841" s="110">
        <v>11986.385</v>
      </c>
      <c r="P841" s="110">
        <v>11737.04</v>
      </c>
      <c r="Q841" s="110">
        <v>11333.550999999999</v>
      </c>
      <c r="R841" s="110">
        <v>11030.891</v>
      </c>
      <c r="S841" s="110">
        <v>10813.509</v>
      </c>
      <c r="T841" s="110">
        <v>10381.370000000001</v>
      </c>
      <c r="U841" s="110">
        <v>9379.9529999999995</v>
      </c>
      <c r="V841" s="110">
        <v>7471.902</v>
      </c>
      <c r="W841" s="110">
        <v>5291.6210000000001</v>
      </c>
      <c r="X841" s="110">
        <v>3620.52</v>
      </c>
      <c r="Y841" s="110">
        <v>1805.9659999999999</v>
      </c>
      <c r="Z841" s="110">
        <v>559.42200000000003</v>
      </c>
      <c r="AA841" s="110">
        <v>84.356999999999999</v>
      </c>
      <c r="AB841" s="110">
        <v>6.1740000000000004</v>
      </c>
      <c r="AC841" s="115">
        <f t="shared" si="36"/>
        <v>81169.273000000016</v>
      </c>
      <c r="AD841">
        <f t="shared" si="37"/>
        <v>0.99855538484702455</v>
      </c>
    </row>
    <row r="842" spans="1:30" x14ac:dyDescent="0.25">
      <c r="A842" s="104" t="str">
        <f t="shared" si="35"/>
        <v>Pakistan2081</v>
      </c>
      <c r="C842" s="107" t="s">
        <v>257</v>
      </c>
      <c r="D842" s="108" t="s">
        <v>146</v>
      </c>
      <c r="E842" s="109"/>
      <c r="F842" s="109">
        <v>586</v>
      </c>
      <c r="G842" s="109">
        <v>2081</v>
      </c>
      <c r="H842" s="110">
        <v>10505.749</v>
      </c>
      <c r="I842" s="110">
        <v>10797.111000000001</v>
      </c>
      <c r="J842" s="110">
        <v>11010.319</v>
      </c>
      <c r="K842" s="110">
        <v>11166.056</v>
      </c>
      <c r="L842" s="110">
        <v>11319.529</v>
      </c>
      <c r="M842" s="110">
        <v>11561.523999999999</v>
      </c>
      <c r="N842" s="110">
        <v>11852.258</v>
      </c>
      <c r="O842" s="110">
        <v>11984.401</v>
      </c>
      <c r="P842" s="110">
        <v>11788.509</v>
      </c>
      <c r="Q842" s="110">
        <v>11383.968000000001</v>
      </c>
      <c r="R842" s="110">
        <v>11037.817999999999</v>
      </c>
      <c r="S842" s="110">
        <v>10795.352999999999</v>
      </c>
      <c r="T842" s="110">
        <v>10391.361999999999</v>
      </c>
      <c r="U842" s="110">
        <v>9479.5969999999998</v>
      </c>
      <c r="V842" s="110">
        <v>7656.04</v>
      </c>
      <c r="W842" s="110">
        <v>5403.335</v>
      </c>
      <c r="X842" s="110">
        <v>3636.4650000000001</v>
      </c>
      <c r="Y842" s="110">
        <v>1892.329</v>
      </c>
      <c r="Z842" s="110">
        <v>635.95600000000002</v>
      </c>
      <c r="AA842" s="110">
        <v>101.121</v>
      </c>
      <c r="AB842" s="110">
        <v>6.6719999999999997</v>
      </c>
      <c r="AC842" s="115">
        <f t="shared" si="36"/>
        <v>81056.244999999995</v>
      </c>
      <c r="AD842">
        <f t="shared" si="37"/>
        <v>0.99860750261986431</v>
      </c>
    </row>
    <row r="843" spans="1:30" x14ac:dyDescent="0.25">
      <c r="A843" s="104" t="str">
        <f t="shared" si="35"/>
        <v>Pakistan2082</v>
      </c>
      <c r="C843" s="107" t="s">
        <v>257</v>
      </c>
      <c r="D843" s="108" t="s">
        <v>146</v>
      </c>
      <c r="E843" s="109"/>
      <c r="F843" s="109">
        <v>586</v>
      </c>
      <c r="G843" s="109">
        <v>2082</v>
      </c>
      <c r="H843" s="110">
        <v>10435.137000000001</v>
      </c>
      <c r="I843" s="110">
        <v>10740.277</v>
      </c>
      <c r="J843" s="110">
        <v>10968.781999999999</v>
      </c>
      <c r="K843" s="110">
        <v>11127.216</v>
      </c>
      <c r="L843" s="110">
        <v>11272.587</v>
      </c>
      <c r="M843" s="110">
        <v>11495.079</v>
      </c>
      <c r="N843" s="110">
        <v>11788.084000000001</v>
      </c>
      <c r="O843" s="110">
        <v>11967.744000000001</v>
      </c>
      <c r="P843" s="110">
        <v>11834.574000000001</v>
      </c>
      <c r="Q843" s="110">
        <v>11443.245000000001</v>
      </c>
      <c r="R843" s="110">
        <v>11056.578</v>
      </c>
      <c r="S843" s="110">
        <v>10781.932000000001</v>
      </c>
      <c r="T843" s="110">
        <v>10400.39</v>
      </c>
      <c r="U843" s="110">
        <v>9561.9429999999993</v>
      </c>
      <c r="V843" s="110">
        <v>7852.0209999999997</v>
      </c>
      <c r="W843" s="110">
        <v>5561.1109999999999</v>
      </c>
      <c r="X843" s="110">
        <v>3633.7570000000001</v>
      </c>
      <c r="Y843" s="110">
        <v>1957.049</v>
      </c>
      <c r="Z843" s="110">
        <v>680.35199999999998</v>
      </c>
      <c r="AA843" s="110">
        <v>128.268</v>
      </c>
      <c r="AB843" s="110">
        <v>7.2110000000000003</v>
      </c>
      <c r="AC843" s="115">
        <f t="shared" si="36"/>
        <v>80928.528999999995</v>
      </c>
      <c r="AD843">
        <f t="shared" si="37"/>
        <v>0.99842435336105195</v>
      </c>
    </row>
    <row r="844" spans="1:30" x14ac:dyDescent="0.25">
      <c r="A844" s="104" t="str">
        <f t="shared" si="35"/>
        <v>Pakistan2083</v>
      </c>
      <c r="C844" s="107" t="s">
        <v>257</v>
      </c>
      <c r="D844" s="108" t="s">
        <v>146</v>
      </c>
      <c r="E844" s="109"/>
      <c r="F844" s="109">
        <v>586</v>
      </c>
      <c r="G844" s="109">
        <v>2083</v>
      </c>
      <c r="H844" s="110">
        <v>10363.733</v>
      </c>
      <c r="I844" s="110">
        <v>10676.963</v>
      </c>
      <c r="J844" s="110">
        <v>10925.344999999999</v>
      </c>
      <c r="K844" s="110">
        <v>11089.041999999999</v>
      </c>
      <c r="L844" s="110">
        <v>11228.217000000001</v>
      </c>
      <c r="M844" s="110">
        <v>11430.091</v>
      </c>
      <c r="N844" s="110">
        <v>11718.040999999999</v>
      </c>
      <c r="O844" s="110">
        <v>11937.646000000001</v>
      </c>
      <c r="P844" s="110">
        <v>11872.237999999999</v>
      </c>
      <c r="Q844" s="110">
        <v>11507.464</v>
      </c>
      <c r="R844" s="110">
        <v>11086.517</v>
      </c>
      <c r="S844" s="110">
        <v>10774.870999999999</v>
      </c>
      <c r="T844" s="110">
        <v>10408.751</v>
      </c>
      <c r="U844" s="110">
        <v>9631.8140000000003</v>
      </c>
      <c r="V844" s="110">
        <v>8052.6840000000002</v>
      </c>
      <c r="W844" s="110">
        <v>5753.7969999999996</v>
      </c>
      <c r="X844" s="110">
        <v>3642.2559999999999</v>
      </c>
      <c r="Y844" s="110">
        <v>1994.549</v>
      </c>
      <c r="Z844" s="110">
        <v>702.54399999999998</v>
      </c>
      <c r="AA844" s="110">
        <v>148.46199999999999</v>
      </c>
      <c r="AB844" s="110">
        <v>7.8049999999999997</v>
      </c>
      <c r="AC844" s="115">
        <f t="shared" si="36"/>
        <v>80782.739000000001</v>
      </c>
      <c r="AD844">
        <f t="shared" si="37"/>
        <v>0.99819853391873714</v>
      </c>
    </row>
    <row r="845" spans="1:30" x14ac:dyDescent="0.25">
      <c r="A845" s="104" t="str">
        <f t="shared" si="35"/>
        <v>Pakistan2084</v>
      </c>
      <c r="C845" s="107" t="s">
        <v>257</v>
      </c>
      <c r="D845" s="108" t="s">
        <v>146</v>
      </c>
      <c r="E845" s="109"/>
      <c r="F845" s="109">
        <v>586</v>
      </c>
      <c r="G845" s="109">
        <v>2084</v>
      </c>
      <c r="H845" s="110">
        <v>10291.007</v>
      </c>
      <c r="I845" s="110">
        <v>10607.968999999999</v>
      </c>
      <c r="J845" s="110">
        <v>10878.614</v>
      </c>
      <c r="K845" s="110">
        <v>11050.978999999999</v>
      </c>
      <c r="L845" s="110">
        <v>11185.019</v>
      </c>
      <c r="M845" s="110">
        <v>11367.26</v>
      </c>
      <c r="N845" s="110">
        <v>11645.42</v>
      </c>
      <c r="O845" s="110">
        <v>11896.512000000001</v>
      </c>
      <c r="P845" s="110">
        <v>11897.929</v>
      </c>
      <c r="Q845" s="110">
        <v>11571.138000000001</v>
      </c>
      <c r="R845" s="110">
        <v>11126.691999999999</v>
      </c>
      <c r="S845" s="110">
        <v>10776.773999999999</v>
      </c>
      <c r="T845" s="110">
        <v>10417.636</v>
      </c>
      <c r="U845" s="110">
        <v>9697.2219999999998</v>
      </c>
      <c r="V845" s="110">
        <v>8247.08</v>
      </c>
      <c r="W845" s="110">
        <v>5966.5129999999999</v>
      </c>
      <c r="X845" s="110">
        <v>3691.6550000000002</v>
      </c>
      <c r="Y845" s="110">
        <v>2013.3710000000001</v>
      </c>
      <c r="Z845" s="110">
        <v>698.279</v>
      </c>
      <c r="AA845" s="110">
        <v>148.548</v>
      </c>
      <c r="AB845" s="110">
        <v>8.4659999999999993</v>
      </c>
      <c r="AC845" s="115">
        <f t="shared" si="36"/>
        <v>80614.257000000012</v>
      </c>
      <c r="AD845">
        <f t="shared" si="37"/>
        <v>0.99791438118977382</v>
      </c>
    </row>
    <row r="846" spans="1:30" x14ac:dyDescent="0.25">
      <c r="A846" s="104" t="str">
        <f t="shared" si="35"/>
        <v>Pakistan2085</v>
      </c>
      <c r="C846" s="107" t="s">
        <v>257</v>
      </c>
      <c r="D846" s="108" t="s">
        <v>146</v>
      </c>
      <c r="E846" s="109"/>
      <c r="F846" s="109">
        <v>586</v>
      </c>
      <c r="G846" s="109">
        <v>2085</v>
      </c>
      <c r="H846" s="110">
        <v>10216.923000000001</v>
      </c>
      <c r="I846" s="110">
        <v>10535.072</v>
      </c>
      <c r="J846" s="110">
        <v>10826.621999999999</v>
      </c>
      <c r="K846" s="110">
        <v>11012.06</v>
      </c>
      <c r="L846" s="110">
        <v>11142.328</v>
      </c>
      <c r="M846" s="110">
        <v>11307.074000000001</v>
      </c>
      <c r="N846" s="110">
        <v>11572.329</v>
      </c>
      <c r="O846" s="110">
        <v>11846.172</v>
      </c>
      <c r="P846" s="110">
        <v>11909.172</v>
      </c>
      <c r="Q846" s="110">
        <v>11629.983</v>
      </c>
      <c r="R846" s="110">
        <v>11175.831</v>
      </c>
      <c r="S846" s="110">
        <v>10789.213</v>
      </c>
      <c r="T846" s="110">
        <v>10428.214</v>
      </c>
      <c r="U846" s="110">
        <v>9762.2139999999999</v>
      </c>
      <c r="V846" s="110">
        <v>8427.3709999999992</v>
      </c>
      <c r="W846" s="110">
        <v>6191.27</v>
      </c>
      <c r="X846" s="110">
        <v>3793.9490000000001</v>
      </c>
      <c r="Y846" s="110">
        <v>2017.125</v>
      </c>
      <c r="Z846" s="110">
        <v>675.64800000000002</v>
      </c>
      <c r="AA846" s="110">
        <v>119.488</v>
      </c>
      <c r="AB846" s="110">
        <v>9.2059999999999995</v>
      </c>
      <c r="AC846" s="115">
        <f t="shared" si="36"/>
        <v>80419.117999999988</v>
      </c>
      <c r="AD846">
        <f t="shared" si="37"/>
        <v>0.9975793487744975</v>
      </c>
    </row>
    <row r="847" spans="1:30" x14ac:dyDescent="0.25">
      <c r="A847" s="104" t="str">
        <f t="shared" si="35"/>
        <v>Pakistan2086</v>
      </c>
      <c r="C847" s="107" t="s">
        <v>257</v>
      </c>
      <c r="D847" s="108" t="s">
        <v>146</v>
      </c>
      <c r="E847" s="109"/>
      <c r="F847" s="109">
        <v>586</v>
      </c>
      <c r="G847" s="109">
        <v>2086</v>
      </c>
      <c r="H847" s="110">
        <v>10149.838</v>
      </c>
      <c r="I847" s="110">
        <v>10468.957</v>
      </c>
      <c r="J847" s="110">
        <v>10771.754999999999</v>
      </c>
      <c r="K847" s="110">
        <v>10972.655000000001</v>
      </c>
      <c r="L847" s="110">
        <v>11106.317999999999</v>
      </c>
      <c r="M847" s="110">
        <v>11257.656999999999</v>
      </c>
      <c r="N847" s="110">
        <v>11504.844999999999</v>
      </c>
      <c r="O847" s="110">
        <v>11790.764999999999</v>
      </c>
      <c r="P847" s="110">
        <v>11906.996999999999</v>
      </c>
      <c r="Q847" s="110">
        <v>11680.782999999999</v>
      </c>
      <c r="R847" s="110">
        <v>11225.508</v>
      </c>
      <c r="S847" s="110">
        <v>10795.67</v>
      </c>
      <c r="T847" s="110">
        <v>10409.93</v>
      </c>
      <c r="U847" s="110">
        <v>9770.5020000000004</v>
      </c>
      <c r="V847" s="110">
        <v>8516.7790000000005</v>
      </c>
      <c r="W847" s="110">
        <v>6351.2979999999998</v>
      </c>
      <c r="X847" s="110">
        <v>3905.663</v>
      </c>
      <c r="Y847" s="110">
        <v>2071.3919999999998</v>
      </c>
      <c r="Z847" s="110">
        <v>757.68899999999996</v>
      </c>
      <c r="AA847" s="110">
        <v>137.65600000000001</v>
      </c>
      <c r="AB847" s="110">
        <v>10.035</v>
      </c>
      <c r="AC847" s="115">
        <f t="shared" si="36"/>
        <v>80220.01999999999</v>
      </c>
      <c r="AD847">
        <f t="shared" si="37"/>
        <v>0.99752424541636975</v>
      </c>
    </row>
    <row r="848" spans="1:30" x14ac:dyDescent="0.25">
      <c r="A848" s="104" t="str">
        <f t="shared" si="35"/>
        <v>Pakistan2087</v>
      </c>
      <c r="C848" s="107" t="s">
        <v>257</v>
      </c>
      <c r="D848" s="108" t="s">
        <v>146</v>
      </c>
      <c r="E848" s="109"/>
      <c r="F848" s="109">
        <v>586</v>
      </c>
      <c r="G848" s="109">
        <v>2087</v>
      </c>
      <c r="H848" s="110">
        <v>10080.317999999999</v>
      </c>
      <c r="I848" s="110">
        <v>10400.794</v>
      </c>
      <c r="J848" s="110">
        <v>10712.709000000001</v>
      </c>
      <c r="K848" s="110">
        <v>10931.745999999999</v>
      </c>
      <c r="L848" s="110">
        <v>11070.17</v>
      </c>
      <c r="M848" s="110">
        <v>11212.076999999999</v>
      </c>
      <c r="N848" s="110">
        <v>11438.828</v>
      </c>
      <c r="O848" s="110">
        <v>11727.558999999999</v>
      </c>
      <c r="P848" s="110">
        <v>11891.037</v>
      </c>
      <c r="Q848" s="110">
        <v>11727.3</v>
      </c>
      <c r="R848" s="110">
        <v>11285.407999999999</v>
      </c>
      <c r="S848" s="110">
        <v>10815.995999999999</v>
      </c>
      <c r="T848" s="110">
        <v>10399.879000000001</v>
      </c>
      <c r="U848" s="110">
        <v>9782.6810000000005</v>
      </c>
      <c r="V848" s="110">
        <v>8596.3289999999997</v>
      </c>
      <c r="W848" s="110">
        <v>6523.5309999999999</v>
      </c>
      <c r="X848" s="110">
        <v>4036.2629999999999</v>
      </c>
      <c r="Y848" s="110">
        <v>2094.3180000000002</v>
      </c>
      <c r="Z848" s="110">
        <v>806.077</v>
      </c>
      <c r="AA848" s="110">
        <v>166.797</v>
      </c>
      <c r="AB848" s="110">
        <v>10.942</v>
      </c>
      <c r="AC848" s="115">
        <f t="shared" si="36"/>
        <v>79998.717000000004</v>
      </c>
      <c r="AD848">
        <f t="shared" si="37"/>
        <v>0.99724129961573205</v>
      </c>
    </row>
    <row r="849" spans="1:30" x14ac:dyDescent="0.25">
      <c r="A849" s="104" t="str">
        <f t="shared" si="35"/>
        <v>Pakistan2088</v>
      </c>
      <c r="C849" s="107" t="s">
        <v>257</v>
      </c>
      <c r="D849" s="108" t="s">
        <v>146</v>
      </c>
      <c r="E849" s="109"/>
      <c r="F849" s="109">
        <v>586</v>
      </c>
      <c r="G849" s="109">
        <v>2088</v>
      </c>
      <c r="H849" s="110">
        <v>10009.543</v>
      </c>
      <c r="I849" s="110">
        <v>10330.207</v>
      </c>
      <c r="J849" s="110">
        <v>10649.956</v>
      </c>
      <c r="K849" s="110">
        <v>10888.769</v>
      </c>
      <c r="L849" s="110">
        <v>11033.049000000001</v>
      </c>
      <c r="M849" s="110">
        <v>11169.071</v>
      </c>
      <c r="N849" s="110">
        <v>11374.986999999999</v>
      </c>
      <c r="O849" s="110">
        <v>11658.728999999999</v>
      </c>
      <c r="P849" s="110">
        <v>11862.285</v>
      </c>
      <c r="Q849" s="110">
        <v>11766.311</v>
      </c>
      <c r="R849" s="110">
        <v>11351.199000000001</v>
      </c>
      <c r="S849" s="110">
        <v>10848.94</v>
      </c>
      <c r="T849" s="110">
        <v>10398.732</v>
      </c>
      <c r="U849" s="110">
        <v>9798.8410000000003</v>
      </c>
      <c r="V849" s="110">
        <v>8671.18</v>
      </c>
      <c r="W849" s="110">
        <v>6704.9830000000002</v>
      </c>
      <c r="X849" s="110">
        <v>4184.4170000000004</v>
      </c>
      <c r="Y849" s="110">
        <v>2102.1709999999998</v>
      </c>
      <c r="Z849" s="110">
        <v>828.41899999999998</v>
      </c>
      <c r="AA849" s="110">
        <v>188.17099999999999</v>
      </c>
      <c r="AB849" s="110">
        <v>11.907999999999999</v>
      </c>
      <c r="AC849" s="115">
        <f t="shared" si="36"/>
        <v>79753.201000000001</v>
      </c>
      <c r="AD849">
        <f t="shared" si="37"/>
        <v>0.996931000780925</v>
      </c>
    </row>
    <row r="850" spans="1:30" x14ac:dyDescent="0.25">
      <c r="A850" s="104" t="str">
        <f t="shared" si="35"/>
        <v>Pakistan2089</v>
      </c>
      <c r="C850" s="107" t="s">
        <v>257</v>
      </c>
      <c r="D850" s="108" t="s">
        <v>146</v>
      </c>
      <c r="E850" s="109"/>
      <c r="F850" s="109">
        <v>586</v>
      </c>
      <c r="G850" s="109">
        <v>2089</v>
      </c>
      <c r="H850" s="110">
        <v>9939.6769999999997</v>
      </c>
      <c r="I850" s="110">
        <v>10257.001</v>
      </c>
      <c r="J850" s="110">
        <v>10584.214</v>
      </c>
      <c r="K850" s="110">
        <v>10842.337</v>
      </c>
      <c r="L850" s="110">
        <v>10994.259</v>
      </c>
      <c r="M850" s="110">
        <v>11126.848</v>
      </c>
      <c r="N850" s="110">
        <v>11313.714</v>
      </c>
      <c r="O850" s="110">
        <v>11587.291999999999</v>
      </c>
      <c r="P850" s="110">
        <v>11822.84</v>
      </c>
      <c r="Q850" s="110">
        <v>11793.894</v>
      </c>
      <c r="R850" s="110">
        <v>11417.034</v>
      </c>
      <c r="S850" s="110">
        <v>10893.1</v>
      </c>
      <c r="T850" s="110">
        <v>10408.545</v>
      </c>
      <c r="U850" s="110">
        <v>9820.0580000000009</v>
      </c>
      <c r="V850" s="110">
        <v>8748.34</v>
      </c>
      <c r="W850" s="110">
        <v>6886.5230000000001</v>
      </c>
      <c r="X850" s="110">
        <v>4345.7049999999999</v>
      </c>
      <c r="Y850" s="110">
        <v>2124.4859999999999</v>
      </c>
      <c r="Z850" s="110">
        <v>820.54399999999998</v>
      </c>
      <c r="AA850" s="110">
        <v>187.148</v>
      </c>
      <c r="AB850" s="110">
        <v>12.906000000000001</v>
      </c>
      <c r="AC850" s="115">
        <f t="shared" si="36"/>
        <v>79481.183999999994</v>
      </c>
      <c r="AD850">
        <f t="shared" si="37"/>
        <v>0.99658926542647475</v>
      </c>
    </row>
    <row r="851" spans="1:30" x14ac:dyDescent="0.25">
      <c r="A851" s="104" t="str">
        <f t="shared" si="35"/>
        <v>Pakistan2090</v>
      </c>
      <c r="C851" s="107" t="s">
        <v>257</v>
      </c>
      <c r="D851" s="108" t="s">
        <v>146</v>
      </c>
      <c r="E851" s="109"/>
      <c r="F851" s="109">
        <v>586</v>
      </c>
      <c r="G851" s="109">
        <v>2090</v>
      </c>
      <c r="H851" s="110">
        <v>9872.6270000000004</v>
      </c>
      <c r="I851" s="110">
        <v>10181.136</v>
      </c>
      <c r="J851" s="110">
        <v>10515.614</v>
      </c>
      <c r="K851" s="110">
        <v>10791.221</v>
      </c>
      <c r="L851" s="110">
        <v>10953.574000000001</v>
      </c>
      <c r="M851" s="110">
        <v>11084.187</v>
      </c>
      <c r="N851" s="110">
        <v>11255.013000000001</v>
      </c>
      <c r="O851" s="110">
        <v>11515.433000000001</v>
      </c>
      <c r="P851" s="110">
        <v>11774.308999999999</v>
      </c>
      <c r="Q851" s="110">
        <v>11807.346</v>
      </c>
      <c r="R851" s="110">
        <v>11478.475</v>
      </c>
      <c r="S851" s="110">
        <v>10946.942999999999</v>
      </c>
      <c r="T851" s="110">
        <v>10430.571</v>
      </c>
      <c r="U851" s="110">
        <v>9846.9840000000004</v>
      </c>
      <c r="V851" s="110">
        <v>8830.7510000000002</v>
      </c>
      <c r="W851" s="110">
        <v>7061.26</v>
      </c>
      <c r="X851" s="110">
        <v>4519.5249999999996</v>
      </c>
      <c r="Y851" s="110">
        <v>2174.866</v>
      </c>
      <c r="Z851" s="110">
        <v>787.99</v>
      </c>
      <c r="AA851" s="110">
        <v>153.25</v>
      </c>
      <c r="AB851" s="110">
        <v>13.914</v>
      </c>
      <c r="AC851" s="115">
        <f t="shared" si="36"/>
        <v>79181.082999999999</v>
      </c>
      <c r="AD851">
        <f t="shared" si="37"/>
        <v>0.99622425101266743</v>
      </c>
    </row>
    <row r="852" spans="1:30" x14ac:dyDescent="0.25">
      <c r="A852" s="104" t="str">
        <f t="shared" si="35"/>
        <v>Pakistan2091</v>
      </c>
      <c r="C852" s="107" t="s">
        <v>257</v>
      </c>
      <c r="D852" s="108" t="s">
        <v>146</v>
      </c>
      <c r="E852" s="109"/>
      <c r="F852" s="109">
        <v>586</v>
      </c>
      <c r="G852" s="109">
        <v>2091</v>
      </c>
      <c r="H852" s="110">
        <v>9815.6859999999997</v>
      </c>
      <c r="I852" s="110">
        <v>10113.297</v>
      </c>
      <c r="J852" s="110">
        <v>10447.775</v>
      </c>
      <c r="K852" s="110">
        <v>10737.395</v>
      </c>
      <c r="L852" s="110">
        <v>10917.802</v>
      </c>
      <c r="M852" s="110">
        <v>11049.522000000001</v>
      </c>
      <c r="N852" s="110">
        <v>11205.718000000001</v>
      </c>
      <c r="O852" s="110">
        <v>11448.715</v>
      </c>
      <c r="P852" s="110">
        <v>11719.463</v>
      </c>
      <c r="Q852" s="110">
        <v>11805.414000000001</v>
      </c>
      <c r="R852" s="110">
        <v>11529.013000000001</v>
      </c>
      <c r="S852" s="110">
        <v>10995.779</v>
      </c>
      <c r="T852" s="110">
        <v>10436.451999999999</v>
      </c>
      <c r="U852" s="110">
        <v>9828.6990000000005</v>
      </c>
      <c r="V852" s="110">
        <v>8839.8919999999998</v>
      </c>
      <c r="W852" s="110">
        <v>7141.7359999999999</v>
      </c>
      <c r="X852" s="110">
        <v>4663.1760000000004</v>
      </c>
      <c r="Y852" s="110">
        <v>2295.5100000000002</v>
      </c>
      <c r="Z852" s="110">
        <v>858.01400000000001</v>
      </c>
      <c r="AA852" s="110">
        <v>173.88300000000001</v>
      </c>
      <c r="AB852" s="110">
        <v>14.935</v>
      </c>
      <c r="AC852" s="115">
        <f t="shared" si="36"/>
        <v>78884.02900000001</v>
      </c>
      <c r="AD852">
        <f t="shared" si="37"/>
        <v>0.99624842211365072</v>
      </c>
    </row>
    <row r="853" spans="1:30" x14ac:dyDescent="0.25">
      <c r="A853" s="104" t="str">
        <f t="shared" si="35"/>
        <v>Pakistan2092</v>
      </c>
      <c r="C853" s="107" t="s">
        <v>257</v>
      </c>
      <c r="D853" s="108" t="s">
        <v>146</v>
      </c>
      <c r="E853" s="109"/>
      <c r="F853" s="109">
        <v>586</v>
      </c>
      <c r="G853" s="109">
        <v>2092</v>
      </c>
      <c r="H853" s="110">
        <v>9759.82</v>
      </c>
      <c r="I853" s="110">
        <v>10045.52</v>
      </c>
      <c r="J853" s="110">
        <v>10378.434999999999</v>
      </c>
      <c r="K853" s="110">
        <v>10678.647999999999</v>
      </c>
      <c r="L853" s="110">
        <v>10879.431</v>
      </c>
      <c r="M853" s="110">
        <v>11014.584999999999</v>
      </c>
      <c r="N853" s="110">
        <v>11160.501</v>
      </c>
      <c r="O853" s="110">
        <v>11383.589</v>
      </c>
      <c r="P853" s="110">
        <v>11657.153</v>
      </c>
      <c r="Q853" s="110">
        <v>11790.358</v>
      </c>
      <c r="R853" s="110">
        <v>11576.343000000001</v>
      </c>
      <c r="S853" s="110">
        <v>11056.52</v>
      </c>
      <c r="T853" s="110">
        <v>10458.992</v>
      </c>
      <c r="U853" s="110">
        <v>9822.7019999999993</v>
      </c>
      <c r="V853" s="110">
        <v>8856.8330000000005</v>
      </c>
      <c r="W853" s="110">
        <v>7216.1289999999999</v>
      </c>
      <c r="X853" s="110">
        <v>4807.7939999999999</v>
      </c>
      <c r="Y853" s="110">
        <v>2399.7739999999999</v>
      </c>
      <c r="Z853" s="110">
        <v>889.41600000000005</v>
      </c>
      <c r="AA853" s="110">
        <v>207.077</v>
      </c>
      <c r="AB853" s="110">
        <v>15.965</v>
      </c>
      <c r="AC853" s="115">
        <f t="shared" si="36"/>
        <v>78564.264999999985</v>
      </c>
      <c r="AD853">
        <f t="shared" si="37"/>
        <v>0.99594640380247279</v>
      </c>
    </row>
    <row r="854" spans="1:30" x14ac:dyDescent="0.25">
      <c r="A854" s="104" t="str">
        <f t="shared" si="35"/>
        <v>Pakistan2093</v>
      </c>
      <c r="C854" s="107" t="s">
        <v>257</v>
      </c>
      <c r="D854" s="108" t="s">
        <v>146</v>
      </c>
      <c r="E854" s="109"/>
      <c r="F854" s="109">
        <v>586</v>
      </c>
      <c r="G854" s="109">
        <v>2093</v>
      </c>
      <c r="H854" s="110">
        <v>9705.1610000000001</v>
      </c>
      <c r="I854" s="110">
        <v>9977.59</v>
      </c>
      <c r="J854" s="110">
        <v>10307.883</v>
      </c>
      <c r="K854" s="110">
        <v>10616.063</v>
      </c>
      <c r="L854" s="110">
        <v>10837.302</v>
      </c>
      <c r="M854" s="110">
        <v>10978.501</v>
      </c>
      <c r="N854" s="110">
        <v>11118.316000000001</v>
      </c>
      <c r="O854" s="110">
        <v>11320.619000000001</v>
      </c>
      <c r="P854" s="110">
        <v>11589.545</v>
      </c>
      <c r="Q854" s="110">
        <v>11763.146000000001</v>
      </c>
      <c r="R854" s="110">
        <v>11617.043</v>
      </c>
      <c r="S854" s="110">
        <v>11124.465</v>
      </c>
      <c r="T854" s="110">
        <v>10496.245999999999</v>
      </c>
      <c r="U854" s="110">
        <v>9829.4809999999998</v>
      </c>
      <c r="V854" s="110">
        <v>8882.2659999999996</v>
      </c>
      <c r="W854" s="110">
        <v>7293.5230000000001</v>
      </c>
      <c r="X854" s="110">
        <v>4956.134</v>
      </c>
      <c r="Y854" s="110">
        <v>2485.5329999999999</v>
      </c>
      <c r="Z854" s="110">
        <v>901.76199999999994</v>
      </c>
      <c r="AA854" s="110">
        <v>230.95</v>
      </c>
      <c r="AB854" s="110">
        <v>17.016999999999999</v>
      </c>
      <c r="AC854" s="115">
        <f t="shared" si="36"/>
        <v>78223.491999999998</v>
      </c>
      <c r="AD854">
        <f t="shared" si="37"/>
        <v>0.9956624936286238</v>
      </c>
    </row>
    <row r="855" spans="1:30" x14ac:dyDescent="0.25">
      <c r="A855" s="104" t="str">
        <f t="shared" si="35"/>
        <v>Pakistan2094</v>
      </c>
      <c r="C855" s="107" t="s">
        <v>257</v>
      </c>
      <c r="D855" s="108" t="s">
        <v>146</v>
      </c>
      <c r="E855" s="109"/>
      <c r="F855" s="109">
        <v>586</v>
      </c>
      <c r="G855" s="109">
        <v>2094</v>
      </c>
      <c r="H855" s="110">
        <v>9651.4989999999998</v>
      </c>
      <c r="I855" s="110">
        <v>9909.4169999999995</v>
      </c>
      <c r="J855" s="110">
        <v>10236.308999999999</v>
      </c>
      <c r="K855" s="110">
        <v>10550.781000000001</v>
      </c>
      <c r="L855" s="110">
        <v>10790.159</v>
      </c>
      <c r="M855" s="110">
        <v>10940.511</v>
      </c>
      <c r="N855" s="110">
        <v>11077.380999999999</v>
      </c>
      <c r="O855" s="110">
        <v>11260.262000000001</v>
      </c>
      <c r="P855" s="110">
        <v>11519.688</v>
      </c>
      <c r="Q855" s="110">
        <v>11725.843999999999</v>
      </c>
      <c r="R855" s="110">
        <v>11647.071</v>
      </c>
      <c r="S855" s="110">
        <v>11193.602999999999</v>
      </c>
      <c r="T855" s="110">
        <v>10546.612999999999</v>
      </c>
      <c r="U855" s="110">
        <v>9851.1170000000002</v>
      </c>
      <c r="V855" s="110">
        <v>8918.2450000000008</v>
      </c>
      <c r="W855" s="110">
        <v>7380.7749999999996</v>
      </c>
      <c r="X855" s="110">
        <v>5102.8630000000003</v>
      </c>
      <c r="Y855" s="110">
        <v>2571.9670000000001</v>
      </c>
      <c r="Z855" s="110">
        <v>896.08</v>
      </c>
      <c r="AA855" s="110">
        <v>228.916</v>
      </c>
      <c r="AB855" s="110">
        <v>18.100999999999999</v>
      </c>
      <c r="AC855" s="115">
        <f t="shared" si="36"/>
        <v>77864.626000000004</v>
      </c>
      <c r="AD855">
        <f t="shared" si="37"/>
        <v>0.99541229890376159</v>
      </c>
    </row>
    <row r="856" spans="1:30" x14ac:dyDescent="0.25">
      <c r="A856" s="104" t="str">
        <f t="shared" si="35"/>
        <v>Pakistan2095</v>
      </c>
      <c r="C856" s="107" t="s">
        <v>257</v>
      </c>
      <c r="D856" s="108" t="s">
        <v>146</v>
      </c>
      <c r="E856" s="109"/>
      <c r="F856" s="109">
        <v>586</v>
      </c>
      <c r="G856" s="109">
        <v>2095</v>
      </c>
      <c r="H856" s="110">
        <v>9598.8829999999998</v>
      </c>
      <c r="I856" s="110">
        <v>9840.9410000000007</v>
      </c>
      <c r="J856" s="110">
        <v>10163.617</v>
      </c>
      <c r="K856" s="110">
        <v>10483.302</v>
      </c>
      <c r="L856" s="110">
        <v>10737.58</v>
      </c>
      <c r="M856" s="110">
        <v>10900</v>
      </c>
      <c r="N856" s="110">
        <v>11036.161</v>
      </c>
      <c r="O856" s="110">
        <v>11202.746999999999</v>
      </c>
      <c r="P856" s="110">
        <v>11449.714</v>
      </c>
      <c r="Q856" s="110">
        <v>11679.957</v>
      </c>
      <c r="R856" s="110">
        <v>11663.662</v>
      </c>
      <c r="S856" s="110">
        <v>11259.382</v>
      </c>
      <c r="T856" s="110">
        <v>10608.431</v>
      </c>
      <c r="U856" s="110">
        <v>9888.4580000000005</v>
      </c>
      <c r="V856" s="110">
        <v>8965.8420000000006</v>
      </c>
      <c r="W856" s="110">
        <v>7479.1</v>
      </c>
      <c r="X856" s="110">
        <v>5245.13</v>
      </c>
      <c r="Y856" s="110">
        <v>2663.8670000000002</v>
      </c>
      <c r="Z856" s="110">
        <v>886.41</v>
      </c>
      <c r="AA856" s="110">
        <v>189.65299999999999</v>
      </c>
      <c r="AB856" s="110">
        <v>19.227</v>
      </c>
      <c r="AC856" s="115">
        <f t="shared" si="36"/>
        <v>77489.460999999981</v>
      </c>
      <c r="AD856">
        <f t="shared" si="37"/>
        <v>0.99518183006491268</v>
      </c>
    </row>
    <row r="857" spans="1:30" x14ac:dyDescent="0.25">
      <c r="A857" s="104" t="str">
        <f t="shared" ref="A857:A920" si="38">D857&amp;G857</f>
        <v>Pakistan2096</v>
      </c>
      <c r="C857" s="107" t="s">
        <v>257</v>
      </c>
      <c r="D857" s="108" t="s">
        <v>146</v>
      </c>
      <c r="E857" s="109"/>
      <c r="F857" s="109">
        <v>586</v>
      </c>
      <c r="G857" s="109">
        <v>2096</v>
      </c>
      <c r="H857" s="110">
        <v>9558.8610000000008</v>
      </c>
      <c r="I857" s="110">
        <v>9782.5210000000006</v>
      </c>
      <c r="J857" s="110">
        <v>10093.826999999999</v>
      </c>
      <c r="K857" s="110">
        <v>10415.950999999999</v>
      </c>
      <c r="L857" s="110">
        <v>10686.608</v>
      </c>
      <c r="M857" s="110">
        <v>10864.97</v>
      </c>
      <c r="N857" s="110">
        <v>11001.075999999999</v>
      </c>
      <c r="O857" s="110">
        <v>11153.607</v>
      </c>
      <c r="P857" s="110">
        <v>11383.031999999999</v>
      </c>
      <c r="Q857" s="110">
        <v>11625.245000000001</v>
      </c>
      <c r="R857" s="110">
        <v>11661.605</v>
      </c>
      <c r="S857" s="110">
        <v>11308.602999999999</v>
      </c>
      <c r="T857" s="110">
        <v>10654.775</v>
      </c>
      <c r="U857" s="110">
        <v>9892.43</v>
      </c>
      <c r="V857" s="110">
        <v>8949.9120000000003</v>
      </c>
      <c r="W857" s="110">
        <v>7493.1530000000002</v>
      </c>
      <c r="X857" s="110">
        <v>5328.2579999999998</v>
      </c>
      <c r="Y857" s="110">
        <v>2808.8690000000001</v>
      </c>
      <c r="Z857" s="110">
        <v>991.46900000000005</v>
      </c>
      <c r="AA857" s="110">
        <v>208.46199999999999</v>
      </c>
      <c r="AB857" s="110">
        <v>20.413</v>
      </c>
      <c r="AC857" s="115">
        <f t="shared" si="36"/>
        <v>77130.489000000001</v>
      </c>
      <c r="AD857">
        <f t="shared" si="37"/>
        <v>0.99536747326194486</v>
      </c>
    </row>
    <row r="858" spans="1:30" x14ac:dyDescent="0.25">
      <c r="A858" s="104" t="str">
        <f t="shared" si="38"/>
        <v>Pakistan2097</v>
      </c>
      <c r="C858" s="107" t="s">
        <v>257</v>
      </c>
      <c r="D858" s="108" t="s">
        <v>146</v>
      </c>
      <c r="E858" s="109"/>
      <c r="F858" s="109">
        <v>586</v>
      </c>
      <c r="G858" s="109">
        <v>2097</v>
      </c>
      <c r="H858" s="110">
        <v>9514.634</v>
      </c>
      <c r="I858" s="110">
        <v>9727.4069999999992</v>
      </c>
      <c r="J858" s="110">
        <v>10024.722</v>
      </c>
      <c r="K858" s="110">
        <v>10346.798000000001</v>
      </c>
      <c r="L858" s="110">
        <v>10630.138999999999</v>
      </c>
      <c r="M858" s="110">
        <v>10827.643</v>
      </c>
      <c r="N858" s="110">
        <v>10966.362999999999</v>
      </c>
      <c r="O858" s="110">
        <v>11109.087</v>
      </c>
      <c r="P858" s="110">
        <v>11318.644</v>
      </c>
      <c r="Q858" s="110">
        <v>11564.029</v>
      </c>
      <c r="R858" s="110">
        <v>11647.936</v>
      </c>
      <c r="S858" s="110">
        <v>11356.97</v>
      </c>
      <c r="T858" s="110">
        <v>10716.421</v>
      </c>
      <c r="U858" s="110">
        <v>9917.1620000000003</v>
      </c>
      <c r="V858" s="110">
        <v>8950.0709999999999</v>
      </c>
      <c r="W858" s="110">
        <v>7514.9489999999996</v>
      </c>
      <c r="X858" s="110">
        <v>5399.3230000000003</v>
      </c>
      <c r="Y858" s="110">
        <v>2929.2950000000001</v>
      </c>
      <c r="Z858" s="110">
        <v>1059.47</v>
      </c>
      <c r="AA858" s="110">
        <v>239.79</v>
      </c>
      <c r="AB858" s="110">
        <v>21.648</v>
      </c>
      <c r="AC858" s="115">
        <f t="shared" ref="AC858:AC921" si="39">SUM(K858:Q858)</f>
        <v>76762.702999999994</v>
      </c>
      <c r="AD858">
        <f t="shared" ref="AD858:AD921" si="40">IF(D858=D857,AC858/AC857,"")</f>
        <v>0.99523163920301339</v>
      </c>
    </row>
    <row r="859" spans="1:30" x14ac:dyDescent="0.25">
      <c r="A859" s="104" t="str">
        <f t="shared" si="38"/>
        <v>Pakistan2098</v>
      </c>
      <c r="C859" s="107" t="s">
        <v>257</v>
      </c>
      <c r="D859" s="108" t="s">
        <v>146</v>
      </c>
      <c r="E859" s="109"/>
      <c r="F859" s="109">
        <v>586</v>
      </c>
      <c r="G859" s="109">
        <v>2098</v>
      </c>
      <c r="H859" s="110">
        <v>9466.6980000000003</v>
      </c>
      <c r="I859" s="110">
        <v>9674.98</v>
      </c>
      <c r="J859" s="110">
        <v>9956.5169999999998</v>
      </c>
      <c r="K859" s="110">
        <v>10276.605</v>
      </c>
      <c r="L859" s="110">
        <v>10568.593000000001</v>
      </c>
      <c r="M859" s="110">
        <v>10786.701999999999</v>
      </c>
      <c r="N859" s="110">
        <v>10931.232</v>
      </c>
      <c r="O859" s="110">
        <v>11067.892</v>
      </c>
      <c r="P859" s="110">
        <v>11256.999</v>
      </c>
      <c r="Q859" s="110">
        <v>11498.315000000001</v>
      </c>
      <c r="R859" s="110">
        <v>11623.29</v>
      </c>
      <c r="S859" s="110">
        <v>11400.535</v>
      </c>
      <c r="T859" s="110">
        <v>10787.933000000001</v>
      </c>
      <c r="U859" s="110">
        <v>9960.4429999999993</v>
      </c>
      <c r="V859" s="110">
        <v>8966.9</v>
      </c>
      <c r="W859" s="110">
        <v>7549.8710000000001</v>
      </c>
      <c r="X859" s="110">
        <v>5473.06</v>
      </c>
      <c r="Y859" s="110">
        <v>3020.7530000000002</v>
      </c>
      <c r="Z859" s="110">
        <v>1105.479</v>
      </c>
      <c r="AA859" s="110">
        <v>263.51499999999999</v>
      </c>
      <c r="AB859" s="110">
        <v>22.927</v>
      </c>
      <c r="AC859" s="115">
        <f t="shared" si="39"/>
        <v>76386.338000000003</v>
      </c>
      <c r="AD859">
        <f t="shared" si="40"/>
        <v>0.99509703299530772</v>
      </c>
    </row>
    <row r="860" spans="1:30" x14ac:dyDescent="0.25">
      <c r="A860" s="104" t="str">
        <f t="shared" si="38"/>
        <v>Pakistan2099</v>
      </c>
      <c r="C860" s="107" t="s">
        <v>257</v>
      </c>
      <c r="D860" s="108" t="s">
        <v>146</v>
      </c>
      <c r="E860" s="109"/>
      <c r="F860" s="109">
        <v>586</v>
      </c>
      <c r="G860" s="109">
        <v>2099</v>
      </c>
      <c r="H860" s="110">
        <v>9416.8430000000008</v>
      </c>
      <c r="I860" s="110">
        <v>9623.5949999999993</v>
      </c>
      <c r="J860" s="110">
        <v>9889.8310000000001</v>
      </c>
      <c r="K860" s="110">
        <v>10205.744000000001</v>
      </c>
      <c r="L860" s="110">
        <v>10503.014999999999</v>
      </c>
      <c r="M860" s="110">
        <v>10740.62</v>
      </c>
      <c r="N860" s="110">
        <v>10894.716</v>
      </c>
      <c r="O860" s="110">
        <v>11028.063</v>
      </c>
      <c r="P860" s="110">
        <v>11198.371999999999</v>
      </c>
      <c r="Q860" s="110">
        <v>11430.918</v>
      </c>
      <c r="R860" s="110">
        <v>11589.334999999999</v>
      </c>
      <c r="S860" s="110">
        <v>11434.757</v>
      </c>
      <c r="T860" s="110">
        <v>10862.831</v>
      </c>
      <c r="U860" s="110">
        <v>10020.564</v>
      </c>
      <c r="V860" s="110">
        <v>9003.1640000000007</v>
      </c>
      <c r="W860" s="110">
        <v>7602.0429999999997</v>
      </c>
      <c r="X860" s="110">
        <v>5556.2169999999996</v>
      </c>
      <c r="Y860" s="110">
        <v>3101.8890000000001</v>
      </c>
      <c r="Z860" s="110">
        <v>1124.461</v>
      </c>
      <c r="AA860" s="110">
        <v>263.255</v>
      </c>
      <c r="AB860" s="110">
        <v>24.238</v>
      </c>
      <c r="AC860" s="115">
        <f t="shared" si="39"/>
        <v>76001.448000000004</v>
      </c>
      <c r="AD860">
        <f t="shared" si="40"/>
        <v>0.99496127173945692</v>
      </c>
    </row>
    <row r="861" spans="1:30" x14ac:dyDescent="0.25">
      <c r="A861" s="104" t="str">
        <f t="shared" si="38"/>
        <v>Pakistan2100</v>
      </c>
      <c r="C861" s="107" t="s">
        <v>257</v>
      </c>
      <c r="D861" s="108" t="s">
        <v>146</v>
      </c>
      <c r="E861" s="109"/>
      <c r="F861" s="109">
        <v>586</v>
      </c>
      <c r="G861" s="109">
        <v>2100</v>
      </c>
      <c r="H861" s="110">
        <v>9367.9760000000006</v>
      </c>
      <c r="I861" s="110">
        <v>9570.8269999999993</v>
      </c>
      <c r="J861" s="110">
        <v>9825.1949999999997</v>
      </c>
      <c r="K861" s="110">
        <v>10134.282999999999</v>
      </c>
      <c r="L861" s="110">
        <v>10434.477000000001</v>
      </c>
      <c r="M861" s="110">
        <v>10688.475</v>
      </c>
      <c r="N861" s="110">
        <v>10855.762000000001</v>
      </c>
      <c r="O861" s="110">
        <v>10988.121999999999</v>
      </c>
      <c r="P861" s="110">
        <v>11142.789000000001</v>
      </c>
      <c r="Q861" s="110">
        <v>11363.751</v>
      </c>
      <c r="R861" s="110">
        <v>11547.303</v>
      </c>
      <c r="S861" s="110">
        <v>11456.511</v>
      </c>
      <c r="T861" s="110">
        <v>10936.227000000001</v>
      </c>
      <c r="U861" s="110">
        <v>10095.464</v>
      </c>
      <c r="V861" s="110">
        <v>9060.1740000000009</v>
      </c>
      <c r="W861" s="110">
        <v>7672.1080000000002</v>
      </c>
      <c r="X861" s="110">
        <v>5649.7160000000003</v>
      </c>
      <c r="Y861" s="110">
        <v>3176.2730000000001</v>
      </c>
      <c r="Z861" s="110">
        <v>1131.7159999999999</v>
      </c>
      <c r="AA861" s="110">
        <v>226.17599999999999</v>
      </c>
      <c r="AB861" s="110">
        <v>25.562999999999999</v>
      </c>
      <c r="AC861" s="115">
        <f t="shared" si="39"/>
        <v>75607.659000000014</v>
      </c>
      <c r="AD861">
        <f t="shared" si="40"/>
        <v>0.99481866450755008</v>
      </c>
    </row>
    <row r="862" spans="1:30" x14ac:dyDescent="0.25">
      <c r="A862" s="104" t="str">
        <f t="shared" si="38"/>
        <v>Nigeria2015</v>
      </c>
      <c r="C862" s="107" t="s">
        <v>257</v>
      </c>
      <c r="D862" s="108" t="s">
        <v>213</v>
      </c>
      <c r="E862" s="109"/>
      <c r="F862" s="109">
        <v>566</v>
      </c>
      <c r="G862" s="109">
        <v>2015</v>
      </c>
      <c r="H862" s="110">
        <v>15173.966</v>
      </c>
      <c r="I862" s="110">
        <v>12923.671</v>
      </c>
      <c r="J862" s="110">
        <v>10987.663</v>
      </c>
      <c r="K862" s="110">
        <v>9174.152</v>
      </c>
      <c r="L862" s="110">
        <v>7724.848</v>
      </c>
      <c r="M862" s="110">
        <v>6682.99</v>
      </c>
      <c r="N862" s="110">
        <v>5805.4449999999997</v>
      </c>
      <c r="O862" s="110">
        <v>4871.9430000000002</v>
      </c>
      <c r="P862" s="110">
        <v>3942.0320000000002</v>
      </c>
      <c r="Q862" s="110">
        <v>3161.1860000000001</v>
      </c>
      <c r="R862" s="110">
        <v>2609.25</v>
      </c>
      <c r="S862" s="110">
        <v>2114.4059999999999</v>
      </c>
      <c r="T862" s="110">
        <v>1641.527</v>
      </c>
      <c r="U862" s="110">
        <v>1213.671</v>
      </c>
      <c r="V862" s="110">
        <v>790.71199999999999</v>
      </c>
      <c r="W862" s="110">
        <v>406.63200000000001</v>
      </c>
      <c r="X862" s="110">
        <v>149.40799999999999</v>
      </c>
      <c r="Y862" s="110">
        <v>34.725999999999999</v>
      </c>
      <c r="Z862" s="110">
        <v>4.45</v>
      </c>
      <c r="AA862" s="110">
        <v>0.32600000000000001</v>
      </c>
      <c r="AB862" s="110">
        <v>1.0999999999999999E-2</v>
      </c>
      <c r="AC862" s="115">
        <f t="shared" si="39"/>
        <v>41362.595999999998</v>
      </c>
      <c r="AD862" t="str">
        <f t="shared" si="40"/>
        <v/>
      </c>
    </row>
    <row r="863" spans="1:30" x14ac:dyDescent="0.25">
      <c r="A863" s="104" t="str">
        <f t="shared" si="38"/>
        <v>Nigeria2016</v>
      </c>
      <c r="C863" s="107" t="s">
        <v>257</v>
      </c>
      <c r="D863" s="108" t="s">
        <v>213</v>
      </c>
      <c r="E863" s="109"/>
      <c r="F863" s="109">
        <v>566</v>
      </c>
      <c r="G863" s="109">
        <v>2016</v>
      </c>
      <c r="H863" s="110">
        <v>15505.825999999999</v>
      </c>
      <c r="I863" s="110">
        <v>13266.178</v>
      </c>
      <c r="J863" s="110">
        <v>11310.923000000001</v>
      </c>
      <c r="K863" s="110">
        <v>9453.5110000000004</v>
      </c>
      <c r="L863" s="110">
        <v>7917.9880000000003</v>
      </c>
      <c r="M863" s="110">
        <v>6813.9809999999998</v>
      </c>
      <c r="N863" s="110">
        <v>5931.5190000000002</v>
      </c>
      <c r="O863" s="110">
        <v>5017.28</v>
      </c>
      <c r="P863" s="110">
        <v>4082</v>
      </c>
      <c r="Q863" s="110">
        <v>3262.9229999999998</v>
      </c>
      <c r="R863" s="110">
        <v>2673.4589999999998</v>
      </c>
      <c r="S863" s="110">
        <v>2167.3180000000002</v>
      </c>
      <c r="T863" s="110">
        <v>1679.0239999999999</v>
      </c>
      <c r="U863" s="110">
        <v>1236.1489999999999</v>
      </c>
      <c r="V863" s="110">
        <v>810.10699999999997</v>
      </c>
      <c r="W863" s="110">
        <v>425.21899999999999</v>
      </c>
      <c r="X863" s="110">
        <v>162.696</v>
      </c>
      <c r="Y863" s="110">
        <v>40.725000000000001</v>
      </c>
      <c r="Z863" s="110">
        <v>5.5990000000000002</v>
      </c>
      <c r="AA863" s="110">
        <v>0.44800000000000001</v>
      </c>
      <c r="AB863" s="110">
        <v>1.2E-2</v>
      </c>
      <c r="AC863" s="115">
        <f t="shared" si="39"/>
        <v>42479.202000000005</v>
      </c>
      <c r="AD863">
        <f t="shared" si="40"/>
        <v>1.0269955493122338</v>
      </c>
    </row>
    <row r="864" spans="1:30" x14ac:dyDescent="0.25">
      <c r="A864" s="104" t="str">
        <f t="shared" si="38"/>
        <v>Nigeria2017</v>
      </c>
      <c r="C864" s="107" t="s">
        <v>257</v>
      </c>
      <c r="D864" s="108" t="s">
        <v>213</v>
      </c>
      <c r="E864" s="109"/>
      <c r="F864" s="109">
        <v>566</v>
      </c>
      <c r="G864" s="109">
        <v>2017</v>
      </c>
      <c r="H864" s="110">
        <v>15782.741</v>
      </c>
      <c r="I864" s="110">
        <v>13614.001</v>
      </c>
      <c r="J864" s="110">
        <v>11638.646000000001</v>
      </c>
      <c r="K864" s="110">
        <v>9760.2919999999995</v>
      </c>
      <c r="L864" s="110">
        <v>8132.8620000000001</v>
      </c>
      <c r="M864" s="110">
        <v>6953.69</v>
      </c>
      <c r="N864" s="110">
        <v>6055.5950000000003</v>
      </c>
      <c r="O864" s="110">
        <v>5163.4030000000002</v>
      </c>
      <c r="P864" s="110">
        <v>4228.1689999999999</v>
      </c>
      <c r="Q864" s="110">
        <v>3377.5430000000001</v>
      </c>
      <c r="R864" s="110">
        <v>2741.9140000000002</v>
      </c>
      <c r="S864" s="110">
        <v>2226.0929999999998</v>
      </c>
      <c r="T864" s="110">
        <v>1724.154</v>
      </c>
      <c r="U864" s="110">
        <v>1261.7349999999999</v>
      </c>
      <c r="V864" s="110">
        <v>829.83100000000002</v>
      </c>
      <c r="W864" s="110">
        <v>441.637</v>
      </c>
      <c r="X864" s="110">
        <v>172.46700000000001</v>
      </c>
      <c r="Y864" s="110">
        <v>44.835000000000001</v>
      </c>
      <c r="Z864" s="110">
        <v>6.7770000000000001</v>
      </c>
      <c r="AA864" s="110">
        <v>0.67900000000000005</v>
      </c>
      <c r="AB864" s="110">
        <v>1.4E-2</v>
      </c>
      <c r="AC864" s="115">
        <f t="shared" si="39"/>
        <v>43671.553999999996</v>
      </c>
      <c r="AD864">
        <f t="shared" si="40"/>
        <v>1.028069077192175</v>
      </c>
    </row>
    <row r="865" spans="1:30" x14ac:dyDescent="0.25">
      <c r="A865" s="104" t="str">
        <f t="shared" si="38"/>
        <v>Nigeria2018</v>
      </c>
      <c r="C865" s="107" t="s">
        <v>257</v>
      </c>
      <c r="D865" s="108" t="s">
        <v>213</v>
      </c>
      <c r="E865" s="109"/>
      <c r="F865" s="109">
        <v>566</v>
      </c>
      <c r="G865" s="109">
        <v>2018</v>
      </c>
      <c r="H865" s="110">
        <v>16025.460999999999</v>
      </c>
      <c r="I865" s="110">
        <v>13959.474</v>
      </c>
      <c r="J865" s="110">
        <v>11967.708000000001</v>
      </c>
      <c r="K865" s="110">
        <v>10088.858</v>
      </c>
      <c r="L865" s="110">
        <v>8368.7129999999997</v>
      </c>
      <c r="M865" s="110">
        <v>7104.4809999999998</v>
      </c>
      <c r="N865" s="110">
        <v>6179.2560000000003</v>
      </c>
      <c r="O865" s="110">
        <v>5308.0990000000002</v>
      </c>
      <c r="P865" s="110">
        <v>4377.7330000000002</v>
      </c>
      <c r="Q865" s="110">
        <v>3502.875</v>
      </c>
      <c r="R865" s="110">
        <v>2816.6129999999998</v>
      </c>
      <c r="S865" s="110">
        <v>2289.7919999999999</v>
      </c>
      <c r="T865" s="110">
        <v>1775.9159999999999</v>
      </c>
      <c r="U865" s="110">
        <v>1291.7829999999999</v>
      </c>
      <c r="V865" s="110">
        <v>851.25599999999997</v>
      </c>
      <c r="W865" s="110">
        <v>456.08699999999999</v>
      </c>
      <c r="X865" s="110">
        <v>178.14699999999999</v>
      </c>
      <c r="Y865" s="110">
        <v>46.584000000000003</v>
      </c>
      <c r="Z865" s="110">
        <v>7.694</v>
      </c>
      <c r="AA865" s="110">
        <v>0.84699999999999998</v>
      </c>
      <c r="AB865" s="110">
        <v>1.7000000000000001E-2</v>
      </c>
      <c r="AC865" s="115">
        <f t="shared" si="39"/>
        <v>44930.014999999999</v>
      </c>
      <c r="AD865">
        <f t="shared" si="40"/>
        <v>1.0288164923098455</v>
      </c>
    </row>
    <row r="866" spans="1:30" x14ac:dyDescent="0.25">
      <c r="A866" s="104" t="str">
        <f t="shared" si="38"/>
        <v>Nigeria2019</v>
      </c>
      <c r="C866" s="107" t="s">
        <v>257</v>
      </c>
      <c r="D866" s="108" t="s">
        <v>213</v>
      </c>
      <c r="E866" s="109"/>
      <c r="F866" s="109">
        <v>566</v>
      </c>
      <c r="G866" s="109">
        <v>2019</v>
      </c>
      <c r="H866" s="110">
        <v>16264.928</v>
      </c>
      <c r="I866" s="110">
        <v>14290.295</v>
      </c>
      <c r="J866" s="110">
        <v>12297.709000000001</v>
      </c>
      <c r="K866" s="110">
        <v>10427.526</v>
      </c>
      <c r="L866" s="110">
        <v>8624.8989999999994</v>
      </c>
      <c r="M866" s="110">
        <v>7269.5810000000001</v>
      </c>
      <c r="N866" s="110">
        <v>6304.7510000000002</v>
      </c>
      <c r="O866" s="110">
        <v>5448.1450000000004</v>
      </c>
      <c r="P866" s="110">
        <v>4527.3639999999996</v>
      </c>
      <c r="Q866" s="110">
        <v>3635.3710000000001</v>
      </c>
      <c r="R866" s="110">
        <v>2900.8719999999998</v>
      </c>
      <c r="S866" s="110">
        <v>2357.0749999999998</v>
      </c>
      <c r="T866" s="110">
        <v>1832.636</v>
      </c>
      <c r="U866" s="110">
        <v>1327.797</v>
      </c>
      <c r="V866" s="110">
        <v>874.96900000000005</v>
      </c>
      <c r="W866" s="110">
        <v>468.79</v>
      </c>
      <c r="X866" s="110">
        <v>180.13</v>
      </c>
      <c r="Y866" s="110">
        <v>45.624000000000002</v>
      </c>
      <c r="Z866" s="110">
        <v>7.577</v>
      </c>
      <c r="AA866" s="110">
        <v>0.79500000000000004</v>
      </c>
      <c r="AB866" s="110">
        <v>1.7999999999999999E-2</v>
      </c>
      <c r="AC866" s="115">
        <f t="shared" si="39"/>
        <v>46237.637000000002</v>
      </c>
      <c r="AD866">
        <f t="shared" si="40"/>
        <v>1.0291035291219022</v>
      </c>
    </row>
    <row r="867" spans="1:30" x14ac:dyDescent="0.25">
      <c r="A867" s="104" t="str">
        <f t="shared" si="38"/>
        <v>Nigeria2020</v>
      </c>
      <c r="C867" s="107" t="s">
        <v>257</v>
      </c>
      <c r="D867" s="108" t="s">
        <v>213</v>
      </c>
      <c r="E867" s="109"/>
      <c r="F867" s="109">
        <v>566</v>
      </c>
      <c r="G867" s="109">
        <v>2020</v>
      </c>
      <c r="H867" s="110">
        <v>16526.454000000002</v>
      </c>
      <c r="I867" s="110">
        <v>14592.821</v>
      </c>
      <c r="J867" s="110">
        <v>12628.261</v>
      </c>
      <c r="K867" s="110">
        <v>10766.48</v>
      </c>
      <c r="L867" s="110">
        <v>8902.1360000000004</v>
      </c>
      <c r="M867" s="110">
        <v>7451.8209999999999</v>
      </c>
      <c r="N867" s="110">
        <v>6434.1980000000003</v>
      </c>
      <c r="O867" s="110">
        <v>5581.8969999999999</v>
      </c>
      <c r="P867" s="110">
        <v>4675.0569999999998</v>
      </c>
      <c r="Q867" s="110">
        <v>3772.3040000000001</v>
      </c>
      <c r="R867" s="110">
        <v>2996.6950000000002</v>
      </c>
      <c r="S867" s="110">
        <v>2427.2550000000001</v>
      </c>
      <c r="T867" s="110">
        <v>1893.2339999999999</v>
      </c>
      <c r="U867" s="110">
        <v>1370.635</v>
      </c>
      <c r="V867" s="110">
        <v>901.34100000000001</v>
      </c>
      <c r="W867" s="110">
        <v>480.80700000000002</v>
      </c>
      <c r="X867" s="110">
        <v>179.46299999999999</v>
      </c>
      <c r="Y867" s="110">
        <v>41.362000000000002</v>
      </c>
      <c r="Z867" s="110">
        <v>5.2709999999999999</v>
      </c>
      <c r="AA867" s="110">
        <v>0.375</v>
      </c>
      <c r="AB867" s="110">
        <v>0.02</v>
      </c>
      <c r="AC867" s="115">
        <f t="shared" si="39"/>
        <v>47583.892999999996</v>
      </c>
      <c r="AD867">
        <f t="shared" si="40"/>
        <v>1.0291160207862697</v>
      </c>
    </row>
    <row r="868" spans="1:30" x14ac:dyDescent="0.25">
      <c r="A868" s="104" t="str">
        <f t="shared" si="38"/>
        <v>Nigeria2021</v>
      </c>
      <c r="C868" s="107" t="s">
        <v>257</v>
      </c>
      <c r="D868" s="108" t="s">
        <v>213</v>
      </c>
      <c r="E868" s="109"/>
      <c r="F868" s="109">
        <v>566</v>
      </c>
      <c r="G868" s="109">
        <v>2021</v>
      </c>
      <c r="H868" s="110">
        <v>16790.832999999999</v>
      </c>
      <c r="I868" s="110">
        <v>14916.637000000001</v>
      </c>
      <c r="J868" s="110">
        <v>12967.726000000001</v>
      </c>
      <c r="K868" s="110">
        <v>11086.33</v>
      </c>
      <c r="L868" s="110">
        <v>9193.2780000000002</v>
      </c>
      <c r="M868" s="110">
        <v>7651.6850000000004</v>
      </c>
      <c r="N868" s="110">
        <v>6569.59</v>
      </c>
      <c r="O868" s="110">
        <v>5710.56</v>
      </c>
      <c r="P868" s="110">
        <v>4820.7449999999999</v>
      </c>
      <c r="Q868" s="110">
        <v>3909.0540000000001</v>
      </c>
      <c r="R868" s="110">
        <v>3095.7159999999999</v>
      </c>
      <c r="S868" s="110">
        <v>2487.837</v>
      </c>
      <c r="T868" s="110">
        <v>1941.5909999999999</v>
      </c>
      <c r="U868" s="110">
        <v>1404.7809999999999</v>
      </c>
      <c r="V868" s="110">
        <v>922.221</v>
      </c>
      <c r="W868" s="110">
        <v>500.33100000000002</v>
      </c>
      <c r="X868" s="110">
        <v>195.90899999999999</v>
      </c>
      <c r="Y868" s="110">
        <v>48.875999999999998</v>
      </c>
      <c r="Z868" s="110">
        <v>6.6230000000000002</v>
      </c>
      <c r="AA868" s="110">
        <v>0.52200000000000002</v>
      </c>
      <c r="AB868" s="110">
        <v>2.1000000000000001E-2</v>
      </c>
      <c r="AC868" s="115">
        <f t="shared" si="39"/>
        <v>48941.241999999998</v>
      </c>
      <c r="AD868">
        <f t="shared" si="40"/>
        <v>1.028525387781954</v>
      </c>
    </row>
    <row r="869" spans="1:30" x14ac:dyDescent="0.25">
      <c r="A869" s="104" t="str">
        <f t="shared" si="38"/>
        <v>Nigeria2022</v>
      </c>
      <c r="C869" s="107" t="s">
        <v>257</v>
      </c>
      <c r="D869" s="108" t="s">
        <v>213</v>
      </c>
      <c r="E869" s="109"/>
      <c r="F869" s="109">
        <v>566</v>
      </c>
      <c r="G869" s="109">
        <v>2022</v>
      </c>
      <c r="H869" s="110">
        <v>17068.3</v>
      </c>
      <c r="I869" s="110">
        <v>15215.737999999999</v>
      </c>
      <c r="J869" s="110">
        <v>13312.635</v>
      </c>
      <c r="K869" s="110">
        <v>11405.811</v>
      </c>
      <c r="L869" s="110">
        <v>9503.5239999999994</v>
      </c>
      <c r="M869" s="110">
        <v>7867.701</v>
      </c>
      <c r="N869" s="110">
        <v>6710.3729999999996</v>
      </c>
      <c r="O869" s="110">
        <v>5834.7929999999997</v>
      </c>
      <c r="P869" s="110">
        <v>4965.3779999999997</v>
      </c>
      <c r="Q869" s="110">
        <v>4050.9639999999999</v>
      </c>
      <c r="R869" s="110">
        <v>3206.5039999999999</v>
      </c>
      <c r="S869" s="110">
        <v>2552.4589999999998</v>
      </c>
      <c r="T869" s="110">
        <v>1995.3140000000001</v>
      </c>
      <c r="U869" s="110">
        <v>1444.502</v>
      </c>
      <c r="V869" s="110">
        <v>943.43200000000002</v>
      </c>
      <c r="W869" s="110">
        <v>516.95399999999995</v>
      </c>
      <c r="X869" s="110">
        <v>208.42500000000001</v>
      </c>
      <c r="Y869" s="110">
        <v>54.095999999999997</v>
      </c>
      <c r="Z869" s="110">
        <v>8.0069999999999997</v>
      </c>
      <c r="AA869" s="110">
        <v>0.80300000000000005</v>
      </c>
      <c r="AB869" s="110">
        <v>2.1999999999999999E-2</v>
      </c>
      <c r="AC869" s="115">
        <f t="shared" si="39"/>
        <v>50338.543999999994</v>
      </c>
      <c r="AD869">
        <f t="shared" si="40"/>
        <v>1.0285506035993119</v>
      </c>
    </row>
    <row r="870" spans="1:30" x14ac:dyDescent="0.25">
      <c r="A870" s="104" t="str">
        <f t="shared" si="38"/>
        <v>Nigeria2023</v>
      </c>
      <c r="C870" s="107" t="s">
        <v>257</v>
      </c>
      <c r="D870" s="108" t="s">
        <v>213</v>
      </c>
      <c r="E870" s="109"/>
      <c r="F870" s="109">
        <v>566</v>
      </c>
      <c r="G870" s="109">
        <v>2023</v>
      </c>
      <c r="H870" s="110">
        <v>17359.892</v>
      </c>
      <c r="I870" s="110">
        <v>15488.436</v>
      </c>
      <c r="J870" s="110">
        <v>13658.008</v>
      </c>
      <c r="K870" s="110">
        <v>11730.082</v>
      </c>
      <c r="L870" s="110">
        <v>9827.4339999999993</v>
      </c>
      <c r="M870" s="110">
        <v>8101.3029999999999</v>
      </c>
      <c r="N870" s="110">
        <v>6860.4970000000003</v>
      </c>
      <c r="O870" s="110">
        <v>5957.5389999999998</v>
      </c>
      <c r="P870" s="110">
        <v>5107.3990000000003</v>
      </c>
      <c r="Q870" s="110">
        <v>4196.5720000000001</v>
      </c>
      <c r="R870" s="110">
        <v>3327.337</v>
      </c>
      <c r="S870" s="110">
        <v>2623.7869999999998</v>
      </c>
      <c r="T870" s="110">
        <v>2054.393</v>
      </c>
      <c r="U870" s="110">
        <v>1489.7</v>
      </c>
      <c r="V870" s="110">
        <v>967.452</v>
      </c>
      <c r="W870" s="110">
        <v>531.62199999999996</v>
      </c>
      <c r="X870" s="110">
        <v>216.035</v>
      </c>
      <c r="Y870" s="110">
        <v>56.506999999999998</v>
      </c>
      <c r="Z870" s="110">
        <v>9.1359999999999992</v>
      </c>
      <c r="AA870" s="110">
        <v>1.0089999999999999</v>
      </c>
      <c r="AB870" s="110">
        <v>2.1999999999999999E-2</v>
      </c>
      <c r="AC870" s="115">
        <f t="shared" si="39"/>
        <v>51780.825999999994</v>
      </c>
      <c r="AD870">
        <f t="shared" si="40"/>
        <v>1.0286516431623449</v>
      </c>
    </row>
    <row r="871" spans="1:30" x14ac:dyDescent="0.25">
      <c r="A871" s="104" t="str">
        <f t="shared" si="38"/>
        <v>Nigeria2024</v>
      </c>
      <c r="C871" s="107" t="s">
        <v>257</v>
      </c>
      <c r="D871" s="108" t="s">
        <v>213</v>
      </c>
      <c r="E871" s="109"/>
      <c r="F871" s="109">
        <v>566</v>
      </c>
      <c r="G871" s="109">
        <v>2024</v>
      </c>
      <c r="H871" s="110">
        <v>17659.557000000001</v>
      </c>
      <c r="I871" s="110">
        <v>15742.466</v>
      </c>
      <c r="J871" s="110">
        <v>13994.151</v>
      </c>
      <c r="K871" s="110">
        <v>12064.941000000001</v>
      </c>
      <c r="L871" s="110">
        <v>10158.026</v>
      </c>
      <c r="M871" s="110">
        <v>8354.7009999999991</v>
      </c>
      <c r="N871" s="110">
        <v>7025.241</v>
      </c>
      <c r="O871" s="110">
        <v>6082.92</v>
      </c>
      <c r="P871" s="110">
        <v>5245.3530000000001</v>
      </c>
      <c r="Q871" s="110">
        <v>4343.9840000000004</v>
      </c>
      <c r="R871" s="110">
        <v>3455.9870000000001</v>
      </c>
      <c r="S871" s="110">
        <v>2705.9110000000001</v>
      </c>
      <c r="T871" s="110">
        <v>2118.4360000000001</v>
      </c>
      <c r="U871" s="110">
        <v>1539.981</v>
      </c>
      <c r="V871" s="110">
        <v>996.41</v>
      </c>
      <c r="W871" s="110">
        <v>545.154</v>
      </c>
      <c r="X871" s="110">
        <v>218.881</v>
      </c>
      <c r="Y871" s="110">
        <v>55.877000000000002</v>
      </c>
      <c r="Z871" s="110">
        <v>9.1069999999999993</v>
      </c>
      <c r="AA871" s="110">
        <v>0.95299999999999996</v>
      </c>
      <c r="AB871" s="110">
        <v>2.1999999999999999E-2</v>
      </c>
      <c r="AC871" s="115">
        <f t="shared" si="39"/>
        <v>53275.165999999997</v>
      </c>
      <c r="AD871">
        <f t="shared" si="40"/>
        <v>1.028858944814824</v>
      </c>
    </row>
    <row r="872" spans="1:30" x14ac:dyDescent="0.25">
      <c r="A872" s="104" t="str">
        <f t="shared" si="38"/>
        <v>Nigeria2025</v>
      </c>
      <c r="C872" s="107" t="s">
        <v>257</v>
      </c>
      <c r="D872" s="108" t="s">
        <v>213</v>
      </c>
      <c r="E872" s="109"/>
      <c r="F872" s="109">
        <v>566</v>
      </c>
      <c r="G872" s="109">
        <v>2025</v>
      </c>
      <c r="H872" s="110">
        <v>17966.190999999999</v>
      </c>
      <c r="I872" s="110">
        <v>15990.388999999999</v>
      </c>
      <c r="J872" s="110">
        <v>14309.565000000001</v>
      </c>
      <c r="K872" s="110">
        <v>12410.204</v>
      </c>
      <c r="L872" s="110">
        <v>10491.655000000001</v>
      </c>
      <c r="M872" s="110">
        <v>8628.6550000000007</v>
      </c>
      <c r="N872" s="110">
        <v>7207.6679999999997</v>
      </c>
      <c r="O872" s="110">
        <v>6213.643</v>
      </c>
      <c r="P872" s="110">
        <v>5378.6379999999999</v>
      </c>
      <c r="Q872" s="110">
        <v>4491.268</v>
      </c>
      <c r="R872" s="110">
        <v>3590.7150000000001</v>
      </c>
      <c r="S872" s="110">
        <v>2800.8960000000002</v>
      </c>
      <c r="T872" s="110">
        <v>2187.1109999999999</v>
      </c>
      <c r="U872" s="110">
        <v>1595.232</v>
      </c>
      <c r="V872" s="110">
        <v>1031.326</v>
      </c>
      <c r="W872" s="110">
        <v>558.84100000000001</v>
      </c>
      <c r="X872" s="110">
        <v>218.25299999999999</v>
      </c>
      <c r="Y872" s="110">
        <v>51.624000000000002</v>
      </c>
      <c r="Z872" s="110">
        <v>6.5819999999999999</v>
      </c>
      <c r="AA872" s="110">
        <v>0.46200000000000002</v>
      </c>
      <c r="AB872" s="110">
        <v>2.3E-2</v>
      </c>
      <c r="AC872" s="115">
        <f t="shared" si="39"/>
        <v>54821.731</v>
      </c>
      <c r="AD872">
        <f t="shared" si="40"/>
        <v>1.0290297546890796</v>
      </c>
    </row>
    <row r="873" spans="1:30" x14ac:dyDescent="0.25">
      <c r="A873" s="104" t="str">
        <f t="shared" si="38"/>
        <v>Nigeria2026</v>
      </c>
      <c r="C873" s="107" t="s">
        <v>257</v>
      </c>
      <c r="D873" s="108" t="s">
        <v>213</v>
      </c>
      <c r="E873" s="109"/>
      <c r="F873" s="109">
        <v>566</v>
      </c>
      <c r="G873" s="109">
        <v>2026</v>
      </c>
      <c r="H873" s="110">
        <v>18305.094000000001</v>
      </c>
      <c r="I873" s="110">
        <v>16281.056</v>
      </c>
      <c r="J873" s="110">
        <v>14607.537</v>
      </c>
      <c r="K873" s="110">
        <v>12739.752</v>
      </c>
      <c r="L873" s="110">
        <v>10816.105</v>
      </c>
      <c r="M873" s="110">
        <v>8918.9349999999995</v>
      </c>
      <c r="N873" s="110">
        <v>7405.4430000000002</v>
      </c>
      <c r="O873" s="110">
        <v>6347.5540000000001</v>
      </c>
      <c r="P873" s="110">
        <v>5505.2740000000003</v>
      </c>
      <c r="Q873" s="110">
        <v>4631.125</v>
      </c>
      <c r="R873" s="110">
        <v>3721.01</v>
      </c>
      <c r="S873" s="110">
        <v>2892.6619999999998</v>
      </c>
      <c r="T873" s="110">
        <v>2241.145</v>
      </c>
      <c r="U873" s="110">
        <v>1637.58</v>
      </c>
      <c r="V873" s="110">
        <v>1061.1590000000001</v>
      </c>
      <c r="W873" s="110">
        <v>579.678</v>
      </c>
      <c r="X873" s="110">
        <v>236.17</v>
      </c>
      <c r="Y873" s="110">
        <v>61.064999999999998</v>
      </c>
      <c r="Z873" s="110">
        <v>8.3360000000000003</v>
      </c>
      <c r="AA873" s="110">
        <v>0.64800000000000002</v>
      </c>
      <c r="AB873" s="110">
        <v>2.4E-2</v>
      </c>
      <c r="AC873" s="115">
        <f t="shared" si="39"/>
        <v>56364.188000000002</v>
      </c>
      <c r="AD873">
        <f t="shared" si="40"/>
        <v>1.0281358682380899</v>
      </c>
    </row>
    <row r="874" spans="1:30" x14ac:dyDescent="0.25">
      <c r="A874" s="104" t="str">
        <f t="shared" si="38"/>
        <v>Nigeria2027</v>
      </c>
      <c r="C874" s="107" t="s">
        <v>257</v>
      </c>
      <c r="D874" s="108" t="s">
        <v>213</v>
      </c>
      <c r="E874" s="109"/>
      <c r="F874" s="109">
        <v>566</v>
      </c>
      <c r="G874" s="109">
        <v>2027</v>
      </c>
      <c r="H874" s="110">
        <v>18621.43</v>
      </c>
      <c r="I874" s="110">
        <v>16580.082999999999</v>
      </c>
      <c r="J874" s="110">
        <v>14895.075000000001</v>
      </c>
      <c r="K874" s="110">
        <v>13081.237999999999</v>
      </c>
      <c r="L874" s="110">
        <v>11140.575999999999</v>
      </c>
      <c r="M874" s="110">
        <v>9229.5010000000002</v>
      </c>
      <c r="N874" s="110">
        <v>7621.4610000000002</v>
      </c>
      <c r="O874" s="110">
        <v>6488.9639999999999</v>
      </c>
      <c r="P874" s="110">
        <v>5629.9040000000005</v>
      </c>
      <c r="Q874" s="110">
        <v>4772.5940000000001</v>
      </c>
      <c r="R874" s="110">
        <v>3858.6959999999999</v>
      </c>
      <c r="S874" s="110">
        <v>2997.759</v>
      </c>
      <c r="T874" s="110">
        <v>2300.6379999999999</v>
      </c>
      <c r="U874" s="110">
        <v>1685.2539999999999</v>
      </c>
      <c r="V874" s="110">
        <v>1093.9559999999999</v>
      </c>
      <c r="W874" s="110">
        <v>597.65200000000004</v>
      </c>
      <c r="X874" s="110">
        <v>249.709</v>
      </c>
      <c r="Y874" s="110">
        <v>67.81</v>
      </c>
      <c r="Z874" s="110">
        <v>10.063000000000001</v>
      </c>
      <c r="AA874" s="110">
        <v>0.997</v>
      </c>
      <c r="AB874" s="110">
        <v>2.5000000000000001E-2</v>
      </c>
      <c r="AC874" s="115">
        <f t="shared" si="39"/>
        <v>57964.238000000005</v>
      </c>
      <c r="AD874">
        <f t="shared" si="40"/>
        <v>1.0283877060377415</v>
      </c>
    </row>
    <row r="875" spans="1:30" x14ac:dyDescent="0.25">
      <c r="A875" s="104" t="str">
        <f t="shared" si="38"/>
        <v>Nigeria2028</v>
      </c>
      <c r="C875" s="107" t="s">
        <v>257</v>
      </c>
      <c r="D875" s="108" t="s">
        <v>213</v>
      </c>
      <c r="E875" s="109"/>
      <c r="F875" s="109">
        <v>566</v>
      </c>
      <c r="G875" s="109">
        <v>2028</v>
      </c>
      <c r="H875" s="110">
        <v>18924.348999999998</v>
      </c>
      <c r="I875" s="110">
        <v>16884.484</v>
      </c>
      <c r="J875" s="110">
        <v>15173.892</v>
      </c>
      <c r="K875" s="110">
        <v>13429.098</v>
      </c>
      <c r="L875" s="110">
        <v>11466.668</v>
      </c>
      <c r="M875" s="110">
        <v>9554.1880000000001</v>
      </c>
      <c r="N875" s="110">
        <v>7856.2569999999996</v>
      </c>
      <c r="O875" s="110">
        <v>6640.9210000000003</v>
      </c>
      <c r="P875" s="110">
        <v>5754.0429999999997</v>
      </c>
      <c r="Q875" s="110">
        <v>4913.8999999999996</v>
      </c>
      <c r="R875" s="110">
        <v>4001.5189999999998</v>
      </c>
      <c r="S875" s="110">
        <v>3114.3380000000002</v>
      </c>
      <c r="T875" s="110">
        <v>2368.2489999999998</v>
      </c>
      <c r="U875" s="110">
        <v>1738.432</v>
      </c>
      <c r="V875" s="110">
        <v>1130.6969999999999</v>
      </c>
      <c r="W875" s="110">
        <v>614.60900000000004</v>
      </c>
      <c r="X875" s="110">
        <v>258.041</v>
      </c>
      <c r="Y875" s="110">
        <v>71.006</v>
      </c>
      <c r="Z875" s="110">
        <v>11.483000000000001</v>
      </c>
      <c r="AA875" s="110">
        <v>1.256</v>
      </c>
      <c r="AB875" s="110">
        <v>2.5999999999999999E-2</v>
      </c>
      <c r="AC875" s="115">
        <f t="shared" si="39"/>
        <v>59615.074999999997</v>
      </c>
      <c r="AD875">
        <f t="shared" si="40"/>
        <v>1.0284802674366218</v>
      </c>
    </row>
    <row r="876" spans="1:30" x14ac:dyDescent="0.25">
      <c r="A876" s="104" t="str">
        <f t="shared" si="38"/>
        <v>Nigeria2029</v>
      </c>
      <c r="C876" s="107" t="s">
        <v>257</v>
      </c>
      <c r="D876" s="108" t="s">
        <v>213</v>
      </c>
      <c r="E876" s="109"/>
      <c r="F876" s="109">
        <v>566</v>
      </c>
      <c r="G876" s="109">
        <v>2029</v>
      </c>
      <c r="H876" s="110">
        <v>19227.974999999999</v>
      </c>
      <c r="I876" s="110">
        <v>17187.253000000001</v>
      </c>
      <c r="J876" s="110">
        <v>15450.537</v>
      </c>
      <c r="K876" s="110">
        <v>13771.674000000001</v>
      </c>
      <c r="L876" s="110">
        <v>11798.633</v>
      </c>
      <c r="M876" s="110">
        <v>9884.2690000000002</v>
      </c>
      <c r="N876" s="110">
        <v>8110.1880000000001</v>
      </c>
      <c r="O876" s="110">
        <v>6807.1109999999999</v>
      </c>
      <c r="P876" s="110">
        <v>5880.3789999999999</v>
      </c>
      <c r="Q876" s="110">
        <v>5052.4989999999998</v>
      </c>
      <c r="R876" s="110">
        <v>4146.7619999999997</v>
      </c>
      <c r="S876" s="110">
        <v>3239.8220000000001</v>
      </c>
      <c r="T876" s="110">
        <v>2447.5300000000002</v>
      </c>
      <c r="U876" s="110">
        <v>1796.7560000000001</v>
      </c>
      <c r="V876" s="110">
        <v>1171.5809999999999</v>
      </c>
      <c r="W876" s="110">
        <v>632.36400000000003</v>
      </c>
      <c r="X876" s="110">
        <v>261.39</v>
      </c>
      <c r="Y876" s="110">
        <v>70.343000000000004</v>
      </c>
      <c r="Z876" s="110">
        <v>11.52</v>
      </c>
      <c r="AA876" s="110">
        <v>1.194</v>
      </c>
      <c r="AB876" s="110">
        <v>2.8000000000000001E-2</v>
      </c>
      <c r="AC876" s="115">
        <f t="shared" si="39"/>
        <v>61304.752999999997</v>
      </c>
      <c r="AD876">
        <f t="shared" si="40"/>
        <v>1.0283431330078843</v>
      </c>
    </row>
    <row r="877" spans="1:30" x14ac:dyDescent="0.25">
      <c r="A877" s="104" t="str">
        <f t="shared" si="38"/>
        <v>Nigeria2030</v>
      </c>
      <c r="C877" s="107" t="s">
        <v>257</v>
      </c>
      <c r="D877" s="108" t="s">
        <v>213</v>
      </c>
      <c r="E877" s="109"/>
      <c r="F877" s="109">
        <v>566</v>
      </c>
      <c r="G877" s="109">
        <v>2030</v>
      </c>
      <c r="H877" s="110">
        <v>19545.616999999998</v>
      </c>
      <c r="I877" s="110">
        <v>17479.132000000001</v>
      </c>
      <c r="J877" s="110">
        <v>15730.097</v>
      </c>
      <c r="K877" s="110">
        <v>14099.751</v>
      </c>
      <c r="L877" s="110">
        <v>12139.804</v>
      </c>
      <c r="M877" s="110">
        <v>10214.487999999999</v>
      </c>
      <c r="N877" s="110">
        <v>8382.8130000000001</v>
      </c>
      <c r="O877" s="110">
        <v>6989.9139999999998</v>
      </c>
      <c r="P877" s="110">
        <v>6011.4250000000002</v>
      </c>
      <c r="Q877" s="110">
        <v>5186.83</v>
      </c>
      <c r="R877" s="110">
        <v>4292.5240000000003</v>
      </c>
      <c r="S877" s="110">
        <v>3372.27</v>
      </c>
      <c r="T877" s="110">
        <v>2540.2399999999998</v>
      </c>
      <c r="U877" s="110">
        <v>1860.26</v>
      </c>
      <c r="V877" s="110">
        <v>1216.847</v>
      </c>
      <c r="W877" s="110">
        <v>652.572</v>
      </c>
      <c r="X877" s="110">
        <v>261.24099999999999</v>
      </c>
      <c r="Y877" s="110">
        <v>65.337000000000003</v>
      </c>
      <c r="Z877" s="110">
        <v>8.6259999999999994</v>
      </c>
      <c r="AA877" s="110">
        <v>0.60599999999999998</v>
      </c>
      <c r="AB877" s="110">
        <v>2.9000000000000001E-2</v>
      </c>
      <c r="AC877" s="115">
        <f t="shared" si="39"/>
        <v>63025.025000000001</v>
      </c>
      <c r="AD877">
        <f t="shared" si="40"/>
        <v>1.0280609890068393</v>
      </c>
    </row>
    <row r="878" spans="1:30" x14ac:dyDescent="0.25">
      <c r="A878" s="104" t="str">
        <f t="shared" si="38"/>
        <v>Nigeria2031</v>
      </c>
      <c r="C878" s="107" t="s">
        <v>257</v>
      </c>
      <c r="D878" s="108" t="s">
        <v>213</v>
      </c>
      <c r="E878" s="109"/>
      <c r="F878" s="109">
        <v>566</v>
      </c>
      <c r="G878" s="109">
        <v>2031</v>
      </c>
      <c r="H878" s="110">
        <v>19891.986000000001</v>
      </c>
      <c r="I878" s="110">
        <v>17802.819</v>
      </c>
      <c r="J878" s="110">
        <v>16017.633</v>
      </c>
      <c r="K878" s="110">
        <v>14393.788</v>
      </c>
      <c r="L878" s="110">
        <v>12479.239</v>
      </c>
      <c r="M878" s="110">
        <v>10542.607</v>
      </c>
      <c r="N878" s="110">
        <v>8673.0030000000006</v>
      </c>
      <c r="O878" s="110">
        <v>7187.933</v>
      </c>
      <c r="P878" s="110">
        <v>6146.3029999999999</v>
      </c>
      <c r="Q878" s="110">
        <v>5311.2960000000003</v>
      </c>
      <c r="R878" s="110">
        <v>4428.45</v>
      </c>
      <c r="S878" s="110">
        <v>3495.4110000000001</v>
      </c>
      <c r="T878" s="110">
        <v>2624.884</v>
      </c>
      <c r="U878" s="110">
        <v>1909.0730000000001</v>
      </c>
      <c r="V878" s="110">
        <v>1254.2349999999999</v>
      </c>
      <c r="W878" s="110">
        <v>680.97299999999996</v>
      </c>
      <c r="X878" s="110">
        <v>281.154</v>
      </c>
      <c r="Y878" s="110">
        <v>76.334999999999994</v>
      </c>
      <c r="Z878" s="110">
        <v>11.038</v>
      </c>
      <c r="AA878" s="110">
        <v>0.84799999999999998</v>
      </c>
      <c r="AB878" s="110">
        <v>0.03</v>
      </c>
      <c r="AC878" s="115">
        <f t="shared" si="39"/>
        <v>64734.169000000002</v>
      </c>
      <c r="AD878">
        <f t="shared" si="40"/>
        <v>1.0271184977713217</v>
      </c>
    </row>
    <row r="879" spans="1:30" x14ac:dyDescent="0.25">
      <c r="A879" s="104" t="str">
        <f t="shared" si="38"/>
        <v>Nigeria2032</v>
      </c>
      <c r="C879" s="107" t="s">
        <v>257</v>
      </c>
      <c r="D879" s="108" t="s">
        <v>213</v>
      </c>
      <c r="E879" s="109"/>
      <c r="F879" s="109">
        <v>566</v>
      </c>
      <c r="G879" s="109">
        <v>2032</v>
      </c>
      <c r="H879" s="110">
        <v>20216.603999999999</v>
      </c>
      <c r="I879" s="110">
        <v>18132.060000000001</v>
      </c>
      <c r="J879" s="110">
        <v>16316.254999999999</v>
      </c>
      <c r="K879" s="110">
        <v>14677.031999999999</v>
      </c>
      <c r="L879" s="110">
        <v>12826.902</v>
      </c>
      <c r="M879" s="110">
        <v>10869.163</v>
      </c>
      <c r="N879" s="110">
        <v>8982.8809999999994</v>
      </c>
      <c r="O879" s="110">
        <v>7403.701</v>
      </c>
      <c r="P879" s="110">
        <v>6288.67</v>
      </c>
      <c r="Q879" s="110">
        <v>5434.7340000000004</v>
      </c>
      <c r="R879" s="110">
        <v>4567.1419999999998</v>
      </c>
      <c r="S879" s="110">
        <v>3627.1970000000001</v>
      </c>
      <c r="T879" s="110">
        <v>2722.7379999999998</v>
      </c>
      <c r="U879" s="110">
        <v>1962.76</v>
      </c>
      <c r="V879" s="110">
        <v>1294.489</v>
      </c>
      <c r="W879" s="110">
        <v>707.75300000000004</v>
      </c>
      <c r="X879" s="110">
        <v>296.12200000000001</v>
      </c>
      <c r="Y879" s="110">
        <v>84.197000000000003</v>
      </c>
      <c r="Z879" s="110">
        <v>13.31</v>
      </c>
      <c r="AA879" s="110">
        <v>1.302</v>
      </c>
      <c r="AB879" s="110">
        <v>3.2000000000000001E-2</v>
      </c>
      <c r="AC879" s="115">
        <f t="shared" si="39"/>
        <v>66483.082999999999</v>
      </c>
      <c r="AD879">
        <f t="shared" si="40"/>
        <v>1.0270168602921279</v>
      </c>
    </row>
    <row r="880" spans="1:30" x14ac:dyDescent="0.25">
      <c r="A880" s="104" t="str">
        <f t="shared" si="38"/>
        <v>Nigeria2033</v>
      </c>
      <c r="C880" s="107" t="s">
        <v>257</v>
      </c>
      <c r="D880" s="108" t="s">
        <v>213</v>
      </c>
      <c r="E880" s="109"/>
      <c r="F880" s="109">
        <v>566</v>
      </c>
      <c r="G880" s="109">
        <v>2033</v>
      </c>
      <c r="H880" s="110">
        <v>20528.674999999999</v>
      </c>
      <c r="I880" s="110">
        <v>18462.367999999999</v>
      </c>
      <c r="J880" s="110">
        <v>16622.12</v>
      </c>
      <c r="K880" s="110">
        <v>14956.539000000001</v>
      </c>
      <c r="L880" s="110">
        <v>13175.398999999999</v>
      </c>
      <c r="M880" s="110">
        <v>11195.868</v>
      </c>
      <c r="N880" s="110">
        <v>9306.4959999999992</v>
      </c>
      <c r="O880" s="110">
        <v>7637.84</v>
      </c>
      <c r="P880" s="110">
        <v>6440.9129999999996</v>
      </c>
      <c r="Q880" s="110">
        <v>5558.9110000000001</v>
      </c>
      <c r="R880" s="110">
        <v>4706.4589999999998</v>
      </c>
      <c r="S880" s="110">
        <v>3765.6019999999999</v>
      </c>
      <c r="T880" s="110">
        <v>2832.556</v>
      </c>
      <c r="U880" s="110">
        <v>2024.28</v>
      </c>
      <c r="V880" s="110">
        <v>1338.973</v>
      </c>
      <c r="W880" s="110">
        <v>733.89</v>
      </c>
      <c r="X880" s="110">
        <v>305.97800000000001</v>
      </c>
      <c r="Y880" s="110">
        <v>87.915999999999997</v>
      </c>
      <c r="Z880" s="110">
        <v>15.08</v>
      </c>
      <c r="AA880" s="110">
        <v>1.639</v>
      </c>
      <c r="AB880" s="110">
        <v>3.4000000000000002E-2</v>
      </c>
      <c r="AC880" s="115">
        <f t="shared" si="39"/>
        <v>68271.966000000015</v>
      </c>
      <c r="AD880">
        <f t="shared" si="40"/>
        <v>1.0269073412254366</v>
      </c>
    </row>
    <row r="881" spans="1:30" x14ac:dyDescent="0.25">
      <c r="A881" s="104" t="str">
        <f t="shared" si="38"/>
        <v>Nigeria2034</v>
      </c>
      <c r="C881" s="107" t="s">
        <v>257</v>
      </c>
      <c r="D881" s="108" t="s">
        <v>213</v>
      </c>
      <c r="E881" s="109"/>
      <c r="F881" s="109">
        <v>566</v>
      </c>
      <c r="G881" s="109">
        <v>2034</v>
      </c>
      <c r="H881" s="110">
        <v>20836.986000000001</v>
      </c>
      <c r="I881" s="110">
        <v>18787.853999999999</v>
      </c>
      <c r="J881" s="110">
        <v>16931.491000000002</v>
      </c>
      <c r="K881" s="110">
        <v>15241.486000000001</v>
      </c>
      <c r="L881" s="110">
        <v>13514.584999999999</v>
      </c>
      <c r="M881" s="110">
        <v>11527.319</v>
      </c>
      <c r="N881" s="110">
        <v>9635.4760000000006</v>
      </c>
      <c r="O881" s="110">
        <v>7890.9409999999998</v>
      </c>
      <c r="P881" s="110">
        <v>6606.8019999999997</v>
      </c>
      <c r="Q881" s="110">
        <v>5686.5259999999998</v>
      </c>
      <c r="R881" s="110">
        <v>4844.0129999999999</v>
      </c>
      <c r="S881" s="110">
        <v>3908.1309999999999</v>
      </c>
      <c r="T881" s="110">
        <v>2952.5039999999999</v>
      </c>
      <c r="U881" s="110">
        <v>2097.4160000000002</v>
      </c>
      <c r="V881" s="110">
        <v>1387.961</v>
      </c>
      <c r="W881" s="110">
        <v>760.21900000000005</v>
      </c>
      <c r="X881" s="110">
        <v>311.76299999999998</v>
      </c>
      <c r="Y881" s="110">
        <v>87.197000000000003</v>
      </c>
      <c r="Z881" s="110">
        <v>15.053000000000001</v>
      </c>
      <c r="AA881" s="110">
        <v>1.569</v>
      </c>
      <c r="AB881" s="110">
        <v>3.5999999999999997E-2</v>
      </c>
      <c r="AC881" s="115">
        <f t="shared" si="39"/>
        <v>70103.134999999995</v>
      </c>
      <c r="AD881">
        <f t="shared" si="40"/>
        <v>1.0268216825629422</v>
      </c>
    </row>
    <row r="882" spans="1:30" x14ac:dyDescent="0.25">
      <c r="A882" s="104" t="str">
        <f t="shared" si="38"/>
        <v>Nigeria2035</v>
      </c>
      <c r="C882" s="107" t="s">
        <v>257</v>
      </c>
      <c r="D882" s="108" t="s">
        <v>213</v>
      </c>
      <c r="E882" s="109"/>
      <c r="F882" s="109">
        <v>566</v>
      </c>
      <c r="G882" s="109">
        <v>2035</v>
      </c>
      <c r="H882" s="110">
        <v>21151.132000000001</v>
      </c>
      <c r="I882" s="110">
        <v>19101.429</v>
      </c>
      <c r="J882" s="110">
        <v>17241.742999999999</v>
      </c>
      <c r="K882" s="110">
        <v>15535.647000000001</v>
      </c>
      <c r="L882" s="110">
        <v>13839.64</v>
      </c>
      <c r="M882" s="110">
        <v>11866.093000000001</v>
      </c>
      <c r="N882" s="110">
        <v>9964.2139999999999</v>
      </c>
      <c r="O882" s="110">
        <v>8162.5749999999998</v>
      </c>
      <c r="P882" s="110">
        <v>6789.1229999999996</v>
      </c>
      <c r="Q882" s="110">
        <v>5819.5029999999997</v>
      </c>
      <c r="R882" s="110">
        <v>4978.59</v>
      </c>
      <c r="S882" s="110">
        <v>4052.7869999999998</v>
      </c>
      <c r="T882" s="110">
        <v>3081.0920000000001</v>
      </c>
      <c r="U882" s="110">
        <v>2184.2289999999998</v>
      </c>
      <c r="V882" s="110">
        <v>1441.7570000000001</v>
      </c>
      <c r="W882" s="110">
        <v>788.21199999999999</v>
      </c>
      <c r="X882" s="110">
        <v>315.315</v>
      </c>
      <c r="Y882" s="110">
        <v>81.665000000000006</v>
      </c>
      <c r="Z882" s="110">
        <v>11.483000000000001</v>
      </c>
      <c r="AA882" s="110">
        <v>0.83</v>
      </c>
      <c r="AB882" s="110">
        <v>3.7999999999999999E-2</v>
      </c>
      <c r="AC882" s="115">
        <f t="shared" si="39"/>
        <v>71976.794999999998</v>
      </c>
      <c r="AD882">
        <f t="shared" si="40"/>
        <v>1.0267271927282569</v>
      </c>
    </row>
    <row r="883" spans="1:30" x14ac:dyDescent="0.25">
      <c r="A883" s="104" t="str">
        <f t="shared" si="38"/>
        <v>Nigeria2036</v>
      </c>
      <c r="C883" s="107" t="s">
        <v>257</v>
      </c>
      <c r="D883" s="108" t="s">
        <v>213</v>
      </c>
      <c r="E883" s="109"/>
      <c r="F883" s="109">
        <v>566</v>
      </c>
      <c r="G883" s="109">
        <v>2036</v>
      </c>
      <c r="H883" s="110">
        <v>21483.735000000001</v>
      </c>
      <c r="I883" s="110">
        <v>19443.54</v>
      </c>
      <c r="J883" s="110">
        <v>17560.473000000002</v>
      </c>
      <c r="K883" s="110">
        <v>15820.492</v>
      </c>
      <c r="L883" s="110">
        <v>14144.157999999999</v>
      </c>
      <c r="M883" s="110">
        <v>12210.079</v>
      </c>
      <c r="N883" s="110">
        <v>10292.655000000001</v>
      </c>
      <c r="O883" s="110">
        <v>8451.5939999999991</v>
      </c>
      <c r="P883" s="110">
        <v>6986.8829999999998</v>
      </c>
      <c r="Q883" s="110">
        <v>5952.4570000000003</v>
      </c>
      <c r="R883" s="110">
        <v>5100.3599999999997</v>
      </c>
      <c r="S883" s="110">
        <v>4181.8649999999998</v>
      </c>
      <c r="T883" s="110">
        <v>3194.6120000000001</v>
      </c>
      <c r="U883" s="110">
        <v>2260.5309999999999</v>
      </c>
      <c r="V883" s="110">
        <v>1484.605</v>
      </c>
      <c r="W883" s="110">
        <v>822.59</v>
      </c>
      <c r="X883" s="110">
        <v>340.94400000000002</v>
      </c>
      <c r="Y883" s="110">
        <v>94.430999999999997</v>
      </c>
      <c r="Z883" s="110">
        <v>14.582000000000001</v>
      </c>
      <c r="AA883" s="110">
        <v>1.157</v>
      </c>
      <c r="AB883" s="110">
        <v>4.1000000000000002E-2</v>
      </c>
      <c r="AC883" s="115">
        <f t="shared" si="39"/>
        <v>73858.317999999985</v>
      </c>
      <c r="AD883">
        <f t="shared" si="40"/>
        <v>1.0261406888150548</v>
      </c>
    </row>
    <row r="884" spans="1:30" x14ac:dyDescent="0.25">
      <c r="A884" s="104" t="str">
        <f t="shared" si="38"/>
        <v>Nigeria2037</v>
      </c>
      <c r="C884" s="107" t="s">
        <v>257</v>
      </c>
      <c r="D884" s="108" t="s">
        <v>213</v>
      </c>
      <c r="E884" s="109"/>
      <c r="F884" s="109">
        <v>566</v>
      </c>
      <c r="G884" s="109">
        <v>2037</v>
      </c>
      <c r="H884" s="110">
        <v>21795.327000000001</v>
      </c>
      <c r="I884" s="110">
        <v>19783.876</v>
      </c>
      <c r="J884" s="110">
        <v>17888.406999999999</v>
      </c>
      <c r="K884" s="110">
        <v>16115.932000000001</v>
      </c>
      <c r="L884" s="110">
        <v>14434.723</v>
      </c>
      <c r="M884" s="110">
        <v>12560.541999999999</v>
      </c>
      <c r="N884" s="110">
        <v>10619.465</v>
      </c>
      <c r="O884" s="110">
        <v>8759.9719999999998</v>
      </c>
      <c r="P884" s="110">
        <v>7202.2479999999996</v>
      </c>
      <c r="Q884" s="110">
        <v>6093.5929999999998</v>
      </c>
      <c r="R884" s="110">
        <v>5222.4129999999996</v>
      </c>
      <c r="S884" s="110">
        <v>4315.5209999999997</v>
      </c>
      <c r="T884" s="110">
        <v>3317.835</v>
      </c>
      <c r="U884" s="110">
        <v>2348.5340000000001</v>
      </c>
      <c r="V884" s="110">
        <v>1529.9290000000001</v>
      </c>
      <c r="W884" s="110">
        <v>855.399</v>
      </c>
      <c r="X884" s="110">
        <v>361.61500000000001</v>
      </c>
      <c r="Y884" s="110">
        <v>103.38800000000001</v>
      </c>
      <c r="Z884" s="110">
        <v>17.431000000000001</v>
      </c>
      <c r="AA884" s="110">
        <v>1.7629999999999999</v>
      </c>
      <c r="AB884" s="110">
        <v>4.3999999999999997E-2</v>
      </c>
      <c r="AC884" s="115">
        <f t="shared" si="39"/>
        <v>75786.474999999991</v>
      </c>
      <c r="AD884">
        <f t="shared" si="40"/>
        <v>1.0261061590923315</v>
      </c>
    </row>
    <row r="885" spans="1:30" x14ac:dyDescent="0.25">
      <c r="A885" s="104" t="str">
        <f t="shared" si="38"/>
        <v>Nigeria2038</v>
      </c>
      <c r="C885" s="107" t="s">
        <v>257</v>
      </c>
      <c r="D885" s="108" t="s">
        <v>213</v>
      </c>
      <c r="E885" s="109"/>
      <c r="F885" s="109">
        <v>566</v>
      </c>
      <c r="G885" s="109">
        <v>2038</v>
      </c>
      <c r="H885" s="110">
        <v>22092.553</v>
      </c>
      <c r="I885" s="110">
        <v>20118.060000000001</v>
      </c>
      <c r="J885" s="110">
        <v>18221.532999999999</v>
      </c>
      <c r="K885" s="110">
        <v>16422.856</v>
      </c>
      <c r="L885" s="110">
        <v>14716.955</v>
      </c>
      <c r="M885" s="110">
        <v>12910.540999999999</v>
      </c>
      <c r="N885" s="110">
        <v>10946.582</v>
      </c>
      <c r="O885" s="110">
        <v>9082.18</v>
      </c>
      <c r="P885" s="110">
        <v>7435.4089999999997</v>
      </c>
      <c r="Q885" s="110">
        <v>6245.6729999999998</v>
      </c>
      <c r="R885" s="110">
        <v>5346.0950000000003</v>
      </c>
      <c r="S885" s="110">
        <v>4451.8739999999998</v>
      </c>
      <c r="T885" s="110">
        <v>3449.3829999999998</v>
      </c>
      <c r="U885" s="110">
        <v>2447.7759999999998</v>
      </c>
      <c r="V885" s="110">
        <v>1581.8579999999999</v>
      </c>
      <c r="W885" s="110">
        <v>887.92100000000005</v>
      </c>
      <c r="X885" s="110">
        <v>376.57299999999998</v>
      </c>
      <c r="Y885" s="110">
        <v>107.776</v>
      </c>
      <c r="Z885" s="110">
        <v>19.568999999999999</v>
      </c>
      <c r="AA885" s="110">
        <v>2.2130000000000001</v>
      </c>
      <c r="AB885" s="110">
        <v>4.7E-2</v>
      </c>
      <c r="AC885" s="115">
        <f t="shared" si="39"/>
        <v>77760.195999999996</v>
      </c>
      <c r="AD885">
        <f t="shared" si="40"/>
        <v>1.026043182507169</v>
      </c>
    </row>
    <row r="886" spans="1:30" x14ac:dyDescent="0.25">
      <c r="A886" s="104" t="str">
        <f t="shared" si="38"/>
        <v>Nigeria2039</v>
      </c>
      <c r="C886" s="107" t="s">
        <v>257</v>
      </c>
      <c r="D886" s="108" t="s">
        <v>213</v>
      </c>
      <c r="E886" s="109"/>
      <c r="F886" s="109">
        <v>566</v>
      </c>
      <c r="G886" s="109">
        <v>2039</v>
      </c>
      <c r="H886" s="110">
        <v>22381.773000000001</v>
      </c>
      <c r="I886" s="110">
        <v>20441.900000000001</v>
      </c>
      <c r="J886" s="110">
        <v>18555.567999999999</v>
      </c>
      <c r="K886" s="110">
        <v>16739.583999999999</v>
      </c>
      <c r="L886" s="110">
        <v>15000.779</v>
      </c>
      <c r="M886" s="110">
        <v>13250.217000000001</v>
      </c>
      <c r="N886" s="110">
        <v>11278.394</v>
      </c>
      <c r="O886" s="110">
        <v>9410.0139999999992</v>
      </c>
      <c r="P886" s="110">
        <v>7686.9589999999998</v>
      </c>
      <c r="Q886" s="110">
        <v>6412.3549999999996</v>
      </c>
      <c r="R886" s="110">
        <v>5473.95</v>
      </c>
      <c r="S886" s="110">
        <v>4588.5460000000003</v>
      </c>
      <c r="T886" s="110">
        <v>3587.09</v>
      </c>
      <c r="U886" s="110">
        <v>2557.4940000000001</v>
      </c>
      <c r="V886" s="110">
        <v>1644.346</v>
      </c>
      <c r="W886" s="110">
        <v>920.83900000000006</v>
      </c>
      <c r="X886" s="110">
        <v>386.48899999999998</v>
      </c>
      <c r="Y886" s="110">
        <v>107.706</v>
      </c>
      <c r="Z886" s="110">
        <v>19.451000000000001</v>
      </c>
      <c r="AA886" s="110">
        <v>2.1230000000000002</v>
      </c>
      <c r="AB886" s="110">
        <v>0.05</v>
      </c>
      <c r="AC886" s="115">
        <f t="shared" si="39"/>
        <v>79778.301999999996</v>
      </c>
      <c r="AD886">
        <f t="shared" si="40"/>
        <v>1.0259529438428885</v>
      </c>
    </row>
    <row r="887" spans="1:30" x14ac:dyDescent="0.25">
      <c r="A887" s="104" t="str">
        <f t="shared" si="38"/>
        <v>Nigeria2040</v>
      </c>
      <c r="C887" s="107" t="s">
        <v>257</v>
      </c>
      <c r="D887" s="108" t="s">
        <v>213</v>
      </c>
      <c r="E887" s="109"/>
      <c r="F887" s="109">
        <v>566</v>
      </c>
      <c r="G887" s="109">
        <v>2040</v>
      </c>
      <c r="H887" s="110">
        <v>22670.106</v>
      </c>
      <c r="I887" s="110">
        <v>20751.216</v>
      </c>
      <c r="J887" s="110">
        <v>18886.566999999999</v>
      </c>
      <c r="K887" s="110">
        <v>17062.965</v>
      </c>
      <c r="L887" s="110">
        <v>15293.573</v>
      </c>
      <c r="M887" s="110">
        <v>13574.171</v>
      </c>
      <c r="N887" s="110">
        <v>11616.849</v>
      </c>
      <c r="O887" s="110">
        <v>9737.8420000000006</v>
      </c>
      <c r="P887" s="110">
        <v>7956.8760000000002</v>
      </c>
      <c r="Q887" s="110">
        <v>6595.8180000000002</v>
      </c>
      <c r="R887" s="110">
        <v>5608.107</v>
      </c>
      <c r="S887" s="110">
        <v>4724.0510000000004</v>
      </c>
      <c r="T887" s="110">
        <v>3729.08</v>
      </c>
      <c r="U887" s="110">
        <v>2677.2539999999999</v>
      </c>
      <c r="V887" s="110">
        <v>1719.31</v>
      </c>
      <c r="W887" s="110">
        <v>955.654</v>
      </c>
      <c r="X887" s="110">
        <v>393.52300000000002</v>
      </c>
      <c r="Y887" s="110">
        <v>102.9</v>
      </c>
      <c r="Z887" s="110">
        <v>15.096</v>
      </c>
      <c r="AA887" s="110">
        <v>1.155</v>
      </c>
      <c r="AB887" s="110">
        <v>5.3999999999999999E-2</v>
      </c>
      <c r="AC887" s="115">
        <f t="shared" si="39"/>
        <v>81838.094000000012</v>
      </c>
      <c r="AD887">
        <f t="shared" si="40"/>
        <v>1.0258189501200465</v>
      </c>
    </row>
    <row r="888" spans="1:30" x14ac:dyDescent="0.25">
      <c r="A888" s="104" t="str">
        <f t="shared" si="38"/>
        <v>Nigeria2041</v>
      </c>
      <c r="C888" s="107" t="s">
        <v>257</v>
      </c>
      <c r="D888" s="108" t="s">
        <v>213</v>
      </c>
      <c r="E888" s="109"/>
      <c r="F888" s="109">
        <v>566</v>
      </c>
      <c r="G888" s="109">
        <v>2041</v>
      </c>
      <c r="H888" s="110">
        <v>22972.145</v>
      </c>
      <c r="I888" s="110">
        <v>21085.861000000001</v>
      </c>
      <c r="J888" s="110">
        <v>19222.887999999999</v>
      </c>
      <c r="K888" s="110">
        <v>17380.474999999999</v>
      </c>
      <c r="L888" s="110">
        <v>15589.941000000001</v>
      </c>
      <c r="M888" s="110">
        <v>13885.56</v>
      </c>
      <c r="N888" s="110">
        <v>11962.616</v>
      </c>
      <c r="O888" s="110">
        <v>10065.453</v>
      </c>
      <c r="P888" s="110">
        <v>8243.9490000000005</v>
      </c>
      <c r="Q888" s="110">
        <v>6789.7389999999996</v>
      </c>
      <c r="R888" s="110">
        <v>5737.6390000000001</v>
      </c>
      <c r="S888" s="110">
        <v>4838.9359999999997</v>
      </c>
      <c r="T888" s="110">
        <v>3846.9209999999998</v>
      </c>
      <c r="U888" s="110">
        <v>2777.2759999999998</v>
      </c>
      <c r="V888" s="110">
        <v>1784.0219999999999</v>
      </c>
      <c r="W888" s="110">
        <v>993.86599999999999</v>
      </c>
      <c r="X888" s="110">
        <v>424.09</v>
      </c>
      <c r="Y888" s="110">
        <v>119.366</v>
      </c>
      <c r="Z888" s="110">
        <v>18.931000000000001</v>
      </c>
      <c r="AA888" s="110">
        <v>1.5860000000000001</v>
      </c>
      <c r="AB888" s="110">
        <v>5.8000000000000003E-2</v>
      </c>
      <c r="AC888" s="115">
        <f t="shared" si="39"/>
        <v>83917.733000000007</v>
      </c>
      <c r="AD888">
        <f t="shared" si="40"/>
        <v>1.0254116255444561</v>
      </c>
    </row>
    <row r="889" spans="1:30" x14ac:dyDescent="0.25">
      <c r="A889" s="104" t="str">
        <f t="shared" si="38"/>
        <v>Nigeria2042</v>
      </c>
      <c r="C889" s="107" t="s">
        <v>257</v>
      </c>
      <c r="D889" s="108" t="s">
        <v>213</v>
      </c>
      <c r="E889" s="109"/>
      <c r="F889" s="109">
        <v>566</v>
      </c>
      <c r="G889" s="109">
        <v>2042</v>
      </c>
      <c r="H889" s="110">
        <v>23250.262999999999</v>
      </c>
      <c r="I889" s="110">
        <v>21413.637999999999</v>
      </c>
      <c r="J889" s="110">
        <v>19561.91</v>
      </c>
      <c r="K889" s="110">
        <v>17707.205999999998</v>
      </c>
      <c r="L889" s="110">
        <v>15893.879000000001</v>
      </c>
      <c r="M889" s="110">
        <v>14182.069</v>
      </c>
      <c r="N889" s="110">
        <v>12315.027</v>
      </c>
      <c r="O889" s="110">
        <v>10392.058000000001</v>
      </c>
      <c r="P889" s="110">
        <v>8550.6980000000003</v>
      </c>
      <c r="Q889" s="110">
        <v>7002.0950000000003</v>
      </c>
      <c r="R889" s="110">
        <v>5876.6220000000003</v>
      </c>
      <c r="S889" s="110">
        <v>4956.4319999999998</v>
      </c>
      <c r="T889" s="110">
        <v>3971.4369999999999</v>
      </c>
      <c r="U889" s="110">
        <v>2886.9279999999999</v>
      </c>
      <c r="V889" s="110">
        <v>1856.3820000000001</v>
      </c>
      <c r="W889" s="110">
        <v>1029.556</v>
      </c>
      <c r="X889" s="110">
        <v>449.15</v>
      </c>
      <c r="Y889" s="110">
        <v>131.30699999999999</v>
      </c>
      <c r="Z889" s="110">
        <v>22.359000000000002</v>
      </c>
      <c r="AA889" s="110">
        <v>2.3780000000000001</v>
      </c>
      <c r="AB889" s="110">
        <v>6.2E-2</v>
      </c>
      <c r="AC889" s="115">
        <f t="shared" si="39"/>
        <v>86043.032000000007</v>
      </c>
      <c r="AD889">
        <f t="shared" si="40"/>
        <v>1.0253259820543532</v>
      </c>
    </row>
    <row r="890" spans="1:30" x14ac:dyDescent="0.25">
      <c r="A890" s="104" t="str">
        <f t="shared" si="38"/>
        <v>Nigeria2043</v>
      </c>
      <c r="C890" s="107" t="s">
        <v>257</v>
      </c>
      <c r="D890" s="108" t="s">
        <v>213</v>
      </c>
      <c r="E890" s="109"/>
      <c r="F890" s="109">
        <v>566</v>
      </c>
      <c r="G890" s="109">
        <v>2043</v>
      </c>
      <c r="H890" s="110">
        <v>23511.311000000002</v>
      </c>
      <c r="I890" s="110">
        <v>21730.577000000001</v>
      </c>
      <c r="J890" s="110">
        <v>19900.309000000001</v>
      </c>
      <c r="K890" s="110">
        <v>18042.566999999999</v>
      </c>
      <c r="L890" s="110">
        <v>16204.91</v>
      </c>
      <c r="M890" s="110">
        <v>14469.261</v>
      </c>
      <c r="N890" s="110">
        <v>12667.319</v>
      </c>
      <c r="O890" s="110">
        <v>10719.727999999999</v>
      </c>
      <c r="P890" s="110">
        <v>8871.1749999999993</v>
      </c>
      <c r="Q890" s="110">
        <v>7233.4380000000001</v>
      </c>
      <c r="R890" s="110">
        <v>6027.2529999999997</v>
      </c>
      <c r="S890" s="110">
        <v>5077.866</v>
      </c>
      <c r="T890" s="110">
        <v>4101.335</v>
      </c>
      <c r="U890" s="110">
        <v>3005.5540000000001</v>
      </c>
      <c r="V890" s="110">
        <v>1937.86</v>
      </c>
      <c r="W890" s="110">
        <v>1066.624</v>
      </c>
      <c r="X890" s="110">
        <v>467.75900000000001</v>
      </c>
      <c r="Y890" s="110">
        <v>137.52699999999999</v>
      </c>
      <c r="Z890" s="110">
        <v>24.969000000000001</v>
      </c>
      <c r="AA890" s="110">
        <v>2.9660000000000002</v>
      </c>
      <c r="AB890" s="110">
        <v>6.6000000000000003E-2</v>
      </c>
      <c r="AC890" s="115">
        <f t="shared" si="39"/>
        <v>88208.398000000001</v>
      </c>
      <c r="AD890">
        <f t="shared" si="40"/>
        <v>1.0251660820134743</v>
      </c>
    </row>
    <row r="891" spans="1:30" x14ac:dyDescent="0.25">
      <c r="A891" s="104" t="str">
        <f t="shared" si="38"/>
        <v>Nigeria2044</v>
      </c>
      <c r="C891" s="107" t="s">
        <v>257</v>
      </c>
      <c r="D891" s="108" t="s">
        <v>213</v>
      </c>
      <c r="E891" s="109"/>
      <c r="F891" s="109">
        <v>566</v>
      </c>
      <c r="G891" s="109">
        <v>2044</v>
      </c>
      <c r="H891" s="110">
        <v>23762.808000000001</v>
      </c>
      <c r="I891" s="110">
        <v>22033.080999999998</v>
      </c>
      <c r="J891" s="110">
        <v>20234.775000000001</v>
      </c>
      <c r="K891" s="110">
        <v>18383.744999999999</v>
      </c>
      <c r="L891" s="110">
        <v>16521.999</v>
      </c>
      <c r="M891" s="110">
        <v>14756.748</v>
      </c>
      <c r="N891" s="110">
        <v>13009.517</v>
      </c>
      <c r="O891" s="110">
        <v>11052.58</v>
      </c>
      <c r="P891" s="110">
        <v>9197.2350000000006</v>
      </c>
      <c r="Q891" s="110">
        <v>7484.2359999999999</v>
      </c>
      <c r="R891" s="110">
        <v>6193.0119999999997</v>
      </c>
      <c r="S891" s="110">
        <v>5205.5529999999999</v>
      </c>
      <c r="T891" s="110">
        <v>4234.3710000000001</v>
      </c>
      <c r="U891" s="110">
        <v>3131.73</v>
      </c>
      <c r="V891" s="110">
        <v>2029.1569999999999</v>
      </c>
      <c r="W891" s="110">
        <v>1108.8510000000001</v>
      </c>
      <c r="X891" s="110">
        <v>480.31799999999998</v>
      </c>
      <c r="Y891" s="110">
        <v>138.16999999999999</v>
      </c>
      <c r="Z891" s="110">
        <v>24.922000000000001</v>
      </c>
      <c r="AA891" s="110">
        <v>2.85</v>
      </c>
      <c r="AB891" s="110">
        <v>7.0999999999999994E-2</v>
      </c>
      <c r="AC891" s="115">
        <f t="shared" si="39"/>
        <v>90406.06</v>
      </c>
      <c r="AD891">
        <f t="shared" si="40"/>
        <v>1.0249144304831384</v>
      </c>
    </row>
    <row r="892" spans="1:30" x14ac:dyDescent="0.25">
      <c r="A892" s="104" t="str">
        <f t="shared" si="38"/>
        <v>Nigeria2045</v>
      </c>
      <c r="C892" s="107" t="s">
        <v>257</v>
      </c>
      <c r="D892" s="108" t="s">
        <v>213</v>
      </c>
      <c r="E892" s="109"/>
      <c r="F892" s="109">
        <v>566</v>
      </c>
      <c r="G892" s="109">
        <v>2045</v>
      </c>
      <c r="H892" s="110">
        <v>24012.254000000001</v>
      </c>
      <c r="I892" s="110">
        <v>22317.895</v>
      </c>
      <c r="J892" s="110">
        <v>20561.931</v>
      </c>
      <c r="K892" s="110">
        <v>18726.938999999998</v>
      </c>
      <c r="L892" s="110">
        <v>16845.243999999999</v>
      </c>
      <c r="M892" s="110">
        <v>15051.119000000001</v>
      </c>
      <c r="N892" s="110">
        <v>13335.701999999999</v>
      </c>
      <c r="O892" s="110">
        <v>11392.246999999999</v>
      </c>
      <c r="P892" s="110">
        <v>9523.723</v>
      </c>
      <c r="Q892" s="110">
        <v>7753.9120000000003</v>
      </c>
      <c r="R892" s="110">
        <v>6376.34</v>
      </c>
      <c r="S892" s="110">
        <v>5341.1710000000003</v>
      </c>
      <c r="T892" s="110">
        <v>4368.9139999999998</v>
      </c>
      <c r="U892" s="110">
        <v>3264.4209999999998</v>
      </c>
      <c r="V892" s="110">
        <v>2130.6770000000001</v>
      </c>
      <c r="W892" s="110">
        <v>1158.9349999999999</v>
      </c>
      <c r="X892" s="110">
        <v>489.29500000000002</v>
      </c>
      <c r="Y892" s="110">
        <v>133.08699999999999</v>
      </c>
      <c r="Z892" s="110">
        <v>19.917000000000002</v>
      </c>
      <c r="AA892" s="110">
        <v>1.591</v>
      </c>
      <c r="AB892" s="110">
        <v>7.5999999999999998E-2</v>
      </c>
      <c r="AC892" s="115">
        <f t="shared" si="39"/>
        <v>92628.885999999984</v>
      </c>
      <c r="AD892">
        <f t="shared" si="40"/>
        <v>1.024587134977456</v>
      </c>
    </row>
    <row r="893" spans="1:30" x14ac:dyDescent="0.25">
      <c r="A893" s="104" t="str">
        <f t="shared" si="38"/>
        <v>Nigeria2046</v>
      </c>
      <c r="C893" s="107" t="s">
        <v>257</v>
      </c>
      <c r="D893" s="108" t="s">
        <v>213</v>
      </c>
      <c r="E893" s="109"/>
      <c r="F893" s="109">
        <v>566</v>
      </c>
      <c r="G893" s="109">
        <v>2046</v>
      </c>
      <c r="H893" s="110">
        <v>24272.452000000001</v>
      </c>
      <c r="I893" s="110">
        <v>22623.754000000001</v>
      </c>
      <c r="J893" s="110">
        <v>20891.466</v>
      </c>
      <c r="K893" s="110">
        <v>19062.593000000001</v>
      </c>
      <c r="L893" s="110">
        <v>17173.069</v>
      </c>
      <c r="M893" s="110">
        <v>15354.472</v>
      </c>
      <c r="N893" s="110">
        <v>13650.249</v>
      </c>
      <c r="O893" s="110">
        <v>11738.007</v>
      </c>
      <c r="P893" s="110">
        <v>9849.7579999999998</v>
      </c>
      <c r="Q893" s="110">
        <v>8035.6239999999998</v>
      </c>
      <c r="R893" s="110">
        <v>6565.3329999999996</v>
      </c>
      <c r="S893" s="110">
        <v>5464.0140000000001</v>
      </c>
      <c r="T893" s="110">
        <v>4473.8950000000004</v>
      </c>
      <c r="U893" s="110">
        <v>3368.6439999999998</v>
      </c>
      <c r="V893" s="110">
        <v>2214.8670000000002</v>
      </c>
      <c r="W893" s="110">
        <v>1214.5519999999999</v>
      </c>
      <c r="X893" s="110">
        <v>523.86599999999999</v>
      </c>
      <c r="Y893" s="110">
        <v>153.399</v>
      </c>
      <c r="Z893" s="110">
        <v>25.126999999999999</v>
      </c>
      <c r="AA893" s="110">
        <v>2.1469999999999998</v>
      </c>
      <c r="AB893" s="110">
        <v>8.2000000000000003E-2</v>
      </c>
      <c r="AC893" s="115">
        <f t="shared" si="39"/>
        <v>94863.771999999997</v>
      </c>
      <c r="AD893">
        <f t="shared" si="40"/>
        <v>1.0241273116466068</v>
      </c>
    </row>
    <row r="894" spans="1:30" x14ac:dyDescent="0.25">
      <c r="A894" s="104" t="str">
        <f t="shared" si="38"/>
        <v>Nigeria2047</v>
      </c>
      <c r="C894" s="107" t="s">
        <v>257</v>
      </c>
      <c r="D894" s="108" t="s">
        <v>213</v>
      </c>
      <c r="E894" s="109"/>
      <c r="F894" s="109">
        <v>566</v>
      </c>
      <c r="G894" s="109">
        <v>2047</v>
      </c>
      <c r="H894" s="110">
        <v>24513.291000000001</v>
      </c>
      <c r="I894" s="110">
        <v>22917.826000000001</v>
      </c>
      <c r="J894" s="110">
        <v>21218.127</v>
      </c>
      <c r="K894" s="110">
        <v>19400.696</v>
      </c>
      <c r="L894" s="110">
        <v>17507.170999999998</v>
      </c>
      <c r="M894" s="110">
        <v>15663.852999999999</v>
      </c>
      <c r="N894" s="110">
        <v>13950.064</v>
      </c>
      <c r="O894" s="110">
        <v>12090.629000000001</v>
      </c>
      <c r="P894" s="110">
        <v>10175.453</v>
      </c>
      <c r="Q894" s="110">
        <v>8337.9050000000007</v>
      </c>
      <c r="R894" s="110">
        <v>6773.7690000000002</v>
      </c>
      <c r="S894" s="110">
        <v>5598.1859999999997</v>
      </c>
      <c r="T894" s="110">
        <v>4583.9459999999999</v>
      </c>
      <c r="U894" s="110">
        <v>3480.4119999999998</v>
      </c>
      <c r="V894" s="110">
        <v>2305.712</v>
      </c>
      <c r="W894" s="110">
        <v>1270.2619999999999</v>
      </c>
      <c r="X894" s="110">
        <v>551.39499999999998</v>
      </c>
      <c r="Y894" s="110">
        <v>168.41399999999999</v>
      </c>
      <c r="Z894" s="110">
        <v>29.695</v>
      </c>
      <c r="AA894" s="110">
        <v>3.1669999999999998</v>
      </c>
      <c r="AB894" s="110">
        <v>8.6999999999999994E-2</v>
      </c>
      <c r="AC894" s="115">
        <f t="shared" si="39"/>
        <v>97125.770999999993</v>
      </c>
      <c r="AD894">
        <f t="shared" si="40"/>
        <v>1.0238447085996116</v>
      </c>
    </row>
    <row r="895" spans="1:30" x14ac:dyDescent="0.25">
      <c r="A895" s="104" t="str">
        <f t="shared" si="38"/>
        <v>Nigeria2048</v>
      </c>
      <c r="C895" s="107" t="s">
        <v>257</v>
      </c>
      <c r="D895" s="108" t="s">
        <v>213</v>
      </c>
      <c r="E895" s="109"/>
      <c r="F895" s="109">
        <v>566</v>
      </c>
      <c r="G895" s="109">
        <v>2048</v>
      </c>
      <c r="H895" s="110">
        <v>24740.411</v>
      </c>
      <c r="I895" s="110">
        <v>23197.251</v>
      </c>
      <c r="J895" s="110">
        <v>21539.334999999999</v>
      </c>
      <c r="K895" s="110">
        <v>19740.984</v>
      </c>
      <c r="L895" s="110">
        <v>17845.977999999999</v>
      </c>
      <c r="M895" s="110">
        <v>15979.029</v>
      </c>
      <c r="N895" s="110">
        <v>14240.759</v>
      </c>
      <c r="O895" s="110">
        <v>12443.776</v>
      </c>
      <c r="P895" s="110">
        <v>10502.332</v>
      </c>
      <c r="Q895" s="110">
        <v>8655.3770000000004</v>
      </c>
      <c r="R895" s="110">
        <v>7001.7610000000004</v>
      </c>
      <c r="S895" s="110">
        <v>5745.83</v>
      </c>
      <c r="T895" s="110">
        <v>4700.893</v>
      </c>
      <c r="U895" s="110">
        <v>3599.2020000000002</v>
      </c>
      <c r="V895" s="110">
        <v>2404.6010000000001</v>
      </c>
      <c r="W895" s="110">
        <v>1328.299</v>
      </c>
      <c r="X895" s="110">
        <v>572.77800000000002</v>
      </c>
      <c r="Y895" s="110">
        <v>176.405</v>
      </c>
      <c r="Z895" s="110">
        <v>33.104999999999997</v>
      </c>
      <c r="AA895" s="110">
        <v>3.9319999999999999</v>
      </c>
      <c r="AB895" s="110">
        <v>9.4E-2</v>
      </c>
      <c r="AC895" s="115">
        <f t="shared" si="39"/>
        <v>99408.234999999986</v>
      </c>
      <c r="AD895">
        <f t="shared" si="40"/>
        <v>1.0235000862953252</v>
      </c>
    </row>
    <row r="896" spans="1:30" x14ac:dyDescent="0.25">
      <c r="A896" s="104" t="str">
        <f t="shared" si="38"/>
        <v>Nigeria2049</v>
      </c>
      <c r="C896" s="107" t="s">
        <v>257</v>
      </c>
      <c r="D896" s="108" t="s">
        <v>213</v>
      </c>
      <c r="E896" s="109"/>
      <c r="F896" s="109">
        <v>566</v>
      </c>
      <c r="G896" s="109">
        <v>2049</v>
      </c>
      <c r="H896" s="110">
        <v>24959.884999999998</v>
      </c>
      <c r="I896" s="110">
        <v>23460.464</v>
      </c>
      <c r="J896" s="110">
        <v>21852.138999999999</v>
      </c>
      <c r="K896" s="110">
        <v>20081.735000000001</v>
      </c>
      <c r="L896" s="110">
        <v>18187.526999999998</v>
      </c>
      <c r="M896" s="110">
        <v>16299.163</v>
      </c>
      <c r="N896" s="110">
        <v>14531.772000000001</v>
      </c>
      <c r="O896" s="110">
        <v>12787.647999999999</v>
      </c>
      <c r="P896" s="110">
        <v>10834.44</v>
      </c>
      <c r="Q896" s="110">
        <v>8980.0360000000001</v>
      </c>
      <c r="R896" s="110">
        <v>7249.8190000000004</v>
      </c>
      <c r="S896" s="110">
        <v>5910.3940000000002</v>
      </c>
      <c r="T896" s="110">
        <v>4827.0280000000002</v>
      </c>
      <c r="U896" s="110">
        <v>3723.3870000000002</v>
      </c>
      <c r="V896" s="110">
        <v>2511.3969999999999</v>
      </c>
      <c r="W896" s="110">
        <v>1390.742</v>
      </c>
      <c r="X896" s="110">
        <v>590.58100000000002</v>
      </c>
      <c r="Y896" s="110">
        <v>177.364</v>
      </c>
      <c r="Z896" s="110">
        <v>33.073999999999998</v>
      </c>
      <c r="AA896" s="110">
        <v>3.7989999999999999</v>
      </c>
      <c r="AB896" s="110">
        <v>0.10100000000000001</v>
      </c>
      <c r="AC896" s="115">
        <f t="shared" si="39"/>
        <v>101702.321</v>
      </c>
      <c r="AD896">
        <f t="shared" si="40"/>
        <v>1.023077424118837</v>
      </c>
    </row>
    <row r="897" spans="1:30" x14ac:dyDescent="0.25">
      <c r="A897" s="104" t="str">
        <f t="shared" si="38"/>
        <v>Nigeria2050</v>
      </c>
      <c r="C897" s="107" t="s">
        <v>257</v>
      </c>
      <c r="D897" s="108" t="s">
        <v>213</v>
      </c>
      <c r="E897" s="109"/>
      <c r="F897" s="109">
        <v>566</v>
      </c>
      <c r="G897" s="109">
        <v>2050</v>
      </c>
      <c r="H897" s="110">
        <v>25178.003000000001</v>
      </c>
      <c r="I897" s="110">
        <v>23706.771000000001</v>
      </c>
      <c r="J897" s="110">
        <v>22153.149000000001</v>
      </c>
      <c r="K897" s="110">
        <v>20419.989000000001</v>
      </c>
      <c r="L897" s="110">
        <v>18530.915000000001</v>
      </c>
      <c r="M897" s="110">
        <v>16623.877</v>
      </c>
      <c r="N897" s="110">
        <v>14829.157999999999</v>
      </c>
      <c r="O897" s="110">
        <v>13116.145</v>
      </c>
      <c r="P897" s="110">
        <v>11173.784</v>
      </c>
      <c r="Q897" s="110">
        <v>9306.2289999999994</v>
      </c>
      <c r="R897" s="110">
        <v>7517.7579999999998</v>
      </c>
      <c r="S897" s="110">
        <v>6094.0460000000003</v>
      </c>
      <c r="T897" s="110">
        <v>4963.6260000000002</v>
      </c>
      <c r="U897" s="110">
        <v>3851.9670000000001</v>
      </c>
      <c r="V897" s="110">
        <v>2625.8359999999998</v>
      </c>
      <c r="W897" s="110">
        <v>1459.94</v>
      </c>
      <c r="X897" s="110">
        <v>608.12900000000002</v>
      </c>
      <c r="Y897" s="110">
        <v>171.30199999999999</v>
      </c>
      <c r="Z897" s="110">
        <v>26.934999999999999</v>
      </c>
      <c r="AA897" s="110">
        <v>2.1970000000000001</v>
      </c>
      <c r="AB897" s="110">
        <v>0.108</v>
      </c>
      <c r="AC897" s="115">
        <f t="shared" si="39"/>
        <v>104000.09700000001</v>
      </c>
      <c r="AD897">
        <f t="shared" si="40"/>
        <v>1.0225931520284577</v>
      </c>
    </row>
    <row r="898" spans="1:30" x14ac:dyDescent="0.25">
      <c r="A898" s="104" t="str">
        <f t="shared" si="38"/>
        <v>Nigeria2051</v>
      </c>
      <c r="C898" s="107" t="s">
        <v>257</v>
      </c>
      <c r="D898" s="108" t="s">
        <v>213</v>
      </c>
      <c r="E898" s="109"/>
      <c r="F898" s="109">
        <v>566</v>
      </c>
      <c r="G898" s="109">
        <v>2051</v>
      </c>
      <c r="H898" s="110">
        <v>25409.97</v>
      </c>
      <c r="I898" s="110">
        <v>23973.93</v>
      </c>
      <c r="J898" s="110">
        <v>22453.258999999998</v>
      </c>
      <c r="K898" s="110">
        <v>20749.128000000001</v>
      </c>
      <c r="L898" s="110">
        <v>18875.584999999999</v>
      </c>
      <c r="M898" s="110">
        <v>16957.941999999999</v>
      </c>
      <c r="N898" s="110">
        <v>15135.948</v>
      </c>
      <c r="O898" s="110">
        <v>13431.564</v>
      </c>
      <c r="P898" s="110">
        <v>11518.471</v>
      </c>
      <c r="Q898" s="110">
        <v>9626.634</v>
      </c>
      <c r="R898" s="110">
        <v>7792.2560000000003</v>
      </c>
      <c r="S898" s="110">
        <v>6273.9269999999997</v>
      </c>
      <c r="T898" s="110">
        <v>5076.3280000000004</v>
      </c>
      <c r="U898" s="110">
        <v>3945.0169999999998</v>
      </c>
      <c r="V898" s="110">
        <v>2714.05</v>
      </c>
      <c r="W898" s="110">
        <v>1531.009</v>
      </c>
      <c r="X898" s="110">
        <v>655.798</v>
      </c>
      <c r="Y898" s="110">
        <v>195.09700000000001</v>
      </c>
      <c r="Z898" s="110">
        <v>33.848999999999997</v>
      </c>
      <c r="AA898" s="110">
        <v>2.9580000000000002</v>
      </c>
      <c r="AB898" s="110">
        <v>0.11600000000000001</v>
      </c>
      <c r="AC898" s="115">
        <f t="shared" si="39"/>
        <v>106295.27200000001</v>
      </c>
      <c r="AD898">
        <f t="shared" si="40"/>
        <v>1.022068969801057</v>
      </c>
    </row>
    <row r="899" spans="1:30" x14ac:dyDescent="0.25">
      <c r="A899" s="104" t="str">
        <f t="shared" si="38"/>
        <v>Nigeria2052</v>
      </c>
      <c r="C899" s="107" t="s">
        <v>257</v>
      </c>
      <c r="D899" s="108" t="s">
        <v>213</v>
      </c>
      <c r="E899" s="109"/>
      <c r="F899" s="109">
        <v>566</v>
      </c>
      <c r="G899" s="109">
        <v>2052</v>
      </c>
      <c r="H899" s="110">
        <v>25626.550999999999</v>
      </c>
      <c r="I899" s="110">
        <v>24230.236000000001</v>
      </c>
      <c r="J899" s="110">
        <v>22745.804</v>
      </c>
      <c r="K899" s="110">
        <v>21075.607</v>
      </c>
      <c r="L899" s="110">
        <v>19220.422999999999</v>
      </c>
      <c r="M899" s="110">
        <v>17297.144</v>
      </c>
      <c r="N899" s="110">
        <v>15448.823</v>
      </c>
      <c r="O899" s="110">
        <v>13733.016</v>
      </c>
      <c r="P899" s="110">
        <v>11870.732</v>
      </c>
      <c r="Q899" s="110">
        <v>9948.3809999999994</v>
      </c>
      <c r="R899" s="110">
        <v>8088.7910000000002</v>
      </c>
      <c r="S899" s="110">
        <v>6475.14</v>
      </c>
      <c r="T899" s="110">
        <v>5202.4129999999996</v>
      </c>
      <c r="U899" s="110">
        <v>4044.5880000000002</v>
      </c>
      <c r="V899" s="110">
        <v>2807.7869999999998</v>
      </c>
      <c r="W899" s="110">
        <v>1601.4559999999999</v>
      </c>
      <c r="X899" s="110">
        <v>696.29899999999998</v>
      </c>
      <c r="Y899" s="110">
        <v>212.07599999999999</v>
      </c>
      <c r="Z899" s="110">
        <v>39.872</v>
      </c>
      <c r="AA899" s="110">
        <v>4.3460000000000001</v>
      </c>
      <c r="AB899" s="110">
        <v>0.124</v>
      </c>
      <c r="AC899" s="115">
        <f t="shared" si="39"/>
        <v>108594.126</v>
      </c>
      <c r="AD899">
        <f t="shared" si="40"/>
        <v>1.0216270578808058</v>
      </c>
    </row>
    <row r="900" spans="1:30" x14ac:dyDescent="0.25">
      <c r="A900" s="104" t="str">
        <f t="shared" si="38"/>
        <v>Nigeria2053</v>
      </c>
      <c r="C900" s="107" t="s">
        <v>257</v>
      </c>
      <c r="D900" s="108" t="s">
        <v>213</v>
      </c>
      <c r="E900" s="109"/>
      <c r="F900" s="109">
        <v>566</v>
      </c>
      <c r="G900" s="109">
        <v>2053</v>
      </c>
      <c r="H900" s="110">
        <v>25831.145</v>
      </c>
      <c r="I900" s="110">
        <v>24473.733</v>
      </c>
      <c r="J900" s="110">
        <v>23029.514999999999</v>
      </c>
      <c r="K900" s="110">
        <v>21398.963</v>
      </c>
      <c r="L900" s="110">
        <v>19564.214</v>
      </c>
      <c r="M900" s="110">
        <v>17639.962</v>
      </c>
      <c r="N900" s="110">
        <v>15767.518</v>
      </c>
      <c r="O900" s="110">
        <v>14026.29</v>
      </c>
      <c r="P900" s="110">
        <v>12223.674999999999</v>
      </c>
      <c r="Q900" s="110">
        <v>10273.324000000001</v>
      </c>
      <c r="R900" s="110">
        <v>8401.5990000000002</v>
      </c>
      <c r="S900" s="110">
        <v>6697.7169999999996</v>
      </c>
      <c r="T900" s="110">
        <v>5344.4740000000002</v>
      </c>
      <c r="U900" s="110">
        <v>4153.1099999999997</v>
      </c>
      <c r="V900" s="110">
        <v>2908.797</v>
      </c>
      <c r="W900" s="110">
        <v>1673.4449999999999</v>
      </c>
      <c r="X900" s="110">
        <v>729.47799999999995</v>
      </c>
      <c r="Y900" s="110">
        <v>221.321</v>
      </c>
      <c r="Z900" s="110">
        <v>44.206000000000003</v>
      </c>
      <c r="AA900" s="110">
        <v>5.3890000000000002</v>
      </c>
      <c r="AB900" s="110">
        <v>0.13300000000000001</v>
      </c>
      <c r="AC900" s="115">
        <f t="shared" si="39"/>
        <v>110893.946</v>
      </c>
      <c r="AD900">
        <f t="shared" si="40"/>
        <v>1.0211781252330352</v>
      </c>
    </row>
    <row r="901" spans="1:30" x14ac:dyDescent="0.25">
      <c r="A901" s="104" t="str">
        <f t="shared" si="38"/>
        <v>Nigeria2054</v>
      </c>
      <c r="C901" s="107" t="s">
        <v>257</v>
      </c>
      <c r="D901" s="108" t="s">
        <v>213</v>
      </c>
      <c r="E901" s="109"/>
      <c r="F901" s="109">
        <v>566</v>
      </c>
      <c r="G901" s="109">
        <v>2054</v>
      </c>
      <c r="H901" s="110">
        <v>26026.225999999999</v>
      </c>
      <c r="I901" s="110">
        <v>24703.276000000002</v>
      </c>
      <c r="J901" s="110">
        <v>23303.491000000002</v>
      </c>
      <c r="K901" s="110">
        <v>21717.495999999999</v>
      </c>
      <c r="L901" s="110">
        <v>19905.916000000001</v>
      </c>
      <c r="M901" s="110">
        <v>17984.563999999998</v>
      </c>
      <c r="N901" s="110">
        <v>16091.157999999999</v>
      </c>
      <c r="O901" s="110">
        <v>14320.648999999999</v>
      </c>
      <c r="P901" s="110">
        <v>12567.624</v>
      </c>
      <c r="Q901" s="110">
        <v>10605.303</v>
      </c>
      <c r="R901" s="110">
        <v>8722.7729999999992</v>
      </c>
      <c r="S901" s="110">
        <v>6942.25</v>
      </c>
      <c r="T901" s="110">
        <v>5506.1450000000004</v>
      </c>
      <c r="U901" s="110">
        <v>4273.1559999999999</v>
      </c>
      <c r="V901" s="110">
        <v>3016.5259999999998</v>
      </c>
      <c r="W901" s="110">
        <v>1748.2429999999999</v>
      </c>
      <c r="X901" s="110">
        <v>757.529</v>
      </c>
      <c r="Y901" s="110">
        <v>223.929</v>
      </c>
      <c r="Z901" s="110">
        <v>44.023000000000003</v>
      </c>
      <c r="AA901" s="110">
        <v>5.2210000000000001</v>
      </c>
      <c r="AB901" s="110">
        <v>0.14199999999999999</v>
      </c>
      <c r="AC901" s="115">
        <f t="shared" si="39"/>
        <v>113192.70999999999</v>
      </c>
      <c r="AD901">
        <f t="shared" si="40"/>
        <v>1.0207293913050943</v>
      </c>
    </row>
    <row r="902" spans="1:30" x14ac:dyDescent="0.25">
      <c r="A902" s="104" t="str">
        <f t="shared" si="38"/>
        <v>Nigeria2055</v>
      </c>
      <c r="C902" s="107" t="s">
        <v>257</v>
      </c>
      <c r="D902" s="108" t="s">
        <v>213</v>
      </c>
      <c r="E902" s="109"/>
      <c r="F902" s="109">
        <v>566</v>
      </c>
      <c r="G902" s="109">
        <v>2055</v>
      </c>
      <c r="H902" s="110">
        <v>26215.388999999999</v>
      </c>
      <c r="I902" s="110">
        <v>24918.095000000001</v>
      </c>
      <c r="J902" s="110">
        <v>23566.2</v>
      </c>
      <c r="K902" s="110">
        <v>22028.695</v>
      </c>
      <c r="L902" s="110">
        <v>20245.095000000001</v>
      </c>
      <c r="M902" s="110">
        <v>18329.746999999999</v>
      </c>
      <c r="N902" s="110">
        <v>16419.057000000001</v>
      </c>
      <c r="O902" s="110">
        <v>14621.772999999999</v>
      </c>
      <c r="P902" s="110">
        <v>12897.081</v>
      </c>
      <c r="Q902" s="110">
        <v>10945.630999999999</v>
      </c>
      <c r="R902" s="110">
        <v>9047.1299999999992</v>
      </c>
      <c r="S902" s="110">
        <v>7208.4809999999998</v>
      </c>
      <c r="T902" s="110">
        <v>5689.39</v>
      </c>
      <c r="U902" s="110">
        <v>4406.2920000000004</v>
      </c>
      <c r="V902" s="110">
        <v>3130.4389999999999</v>
      </c>
      <c r="W902" s="110">
        <v>1827.896</v>
      </c>
      <c r="X902" s="110">
        <v>784.47</v>
      </c>
      <c r="Y902" s="110">
        <v>220.136</v>
      </c>
      <c r="Z902" s="110">
        <v>36.183</v>
      </c>
      <c r="AA902" s="110">
        <v>3.1040000000000001</v>
      </c>
      <c r="AB902" s="110">
        <v>0.153</v>
      </c>
      <c r="AC902" s="115">
        <f t="shared" si="39"/>
        <v>115487.079</v>
      </c>
      <c r="AD902">
        <f t="shared" si="40"/>
        <v>1.0202695827319621</v>
      </c>
    </row>
    <row r="903" spans="1:30" x14ac:dyDescent="0.25">
      <c r="A903" s="104" t="str">
        <f t="shared" si="38"/>
        <v>Nigeria2056</v>
      </c>
      <c r="C903" s="107" t="s">
        <v>257</v>
      </c>
      <c r="D903" s="108" t="s">
        <v>213</v>
      </c>
      <c r="E903" s="109"/>
      <c r="F903" s="109">
        <v>566</v>
      </c>
      <c r="G903" s="109">
        <v>2056</v>
      </c>
      <c r="H903" s="110">
        <v>26420.807000000001</v>
      </c>
      <c r="I903" s="110">
        <v>25152.249</v>
      </c>
      <c r="J903" s="110">
        <v>23827.742999999999</v>
      </c>
      <c r="K903" s="110">
        <v>22327.312999999998</v>
      </c>
      <c r="L903" s="110">
        <v>20580.916000000001</v>
      </c>
      <c r="M903" s="110">
        <v>18678.897000000001</v>
      </c>
      <c r="N903" s="110">
        <v>16755.136999999999</v>
      </c>
      <c r="O903" s="110">
        <v>14928.950999999999</v>
      </c>
      <c r="P903" s="110">
        <v>13211.852000000001</v>
      </c>
      <c r="Q903" s="110">
        <v>11284.734</v>
      </c>
      <c r="R903" s="110">
        <v>9359.643</v>
      </c>
      <c r="S903" s="110">
        <v>7471.0280000000002</v>
      </c>
      <c r="T903" s="110">
        <v>5856.6729999999998</v>
      </c>
      <c r="U903" s="110">
        <v>4508.835</v>
      </c>
      <c r="V903" s="110">
        <v>3212.4479999999999</v>
      </c>
      <c r="W903" s="110">
        <v>1905.8330000000001</v>
      </c>
      <c r="X903" s="110">
        <v>845.91200000000003</v>
      </c>
      <c r="Y903" s="110">
        <v>252.60400000000001</v>
      </c>
      <c r="Z903" s="110">
        <v>44.725999999999999</v>
      </c>
      <c r="AA903" s="110">
        <v>4.1459999999999999</v>
      </c>
      <c r="AB903" s="110">
        <v>0.16500000000000001</v>
      </c>
      <c r="AC903" s="115">
        <f t="shared" si="39"/>
        <v>117767.8</v>
      </c>
      <c r="AD903">
        <f t="shared" si="40"/>
        <v>1.0197487114554176</v>
      </c>
    </row>
    <row r="904" spans="1:30" x14ac:dyDescent="0.25">
      <c r="A904" s="104" t="str">
        <f t="shared" si="38"/>
        <v>Nigeria2057</v>
      </c>
      <c r="C904" s="107" t="s">
        <v>257</v>
      </c>
      <c r="D904" s="108" t="s">
        <v>213</v>
      </c>
      <c r="E904" s="109"/>
      <c r="F904" s="109">
        <v>566</v>
      </c>
      <c r="G904" s="109">
        <v>2057</v>
      </c>
      <c r="H904" s="110">
        <v>26601.739000000001</v>
      </c>
      <c r="I904" s="110">
        <v>25379.581999999999</v>
      </c>
      <c r="J904" s="110">
        <v>24082.603999999999</v>
      </c>
      <c r="K904" s="110">
        <v>22619.473999999998</v>
      </c>
      <c r="L904" s="110">
        <v>20912.917000000001</v>
      </c>
      <c r="M904" s="110">
        <v>19027.999</v>
      </c>
      <c r="N904" s="110">
        <v>17097.094000000001</v>
      </c>
      <c r="O904" s="110">
        <v>15243.218000000001</v>
      </c>
      <c r="P904" s="110">
        <v>13514.233</v>
      </c>
      <c r="Q904" s="110">
        <v>11633.395</v>
      </c>
      <c r="R904" s="110">
        <v>9676.107</v>
      </c>
      <c r="S904" s="110">
        <v>7758.1949999999997</v>
      </c>
      <c r="T904" s="110">
        <v>6047.1369999999997</v>
      </c>
      <c r="U904" s="110">
        <v>4625.1949999999997</v>
      </c>
      <c r="V904" s="110">
        <v>3299.3719999999998</v>
      </c>
      <c r="W904" s="110">
        <v>1982.6769999999999</v>
      </c>
      <c r="X904" s="110">
        <v>899.11400000000003</v>
      </c>
      <c r="Y904" s="110">
        <v>276.75700000000001</v>
      </c>
      <c r="Z904" s="110">
        <v>51.993000000000002</v>
      </c>
      <c r="AA904" s="110">
        <v>6.0229999999999997</v>
      </c>
      <c r="AB904" s="110">
        <v>0.17699999999999999</v>
      </c>
      <c r="AC904" s="115">
        <f t="shared" si="39"/>
        <v>120048.33</v>
      </c>
      <c r="AD904">
        <f t="shared" si="40"/>
        <v>1.0193646310791236</v>
      </c>
    </row>
    <row r="905" spans="1:30" x14ac:dyDescent="0.25">
      <c r="A905" s="104" t="str">
        <f t="shared" si="38"/>
        <v>Nigeria2058</v>
      </c>
      <c r="C905" s="107" t="s">
        <v>257</v>
      </c>
      <c r="D905" s="108" t="s">
        <v>213</v>
      </c>
      <c r="E905" s="109"/>
      <c r="F905" s="109">
        <v>566</v>
      </c>
      <c r="G905" s="109">
        <v>2058</v>
      </c>
      <c r="H905" s="110">
        <v>26766.19</v>
      </c>
      <c r="I905" s="110">
        <v>25597.724999999999</v>
      </c>
      <c r="J905" s="110">
        <v>24329.48</v>
      </c>
      <c r="K905" s="110">
        <v>22905.415000000001</v>
      </c>
      <c r="L905" s="110">
        <v>21239.447</v>
      </c>
      <c r="M905" s="110">
        <v>19375.455000000002</v>
      </c>
      <c r="N905" s="110">
        <v>17443.014999999999</v>
      </c>
      <c r="O905" s="110">
        <v>15564.312</v>
      </c>
      <c r="P905" s="110">
        <v>13808.964</v>
      </c>
      <c r="Q905" s="110">
        <v>11984.933000000001</v>
      </c>
      <c r="R905" s="110">
        <v>9997.6129999999994</v>
      </c>
      <c r="S905" s="110">
        <v>8064.1009999999997</v>
      </c>
      <c r="T905" s="110">
        <v>6261.317</v>
      </c>
      <c r="U905" s="110">
        <v>4758.5129999999999</v>
      </c>
      <c r="V905" s="110">
        <v>3395.8449999999998</v>
      </c>
      <c r="W905" s="110">
        <v>2061.0709999999999</v>
      </c>
      <c r="X905" s="110">
        <v>943.327</v>
      </c>
      <c r="Y905" s="110">
        <v>291.17399999999998</v>
      </c>
      <c r="Z905" s="110">
        <v>57.454000000000001</v>
      </c>
      <c r="AA905" s="110">
        <v>7.4290000000000003</v>
      </c>
      <c r="AB905" s="110">
        <v>0.191</v>
      </c>
      <c r="AC905" s="115">
        <f t="shared" si="39"/>
        <v>122321.54100000001</v>
      </c>
      <c r="AD905">
        <f t="shared" si="40"/>
        <v>1.018935798607111</v>
      </c>
    </row>
    <row r="906" spans="1:30" x14ac:dyDescent="0.25">
      <c r="A906" s="104" t="str">
        <f t="shared" si="38"/>
        <v>Nigeria2059</v>
      </c>
      <c r="C906" s="107" t="s">
        <v>257</v>
      </c>
      <c r="D906" s="108" t="s">
        <v>213</v>
      </c>
      <c r="E906" s="109"/>
      <c r="F906" s="109">
        <v>566</v>
      </c>
      <c r="G906" s="109">
        <v>2059</v>
      </c>
      <c r="H906" s="110">
        <v>26925.028999999999</v>
      </c>
      <c r="I906" s="110">
        <v>25803.25</v>
      </c>
      <c r="J906" s="110">
        <v>24567.684000000001</v>
      </c>
      <c r="K906" s="110">
        <v>23184.507000000001</v>
      </c>
      <c r="L906" s="110">
        <v>21558.655999999999</v>
      </c>
      <c r="M906" s="110">
        <v>19719.588</v>
      </c>
      <c r="N906" s="110">
        <v>17790.385999999999</v>
      </c>
      <c r="O906" s="110">
        <v>15890.781000000001</v>
      </c>
      <c r="P906" s="110">
        <v>14104.599</v>
      </c>
      <c r="Q906" s="110">
        <v>12329.287</v>
      </c>
      <c r="R906" s="110">
        <v>10327.361999999999</v>
      </c>
      <c r="S906" s="110">
        <v>8380.7289999999994</v>
      </c>
      <c r="T906" s="110">
        <v>6500.0330000000004</v>
      </c>
      <c r="U906" s="110">
        <v>4912.9430000000002</v>
      </c>
      <c r="V906" s="110">
        <v>3504.8629999999998</v>
      </c>
      <c r="W906" s="110">
        <v>2141.4650000000001</v>
      </c>
      <c r="X906" s="110">
        <v>980.20799999999997</v>
      </c>
      <c r="Y906" s="110">
        <v>297.75200000000001</v>
      </c>
      <c r="Z906" s="110">
        <v>57.732999999999997</v>
      </c>
      <c r="AA906" s="110">
        <v>7.2210000000000001</v>
      </c>
      <c r="AB906" s="110">
        <v>0.20599999999999999</v>
      </c>
      <c r="AC906" s="115">
        <f t="shared" si="39"/>
        <v>124577.804</v>
      </c>
      <c r="AD906">
        <f t="shared" si="40"/>
        <v>1.018445344798264</v>
      </c>
    </row>
    <row r="907" spans="1:30" x14ac:dyDescent="0.25">
      <c r="A907" s="104" t="str">
        <f t="shared" si="38"/>
        <v>Nigeria2060</v>
      </c>
      <c r="C907" s="107" t="s">
        <v>257</v>
      </c>
      <c r="D907" s="108" t="s">
        <v>213</v>
      </c>
      <c r="E907" s="109"/>
      <c r="F907" s="109">
        <v>566</v>
      </c>
      <c r="G907" s="109">
        <v>2060</v>
      </c>
      <c r="H907" s="110">
        <v>27087.464</v>
      </c>
      <c r="I907" s="110">
        <v>25992.330999999998</v>
      </c>
      <c r="J907" s="110">
        <v>24796.637999999999</v>
      </c>
      <c r="K907" s="110">
        <v>23455.328000000001</v>
      </c>
      <c r="L907" s="110">
        <v>21869.791000000001</v>
      </c>
      <c r="M907" s="110">
        <v>20059.321</v>
      </c>
      <c r="N907" s="110">
        <v>18137.38</v>
      </c>
      <c r="O907" s="110">
        <v>16221.307000000001</v>
      </c>
      <c r="P907" s="110">
        <v>14406.916999999999</v>
      </c>
      <c r="Q907" s="110">
        <v>12660.15</v>
      </c>
      <c r="R907" s="110">
        <v>10666.609</v>
      </c>
      <c r="S907" s="110">
        <v>8702.6749999999993</v>
      </c>
      <c r="T907" s="110">
        <v>6762.9409999999998</v>
      </c>
      <c r="U907" s="110">
        <v>5091.0110000000004</v>
      </c>
      <c r="V907" s="110">
        <v>3627.6990000000001</v>
      </c>
      <c r="W907" s="110">
        <v>2225.3649999999998</v>
      </c>
      <c r="X907" s="110">
        <v>1014.355</v>
      </c>
      <c r="Y907" s="110">
        <v>297.16699999999997</v>
      </c>
      <c r="Z907" s="110">
        <v>49.238999999999997</v>
      </c>
      <c r="AA907" s="110">
        <v>4.4169999999999998</v>
      </c>
      <c r="AB907" s="110">
        <v>0.222</v>
      </c>
      <c r="AC907" s="115">
        <f t="shared" si="39"/>
        <v>126810.194</v>
      </c>
      <c r="AD907">
        <f t="shared" si="40"/>
        <v>1.0179196448189116</v>
      </c>
    </row>
    <row r="908" spans="1:30" x14ac:dyDescent="0.25">
      <c r="A908" s="104" t="str">
        <f t="shared" si="38"/>
        <v>Nigeria2061</v>
      </c>
      <c r="C908" s="107" t="s">
        <v>257</v>
      </c>
      <c r="D908" s="108" t="s">
        <v>213</v>
      </c>
      <c r="E908" s="109"/>
      <c r="F908" s="109">
        <v>566</v>
      </c>
      <c r="G908" s="109">
        <v>2061</v>
      </c>
      <c r="H908" s="110">
        <v>27262.614000000001</v>
      </c>
      <c r="I908" s="110">
        <v>26197.731</v>
      </c>
      <c r="J908" s="110">
        <v>25029.831999999999</v>
      </c>
      <c r="K908" s="110">
        <v>23717.628000000001</v>
      </c>
      <c r="L908" s="110">
        <v>22176.293000000001</v>
      </c>
      <c r="M908" s="110">
        <v>20400.964</v>
      </c>
      <c r="N908" s="110">
        <v>18489.821</v>
      </c>
      <c r="O908" s="110">
        <v>16558.650000000001</v>
      </c>
      <c r="P908" s="110">
        <v>14715.089</v>
      </c>
      <c r="Q908" s="110">
        <v>12971.307000000001</v>
      </c>
      <c r="R908" s="110">
        <v>10999.001</v>
      </c>
      <c r="S908" s="110">
        <v>9002.5939999999991</v>
      </c>
      <c r="T908" s="110">
        <v>7008.2550000000001</v>
      </c>
      <c r="U908" s="110">
        <v>5243.223</v>
      </c>
      <c r="V908" s="110">
        <v>3718.614</v>
      </c>
      <c r="W908" s="110">
        <v>2300.2089999999998</v>
      </c>
      <c r="X908" s="110">
        <v>1084.2449999999999</v>
      </c>
      <c r="Y908" s="110">
        <v>340.06400000000002</v>
      </c>
      <c r="Z908" s="110">
        <v>61.369</v>
      </c>
      <c r="AA908" s="110">
        <v>5.7949999999999999</v>
      </c>
      <c r="AB908" s="110">
        <v>0.24</v>
      </c>
      <c r="AC908" s="115">
        <f t="shared" si="39"/>
        <v>129029.75200000001</v>
      </c>
      <c r="AD908">
        <f t="shared" si="40"/>
        <v>1.0175029934896245</v>
      </c>
    </row>
    <row r="909" spans="1:30" x14ac:dyDescent="0.25">
      <c r="A909" s="104" t="str">
        <f t="shared" si="38"/>
        <v>Nigeria2062</v>
      </c>
      <c r="C909" s="107" t="s">
        <v>257</v>
      </c>
      <c r="D909" s="108" t="s">
        <v>213</v>
      </c>
      <c r="E909" s="109"/>
      <c r="F909" s="109">
        <v>566</v>
      </c>
      <c r="G909" s="109">
        <v>2062</v>
      </c>
      <c r="H909" s="110">
        <v>27434.901999999998</v>
      </c>
      <c r="I909" s="110">
        <v>26390.358</v>
      </c>
      <c r="J909" s="110">
        <v>25257.314999999999</v>
      </c>
      <c r="K909" s="110">
        <v>23971.585999999999</v>
      </c>
      <c r="L909" s="110">
        <v>22473.214</v>
      </c>
      <c r="M909" s="110">
        <v>20736.602999999999</v>
      </c>
      <c r="N909" s="110">
        <v>18841.228999999999</v>
      </c>
      <c r="O909" s="110">
        <v>16901.308000000001</v>
      </c>
      <c r="P909" s="110">
        <v>15030.097</v>
      </c>
      <c r="Q909" s="110">
        <v>13271.245999999999</v>
      </c>
      <c r="R909" s="110">
        <v>11342.431</v>
      </c>
      <c r="S909" s="110">
        <v>9309.4850000000006</v>
      </c>
      <c r="T909" s="110">
        <v>7280.241</v>
      </c>
      <c r="U909" s="110">
        <v>5418.07</v>
      </c>
      <c r="V909" s="110">
        <v>3819.9160000000002</v>
      </c>
      <c r="W909" s="110">
        <v>2373.1010000000001</v>
      </c>
      <c r="X909" s="110">
        <v>1144.69</v>
      </c>
      <c r="Y909" s="110">
        <v>372.35500000000002</v>
      </c>
      <c r="Z909" s="110">
        <v>71.450999999999993</v>
      </c>
      <c r="AA909" s="110">
        <v>8.2870000000000008</v>
      </c>
      <c r="AB909" s="110">
        <v>0.25900000000000001</v>
      </c>
      <c r="AC909" s="115">
        <f t="shared" si="39"/>
        <v>131225.283</v>
      </c>
      <c r="AD909">
        <f t="shared" si="40"/>
        <v>1.0170156957288423</v>
      </c>
    </row>
    <row r="910" spans="1:30" x14ac:dyDescent="0.25">
      <c r="A910" s="104" t="str">
        <f t="shared" si="38"/>
        <v>Nigeria2063</v>
      </c>
      <c r="C910" s="107" t="s">
        <v>257</v>
      </c>
      <c r="D910" s="108" t="s">
        <v>213</v>
      </c>
      <c r="E910" s="109"/>
      <c r="F910" s="109">
        <v>566</v>
      </c>
      <c r="G910" s="109">
        <v>2063</v>
      </c>
      <c r="H910" s="110">
        <v>27604.496999999999</v>
      </c>
      <c r="I910" s="110">
        <v>26569.491999999998</v>
      </c>
      <c r="J910" s="110">
        <v>25477.764999999999</v>
      </c>
      <c r="K910" s="110">
        <v>24218.879000000001</v>
      </c>
      <c r="L910" s="110">
        <v>22760.811000000002</v>
      </c>
      <c r="M910" s="110">
        <v>21065.174999999999</v>
      </c>
      <c r="N910" s="110">
        <v>19190.413</v>
      </c>
      <c r="O910" s="110">
        <v>17248.208999999999</v>
      </c>
      <c r="P910" s="110">
        <v>15351.391</v>
      </c>
      <c r="Q910" s="110">
        <v>13565.299000000001</v>
      </c>
      <c r="R910" s="110">
        <v>11690.004000000001</v>
      </c>
      <c r="S910" s="110">
        <v>9624.4500000000007</v>
      </c>
      <c r="T910" s="110">
        <v>7574.0450000000001</v>
      </c>
      <c r="U910" s="110">
        <v>5617.0029999999997</v>
      </c>
      <c r="V910" s="110">
        <v>3937.538</v>
      </c>
      <c r="W910" s="110">
        <v>2449.9870000000001</v>
      </c>
      <c r="X910" s="110">
        <v>1194.9010000000001</v>
      </c>
      <c r="Y910" s="110">
        <v>391.67</v>
      </c>
      <c r="Z910" s="110">
        <v>79.084999999999994</v>
      </c>
      <c r="AA910" s="110">
        <v>10.180999999999999</v>
      </c>
      <c r="AB910" s="110">
        <v>0.28000000000000003</v>
      </c>
      <c r="AC910" s="115">
        <f t="shared" si="39"/>
        <v>133400.17700000003</v>
      </c>
      <c r="AD910">
        <f t="shared" si="40"/>
        <v>1.0165737421194971</v>
      </c>
    </row>
    <row r="911" spans="1:30" x14ac:dyDescent="0.25">
      <c r="A911" s="104" t="str">
        <f t="shared" si="38"/>
        <v>Nigeria2064</v>
      </c>
      <c r="C911" s="107" t="s">
        <v>257</v>
      </c>
      <c r="D911" s="108" t="s">
        <v>213</v>
      </c>
      <c r="E911" s="109"/>
      <c r="F911" s="109">
        <v>566</v>
      </c>
      <c r="G911" s="109">
        <v>2064</v>
      </c>
      <c r="H911" s="110">
        <v>27769.07</v>
      </c>
      <c r="I911" s="110">
        <v>26736.867999999999</v>
      </c>
      <c r="J911" s="110">
        <v>25688.674999999999</v>
      </c>
      <c r="K911" s="110">
        <v>24460.992999999999</v>
      </c>
      <c r="L911" s="110">
        <v>23039.912</v>
      </c>
      <c r="M911" s="110">
        <v>21385.794000000002</v>
      </c>
      <c r="N911" s="110">
        <v>19536.403999999999</v>
      </c>
      <c r="O911" s="110">
        <v>17597.534</v>
      </c>
      <c r="P911" s="110">
        <v>15678.138000000001</v>
      </c>
      <c r="Q911" s="110">
        <v>13862.255999999999</v>
      </c>
      <c r="R911" s="110">
        <v>12032.157999999999</v>
      </c>
      <c r="S911" s="110">
        <v>9950.7189999999991</v>
      </c>
      <c r="T911" s="110">
        <v>7882.5050000000001</v>
      </c>
      <c r="U911" s="110">
        <v>5842.29</v>
      </c>
      <c r="V911" s="110">
        <v>4076.924</v>
      </c>
      <c r="W911" s="110">
        <v>2534.3159999999998</v>
      </c>
      <c r="X911" s="110">
        <v>1235.76</v>
      </c>
      <c r="Y911" s="110">
        <v>400.72199999999998</v>
      </c>
      <c r="Z911" s="110">
        <v>79.995999999999995</v>
      </c>
      <c r="AA911" s="110">
        <v>9.9719999999999995</v>
      </c>
      <c r="AB911" s="110">
        <v>0.30299999999999999</v>
      </c>
      <c r="AC911" s="115">
        <f t="shared" si="39"/>
        <v>135561.03099999999</v>
      </c>
      <c r="AD911">
        <f t="shared" si="40"/>
        <v>1.0161982843546</v>
      </c>
    </row>
    <row r="912" spans="1:30" x14ac:dyDescent="0.25">
      <c r="A912" s="104" t="str">
        <f t="shared" si="38"/>
        <v>Nigeria2065</v>
      </c>
      <c r="C912" s="107" t="s">
        <v>257</v>
      </c>
      <c r="D912" s="108" t="s">
        <v>213</v>
      </c>
      <c r="E912" s="109"/>
      <c r="F912" s="109">
        <v>566</v>
      </c>
      <c r="G912" s="109">
        <v>2065</v>
      </c>
      <c r="H912" s="110">
        <v>27928.54</v>
      </c>
      <c r="I912" s="110">
        <v>26895.444</v>
      </c>
      <c r="J912" s="110">
        <v>25886.964</v>
      </c>
      <c r="K912" s="110">
        <v>24697.691999999999</v>
      </c>
      <c r="L912" s="110">
        <v>23311.292000000001</v>
      </c>
      <c r="M912" s="110">
        <v>21697.859</v>
      </c>
      <c r="N912" s="110">
        <v>19878.162</v>
      </c>
      <c r="O912" s="110">
        <v>17947.357</v>
      </c>
      <c r="P912" s="110">
        <v>16009.821</v>
      </c>
      <c r="Q912" s="110">
        <v>14167.282999999999</v>
      </c>
      <c r="R912" s="110">
        <v>12363.164000000001</v>
      </c>
      <c r="S912" s="110">
        <v>10289.232</v>
      </c>
      <c r="T912" s="110">
        <v>8200.3970000000008</v>
      </c>
      <c r="U912" s="110">
        <v>6094.9279999999999</v>
      </c>
      <c r="V912" s="110">
        <v>4240.7280000000001</v>
      </c>
      <c r="W912" s="110">
        <v>2628.63</v>
      </c>
      <c r="X912" s="110">
        <v>1272.153</v>
      </c>
      <c r="Y912" s="110">
        <v>400.91500000000002</v>
      </c>
      <c r="Z912" s="110">
        <v>70.194999999999993</v>
      </c>
      <c r="AA912" s="110">
        <v>6.3639999999999999</v>
      </c>
      <c r="AB912" s="110">
        <v>0.32700000000000001</v>
      </c>
      <c r="AC912" s="115">
        <f t="shared" si="39"/>
        <v>137709.46599999999</v>
      </c>
      <c r="AD912">
        <f t="shared" si="40"/>
        <v>1.0158484704944446</v>
      </c>
    </row>
    <row r="913" spans="1:30" x14ac:dyDescent="0.25">
      <c r="A913" s="104" t="str">
        <f t="shared" si="38"/>
        <v>Nigeria2066</v>
      </c>
      <c r="C913" s="107" t="s">
        <v>257</v>
      </c>
      <c r="D913" s="108" t="s">
        <v>213</v>
      </c>
      <c r="E913" s="109"/>
      <c r="F913" s="109">
        <v>566</v>
      </c>
      <c r="G913" s="109">
        <v>2066</v>
      </c>
      <c r="H913" s="110">
        <v>28111.133000000002</v>
      </c>
      <c r="I913" s="110">
        <v>27077.571</v>
      </c>
      <c r="J913" s="110">
        <v>26085.206999999999</v>
      </c>
      <c r="K913" s="110">
        <v>24929.535</v>
      </c>
      <c r="L913" s="110">
        <v>23578.453000000001</v>
      </c>
      <c r="M913" s="110">
        <v>22007.814999999999</v>
      </c>
      <c r="N913" s="110">
        <v>20221.003000000001</v>
      </c>
      <c r="O913" s="110">
        <v>18299.064999999999</v>
      </c>
      <c r="P913" s="110">
        <v>16346.27</v>
      </c>
      <c r="Q913" s="110">
        <v>14470.957</v>
      </c>
      <c r="R913" s="110">
        <v>12667.316999999999</v>
      </c>
      <c r="S913" s="110">
        <v>10608.221</v>
      </c>
      <c r="T913" s="110">
        <v>8479.8449999999993</v>
      </c>
      <c r="U913" s="110">
        <v>6317.3969999999999</v>
      </c>
      <c r="V913" s="110">
        <v>4373.7669999999998</v>
      </c>
      <c r="W913" s="110">
        <v>2711.4259999999999</v>
      </c>
      <c r="X913" s="110">
        <v>1343.6479999999999</v>
      </c>
      <c r="Y913" s="110">
        <v>453.017</v>
      </c>
      <c r="Z913" s="110">
        <v>87.516000000000005</v>
      </c>
      <c r="AA913" s="110">
        <v>8.3650000000000002</v>
      </c>
      <c r="AB913" s="110">
        <v>0.35299999999999998</v>
      </c>
      <c r="AC913" s="115">
        <f t="shared" si="39"/>
        <v>139853.098</v>
      </c>
      <c r="AD913">
        <f t="shared" si="40"/>
        <v>1.0155663373206314</v>
      </c>
    </row>
    <row r="914" spans="1:30" x14ac:dyDescent="0.25">
      <c r="A914" s="104" t="str">
        <f t="shared" si="38"/>
        <v>Nigeria2067</v>
      </c>
      <c r="C914" s="107" t="s">
        <v>257</v>
      </c>
      <c r="D914" s="108" t="s">
        <v>213</v>
      </c>
      <c r="E914" s="109"/>
      <c r="F914" s="109">
        <v>566</v>
      </c>
      <c r="G914" s="109">
        <v>2067</v>
      </c>
      <c r="H914" s="110">
        <v>28272.267</v>
      </c>
      <c r="I914" s="110">
        <v>27258.416000000001</v>
      </c>
      <c r="J914" s="110">
        <v>26275.062000000002</v>
      </c>
      <c r="K914" s="110">
        <v>25157.485000000001</v>
      </c>
      <c r="L914" s="110">
        <v>23837.075000000001</v>
      </c>
      <c r="M914" s="110">
        <v>22308.716</v>
      </c>
      <c r="N914" s="110">
        <v>20559.252</v>
      </c>
      <c r="O914" s="110">
        <v>18651.425999999999</v>
      </c>
      <c r="P914" s="110">
        <v>16689.784</v>
      </c>
      <c r="Q914" s="110">
        <v>14783.932000000001</v>
      </c>
      <c r="R914" s="110">
        <v>12963.856</v>
      </c>
      <c r="S914" s="110">
        <v>10942.517</v>
      </c>
      <c r="T914" s="110">
        <v>8771.3019999999997</v>
      </c>
      <c r="U914" s="110">
        <v>6567.7219999999998</v>
      </c>
      <c r="V914" s="110">
        <v>4525.4139999999998</v>
      </c>
      <c r="W914" s="110">
        <v>2795.732</v>
      </c>
      <c r="X914" s="110">
        <v>1404.346</v>
      </c>
      <c r="Y914" s="110">
        <v>492.35</v>
      </c>
      <c r="Z914" s="110">
        <v>101.288</v>
      </c>
      <c r="AA914" s="110">
        <v>11.945</v>
      </c>
      <c r="AB914" s="110">
        <v>0.38100000000000001</v>
      </c>
      <c r="AC914" s="115">
        <f t="shared" si="39"/>
        <v>141987.66999999998</v>
      </c>
      <c r="AD914">
        <f t="shared" si="40"/>
        <v>1.0152629582792652</v>
      </c>
    </row>
    <row r="915" spans="1:30" x14ac:dyDescent="0.25">
      <c r="A915" s="104" t="str">
        <f t="shared" si="38"/>
        <v>Nigeria2068</v>
      </c>
      <c r="C915" s="107" t="s">
        <v>257</v>
      </c>
      <c r="D915" s="108" t="s">
        <v>213</v>
      </c>
      <c r="E915" s="109"/>
      <c r="F915" s="109">
        <v>566</v>
      </c>
      <c r="G915" s="109">
        <v>2068</v>
      </c>
      <c r="H915" s="110">
        <v>28415.965</v>
      </c>
      <c r="I915" s="110">
        <v>27436.233</v>
      </c>
      <c r="J915" s="110">
        <v>26456.766</v>
      </c>
      <c r="K915" s="110">
        <v>25380.269</v>
      </c>
      <c r="L915" s="110">
        <v>24087.583999999999</v>
      </c>
      <c r="M915" s="110">
        <v>22600.062999999998</v>
      </c>
      <c r="N915" s="110">
        <v>20891.073</v>
      </c>
      <c r="O915" s="110">
        <v>19003.055</v>
      </c>
      <c r="P915" s="110">
        <v>17038.084999999999</v>
      </c>
      <c r="Q915" s="110">
        <v>15105.512000000001</v>
      </c>
      <c r="R915" s="110">
        <v>13256.937</v>
      </c>
      <c r="S915" s="110">
        <v>11284.655000000001</v>
      </c>
      <c r="T915" s="110">
        <v>9076.2620000000006</v>
      </c>
      <c r="U915" s="110">
        <v>6841.8180000000002</v>
      </c>
      <c r="V915" s="110">
        <v>4700.1229999999996</v>
      </c>
      <c r="W915" s="110">
        <v>2889.61</v>
      </c>
      <c r="X915" s="110">
        <v>1455.943</v>
      </c>
      <c r="Y915" s="110">
        <v>515.33100000000002</v>
      </c>
      <c r="Z915" s="110">
        <v>111.2</v>
      </c>
      <c r="AA915" s="110">
        <v>14.682</v>
      </c>
      <c r="AB915" s="110">
        <v>0.41299999999999998</v>
      </c>
      <c r="AC915" s="115">
        <f t="shared" si="39"/>
        <v>144105.64099999997</v>
      </c>
      <c r="AD915">
        <f t="shared" si="40"/>
        <v>1.0149165839540855</v>
      </c>
    </row>
    <row r="916" spans="1:30" x14ac:dyDescent="0.25">
      <c r="A916" s="104" t="str">
        <f t="shared" si="38"/>
        <v>Nigeria2069</v>
      </c>
      <c r="C916" s="107" t="s">
        <v>257</v>
      </c>
      <c r="D916" s="108" t="s">
        <v>213</v>
      </c>
      <c r="E916" s="109"/>
      <c r="F916" s="109">
        <v>566</v>
      </c>
      <c r="G916" s="109">
        <v>2069</v>
      </c>
      <c r="H916" s="110">
        <v>28547.758999999998</v>
      </c>
      <c r="I916" s="110">
        <v>27606.737000000001</v>
      </c>
      <c r="J916" s="110">
        <v>26632.634999999998</v>
      </c>
      <c r="K916" s="110">
        <v>25594.94</v>
      </c>
      <c r="L916" s="110">
        <v>24330.901000000002</v>
      </c>
      <c r="M916" s="110">
        <v>22881.739000000001</v>
      </c>
      <c r="N916" s="110">
        <v>21214.601999999999</v>
      </c>
      <c r="O916" s="110">
        <v>19352.109</v>
      </c>
      <c r="P916" s="110">
        <v>17388.567999999999</v>
      </c>
      <c r="Q916" s="110">
        <v>15434.125</v>
      </c>
      <c r="R916" s="110">
        <v>13554.323</v>
      </c>
      <c r="S916" s="110">
        <v>11624.633</v>
      </c>
      <c r="T916" s="110">
        <v>9397.32</v>
      </c>
      <c r="U916" s="110">
        <v>7133.6959999999999</v>
      </c>
      <c r="V916" s="110">
        <v>4901.9709999999995</v>
      </c>
      <c r="W916" s="110">
        <v>2999.2339999999999</v>
      </c>
      <c r="X916" s="110">
        <v>1501.078</v>
      </c>
      <c r="Y916" s="110">
        <v>524.97900000000004</v>
      </c>
      <c r="Z916" s="110">
        <v>112.04900000000001</v>
      </c>
      <c r="AA916" s="110">
        <v>14.481999999999999</v>
      </c>
      <c r="AB916" s="110">
        <v>0.44800000000000001</v>
      </c>
      <c r="AC916" s="115">
        <f t="shared" si="39"/>
        <v>146196.984</v>
      </c>
      <c r="AD916">
        <f t="shared" si="40"/>
        <v>1.0145125685954239</v>
      </c>
    </row>
    <row r="917" spans="1:30" x14ac:dyDescent="0.25">
      <c r="A917" s="104" t="str">
        <f t="shared" si="38"/>
        <v>Nigeria2070</v>
      </c>
      <c r="C917" s="107" t="s">
        <v>257</v>
      </c>
      <c r="D917" s="108" t="s">
        <v>213</v>
      </c>
      <c r="E917" s="109"/>
      <c r="F917" s="109">
        <v>566</v>
      </c>
      <c r="G917" s="109">
        <v>2070</v>
      </c>
      <c r="H917" s="110">
        <v>28672.83</v>
      </c>
      <c r="I917" s="110">
        <v>27764.003000000001</v>
      </c>
      <c r="J917" s="110">
        <v>26804.879000000001</v>
      </c>
      <c r="K917" s="110">
        <v>25799.159</v>
      </c>
      <c r="L917" s="110">
        <v>24567.981</v>
      </c>
      <c r="M917" s="110">
        <v>23153.984</v>
      </c>
      <c r="N917" s="110">
        <v>21528.663</v>
      </c>
      <c r="O917" s="110">
        <v>19696.789000000001</v>
      </c>
      <c r="P917" s="110">
        <v>17739.546999999999</v>
      </c>
      <c r="Q917" s="110">
        <v>15768.343999999999</v>
      </c>
      <c r="R917" s="110">
        <v>13860.976000000001</v>
      </c>
      <c r="S917" s="110">
        <v>11956.374</v>
      </c>
      <c r="T917" s="110">
        <v>9734.4789999999994</v>
      </c>
      <c r="U917" s="110">
        <v>7439.5829999999996</v>
      </c>
      <c r="V917" s="110">
        <v>5132.701</v>
      </c>
      <c r="W917" s="110">
        <v>3128.3850000000002</v>
      </c>
      <c r="X917" s="110">
        <v>1545.319</v>
      </c>
      <c r="Y917" s="110">
        <v>523.42700000000002</v>
      </c>
      <c r="Z917" s="110">
        <v>99.754000000000005</v>
      </c>
      <c r="AA917" s="110">
        <v>9.5890000000000004</v>
      </c>
      <c r="AB917" s="110">
        <v>0.48699999999999999</v>
      </c>
      <c r="AC917" s="115">
        <f t="shared" si="39"/>
        <v>148254.467</v>
      </c>
      <c r="AD917">
        <f t="shared" si="40"/>
        <v>1.0140733614586741</v>
      </c>
    </row>
    <row r="918" spans="1:30" x14ac:dyDescent="0.25">
      <c r="A918" s="104" t="str">
        <f t="shared" si="38"/>
        <v>Nigeria2071</v>
      </c>
      <c r="C918" s="107" t="s">
        <v>257</v>
      </c>
      <c r="D918" s="108" t="s">
        <v>213</v>
      </c>
      <c r="E918" s="109"/>
      <c r="F918" s="109">
        <v>566</v>
      </c>
      <c r="G918" s="109">
        <v>2071</v>
      </c>
      <c r="H918" s="110">
        <v>28813.313999999998</v>
      </c>
      <c r="I918" s="110">
        <v>27937.287</v>
      </c>
      <c r="J918" s="110">
        <v>26987.804</v>
      </c>
      <c r="K918" s="110">
        <v>25997.566999999999</v>
      </c>
      <c r="L918" s="110">
        <v>24805.733</v>
      </c>
      <c r="M918" s="110">
        <v>23425.946</v>
      </c>
      <c r="N918" s="110">
        <v>21841.346000000001</v>
      </c>
      <c r="O918" s="110">
        <v>20040.187999999998</v>
      </c>
      <c r="P918" s="110">
        <v>18091.53</v>
      </c>
      <c r="Q918" s="110">
        <v>16101.226000000001</v>
      </c>
      <c r="R918" s="110">
        <v>14159.588</v>
      </c>
      <c r="S918" s="110">
        <v>12249.338</v>
      </c>
      <c r="T918" s="110">
        <v>10034.01</v>
      </c>
      <c r="U918" s="110">
        <v>7694.0429999999997</v>
      </c>
      <c r="V918" s="110">
        <v>5327.308</v>
      </c>
      <c r="W918" s="110">
        <v>3245.9340000000002</v>
      </c>
      <c r="X918" s="110">
        <v>1626.056</v>
      </c>
      <c r="Y918" s="110">
        <v>581.79899999999998</v>
      </c>
      <c r="Z918" s="110">
        <v>123.114</v>
      </c>
      <c r="AA918" s="110">
        <v>12.484999999999999</v>
      </c>
      <c r="AB918" s="110">
        <v>0.53200000000000003</v>
      </c>
      <c r="AC918" s="115">
        <f t="shared" si="39"/>
        <v>150303.53599999999</v>
      </c>
      <c r="AD918">
        <f t="shared" si="40"/>
        <v>1.0138212968652067</v>
      </c>
    </row>
    <row r="919" spans="1:30" x14ac:dyDescent="0.25">
      <c r="A919" s="104" t="str">
        <f t="shared" si="38"/>
        <v>Nigeria2072</v>
      </c>
      <c r="C919" s="107" t="s">
        <v>257</v>
      </c>
      <c r="D919" s="108" t="s">
        <v>213</v>
      </c>
      <c r="E919" s="109"/>
      <c r="F919" s="109">
        <v>566</v>
      </c>
      <c r="G919" s="109">
        <v>2072</v>
      </c>
      <c r="H919" s="110">
        <v>28931.608</v>
      </c>
      <c r="I919" s="110">
        <v>28103.005000000001</v>
      </c>
      <c r="J919" s="110">
        <v>27169.81</v>
      </c>
      <c r="K919" s="110">
        <v>26186.781999999999</v>
      </c>
      <c r="L919" s="110">
        <v>25037.867999999999</v>
      </c>
      <c r="M919" s="110">
        <v>23688.353999999999</v>
      </c>
      <c r="N919" s="110">
        <v>22144.992999999999</v>
      </c>
      <c r="O919" s="110">
        <v>20379.427</v>
      </c>
      <c r="P919" s="110">
        <v>18444.842000000001</v>
      </c>
      <c r="Q919" s="110">
        <v>16442.685000000001</v>
      </c>
      <c r="R919" s="110">
        <v>14469.679</v>
      </c>
      <c r="S919" s="110">
        <v>12539.21</v>
      </c>
      <c r="T919" s="110">
        <v>10353.361999999999</v>
      </c>
      <c r="U919" s="110">
        <v>7963.9369999999999</v>
      </c>
      <c r="V919" s="110">
        <v>5546.0919999999996</v>
      </c>
      <c r="W919" s="110">
        <v>3370.384</v>
      </c>
      <c r="X919" s="110">
        <v>1696.2729999999999</v>
      </c>
      <c r="Y919" s="110">
        <v>625.279</v>
      </c>
      <c r="Z919" s="110">
        <v>141.102</v>
      </c>
      <c r="AA919" s="110">
        <v>17.568000000000001</v>
      </c>
      <c r="AB919" s="110">
        <v>0.58199999999999996</v>
      </c>
      <c r="AC919" s="115">
        <f t="shared" si="39"/>
        <v>152324.95099999997</v>
      </c>
      <c r="AD919">
        <f t="shared" si="40"/>
        <v>1.0134488851945571</v>
      </c>
    </row>
    <row r="920" spans="1:30" x14ac:dyDescent="0.25">
      <c r="A920" s="104" t="str">
        <f t="shared" si="38"/>
        <v>Nigeria2073</v>
      </c>
      <c r="C920" s="107" t="s">
        <v>257</v>
      </c>
      <c r="D920" s="108" t="s">
        <v>213</v>
      </c>
      <c r="E920" s="109"/>
      <c r="F920" s="109">
        <v>566</v>
      </c>
      <c r="G920" s="109">
        <v>2073</v>
      </c>
      <c r="H920" s="110">
        <v>29032.663</v>
      </c>
      <c r="I920" s="110">
        <v>28258.732</v>
      </c>
      <c r="J920" s="110">
        <v>27348.46</v>
      </c>
      <c r="K920" s="110">
        <v>26369.377</v>
      </c>
      <c r="L920" s="110">
        <v>25262.672999999999</v>
      </c>
      <c r="M920" s="110">
        <v>23941.519</v>
      </c>
      <c r="N920" s="110">
        <v>22438.857</v>
      </c>
      <c r="O920" s="110">
        <v>20713.041000000001</v>
      </c>
      <c r="P920" s="110">
        <v>18797.344000000001</v>
      </c>
      <c r="Q920" s="110">
        <v>16790.718000000001</v>
      </c>
      <c r="R920" s="110">
        <v>14789.789000000001</v>
      </c>
      <c r="S920" s="110">
        <v>12829.442999999999</v>
      </c>
      <c r="T920" s="110">
        <v>10685.91</v>
      </c>
      <c r="U920" s="110">
        <v>8251.3330000000005</v>
      </c>
      <c r="V920" s="110">
        <v>5788.6030000000001</v>
      </c>
      <c r="W920" s="110">
        <v>3509.5390000000002</v>
      </c>
      <c r="X920" s="110">
        <v>1760.2329999999999</v>
      </c>
      <c r="Y920" s="110">
        <v>650.73</v>
      </c>
      <c r="Z920" s="110">
        <v>153.24199999999999</v>
      </c>
      <c r="AA920" s="110">
        <v>21.44</v>
      </c>
      <c r="AB920" s="110">
        <v>0.63700000000000001</v>
      </c>
      <c r="AC920" s="115">
        <f t="shared" si="39"/>
        <v>154313.52900000001</v>
      </c>
      <c r="AD920">
        <f t="shared" si="40"/>
        <v>1.0130548408973394</v>
      </c>
    </row>
    <row r="921" spans="1:30" x14ac:dyDescent="0.25">
      <c r="A921" s="104" t="str">
        <f t="shared" ref="A921:A984" si="41">D921&amp;G921</f>
        <v>Nigeria2074</v>
      </c>
      <c r="C921" s="107" t="s">
        <v>257</v>
      </c>
      <c r="D921" s="108" t="s">
        <v>213</v>
      </c>
      <c r="E921" s="109"/>
      <c r="F921" s="109">
        <v>566</v>
      </c>
      <c r="G921" s="109">
        <v>2074</v>
      </c>
      <c r="H921" s="110">
        <v>29121.686000000002</v>
      </c>
      <c r="I921" s="110">
        <v>28401.58</v>
      </c>
      <c r="J921" s="110">
        <v>27520.703000000001</v>
      </c>
      <c r="K921" s="110">
        <v>26548.758999999998</v>
      </c>
      <c r="L921" s="110">
        <v>25477.633999999998</v>
      </c>
      <c r="M921" s="110">
        <v>24186.392</v>
      </c>
      <c r="N921" s="110">
        <v>22722.698</v>
      </c>
      <c r="O921" s="110">
        <v>21039.1</v>
      </c>
      <c r="P921" s="110">
        <v>19147.094000000001</v>
      </c>
      <c r="Q921" s="110">
        <v>17142.572</v>
      </c>
      <c r="R921" s="110">
        <v>15118.165999999999</v>
      </c>
      <c r="S921" s="110">
        <v>13127.192999999999</v>
      </c>
      <c r="T921" s="110">
        <v>11022.004999999999</v>
      </c>
      <c r="U921" s="110">
        <v>8559.1980000000003</v>
      </c>
      <c r="V921" s="110">
        <v>6051.558</v>
      </c>
      <c r="W921" s="110">
        <v>3669.7240000000002</v>
      </c>
      <c r="X921" s="110">
        <v>1823.3610000000001</v>
      </c>
      <c r="Y921" s="110">
        <v>662.41899999999998</v>
      </c>
      <c r="Z921" s="110">
        <v>153.47</v>
      </c>
      <c r="AA921" s="110">
        <v>21.212</v>
      </c>
      <c r="AB921" s="110">
        <v>0.69899999999999995</v>
      </c>
      <c r="AC921" s="115">
        <f t="shared" si="39"/>
        <v>156264.24900000001</v>
      </c>
      <c r="AD921">
        <f t="shared" si="40"/>
        <v>1.012641276579191</v>
      </c>
    </row>
    <row r="922" spans="1:30" x14ac:dyDescent="0.25">
      <c r="A922" s="104" t="str">
        <f t="shared" si="41"/>
        <v>Nigeria2075</v>
      </c>
      <c r="C922" s="107" t="s">
        <v>257</v>
      </c>
      <c r="D922" s="108" t="s">
        <v>213</v>
      </c>
      <c r="E922" s="109"/>
      <c r="F922" s="109">
        <v>566</v>
      </c>
      <c r="G922" s="109">
        <v>2075</v>
      </c>
      <c r="H922" s="110">
        <v>29203.391</v>
      </c>
      <c r="I922" s="110">
        <v>28528.43</v>
      </c>
      <c r="J922" s="110">
        <v>27684.242999999999</v>
      </c>
      <c r="K922" s="110">
        <v>26726.376</v>
      </c>
      <c r="L922" s="110">
        <v>25681.71</v>
      </c>
      <c r="M922" s="110">
        <v>24423.761999999999</v>
      </c>
      <c r="N922" s="110">
        <v>22996.492999999999</v>
      </c>
      <c r="O922" s="110">
        <v>21355.9</v>
      </c>
      <c r="P922" s="110">
        <v>19492.763999999999</v>
      </c>
      <c r="Q922" s="110">
        <v>17495.827000000001</v>
      </c>
      <c r="R922" s="110">
        <v>15453.62</v>
      </c>
      <c r="S922" s="110">
        <v>13436.763000000001</v>
      </c>
      <c r="T922" s="110">
        <v>11355.099</v>
      </c>
      <c r="U922" s="110">
        <v>8888.1450000000004</v>
      </c>
      <c r="V922" s="110">
        <v>6332.6459999999997</v>
      </c>
      <c r="W922" s="110">
        <v>3854.8130000000001</v>
      </c>
      <c r="X922" s="110">
        <v>1892.4860000000001</v>
      </c>
      <c r="Y922" s="110">
        <v>663.26700000000005</v>
      </c>
      <c r="Z922" s="110">
        <v>137.797</v>
      </c>
      <c r="AA922" s="110">
        <v>14.515000000000001</v>
      </c>
      <c r="AB922" s="110">
        <v>0.76600000000000001</v>
      </c>
      <c r="AC922" s="115">
        <f t="shared" ref="AC922:AC985" si="42">SUM(K922:Q922)</f>
        <v>158172.83199999999</v>
      </c>
      <c r="AD922">
        <f t="shared" ref="AD922:AD985" si="43">IF(D922=D921,AC922/AC921,"")</f>
        <v>1.0122138173780235</v>
      </c>
    </row>
    <row r="923" spans="1:30" x14ac:dyDescent="0.25">
      <c r="A923" s="104" t="str">
        <f t="shared" si="41"/>
        <v>Nigeria2076</v>
      </c>
      <c r="C923" s="107" t="s">
        <v>257</v>
      </c>
      <c r="D923" s="108" t="s">
        <v>213</v>
      </c>
      <c r="E923" s="109"/>
      <c r="F923" s="109">
        <v>566</v>
      </c>
      <c r="G923" s="109">
        <v>2076</v>
      </c>
      <c r="H923" s="110">
        <v>29293.759999999998</v>
      </c>
      <c r="I923" s="110">
        <v>28669.066999999999</v>
      </c>
      <c r="J923" s="110">
        <v>27856.313999999998</v>
      </c>
      <c r="K923" s="110">
        <v>26909.769</v>
      </c>
      <c r="L923" s="110">
        <v>25885.656999999999</v>
      </c>
      <c r="M923" s="110">
        <v>24666.138999999999</v>
      </c>
      <c r="N923" s="110">
        <v>23271.235000000001</v>
      </c>
      <c r="O923" s="110">
        <v>21669.370999999999</v>
      </c>
      <c r="P923" s="110">
        <v>19836.727999999999</v>
      </c>
      <c r="Q923" s="110">
        <v>17844.335999999999</v>
      </c>
      <c r="R923" s="110">
        <v>15781.22</v>
      </c>
      <c r="S923" s="110">
        <v>13725.474</v>
      </c>
      <c r="T923" s="110">
        <v>11629.837</v>
      </c>
      <c r="U923" s="110">
        <v>9162.8639999999996</v>
      </c>
      <c r="V923" s="110">
        <v>6554.9759999999997</v>
      </c>
      <c r="W923" s="110">
        <v>4022.248</v>
      </c>
      <c r="X923" s="110">
        <v>2000.078</v>
      </c>
      <c r="Y923" s="110">
        <v>731.31399999999996</v>
      </c>
      <c r="Z923" s="110">
        <v>166.83099999999999</v>
      </c>
      <c r="AA923" s="110">
        <v>18.523</v>
      </c>
      <c r="AB923" s="110">
        <v>0.84099999999999997</v>
      </c>
      <c r="AC923" s="115">
        <f t="shared" si="42"/>
        <v>160083.23500000002</v>
      </c>
      <c r="AD923">
        <f t="shared" si="43"/>
        <v>1.0120779464832494</v>
      </c>
    </row>
    <row r="924" spans="1:30" x14ac:dyDescent="0.25">
      <c r="A924" s="104" t="str">
        <f t="shared" si="41"/>
        <v>Nigeria2077</v>
      </c>
      <c r="C924" s="107" t="s">
        <v>257</v>
      </c>
      <c r="D924" s="108" t="s">
        <v>213</v>
      </c>
      <c r="E924" s="109"/>
      <c r="F924" s="109">
        <v>566</v>
      </c>
      <c r="G924" s="109">
        <v>2077</v>
      </c>
      <c r="H924" s="110">
        <v>29372.987000000001</v>
      </c>
      <c r="I924" s="110">
        <v>28794.442999999999</v>
      </c>
      <c r="J924" s="110">
        <v>28021.796999999999</v>
      </c>
      <c r="K924" s="110">
        <v>27091.191999999999</v>
      </c>
      <c r="L924" s="110">
        <v>26078.282999999999</v>
      </c>
      <c r="M924" s="110">
        <v>24901.457999999999</v>
      </c>
      <c r="N924" s="110">
        <v>23535.962</v>
      </c>
      <c r="O924" s="110">
        <v>21973.805</v>
      </c>
      <c r="P924" s="110">
        <v>20176.865000000002</v>
      </c>
      <c r="Q924" s="110">
        <v>18195.469000000001</v>
      </c>
      <c r="R924" s="110">
        <v>16119.423000000001</v>
      </c>
      <c r="S924" s="110">
        <v>14029.32</v>
      </c>
      <c r="T924" s="110">
        <v>11907.495000000001</v>
      </c>
      <c r="U924" s="110">
        <v>9460.7279999999992</v>
      </c>
      <c r="V924" s="110">
        <v>6792.3890000000001</v>
      </c>
      <c r="W924" s="110">
        <v>4201.5429999999997</v>
      </c>
      <c r="X924" s="110">
        <v>2098.3409999999999</v>
      </c>
      <c r="Y924" s="110">
        <v>782.21500000000003</v>
      </c>
      <c r="Z924" s="110">
        <v>188.60599999999999</v>
      </c>
      <c r="AA924" s="110">
        <v>25.474</v>
      </c>
      <c r="AB924" s="110">
        <v>0.92300000000000004</v>
      </c>
      <c r="AC924" s="115">
        <f t="shared" si="42"/>
        <v>161953.03399999999</v>
      </c>
      <c r="AD924">
        <f t="shared" si="43"/>
        <v>1.0116801675078591</v>
      </c>
    </row>
    <row r="925" spans="1:30" x14ac:dyDescent="0.25">
      <c r="A925" s="104" t="str">
        <f t="shared" si="41"/>
        <v>Nigeria2078</v>
      </c>
      <c r="C925" s="107" t="s">
        <v>257</v>
      </c>
      <c r="D925" s="108" t="s">
        <v>213</v>
      </c>
      <c r="E925" s="109"/>
      <c r="F925" s="109">
        <v>566</v>
      </c>
      <c r="G925" s="109">
        <v>2078</v>
      </c>
      <c r="H925" s="110">
        <v>29442.09</v>
      </c>
      <c r="I925" s="110">
        <v>28903.425999999999</v>
      </c>
      <c r="J925" s="110">
        <v>28179.098000000002</v>
      </c>
      <c r="K925" s="110">
        <v>27270.188999999998</v>
      </c>
      <c r="L925" s="110">
        <v>26262.300999999999</v>
      </c>
      <c r="M925" s="110">
        <v>25128.396000000001</v>
      </c>
      <c r="N925" s="110">
        <v>23791.206999999999</v>
      </c>
      <c r="O925" s="110">
        <v>22269.261999999999</v>
      </c>
      <c r="P925" s="110">
        <v>20511.345000000001</v>
      </c>
      <c r="Q925" s="110">
        <v>18547.713</v>
      </c>
      <c r="R925" s="110">
        <v>16465.775000000001</v>
      </c>
      <c r="S925" s="110">
        <v>14346.312</v>
      </c>
      <c r="T925" s="110">
        <v>12192.223</v>
      </c>
      <c r="U925" s="110">
        <v>9776.1620000000003</v>
      </c>
      <c r="V925" s="110">
        <v>7050.4319999999998</v>
      </c>
      <c r="W925" s="110">
        <v>4396.7790000000005</v>
      </c>
      <c r="X925" s="110">
        <v>2192.3049999999998</v>
      </c>
      <c r="Y925" s="110">
        <v>814.21</v>
      </c>
      <c r="Z925" s="110">
        <v>202.87299999999999</v>
      </c>
      <c r="AA925" s="110">
        <v>30.736000000000001</v>
      </c>
      <c r="AB925" s="110">
        <v>1.0129999999999999</v>
      </c>
      <c r="AC925" s="115">
        <f t="shared" si="42"/>
        <v>163780.413</v>
      </c>
      <c r="AD925">
        <f t="shared" si="43"/>
        <v>1.0112833884915056</v>
      </c>
    </row>
    <row r="926" spans="1:30" x14ac:dyDescent="0.25">
      <c r="A926" s="104" t="str">
        <f t="shared" si="41"/>
        <v>Nigeria2079</v>
      </c>
      <c r="C926" s="107" t="s">
        <v>257</v>
      </c>
      <c r="D926" s="108" t="s">
        <v>213</v>
      </c>
      <c r="E926" s="109"/>
      <c r="F926" s="109">
        <v>566</v>
      </c>
      <c r="G926" s="109">
        <v>2079</v>
      </c>
      <c r="H926" s="110">
        <v>29500.947</v>
      </c>
      <c r="I926" s="110">
        <v>28996.865000000002</v>
      </c>
      <c r="J926" s="110">
        <v>28325.581999999999</v>
      </c>
      <c r="K926" s="110">
        <v>27445.028999999999</v>
      </c>
      <c r="L926" s="110">
        <v>26442.001</v>
      </c>
      <c r="M926" s="110">
        <v>25344.938999999998</v>
      </c>
      <c r="N926" s="110">
        <v>24038.280999999999</v>
      </c>
      <c r="O926" s="110">
        <v>22555.867999999999</v>
      </c>
      <c r="P926" s="110">
        <v>20838.532999999999</v>
      </c>
      <c r="Q926" s="110">
        <v>18899.294999999998</v>
      </c>
      <c r="R926" s="110">
        <v>16817.593000000001</v>
      </c>
      <c r="S926" s="110">
        <v>14674.787</v>
      </c>
      <c r="T926" s="110">
        <v>12490.837</v>
      </c>
      <c r="U926" s="110">
        <v>10101.004999999999</v>
      </c>
      <c r="V926" s="110">
        <v>7333.4589999999998</v>
      </c>
      <c r="W926" s="110">
        <v>4608.3900000000003</v>
      </c>
      <c r="X926" s="110">
        <v>2288.9870000000001</v>
      </c>
      <c r="Y926" s="110">
        <v>834.18600000000004</v>
      </c>
      <c r="Z926" s="110">
        <v>202.80600000000001</v>
      </c>
      <c r="AA926" s="110">
        <v>30.414000000000001</v>
      </c>
      <c r="AB926" s="110">
        <v>1.111</v>
      </c>
      <c r="AC926" s="115">
        <f t="shared" si="42"/>
        <v>165563.946</v>
      </c>
      <c r="AD926">
        <f t="shared" si="43"/>
        <v>1.0108897820400538</v>
      </c>
    </row>
    <row r="927" spans="1:30" x14ac:dyDescent="0.25">
      <c r="A927" s="104" t="str">
        <f t="shared" si="41"/>
        <v>Nigeria2080</v>
      </c>
      <c r="C927" s="107" t="s">
        <v>257</v>
      </c>
      <c r="D927" s="108" t="s">
        <v>213</v>
      </c>
      <c r="E927" s="109"/>
      <c r="F927" s="109">
        <v>566</v>
      </c>
      <c r="G927" s="109">
        <v>2080</v>
      </c>
      <c r="H927" s="110">
        <v>29550.222000000002</v>
      </c>
      <c r="I927" s="110">
        <v>29076.826000000001</v>
      </c>
      <c r="J927" s="110">
        <v>28458.235000000001</v>
      </c>
      <c r="K927" s="110">
        <v>27613.704000000002</v>
      </c>
      <c r="L927" s="110">
        <v>26620.251</v>
      </c>
      <c r="M927" s="110">
        <v>25550.145</v>
      </c>
      <c r="N927" s="110">
        <v>24277.988000000001</v>
      </c>
      <c r="O927" s="110">
        <v>22833.300999999999</v>
      </c>
      <c r="P927" s="110">
        <v>21157.39</v>
      </c>
      <c r="Q927" s="110">
        <v>19248.313999999998</v>
      </c>
      <c r="R927" s="110">
        <v>17172.809000000001</v>
      </c>
      <c r="S927" s="110">
        <v>15013.505999999999</v>
      </c>
      <c r="T927" s="110">
        <v>12806.386</v>
      </c>
      <c r="U927" s="110">
        <v>10430.138999999999</v>
      </c>
      <c r="V927" s="110">
        <v>7642.31</v>
      </c>
      <c r="W927" s="110">
        <v>4837.4440000000004</v>
      </c>
      <c r="X927" s="110">
        <v>2396.576</v>
      </c>
      <c r="Y927" s="110">
        <v>846.11099999999999</v>
      </c>
      <c r="Z927" s="110">
        <v>184.50700000000001</v>
      </c>
      <c r="AA927" s="110">
        <v>21.355</v>
      </c>
      <c r="AB927" s="110">
        <v>1.2190000000000001</v>
      </c>
      <c r="AC927" s="115">
        <f t="shared" si="42"/>
        <v>167301.09299999999</v>
      </c>
      <c r="AD927">
        <f t="shared" si="43"/>
        <v>1.0104923024726651</v>
      </c>
    </row>
    <row r="928" spans="1:30" x14ac:dyDescent="0.25">
      <c r="A928" s="104" t="str">
        <f t="shared" si="41"/>
        <v>Nigeria2081</v>
      </c>
      <c r="C928" s="107" t="s">
        <v>257</v>
      </c>
      <c r="D928" s="108" t="s">
        <v>213</v>
      </c>
      <c r="E928" s="109"/>
      <c r="F928" s="109">
        <v>566</v>
      </c>
      <c r="G928" s="109">
        <v>2081</v>
      </c>
      <c r="H928" s="110">
        <v>29612.758000000002</v>
      </c>
      <c r="I928" s="110">
        <v>29172.703000000001</v>
      </c>
      <c r="J928" s="110">
        <v>28592.95</v>
      </c>
      <c r="K928" s="110">
        <v>27784.092000000001</v>
      </c>
      <c r="L928" s="110">
        <v>26805.86</v>
      </c>
      <c r="M928" s="110">
        <v>25755.510999999999</v>
      </c>
      <c r="N928" s="110">
        <v>24520.39</v>
      </c>
      <c r="O928" s="110">
        <v>23106.432000000001</v>
      </c>
      <c r="P928" s="110">
        <v>21469.572</v>
      </c>
      <c r="Q928" s="110">
        <v>19587.627</v>
      </c>
      <c r="R928" s="110">
        <v>17515.343000000001</v>
      </c>
      <c r="S928" s="110">
        <v>15330.955</v>
      </c>
      <c r="T928" s="110">
        <v>13079.989</v>
      </c>
      <c r="U928" s="110">
        <v>10685.742</v>
      </c>
      <c r="V928" s="110">
        <v>7890.1540000000005</v>
      </c>
      <c r="W928" s="110">
        <v>5033.6409999999996</v>
      </c>
      <c r="X928" s="110">
        <v>2547.1190000000001</v>
      </c>
      <c r="Y928" s="110">
        <v>935.721</v>
      </c>
      <c r="Z928" s="110">
        <v>220.77500000000001</v>
      </c>
      <c r="AA928" s="110">
        <v>26.67</v>
      </c>
      <c r="AB928" s="110">
        <v>1.3380000000000001</v>
      </c>
      <c r="AC928" s="115">
        <f t="shared" si="42"/>
        <v>169029.48400000003</v>
      </c>
      <c r="AD928">
        <f t="shared" si="43"/>
        <v>1.0103310203717559</v>
      </c>
    </row>
    <row r="929" spans="1:30" x14ac:dyDescent="0.25">
      <c r="A929" s="104" t="str">
        <f t="shared" si="41"/>
        <v>Nigeria2082</v>
      </c>
      <c r="C929" s="107" t="s">
        <v>257</v>
      </c>
      <c r="D929" s="108" t="s">
        <v>213</v>
      </c>
      <c r="E929" s="109"/>
      <c r="F929" s="109">
        <v>566</v>
      </c>
      <c r="G929" s="109">
        <v>2082</v>
      </c>
      <c r="H929" s="110">
        <v>29659.731</v>
      </c>
      <c r="I929" s="110">
        <v>29257.478999999999</v>
      </c>
      <c r="J929" s="110">
        <v>28715.691999999999</v>
      </c>
      <c r="K929" s="110">
        <v>27949.137999999999</v>
      </c>
      <c r="L929" s="110">
        <v>26989.203000000001</v>
      </c>
      <c r="M929" s="110">
        <v>25949.737000000001</v>
      </c>
      <c r="N929" s="110">
        <v>24756.656999999999</v>
      </c>
      <c r="O929" s="110">
        <v>23370.856</v>
      </c>
      <c r="P929" s="110">
        <v>21774.19</v>
      </c>
      <c r="Q929" s="110">
        <v>19925.393</v>
      </c>
      <c r="R929" s="110">
        <v>17863.471000000001</v>
      </c>
      <c r="S929" s="110">
        <v>15663.545</v>
      </c>
      <c r="T929" s="110">
        <v>13374.107</v>
      </c>
      <c r="U929" s="110">
        <v>10950.021000000001</v>
      </c>
      <c r="V929" s="110">
        <v>8160.6109999999999</v>
      </c>
      <c r="W929" s="110">
        <v>5236.3130000000001</v>
      </c>
      <c r="X929" s="110">
        <v>2691.357</v>
      </c>
      <c r="Y929" s="110">
        <v>1005.894</v>
      </c>
      <c r="Z929" s="110">
        <v>248.07</v>
      </c>
      <c r="AA929" s="110">
        <v>35.822000000000003</v>
      </c>
      <c r="AB929" s="110">
        <v>1.468</v>
      </c>
      <c r="AC929" s="115">
        <f t="shared" si="42"/>
        <v>170715.17400000003</v>
      </c>
      <c r="AD929">
        <f t="shared" si="43"/>
        <v>1.0099727571788599</v>
      </c>
    </row>
    <row r="930" spans="1:30" x14ac:dyDescent="0.25">
      <c r="A930" s="104" t="str">
        <f t="shared" si="41"/>
        <v>Nigeria2083</v>
      </c>
      <c r="C930" s="107" t="s">
        <v>257</v>
      </c>
      <c r="D930" s="108" t="s">
        <v>213</v>
      </c>
      <c r="E930" s="109"/>
      <c r="F930" s="109">
        <v>566</v>
      </c>
      <c r="G930" s="109">
        <v>2083</v>
      </c>
      <c r="H930" s="110">
        <v>29694.248</v>
      </c>
      <c r="I930" s="110">
        <v>29330.32</v>
      </c>
      <c r="J930" s="110">
        <v>28826.378000000001</v>
      </c>
      <c r="K930" s="110">
        <v>28107.315999999999</v>
      </c>
      <c r="L930" s="110">
        <v>27169.23</v>
      </c>
      <c r="M930" s="110">
        <v>26135.174999999999</v>
      </c>
      <c r="N930" s="110">
        <v>24984.923999999999</v>
      </c>
      <c r="O930" s="110">
        <v>23627.245999999999</v>
      </c>
      <c r="P930" s="110">
        <v>22070.339</v>
      </c>
      <c r="Q930" s="110">
        <v>20259.858</v>
      </c>
      <c r="R930" s="110">
        <v>18214.732</v>
      </c>
      <c r="S930" s="110">
        <v>16007.78</v>
      </c>
      <c r="T930" s="110">
        <v>13687.217000000001</v>
      </c>
      <c r="U930" s="110">
        <v>11227.197</v>
      </c>
      <c r="V930" s="110">
        <v>8452.07</v>
      </c>
      <c r="W930" s="110">
        <v>5455.1679999999997</v>
      </c>
      <c r="X930" s="110">
        <v>2831.34</v>
      </c>
      <c r="Y930" s="110">
        <v>1055.578</v>
      </c>
      <c r="Z930" s="110">
        <v>267.125</v>
      </c>
      <c r="AA930" s="110">
        <v>42.825000000000003</v>
      </c>
      <c r="AB930" s="110">
        <v>1.61</v>
      </c>
      <c r="AC930" s="115">
        <f t="shared" si="42"/>
        <v>172354.08800000002</v>
      </c>
      <c r="AD930">
        <f t="shared" si="43"/>
        <v>1.0096002831007862</v>
      </c>
    </row>
    <row r="931" spans="1:30" x14ac:dyDescent="0.25">
      <c r="A931" s="104" t="str">
        <f t="shared" si="41"/>
        <v>Nigeria2084</v>
      </c>
      <c r="C931" s="107" t="s">
        <v>257</v>
      </c>
      <c r="D931" s="108" t="s">
        <v>213</v>
      </c>
      <c r="E931" s="109"/>
      <c r="F931" s="109">
        <v>566</v>
      </c>
      <c r="G931" s="109">
        <v>2084</v>
      </c>
      <c r="H931" s="110">
        <v>29721.262999999999</v>
      </c>
      <c r="I931" s="110">
        <v>29390.373</v>
      </c>
      <c r="J931" s="110">
        <v>28925.441999999999</v>
      </c>
      <c r="K931" s="110">
        <v>28255.74</v>
      </c>
      <c r="L931" s="110">
        <v>27344.004000000001</v>
      </c>
      <c r="M931" s="110">
        <v>26315.582999999999</v>
      </c>
      <c r="N931" s="110">
        <v>25202.569</v>
      </c>
      <c r="O931" s="110">
        <v>23876.328000000001</v>
      </c>
      <c r="P931" s="110">
        <v>22357.584999999999</v>
      </c>
      <c r="Q931" s="110">
        <v>20588.774000000001</v>
      </c>
      <c r="R931" s="110">
        <v>18566.650000000001</v>
      </c>
      <c r="S931" s="110">
        <v>16360.312</v>
      </c>
      <c r="T931" s="110">
        <v>14017.521000000001</v>
      </c>
      <c r="U931" s="110">
        <v>11523.825000000001</v>
      </c>
      <c r="V931" s="110">
        <v>8758.7610000000004</v>
      </c>
      <c r="W931" s="110">
        <v>5696.1260000000002</v>
      </c>
      <c r="X931" s="110">
        <v>2970.0259999999998</v>
      </c>
      <c r="Y931" s="110">
        <v>1095.5419999999999</v>
      </c>
      <c r="Z931" s="110">
        <v>270.14</v>
      </c>
      <c r="AA931" s="110">
        <v>42.652999999999999</v>
      </c>
      <c r="AB931" s="110">
        <v>1.766</v>
      </c>
      <c r="AC931" s="115">
        <f t="shared" si="42"/>
        <v>173940.58300000001</v>
      </c>
      <c r="AD931">
        <f t="shared" si="43"/>
        <v>1.0092048585467841</v>
      </c>
    </row>
    <row r="932" spans="1:30" x14ac:dyDescent="0.25">
      <c r="A932" s="104" t="str">
        <f t="shared" si="41"/>
        <v>Nigeria2085</v>
      </c>
      <c r="C932" s="107" t="s">
        <v>257</v>
      </c>
      <c r="D932" s="108" t="s">
        <v>213</v>
      </c>
      <c r="E932" s="109"/>
      <c r="F932" s="109">
        <v>566</v>
      </c>
      <c r="G932" s="109">
        <v>2085</v>
      </c>
      <c r="H932" s="110">
        <v>29744.955999999998</v>
      </c>
      <c r="I932" s="110">
        <v>29436.925999999999</v>
      </c>
      <c r="J932" s="110">
        <v>29012.828000000001</v>
      </c>
      <c r="K932" s="110">
        <v>28391.920999999998</v>
      </c>
      <c r="L932" s="110">
        <v>27512.274000000001</v>
      </c>
      <c r="M932" s="110">
        <v>26493.423999999999</v>
      </c>
      <c r="N932" s="110">
        <v>25408.246999999999</v>
      </c>
      <c r="O932" s="110">
        <v>24118.095000000001</v>
      </c>
      <c r="P932" s="110">
        <v>22635.829000000002</v>
      </c>
      <c r="Q932" s="110">
        <v>20910.114000000001</v>
      </c>
      <c r="R932" s="110">
        <v>18917.236000000001</v>
      </c>
      <c r="S932" s="110">
        <v>16718.646000000001</v>
      </c>
      <c r="T932" s="110">
        <v>14362.817999999999</v>
      </c>
      <c r="U932" s="110">
        <v>11843.031999999999</v>
      </c>
      <c r="V932" s="110">
        <v>9076.4470000000001</v>
      </c>
      <c r="W932" s="110">
        <v>5961.6120000000001</v>
      </c>
      <c r="X932" s="110">
        <v>3114.83</v>
      </c>
      <c r="Y932" s="110">
        <v>1131.039</v>
      </c>
      <c r="Z932" s="110">
        <v>253.792</v>
      </c>
      <c r="AA932" s="110">
        <v>31.271999999999998</v>
      </c>
      <c r="AB932" s="110">
        <v>1.9350000000000001</v>
      </c>
      <c r="AC932" s="115">
        <f t="shared" si="42"/>
        <v>175469.90400000001</v>
      </c>
      <c r="AD932">
        <f t="shared" si="43"/>
        <v>1.0087922034847958</v>
      </c>
    </row>
    <row r="933" spans="1:30" x14ac:dyDescent="0.25">
      <c r="A933" s="104" t="str">
        <f t="shared" si="41"/>
        <v>Nigeria2086</v>
      </c>
      <c r="C933" s="107" t="s">
        <v>257</v>
      </c>
      <c r="D933" s="108" t="s">
        <v>213</v>
      </c>
      <c r="E933" s="109"/>
      <c r="F933" s="109">
        <v>566</v>
      </c>
      <c r="G933" s="109">
        <v>2086</v>
      </c>
      <c r="H933" s="110">
        <v>29784.702000000001</v>
      </c>
      <c r="I933" s="110">
        <v>29499.576000000001</v>
      </c>
      <c r="J933" s="110">
        <v>29106.460999999999</v>
      </c>
      <c r="K933" s="110">
        <v>28526.161</v>
      </c>
      <c r="L933" s="110">
        <v>27685.883000000002</v>
      </c>
      <c r="M933" s="110">
        <v>26681.572</v>
      </c>
      <c r="N933" s="110">
        <v>25614.848000000002</v>
      </c>
      <c r="O933" s="110">
        <v>24360.004000000001</v>
      </c>
      <c r="P933" s="110">
        <v>22908.999</v>
      </c>
      <c r="Q933" s="110">
        <v>21219.054</v>
      </c>
      <c r="R933" s="110">
        <v>19251.921999999999</v>
      </c>
      <c r="S933" s="110">
        <v>17051.877</v>
      </c>
      <c r="T933" s="110">
        <v>14664.596</v>
      </c>
      <c r="U933" s="110">
        <v>12100.008</v>
      </c>
      <c r="V933" s="110">
        <v>9308.4069999999992</v>
      </c>
      <c r="W933" s="110">
        <v>6182.7420000000002</v>
      </c>
      <c r="X933" s="110">
        <v>3291.125</v>
      </c>
      <c r="Y933" s="110">
        <v>1253.569</v>
      </c>
      <c r="Z933" s="110">
        <v>303.04199999999997</v>
      </c>
      <c r="AA933" s="110">
        <v>38.591999999999999</v>
      </c>
      <c r="AB933" s="110">
        <v>2.1219999999999999</v>
      </c>
      <c r="AC933" s="115">
        <f t="shared" si="42"/>
        <v>176996.52100000001</v>
      </c>
      <c r="AD933">
        <f t="shared" si="43"/>
        <v>1.0087001643313147</v>
      </c>
    </row>
    <row r="934" spans="1:30" x14ac:dyDescent="0.25">
      <c r="A934" s="104" t="str">
        <f t="shared" si="41"/>
        <v>Nigeria2087</v>
      </c>
      <c r="C934" s="107" t="s">
        <v>257</v>
      </c>
      <c r="D934" s="108" t="s">
        <v>213</v>
      </c>
      <c r="E934" s="109"/>
      <c r="F934" s="109">
        <v>566</v>
      </c>
      <c r="G934" s="109">
        <v>2087</v>
      </c>
      <c r="H934" s="110">
        <v>29817.774000000001</v>
      </c>
      <c r="I934" s="110">
        <v>29551.428</v>
      </c>
      <c r="J934" s="110">
        <v>29190.184000000001</v>
      </c>
      <c r="K934" s="110">
        <v>28648.094000000001</v>
      </c>
      <c r="L934" s="110">
        <v>27852.780999999999</v>
      </c>
      <c r="M934" s="110">
        <v>26866.432000000001</v>
      </c>
      <c r="N934" s="110">
        <v>25810.181</v>
      </c>
      <c r="O934" s="110">
        <v>24596.036</v>
      </c>
      <c r="P934" s="110">
        <v>23173.966</v>
      </c>
      <c r="Q934" s="110">
        <v>21521.841</v>
      </c>
      <c r="R934" s="110">
        <v>19587.302</v>
      </c>
      <c r="S934" s="110">
        <v>17394.916000000001</v>
      </c>
      <c r="T934" s="110">
        <v>14987.076999999999</v>
      </c>
      <c r="U934" s="110">
        <v>12381.543</v>
      </c>
      <c r="V934" s="110">
        <v>9551.5619999999999</v>
      </c>
      <c r="W934" s="110">
        <v>6416.7849999999999</v>
      </c>
      <c r="X934" s="110">
        <v>3457.096</v>
      </c>
      <c r="Y934" s="110">
        <v>1354.2439999999999</v>
      </c>
      <c r="Z934" s="110">
        <v>340.2</v>
      </c>
      <c r="AA934" s="110">
        <v>51.064</v>
      </c>
      <c r="AB934" s="110">
        <v>2.3279999999999998</v>
      </c>
      <c r="AC934" s="115">
        <f t="shared" si="42"/>
        <v>178469.33100000001</v>
      </c>
      <c r="AD934">
        <f t="shared" si="43"/>
        <v>1.0083211240067256</v>
      </c>
    </row>
    <row r="935" spans="1:30" x14ac:dyDescent="0.25">
      <c r="A935" s="104" t="str">
        <f t="shared" si="41"/>
        <v>Nigeria2088</v>
      </c>
      <c r="C935" s="107" t="s">
        <v>257</v>
      </c>
      <c r="D935" s="108" t="s">
        <v>213</v>
      </c>
      <c r="E935" s="109"/>
      <c r="F935" s="109">
        <v>566</v>
      </c>
      <c r="G935" s="109">
        <v>2088</v>
      </c>
      <c r="H935" s="110">
        <v>29843.302</v>
      </c>
      <c r="I935" s="110">
        <v>29592.09</v>
      </c>
      <c r="J935" s="110">
        <v>29263.692999999999</v>
      </c>
      <c r="K935" s="110">
        <v>28758.694</v>
      </c>
      <c r="L935" s="110">
        <v>28011.276999999998</v>
      </c>
      <c r="M935" s="110">
        <v>27046.986000000001</v>
      </c>
      <c r="N935" s="110">
        <v>25996.375</v>
      </c>
      <c r="O935" s="110">
        <v>24824.831999999999</v>
      </c>
      <c r="P935" s="110">
        <v>23430.73</v>
      </c>
      <c r="Q935" s="110">
        <v>21817.923999999999</v>
      </c>
      <c r="R935" s="110">
        <v>19920.914000000001</v>
      </c>
      <c r="S935" s="110">
        <v>17744.286</v>
      </c>
      <c r="T935" s="110">
        <v>15327.364</v>
      </c>
      <c r="U935" s="110">
        <v>12686.41</v>
      </c>
      <c r="V935" s="110">
        <v>9813.4140000000007</v>
      </c>
      <c r="W935" s="110">
        <v>6668.4409999999998</v>
      </c>
      <c r="X935" s="110">
        <v>3619.7510000000002</v>
      </c>
      <c r="Y935" s="110">
        <v>1429.2429999999999</v>
      </c>
      <c r="Z935" s="110">
        <v>367.75200000000001</v>
      </c>
      <c r="AA935" s="110">
        <v>60.796999999999997</v>
      </c>
      <c r="AB935" s="110">
        <v>2.5539999999999998</v>
      </c>
      <c r="AC935" s="115">
        <f t="shared" si="42"/>
        <v>179886.818</v>
      </c>
      <c r="AD935">
        <f t="shared" si="43"/>
        <v>1.0079424682776448</v>
      </c>
    </row>
    <row r="936" spans="1:30" x14ac:dyDescent="0.25">
      <c r="A936" s="104" t="str">
        <f t="shared" si="41"/>
        <v>Nigeria2089</v>
      </c>
      <c r="C936" s="107" t="s">
        <v>257</v>
      </c>
      <c r="D936" s="108" t="s">
        <v>213</v>
      </c>
      <c r="E936" s="109"/>
      <c r="F936" s="109">
        <v>566</v>
      </c>
      <c r="G936" s="109">
        <v>2089</v>
      </c>
      <c r="H936" s="110">
        <v>29858.43</v>
      </c>
      <c r="I936" s="110">
        <v>29621.919000000002</v>
      </c>
      <c r="J936" s="110">
        <v>29326.544000000002</v>
      </c>
      <c r="K936" s="110">
        <v>28859.24</v>
      </c>
      <c r="L936" s="110">
        <v>28159.09</v>
      </c>
      <c r="M936" s="110">
        <v>27221.65</v>
      </c>
      <c r="N936" s="110">
        <v>26177.325000000001</v>
      </c>
      <c r="O936" s="110">
        <v>25043.975999999999</v>
      </c>
      <c r="P936" s="110">
        <v>23680.152999999998</v>
      </c>
      <c r="Q936" s="110">
        <v>22106.89</v>
      </c>
      <c r="R936" s="110">
        <v>20250.36</v>
      </c>
      <c r="S936" s="110">
        <v>18097.227999999999</v>
      </c>
      <c r="T936" s="110">
        <v>15682.153</v>
      </c>
      <c r="U936" s="110">
        <v>13014.013000000001</v>
      </c>
      <c r="V936" s="110">
        <v>10101.388000000001</v>
      </c>
      <c r="W936" s="110">
        <v>6935.6030000000001</v>
      </c>
      <c r="X936" s="110">
        <v>3785.9639999999999</v>
      </c>
      <c r="Y936" s="110">
        <v>1491.203</v>
      </c>
      <c r="Z936" s="110">
        <v>376.43700000000001</v>
      </c>
      <c r="AA936" s="110">
        <v>61.188000000000002</v>
      </c>
      <c r="AB936" s="110">
        <v>2.8029999999999999</v>
      </c>
      <c r="AC936" s="115">
        <f t="shared" si="42"/>
        <v>181248.32400000002</v>
      </c>
      <c r="AD936">
        <f t="shared" si="43"/>
        <v>1.0075686813249429</v>
      </c>
    </row>
    <row r="937" spans="1:30" x14ac:dyDescent="0.25">
      <c r="A937" s="104" t="str">
        <f t="shared" si="41"/>
        <v>Nigeria2090</v>
      </c>
      <c r="C937" s="107" t="s">
        <v>257</v>
      </c>
      <c r="D937" s="108" t="s">
        <v>213</v>
      </c>
      <c r="E937" s="109"/>
      <c r="F937" s="109">
        <v>566</v>
      </c>
      <c r="G937" s="109">
        <v>2090</v>
      </c>
      <c r="H937" s="110">
        <v>29862.131000000001</v>
      </c>
      <c r="I937" s="110">
        <v>29641.580999999998</v>
      </c>
      <c r="J937" s="110">
        <v>29377.956999999999</v>
      </c>
      <c r="K937" s="110">
        <v>28949.996999999999</v>
      </c>
      <c r="L937" s="110">
        <v>28294.822</v>
      </c>
      <c r="M937" s="110">
        <v>27389.280999999999</v>
      </c>
      <c r="N937" s="110">
        <v>26355.493999999999</v>
      </c>
      <c r="O937" s="110">
        <v>25251.703000000001</v>
      </c>
      <c r="P937" s="110">
        <v>23922.835999999999</v>
      </c>
      <c r="Q937" s="110">
        <v>22388</v>
      </c>
      <c r="R937" s="110">
        <v>20573.830000000002</v>
      </c>
      <c r="S937" s="110">
        <v>18451.57</v>
      </c>
      <c r="T937" s="110">
        <v>16047.948</v>
      </c>
      <c r="U937" s="110">
        <v>13363.424000000001</v>
      </c>
      <c r="V937" s="110">
        <v>10418.014999999999</v>
      </c>
      <c r="W937" s="110">
        <v>7216.5020000000004</v>
      </c>
      <c r="X937" s="110">
        <v>3964.2339999999999</v>
      </c>
      <c r="Y937" s="110">
        <v>1546.078</v>
      </c>
      <c r="Z937" s="110">
        <v>364.51100000000002</v>
      </c>
      <c r="AA937" s="110">
        <v>46.981999999999999</v>
      </c>
      <c r="AB937" s="110">
        <v>3.077</v>
      </c>
      <c r="AC937" s="115">
        <f t="shared" si="42"/>
        <v>182552.13300000003</v>
      </c>
      <c r="AD937">
        <f t="shared" si="43"/>
        <v>1.0071934954830259</v>
      </c>
    </row>
    <row r="938" spans="1:30" x14ac:dyDescent="0.25">
      <c r="A938" s="104" t="str">
        <f t="shared" si="41"/>
        <v>Nigeria2091</v>
      </c>
      <c r="C938" s="107" t="s">
        <v>257</v>
      </c>
      <c r="D938" s="108" t="s">
        <v>213</v>
      </c>
      <c r="E938" s="109"/>
      <c r="F938" s="109">
        <v>566</v>
      </c>
      <c r="G938" s="109">
        <v>2091</v>
      </c>
      <c r="H938" s="110">
        <v>29887.329000000002</v>
      </c>
      <c r="I938" s="110">
        <v>29680.871999999999</v>
      </c>
      <c r="J938" s="110">
        <v>29436.276999999998</v>
      </c>
      <c r="K938" s="110">
        <v>29041.759999999998</v>
      </c>
      <c r="L938" s="110">
        <v>28430.61</v>
      </c>
      <c r="M938" s="110">
        <v>27563.967000000001</v>
      </c>
      <c r="N938" s="110">
        <v>26543.391</v>
      </c>
      <c r="O938" s="110">
        <v>25456.472000000002</v>
      </c>
      <c r="P938" s="110">
        <v>24163.659</v>
      </c>
      <c r="Q938" s="110">
        <v>22657.136999999999</v>
      </c>
      <c r="R938" s="110">
        <v>20877.511999999999</v>
      </c>
      <c r="S938" s="110">
        <v>18776.171999999999</v>
      </c>
      <c r="T938" s="110">
        <v>16363.391</v>
      </c>
      <c r="U938" s="110">
        <v>13645.011</v>
      </c>
      <c r="V938" s="110">
        <v>10651.725</v>
      </c>
      <c r="W938" s="110">
        <v>7423.8609999999999</v>
      </c>
      <c r="X938" s="110">
        <v>4164.7569999999996</v>
      </c>
      <c r="Y938" s="110">
        <v>1694.1769999999999</v>
      </c>
      <c r="Z938" s="110">
        <v>434.91699999999997</v>
      </c>
      <c r="AA938" s="110">
        <v>57.738</v>
      </c>
      <c r="AB938" s="110">
        <v>3.3820000000000001</v>
      </c>
      <c r="AC938" s="115">
        <f t="shared" si="42"/>
        <v>183856.99599999998</v>
      </c>
      <c r="AD938">
        <f t="shared" si="43"/>
        <v>1.0071478923776802</v>
      </c>
    </row>
    <row r="939" spans="1:30" x14ac:dyDescent="0.25">
      <c r="A939" s="104" t="str">
        <f t="shared" si="41"/>
        <v>Nigeria2092</v>
      </c>
      <c r="C939" s="107" t="s">
        <v>257</v>
      </c>
      <c r="D939" s="108" t="s">
        <v>213</v>
      </c>
      <c r="E939" s="109"/>
      <c r="F939" s="109">
        <v>566</v>
      </c>
      <c r="G939" s="109">
        <v>2092</v>
      </c>
      <c r="H939" s="110">
        <v>29889.039000000001</v>
      </c>
      <c r="I939" s="110">
        <v>29715.352999999999</v>
      </c>
      <c r="J939" s="110">
        <v>29485.919999999998</v>
      </c>
      <c r="K939" s="110">
        <v>29124.724999999999</v>
      </c>
      <c r="L939" s="110">
        <v>28554.061000000002</v>
      </c>
      <c r="M939" s="110">
        <v>27732.263999999999</v>
      </c>
      <c r="N939" s="110">
        <v>26729.072</v>
      </c>
      <c r="O939" s="110">
        <v>25651.441999999999</v>
      </c>
      <c r="P939" s="110">
        <v>24400.162</v>
      </c>
      <c r="Q939" s="110">
        <v>22920.518</v>
      </c>
      <c r="R939" s="110">
        <v>21178.327000000001</v>
      </c>
      <c r="S939" s="110">
        <v>19106.862000000001</v>
      </c>
      <c r="T939" s="110">
        <v>16695.861000000001</v>
      </c>
      <c r="U939" s="110">
        <v>13953.308999999999</v>
      </c>
      <c r="V939" s="110">
        <v>10911.391</v>
      </c>
      <c r="W939" s="110">
        <v>7636.7539999999999</v>
      </c>
      <c r="X939" s="110">
        <v>4358.4250000000002</v>
      </c>
      <c r="Y939" s="110">
        <v>1814.1949999999999</v>
      </c>
      <c r="Z939" s="110">
        <v>487.80900000000003</v>
      </c>
      <c r="AA939" s="110">
        <v>75.72</v>
      </c>
      <c r="AB939" s="110">
        <v>3.72</v>
      </c>
      <c r="AC939" s="115">
        <f t="shared" si="42"/>
        <v>185112.24400000004</v>
      </c>
      <c r="AD939">
        <f t="shared" si="43"/>
        <v>1.0068273061526583</v>
      </c>
    </row>
    <row r="940" spans="1:30" x14ac:dyDescent="0.25">
      <c r="A940" s="104" t="str">
        <f t="shared" si="41"/>
        <v>Nigeria2093</v>
      </c>
      <c r="C940" s="107" t="s">
        <v>257</v>
      </c>
      <c r="D940" s="108" t="s">
        <v>213</v>
      </c>
      <c r="E940" s="109"/>
      <c r="F940" s="109">
        <v>566</v>
      </c>
      <c r="G940" s="109">
        <v>2093</v>
      </c>
      <c r="H940" s="110">
        <v>29872.053</v>
      </c>
      <c r="I940" s="110">
        <v>29743.738000000001</v>
      </c>
      <c r="J940" s="110">
        <v>29526.807000000001</v>
      </c>
      <c r="K940" s="110">
        <v>29198.948</v>
      </c>
      <c r="L940" s="110">
        <v>28665.633000000002</v>
      </c>
      <c r="M940" s="110">
        <v>27892.056</v>
      </c>
      <c r="N940" s="110">
        <v>26910.941999999999</v>
      </c>
      <c r="O940" s="110">
        <v>25838.877</v>
      </c>
      <c r="P940" s="110">
        <v>24629.984</v>
      </c>
      <c r="Q940" s="110">
        <v>23178.168000000001</v>
      </c>
      <c r="R940" s="110">
        <v>21474.708999999999</v>
      </c>
      <c r="S940" s="110">
        <v>19439.72</v>
      </c>
      <c r="T940" s="110">
        <v>17042.184000000001</v>
      </c>
      <c r="U940" s="110">
        <v>14285.281000000001</v>
      </c>
      <c r="V940" s="110">
        <v>11199.341</v>
      </c>
      <c r="W940" s="110">
        <v>7868.9679999999998</v>
      </c>
      <c r="X940" s="110">
        <v>4549.6660000000002</v>
      </c>
      <c r="Y940" s="110">
        <v>1903.923</v>
      </c>
      <c r="Z940" s="110">
        <v>526.89599999999996</v>
      </c>
      <c r="AA940" s="110">
        <v>89.95</v>
      </c>
      <c r="AB940" s="110">
        <v>4.0970000000000004</v>
      </c>
      <c r="AC940" s="115">
        <f t="shared" si="42"/>
        <v>186314.60800000001</v>
      </c>
      <c r="AD940">
        <f t="shared" si="43"/>
        <v>1.0064953239938033</v>
      </c>
    </row>
    <row r="941" spans="1:30" x14ac:dyDescent="0.25">
      <c r="A941" s="104" t="str">
        <f t="shared" si="41"/>
        <v>Nigeria2094</v>
      </c>
      <c r="C941" s="107" t="s">
        <v>257</v>
      </c>
      <c r="D941" s="108" t="s">
        <v>213</v>
      </c>
      <c r="E941" s="109"/>
      <c r="F941" s="109">
        <v>566</v>
      </c>
      <c r="G941" s="109">
        <v>2094</v>
      </c>
      <c r="H941" s="110">
        <v>29843.723999999998</v>
      </c>
      <c r="I941" s="110">
        <v>29762.566999999999</v>
      </c>
      <c r="J941" s="110">
        <v>29560.032999999999</v>
      </c>
      <c r="K941" s="110">
        <v>29263.788</v>
      </c>
      <c r="L941" s="110">
        <v>28766.34</v>
      </c>
      <c r="M941" s="110">
        <v>28040.518</v>
      </c>
      <c r="N941" s="110">
        <v>27086.769</v>
      </c>
      <c r="O941" s="110">
        <v>26022.062999999998</v>
      </c>
      <c r="P941" s="110">
        <v>24850.138999999999</v>
      </c>
      <c r="Q941" s="110">
        <v>23430.257000000001</v>
      </c>
      <c r="R941" s="110">
        <v>21765.418000000001</v>
      </c>
      <c r="S941" s="110">
        <v>19771.413</v>
      </c>
      <c r="T941" s="110">
        <v>17398.915000000001</v>
      </c>
      <c r="U941" s="110">
        <v>14638.099</v>
      </c>
      <c r="V941" s="110">
        <v>11517.226000000001</v>
      </c>
      <c r="W941" s="110">
        <v>8129.1</v>
      </c>
      <c r="X941" s="110">
        <v>4739.5209999999997</v>
      </c>
      <c r="Y941" s="110">
        <v>1981.931</v>
      </c>
      <c r="Z941" s="110">
        <v>541.15599999999995</v>
      </c>
      <c r="AA941" s="110">
        <v>91.397000000000006</v>
      </c>
      <c r="AB941" s="110">
        <v>4.5199999999999996</v>
      </c>
      <c r="AC941" s="115">
        <f t="shared" si="42"/>
        <v>187459.87400000001</v>
      </c>
      <c r="AD941">
        <f t="shared" si="43"/>
        <v>1.0061469468888882</v>
      </c>
    </row>
    <row r="942" spans="1:30" x14ac:dyDescent="0.25">
      <c r="A942" s="104" t="str">
        <f t="shared" si="41"/>
        <v>Nigeria2095</v>
      </c>
      <c r="C942" s="107" t="s">
        <v>257</v>
      </c>
      <c r="D942" s="108" t="s">
        <v>213</v>
      </c>
      <c r="E942" s="109"/>
      <c r="F942" s="109">
        <v>566</v>
      </c>
      <c r="G942" s="109">
        <v>2095</v>
      </c>
      <c r="H942" s="110">
        <v>29811.151999999998</v>
      </c>
      <c r="I942" s="110">
        <v>29766.942999999999</v>
      </c>
      <c r="J942" s="110">
        <v>29586.838</v>
      </c>
      <c r="K942" s="110">
        <v>29318.516</v>
      </c>
      <c r="L942" s="110">
        <v>28857.023000000001</v>
      </c>
      <c r="M942" s="110">
        <v>28175.94</v>
      </c>
      <c r="N942" s="110">
        <v>27255.006000000001</v>
      </c>
      <c r="O942" s="110">
        <v>26202.611000000001</v>
      </c>
      <c r="P942" s="110">
        <v>25059.119999999999</v>
      </c>
      <c r="Q942" s="110">
        <v>23676.362000000001</v>
      </c>
      <c r="R942" s="110">
        <v>22049.544999999998</v>
      </c>
      <c r="S942" s="110">
        <v>20099.662</v>
      </c>
      <c r="T942" s="110">
        <v>17762.330999999998</v>
      </c>
      <c r="U942" s="110">
        <v>15009.165999999999</v>
      </c>
      <c r="V942" s="110">
        <v>11864.656999999999</v>
      </c>
      <c r="W942" s="110">
        <v>8419.5259999999998</v>
      </c>
      <c r="X942" s="110">
        <v>4933.9219999999996</v>
      </c>
      <c r="Y942" s="110">
        <v>2056.1289999999999</v>
      </c>
      <c r="Z942" s="110">
        <v>530.89200000000005</v>
      </c>
      <c r="AA942" s="110">
        <v>73.054000000000002</v>
      </c>
      <c r="AB942" s="110">
        <v>4.9939999999999998</v>
      </c>
      <c r="AC942" s="115">
        <f t="shared" si="42"/>
        <v>188544.57800000001</v>
      </c>
      <c r="AD942">
        <f t="shared" si="43"/>
        <v>1.0057863263046896</v>
      </c>
    </row>
    <row r="943" spans="1:30" x14ac:dyDescent="0.25">
      <c r="A943" s="104" t="str">
        <f t="shared" si="41"/>
        <v>Nigeria2096</v>
      </c>
      <c r="C943" s="107" t="s">
        <v>257</v>
      </c>
      <c r="D943" s="108" t="s">
        <v>213</v>
      </c>
      <c r="E943" s="109"/>
      <c r="F943" s="109">
        <v>566</v>
      </c>
      <c r="G943" s="109">
        <v>2096</v>
      </c>
      <c r="H943" s="110">
        <v>29789.593000000001</v>
      </c>
      <c r="I943" s="110">
        <v>29784.428</v>
      </c>
      <c r="J943" s="110">
        <v>29626.788</v>
      </c>
      <c r="K943" s="110">
        <v>29376.288</v>
      </c>
      <c r="L943" s="110">
        <v>28951.739000000001</v>
      </c>
      <c r="M943" s="110">
        <v>28314.263999999999</v>
      </c>
      <c r="N943" s="110">
        <v>27430.906999999999</v>
      </c>
      <c r="O943" s="110">
        <v>26390.192999999999</v>
      </c>
      <c r="P943" s="110">
        <v>25264.43</v>
      </c>
      <c r="Q943" s="110">
        <v>23914.84</v>
      </c>
      <c r="R943" s="110">
        <v>22315.538</v>
      </c>
      <c r="S943" s="110">
        <v>20395.707999999999</v>
      </c>
      <c r="T943" s="110">
        <v>18070.933000000001</v>
      </c>
      <c r="U943" s="110">
        <v>15305.012000000001</v>
      </c>
      <c r="V943" s="110">
        <v>12121.853999999999</v>
      </c>
      <c r="W943" s="110">
        <v>8632.6059999999998</v>
      </c>
      <c r="X943" s="110">
        <v>5130.0460000000003</v>
      </c>
      <c r="Y943" s="110">
        <v>2232.9059999999999</v>
      </c>
      <c r="Z943" s="110">
        <v>623.822</v>
      </c>
      <c r="AA943" s="110">
        <v>89.32</v>
      </c>
      <c r="AB943" s="110">
        <v>5.5289999999999999</v>
      </c>
      <c r="AC943" s="115">
        <f t="shared" si="42"/>
        <v>189642.66099999999</v>
      </c>
      <c r="AD943">
        <f t="shared" si="43"/>
        <v>1.0058239966996028</v>
      </c>
    </row>
    <row r="944" spans="1:30" x14ac:dyDescent="0.25">
      <c r="A944" s="104" t="str">
        <f t="shared" si="41"/>
        <v>Nigeria2097</v>
      </c>
      <c r="C944" s="107" t="s">
        <v>257</v>
      </c>
      <c r="D944" s="108" t="s">
        <v>213</v>
      </c>
      <c r="E944" s="109"/>
      <c r="F944" s="109">
        <v>566</v>
      </c>
      <c r="G944" s="109">
        <v>2097</v>
      </c>
      <c r="H944" s="110">
        <v>29761.49</v>
      </c>
      <c r="I944" s="110">
        <v>29788.822</v>
      </c>
      <c r="J944" s="110">
        <v>29662.118999999999</v>
      </c>
      <c r="K944" s="110">
        <v>29424.655999999999</v>
      </c>
      <c r="L944" s="110">
        <v>29036.350999999999</v>
      </c>
      <c r="M944" s="110">
        <v>28439.295999999998</v>
      </c>
      <c r="N944" s="110">
        <v>27600.260999999999</v>
      </c>
      <c r="O944" s="110">
        <v>26575.756000000001</v>
      </c>
      <c r="P944" s="110">
        <v>25460.406999999999</v>
      </c>
      <c r="Q944" s="110">
        <v>24150.302</v>
      </c>
      <c r="R944" s="110">
        <v>22577.977999999999</v>
      </c>
      <c r="S944" s="110">
        <v>20693.5</v>
      </c>
      <c r="T944" s="110">
        <v>18392.629000000001</v>
      </c>
      <c r="U944" s="110">
        <v>15624.477000000001</v>
      </c>
      <c r="V944" s="110">
        <v>12408.166999999999</v>
      </c>
      <c r="W944" s="110">
        <v>8862.6010000000006</v>
      </c>
      <c r="X944" s="110">
        <v>5313.8109999999997</v>
      </c>
      <c r="Y944" s="110">
        <v>2379.0639999999999</v>
      </c>
      <c r="Z944" s="110">
        <v>690.36099999999999</v>
      </c>
      <c r="AA944" s="110">
        <v>115.758</v>
      </c>
      <c r="AB944" s="110">
        <v>6.1289999999999996</v>
      </c>
      <c r="AC944" s="115">
        <f t="shared" si="42"/>
        <v>190687.02900000001</v>
      </c>
      <c r="AD944">
        <f t="shared" si="43"/>
        <v>1.0055070309311891</v>
      </c>
    </row>
    <row r="945" spans="1:30" x14ac:dyDescent="0.25">
      <c r="A945" s="104" t="str">
        <f t="shared" si="41"/>
        <v>Nigeria2098</v>
      </c>
      <c r="C945" s="107" t="s">
        <v>257</v>
      </c>
      <c r="D945" s="108" t="s">
        <v>213</v>
      </c>
      <c r="E945" s="109"/>
      <c r="F945" s="109">
        <v>566</v>
      </c>
      <c r="G945" s="109">
        <v>2098</v>
      </c>
      <c r="H945" s="110">
        <v>29729.564999999999</v>
      </c>
      <c r="I945" s="110">
        <v>29779.152999999998</v>
      </c>
      <c r="J945" s="110">
        <v>29690.891</v>
      </c>
      <c r="K945" s="110">
        <v>29465.234</v>
      </c>
      <c r="L945" s="110">
        <v>29110.796999999999</v>
      </c>
      <c r="M945" s="110">
        <v>28551.441999999999</v>
      </c>
      <c r="N945" s="110">
        <v>27760.706999999999</v>
      </c>
      <c r="O945" s="110">
        <v>26758.183000000001</v>
      </c>
      <c r="P945" s="110">
        <v>25648.596000000001</v>
      </c>
      <c r="Q945" s="110">
        <v>24380.746999999999</v>
      </c>
      <c r="R945" s="110">
        <v>22836.15</v>
      </c>
      <c r="S945" s="110">
        <v>20990.037</v>
      </c>
      <c r="T945" s="110">
        <v>18723.915000000001</v>
      </c>
      <c r="U945" s="110">
        <v>15964.164000000001</v>
      </c>
      <c r="V945" s="110">
        <v>12723.897999999999</v>
      </c>
      <c r="W945" s="110">
        <v>9120.2109999999993</v>
      </c>
      <c r="X945" s="110">
        <v>5498.893</v>
      </c>
      <c r="Y945" s="110">
        <v>2489.1680000000001</v>
      </c>
      <c r="Z945" s="110">
        <v>738.34299999999996</v>
      </c>
      <c r="AA945" s="110">
        <v>136.696</v>
      </c>
      <c r="AB945" s="110">
        <v>6.8</v>
      </c>
      <c r="AC945" s="115">
        <f t="shared" si="42"/>
        <v>191675.70599999998</v>
      </c>
      <c r="AD945">
        <f t="shared" si="43"/>
        <v>1.0051848151664262</v>
      </c>
    </row>
    <row r="946" spans="1:30" x14ac:dyDescent="0.25">
      <c r="A946" s="104" t="str">
        <f t="shared" si="41"/>
        <v>Nigeria2099</v>
      </c>
      <c r="C946" s="107" t="s">
        <v>257</v>
      </c>
      <c r="D946" s="108" t="s">
        <v>213</v>
      </c>
      <c r="E946" s="109"/>
      <c r="F946" s="109">
        <v>566</v>
      </c>
      <c r="G946" s="109">
        <v>2099</v>
      </c>
      <c r="H946" s="110">
        <v>29691.473999999998</v>
      </c>
      <c r="I946" s="110">
        <v>29756.585999999999</v>
      </c>
      <c r="J946" s="110">
        <v>29709.823</v>
      </c>
      <c r="K946" s="110">
        <v>29500.276000000002</v>
      </c>
      <c r="L946" s="110">
        <v>29175.179</v>
      </c>
      <c r="M946" s="110">
        <v>28652.170999999998</v>
      </c>
      <c r="N946" s="110">
        <v>27909.725999999999</v>
      </c>
      <c r="O946" s="110">
        <v>26935.599999999999</v>
      </c>
      <c r="P946" s="110">
        <v>25832.53</v>
      </c>
      <c r="Q946" s="110">
        <v>24603.363000000001</v>
      </c>
      <c r="R946" s="110">
        <v>23090.159</v>
      </c>
      <c r="S946" s="110">
        <v>21283.773000000001</v>
      </c>
      <c r="T946" s="110">
        <v>19061.269</v>
      </c>
      <c r="U946" s="110">
        <v>16321.339</v>
      </c>
      <c r="V946" s="110">
        <v>13068.75</v>
      </c>
      <c r="W946" s="110">
        <v>9411.0040000000008</v>
      </c>
      <c r="X946" s="110">
        <v>5694.4</v>
      </c>
      <c r="Y946" s="110">
        <v>2582.7379999999998</v>
      </c>
      <c r="Z946" s="110">
        <v>756.72400000000005</v>
      </c>
      <c r="AA946" s="110">
        <v>139.53800000000001</v>
      </c>
      <c r="AB946" s="110">
        <v>7.55</v>
      </c>
      <c r="AC946" s="115">
        <f t="shared" si="42"/>
        <v>192608.845</v>
      </c>
      <c r="AD946">
        <f t="shared" si="43"/>
        <v>1.0048683217058296</v>
      </c>
    </row>
    <row r="947" spans="1:30" x14ac:dyDescent="0.25">
      <c r="A947" s="104" t="str">
        <f t="shared" si="41"/>
        <v>Nigeria2100</v>
      </c>
      <c r="C947" s="107" t="s">
        <v>257</v>
      </c>
      <c r="D947" s="108" t="s">
        <v>213</v>
      </c>
      <c r="E947" s="109"/>
      <c r="F947" s="109">
        <v>566</v>
      </c>
      <c r="G947" s="109">
        <v>2100</v>
      </c>
      <c r="H947" s="110">
        <v>29641.508000000002</v>
      </c>
      <c r="I947" s="110">
        <v>29723.781999999999</v>
      </c>
      <c r="J947" s="110">
        <v>29716.01</v>
      </c>
      <c r="K947" s="110">
        <v>29530.843000000001</v>
      </c>
      <c r="L947" s="110">
        <v>29230.074000000001</v>
      </c>
      <c r="M947" s="110">
        <v>28742.807000000001</v>
      </c>
      <c r="N947" s="110">
        <v>28045.972000000002</v>
      </c>
      <c r="O947" s="110">
        <v>27106.385999999999</v>
      </c>
      <c r="P947" s="110">
        <v>26014.744999999999</v>
      </c>
      <c r="Q947" s="110">
        <v>24816.313999999998</v>
      </c>
      <c r="R947" s="110">
        <v>23340.028999999999</v>
      </c>
      <c r="S947" s="110">
        <v>21573.934000000001</v>
      </c>
      <c r="T947" s="110">
        <v>19401.164000000001</v>
      </c>
      <c r="U947" s="110">
        <v>16693.428</v>
      </c>
      <c r="V947" s="110">
        <v>13441.105</v>
      </c>
      <c r="W947" s="110">
        <v>9735.7819999999992</v>
      </c>
      <c r="X947" s="110">
        <v>5908.2349999999997</v>
      </c>
      <c r="Y947" s="110">
        <v>2667.5749999999998</v>
      </c>
      <c r="Z947" s="110">
        <v>750.05499999999995</v>
      </c>
      <c r="AA947" s="110">
        <v>114.895</v>
      </c>
      <c r="AB947" s="110">
        <v>8.3849999999999998</v>
      </c>
      <c r="AC947" s="115">
        <f t="shared" si="42"/>
        <v>193487.141</v>
      </c>
      <c r="AD947">
        <f t="shared" si="43"/>
        <v>1.004559998270069</v>
      </c>
    </row>
    <row r="948" spans="1:30" x14ac:dyDescent="0.25">
      <c r="A948" s="104" t="str">
        <f t="shared" si="41"/>
        <v>Haiti2015</v>
      </c>
      <c r="C948" s="107" t="s">
        <v>257</v>
      </c>
      <c r="D948" s="108" t="s">
        <v>138</v>
      </c>
      <c r="E948" s="109"/>
      <c r="F948" s="109">
        <v>332</v>
      </c>
      <c r="G948" s="109">
        <v>2015</v>
      </c>
      <c r="H948" s="110">
        <v>606.70699999999999</v>
      </c>
      <c r="I948" s="110">
        <v>595.71299999999997</v>
      </c>
      <c r="J948" s="110">
        <v>573.53399999999999</v>
      </c>
      <c r="K948" s="110">
        <v>554.79100000000005</v>
      </c>
      <c r="L948" s="110">
        <v>522.81799999999998</v>
      </c>
      <c r="M948" s="110">
        <v>486.54500000000002</v>
      </c>
      <c r="N948" s="110">
        <v>440.54199999999997</v>
      </c>
      <c r="O948" s="110">
        <v>340.50599999999997</v>
      </c>
      <c r="P948" s="110">
        <v>269.2</v>
      </c>
      <c r="Q948" s="110">
        <v>238.422</v>
      </c>
      <c r="R948" s="110">
        <v>206.602</v>
      </c>
      <c r="S948" s="110">
        <v>164.92500000000001</v>
      </c>
      <c r="T948" s="110">
        <v>136.69499999999999</v>
      </c>
      <c r="U948" s="110">
        <v>97.941999999999993</v>
      </c>
      <c r="V948" s="110">
        <v>79.236999999999995</v>
      </c>
      <c r="W948" s="110">
        <v>53.808</v>
      </c>
      <c r="X948" s="110">
        <v>28.738</v>
      </c>
      <c r="Y948" s="110">
        <v>11.959</v>
      </c>
      <c r="Z948" s="110">
        <v>3.9</v>
      </c>
      <c r="AA948" s="110">
        <v>0.91600000000000004</v>
      </c>
      <c r="AB948" s="110">
        <v>0.14399999999999999</v>
      </c>
      <c r="AC948" s="115">
        <f t="shared" si="42"/>
        <v>2852.8239999999996</v>
      </c>
      <c r="AD948" t="str">
        <f t="shared" si="43"/>
        <v/>
      </c>
    </row>
    <row r="949" spans="1:30" x14ac:dyDescent="0.25">
      <c r="A949" s="104" t="str">
        <f t="shared" si="41"/>
        <v>Haiti2016</v>
      </c>
      <c r="C949" s="107" t="s">
        <v>257</v>
      </c>
      <c r="D949" s="108" t="s">
        <v>138</v>
      </c>
      <c r="E949" s="109"/>
      <c r="F949" s="109">
        <v>332</v>
      </c>
      <c r="G949" s="109">
        <v>2016</v>
      </c>
      <c r="H949" s="110">
        <v>604.649</v>
      </c>
      <c r="I949" s="110">
        <v>597.28700000000003</v>
      </c>
      <c r="J949" s="110">
        <v>575.58500000000004</v>
      </c>
      <c r="K949" s="110">
        <v>556.6</v>
      </c>
      <c r="L949" s="110">
        <v>525.73099999999999</v>
      </c>
      <c r="M949" s="110">
        <v>489.774</v>
      </c>
      <c r="N949" s="110">
        <v>450.47500000000002</v>
      </c>
      <c r="O949" s="110">
        <v>357.05599999999998</v>
      </c>
      <c r="P949" s="110">
        <v>277.31700000000001</v>
      </c>
      <c r="Q949" s="110">
        <v>241.459</v>
      </c>
      <c r="R949" s="110">
        <v>211.73500000000001</v>
      </c>
      <c r="S949" s="110">
        <v>170.10300000000001</v>
      </c>
      <c r="T949" s="110">
        <v>140.328</v>
      </c>
      <c r="U949" s="110">
        <v>101.486</v>
      </c>
      <c r="V949" s="110">
        <v>79.292000000000002</v>
      </c>
      <c r="W949" s="110">
        <v>55.261000000000003</v>
      </c>
      <c r="X949" s="110">
        <v>30.286000000000001</v>
      </c>
      <c r="Y949" s="110">
        <v>12.928000000000001</v>
      </c>
      <c r="Z949" s="110">
        <v>4.3289999999999997</v>
      </c>
      <c r="AA949" s="110">
        <v>1.016</v>
      </c>
      <c r="AB949" s="110">
        <v>0.157</v>
      </c>
      <c r="AC949" s="115">
        <f t="shared" si="42"/>
        <v>2898.4119999999998</v>
      </c>
      <c r="AD949">
        <f t="shared" si="43"/>
        <v>1.0159799553004323</v>
      </c>
    </row>
    <row r="950" spans="1:30" x14ac:dyDescent="0.25">
      <c r="A950" s="104" t="str">
        <f t="shared" si="41"/>
        <v>Haiti2017</v>
      </c>
      <c r="C950" s="107" t="s">
        <v>257</v>
      </c>
      <c r="D950" s="108" t="s">
        <v>138</v>
      </c>
      <c r="E950" s="109"/>
      <c r="F950" s="109">
        <v>332</v>
      </c>
      <c r="G950" s="109">
        <v>2017</v>
      </c>
      <c r="H950" s="110">
        <v>604.09</v>
      </c>
      <c r="I950" s="110">
        <v>597.52300000000002</v>
      </c>
      <c r="J950" s="110">
        <v>578.23099999999999</v>
      </c>
      <c r="K950" s="110">
        <v>557.65300000000002</v>
      </c>
      <c r="L950" s="110">
        <v>529.01900000000001</v>
      </c>
      <c r="M950" s="110">
        <v>492.72800000000001</v>
      </c>
      <c r="N950" s="110">
        <v>456.67700000000002</v>
      </c>
      <c r="O950" s="110">
        <v>375.10399999999998</v>
      </c>
      <c r="P950" s="110">
        <v>286.91899999999998</v>
      </c>
      <c r="Q950" s="110">
        <v>244.03700000000001</v>
      </c>
      <c r="R950" s="110">
        <v>216.29900000000001</v>
      </c>
      <c r="S950" s="110">
        <v>176.322</v>
      </c>
      <c r="T950" s="110">
        <v>143.05199999999999</v>
      </c>
      <c r="U950" s="110">
        <v>106.551</v>
      </c>
      <c r="V950" s="110">
        <v>78.959999999999994</v>
      </c>
      <c r="W950" s="110">
        <v>56.694000000000003</v>
      </c>
      <c r="X950" s="110">
        <v>31.67</v>
      </c>
      <c r="Y950" s="110">
        <v>13.715999999999999</v>
      </c>
      <c r="Z950" s="110">
        <v>4.6280000000000001</v>
      </c>
      <c r="AA950" s="110">
        <v>1.165</v>
      </c>
      <c r="AB950" s="110">
        <v>0.17</v>
      </c>
      <c r="AC950" s="115">
        <f t="shared" si="42"/>
        <v>2942.1369999999997</v>
      </c>
      <c r="AD950">
        <f t="shared" si="43"/>
        <v>1.0150858470086379</v>
      </c>
    </row>
    <row r="951" spans="1:30" x14ac:dyDescent="0.25">
      <c r="A951" s="104" t="str">
        <f t="shared" si="41"/>
        <v>Haiti2018</v>
      </c>
      <c r="C951" s="107" t="s">
        <v>257</v>
      </c>
      <c r="D951" s="108" t="s">
        <v>138</v>
      </c>
      <c r="E951" s="109"/>
      <c r="F951" s="109">
        <v>332</v>
      </c>
      <c r="G951" s="109">
        <v>2018</v>
      </c>
      <c r="H951" s="110">
        <v>604.56700000000001</v>
      </c>
      <c r="I951" s="110">
        <v>596.36300000000006</v>
      </c>
      <c r="J951" s="110">
        <v>581.30399999999997</v>
      </c>
      <c r="K951" s="110">
        <v>558.28599999999994</v>
      </c>
      <c r="L951" s="110">
        <v>532.64800000000002</v>
      </c>
      <c r="M951" s="110">
        <v>495.52800000000002</v>
      </c>
      <c r="N951" s="110">
        <v>460.19499999999999</v>
      </c>
      <c r="O951" s="110">
        <v>393.19799999999998</v>
      </c>
      <c r="P951" s="110">
        <v>298.072</v>
      </c>
      <c r="Q951" s="110">
        <v>246.84700000000001</v>
      </c>
      <c r="R951" s="110">
        <v>220.327</v>
      </c>
      <c r="S951" s="110">
        <v>183.05799999999999</v>
      </c>
      <c r="T951" s="110">
        <v>145.50800000000001</v>
      </c>
      <c r="U951" s="110">
        <v>112.376</v>
      </c>
      <c r="V951" s="110">
        <v>78.91</v>
      </c>
      <c r="W951" s="110">
        <v>58.045000000000002</v>
      </c>
      <c r="X951" s="110">
        <v>32.863</v>
      </c>
      <c r="Y951" s="110">
        <v>14.311999999999999</v>
      </c>
      <c r="Z951" s="110">
        <v>4.8449999999999998</v>
      </c>
      <c r="AA951" s="110">
        <v>1.2829999999999999</v>
      </c>
      <c r="AB951" s="110">
        <v>0.183</v>
      </c>
      <c r="AC951" s="115">
        <f t="shared" si="42"/>
        <v>2984.7740000000003</v>
      </c>
      <c r="AD951">
        <f t="shared" si="43"/>
        <v>1.0144918472525244</v>
      </c>
    </row>
    <row r="952" spans="1:30" x14ac:dyDescent="0.25">
      <c r="A952" s="104" t="str">
        <f t="shared" si="41"/>
        <v>Haiti2019</v>
      </c>
      <c r="C952" s="107" t="s">
        <v>257</v>
      </c>
      <c r="D952" s="108" t="s">
        <v>138</v>
      </c>
      <c r="E952" s="109"/>
      <c r="F952" s="109">
        <v>332</v>
      </c>
      <c r="G952" s="109">
        <v>2019</v>
      </c>
      <c r="H952" s="110">
        <v>604.89200000000005</v>
      </c>
      <c r="I952" s="110">
        <v>594.35299999999995</v>
      </c>
      <c r="J952" s="110">
        <v>584.15200000000004</v>
      </c>
      <c r="K952" s="110">
        <v>559.27800000000002</v>
      </c>
      <c r="L952" s="110">
        <v>536.25699999999995</v>
      </c>
      <c r="M952" s="110">
        <v>498.358</v>
      </c>
      <c r="N952" s="110">
        <v>462.82499999999999</v>
      </c>
      <c r="O952" s="110">
        <v>409.21100000000001</v>
      </c>
      <c r="P952" s="110">
        <v>310.87</v>
      </c>
      <c r="Q952" s="110">
        <v>250.91800000000001</v>
      </c>
      <c r="R952" s="110">
        <v>223.916</v>
      </c>
      <c r="S952" s="110">
        <v>189.53200000000001</v>
      </c>
      <c r="T952" s="110">
        <v>148.68100000000001</v>
      </c>
      <c r="U952" s="110">
        <v>117.905</v>
      </c>
      <c r="V952" s="110">
        <v>80.016000000000005</v>
      </c>
      <c r="W952" s="110">
        <v>59.143999999999998</v>
      </c>
      <c r="X952" s="110">
        <v>33.869999999999997</v>
      </c>
      <c r="Y952" s="110">
        <v>14.802</v>
      </c>
      <c r="Z952" s="110">
        <v>4.9390000000000001</v>
      </c>
      <c r="AA952" s="110">
        <v>1.306</v>
      </c>
      <c r="AB952" s="110">
        <v>0.19700000000000001</v>
      </c>
      <c r="AC952" s="115">
        <f t="shared" si="42"/>
        <v>3027.7170000000001</v>
      </c>
      <c r="AD952">
        <f t="shared" si="43"/>
        <v>1.0143873539504162</v>
      </c>
    </row>
    <row r="953" spans="1:30" x14ac:dyDescent="0.25">
      <c r="A953" s="104" t="str">
        <f t="shared" si="41"/>
        <v>Haiti2020</v>
      </c>
      <c r="C953" s="107" t="s">
        <v>257</v>
      </c>
      <c r="D953" s="108" t="s">
        <v>138</v>
      </c>
      <c r="E953" s="109"/>
      <c r="F953" s="109">
        <v>332</v>
      </c>
      <c r="G953" s="109">
        <v>2020</v>
      </c>
      <c r="H953" s="110">
        <v>604.33799999999997</v>
      </c>
      <c r="I953" s="110">
        <v>592.34500000000003</v>
      </c>
      <c r="J953" s="110">
        <v>585.98800000000006</v>
      </c>
      <c r="K953" s="110">
        <v>561.16099999999994</v>
      </c>
      <c r="L953" s="110">
        <v>539.447</v>
      </c>
      <c r="M953" s="110">
        <v>501.45699999999999</v>
      </c>
      <c r="N953" s="110">
        <v>465.69600000000003</v>
      </c>
      <c r="O953" s="110">
        <v>421.81900000000002</v>
      </c>
      <c r="P953" s="110">
        <v>325.21899999999999</v>
      </c>
      <c r="Q953" s="110">
        <v>256.87299999999999</v>
      </c>
      <c r="R953" s="110">
        <v>227.16900000000001</v>
      </c>
      <c r="S953" s="110">
        <v>195.273</v>
      </c>
      <c r="T953" s="110">
        <v>153.08699999999999</v>
      </c>
      <c r="U953" s="110">
        <v>122.584</v>
      </c>
      <c r="V953" s="110">
        <v>82.667000000000002</v>
      </c>
      <c r="W953" s="110">
        <v>59.963999999999999</v>
      </c>
      <c r="X953" s="110">
        <v>34.76</v>
      </c>
      <c r="Y953" s="110">
        <v>15.196</v>
      </c>
      <c r="Z953" s="110">
        <v>4.9050000000000002</v>
      </c>
      <c r="AA953" s="110">
        <v>1.1819999999999999</v>
      </c>
      <c r="AB953" s="110">
        <v>0.21</v>
      </c>
      <c r="AC953" s="115">
        <f t="shared" si="42"/>
        <v>3071.672</v>
      </c>
      <c r="AD953">
        <f t="shared" si="43"/>
        <v>1.0145175391227119</v>
      </c>
    </row>
    <row r="954" spans="1:30" x14ac:dyDescent="0.25">
      <c r="A954" s="104" t="str">
        <f t="shared" si="41"/>
        <v>Haiti2021</v>
      </c>
      <c r="C954" s="107" t="s">
        <v>257</v>
      </c>
      <c r="D954" s="108" t="s">
        <v>138</v>
      </c>
      <c r="E954" s="109"/>
      <c r="F954" s="109">
        <v>332</v>
      </c>
      <c r="G954" s="109">
        <v>2021</v>
      </c>
      <c r="H954" s="110">
        <v>605.08100000000002</v>
      </c>
      <c r="I954" s="110">
        <v>591.64599999999996</v>
      </c>
      <c r="J954" s="110">
        <v>586.15</v>
      </c>
      <c r="K954" s="110">
        <v>563.21</v>
      </c>
      <c r="L954" s="110">
        <v>540.76900000000001</v>
      </c>
      <c r="M954" s="110">
        <v>504.91399999999999</v>
      </c>
      <c r="N954" s="110">
        <v>468.81</v>
      </c>
      <c r="O954" s="110">
        <v>431.44499999999999</v>
      </c>
      <c r="P954" s="110">
        <v>341.30200000000002</v>
      </c>
      <c r="Q954" s="110">
        <v>264.61900000000003</v>
      </c>
      <c r="R954" s="110">
        <v>229.92500000000001</v>
      </c>
      <c r="S954" s="110">
        <v>199.98500000000001</v>
      </c>
      <c r="T954" s="110">
        <v>157.78</v>
      </c>
      <c r="U954" s="110">
        <v>125.63</v>
      </c>
      <c r="V954" s="110">
        <v>85.674000000000007</v>
      </c>
      <c r="W954" s="110">
        <v>60.106999999999999</v>
      </c>
      <c r="X954" s="110">
        <v>36.067</v>
      </c>
      <c r="Y954" s="110">
        <v>16.323</v>
      </c>
      <c r="Z954" s="110">
        <v>5.476</v>
      </c>
      <c r="AA954" s="110">
        <v>1.292</v>
      </c>
      <c r="AB954" s="110">
        <v>0.223</v>
      </c>
      <c r="AC954" s="115">
        <f t="shared" si="42"/>
        <v>3115.0690000000004</v>
      </c>
      <c r="AD954">
        <f t="shared" si="43"/>
        <v>1.0141281360770291</v>
      </c>
    </row>
    <row r="955" spans="1:30" x14ac:dyDescent="0.25">
      <c r="A955" s="104" t="str">
        <f t="shared" si="41"/>
        <v>Haiti2022</v>
      </c>
      <c r="C955" s="107" t="s">
        <v>257</v>
      </c>
      <c r="D955" s="108" t="s">
        <v>138</v>
      </c>
      <c r="E955" s="109"/>
      <c r="F955" s="109">
        <v>332</v>
      </c>
      <c r="G955" s="109">
        <v>2022</v>
      </c>
      <c r="H955" s="110">
        <v>603.58699999999999</v>
      </c>
      <c r="I955" s="110">
        <v>591.59299999999996</v>
      </c>
      <c r="J955" s="110">
        <v>585.65700000000004</v>
      </c>
      <c r="K955" s="110">
        <v>566.28099999999995</v>
      </c>
      <c r="L955" s="110">
        <v>541.63</v>
      </c>
      <c r="M955" s="110">
        <v>508.815</v>
      </c>
      <c r="N955" s="110">
        <v>471.91300000000001</v>
      </c>
      <c r="O955" s="110">
        <v>437.71100000000001</v>
      </c>
      <c r="P955" s="110">
        <v>359.09500000000003</v>
      </c>
      <c r="Q955" s="110">
        <v>274.02100000000002</v>
      </c>
      <c r="R955" s="110">
        <v>232.44399999999999</v>
      </c>
      <c r="S955" s="110">
        <v>204.36600000000001</v>
      </c>
      <c r="T955" s="110">
        <v>163.60400000000001</v>
      </c>
      <c r="U955" s="110">
        <v>128.04400000000001</v>
      </c>
      <c r="V955" s="110">
        <v>89.980999999999995</v>
      </c>
      <c r="W955" s="110">
        <v>59.868000000000002</v>
      </c>
      <c r="X955" s="110">
        <v>37.256</v>
      </c>
      <c r="Y955" s="110">
        <v>17.215</v>
      </c>
      <c r="Z955" s="110">
        <v>5.8789999999999996</v>
      </c>
      <c r="AA955" s="110">
        <v>1.4670000000000001</v>
      </c>
      <c r="AB955" s="110">
        <v>0.23499999999999999</v>
      </c>
      <c r="AC955" s="115">
        <f t="shared" si="42"/>
        <v>3159.4660000000008</v>
      </c>
      <c r="AD955">
        <f t="shared" si="43"/>
        <v>1.0142523327733672</v>
      </c>
    </row>
    <row r="956" spans="1:30" x14ac:dyDescent="0.25">
      <c r="A956" s="104" t="str">
        <f t="shared" si="41"/>
        <v>Haiti2023</v>
      </c>
      <c r="C956" s="107" t="s">
        <v>257</v>
      </c>
      <c r="D956" s="108" t="s">
        <v>138</v>
      </c>
      <c r="E956" s="109"/>
      <c r="F956" s="109">
        <v>332</v>
      </c>
      <c r="G956" s="109">
        <v>2023</v>
      </c>
      <c r="H956" s="110">
        <v>600.48599999999999</v>
      </c>
      <c r="I956" s="110">
        <v>591.976</v>
      </c>
      <c r="J956" s="110">
        <v>584.75400000000002</v>
      </c>
      <c r="K956" s="110">
        <v>569.67499999999995</v>
      </c>
      <c r="L956" s="110">
        <v>542.57299999999998</v>
      </c>
      <c r="M956" s="110">
        <v>512.74</v>
      </c>
      <c r="N956" s="110">
        <v>475.065</v>
      </c>
      <c r="O956" s="110">
        <v>441.52600000000001</v>
      </c>
      <c r="P956" s="110">
        <v>377.07900000000001</v>
      </c>
      <c r="Q956" s="110">
        <v>285.08699999999999</v>
      </c>
      <c r="R956" s="110">
        <v>235.33600000000001</v>
      </c>
      <c r="S956" s="110">
        <v>208.38800000000001</v>
      </c>
      <c r="T956" s="110">
        <v>170.035</v>
      </c>
      <c r="U956" s="110">
        <v>130.38200000000001</v>
      </c>
      <c r="V956" s="110">
        <v>94.971999999999994</v>
      </c>
      <c r="W956" s="110">
        <v>59.837000000000003</v>
      </c>
      <c r="X956" s="110">
        <v>38.207999999999998</v>
      </c>
      <c r="Y956" s="110">
        <v>17.826000000000001</v>
      </c>
      <c r="Z956" s="110">
        <v>6.1689999999999996</v>
      </c>
      <c r="AA956" s="110">
        <v>1.61</v>
      </c>
      <c r="AB956" s="110">
        <v>0.248</v>
      </c>
      <c r="AC956" s="115">
        <f t="shared" si="42"/>
        <v>3203.7449999999999</v>
      </c>
      <c r="AD956">
        <f t="shared" si="43"/>
        <v>1.0140147100807539</v>
      </c>
    </row>
    <row r="957" spans="1:30" x14ac:dyDescent="0.25">
      <c r="A957" s="104" t="str">
        <f t="shared" si="41"/>
        <v>Haiti2024</v>
      </c>
      <c r="C957" s="107" t="s">
        <v>257</v>
      </c>
      <c r="D957" s="108" t="s">
        <v>138</v>
      </c>
      <c r="E957" s="109"/>
      <c r="F957" s="109">
        <v>332</v>
      </c>
      <c r="G957" s="109">
        <v>2024</v>
      </c>
      <c r="H957" s="110">
        <v>596.95799999999997</v>
      </c>
      <c r="I957" s="110">
        <v>592.21900000000005</v>
      </c>
      <c r="J957" s="110">
        <v>583.90899999999999</v>
      </c>
      <c r="K957" s="110">
        <v>572.47500000000002</v>
      </c>
      <c r="L957" s="110">
        <v>544.17499999999995</v>
      </c>
      <c r="M957" s="110">
        <v>516.13099999999997</v>
      </c>
      <c r="N957" s="110">
        <v>478.21600000000001</v>
      </c>
      <c r="O957" s="110">
        <v>444.43</v>
      </c>
      <c r="P957" s="110">
        <v>393.005</v>
      </c>
      <c r="Q957" s="110">
        <v>297.8</v>
      </c>
      <c r="R957" s="110">
        <v>239.49799999999999</v>
      </c>
      <c r="S957" s="110">
        <v>212.035</v>
      </c>
      <c r="T957" s="110">
        <v>176.28700000000001</v>
      </c>
      <c r="U957" s="110">
        <v>133.47499999999999</v>
      </c>
      <c r="V957" s="110">
        <v>99.754000000000005</v>
      </c>
      <c r="W957" s="110">
        <v>60.728000000000002</v>
      </c>
      <c r="X957" s="110">
        <v>38.764000000000003</v>
      </c>
      <c r="Y957" s="110">
        <v>18.236999999999998</v>
      </c>
      <c r="Z957" s="110">
        <v>6.29</v>
      </c>
      <c r="AA957" s="110">
        <v>1.6379999999999999</v>
      </c>
      <c r="AB957" s="110">
        <v>0.26</v>
      </c>
      <c r="AC957" s="115">
        <f t="shared" si="42"/>
        <v>3246.232</v>
      </c>
      <c r="AD957">
        <f t="shared" si="43"/>
        <v>1.0132616672050991</v>
      </c>
    </row>
    <row r="958" spans="1:30" x14ac:dyDescent="0.25">
      <c r="A958" s="104" t="str">
        <f t="shared" si="41"/>
        <v>Haiti2025</v>
      </c>
      <c r="C958" s="107" t="s">
        <v>257</v>
      </c>
      <c r="D958" s="108" t="s">
        <v>138</v>
      </c>
      <c r="E958" s="109"/>
      <c r="F958" s="109">
        <v>332</v>
      </c>
      <c r="G958" s="109">
        <v>2025</v>
      </c>
      <c r="H958" s="110">
        <v>593.91999999999996</v>
      </c>
      <c r="I958" s="110">
        <v>591.55499999999995</v>
      </c>
      <c r="J958" s="110">
        <v>583.46100000000001</v>
      </c>
      <c r="K958" s="110">
        <v>574.26099999999997</v>
      </c>
      <c r="L958" s="110">
        <v>546.61500000000001</v>
      </c>
      <c r="M958" s="110">
        <v>518.82399999999996</v>
      </c>
      <c r="N958" s="110">
        <v>481.34699999999998</v>
      </c>
      <c r="O958" s="110">
        <v>447.428</v>
      </c>
      <c r="P958" s="110">
        <v>405.50200000000001</v>
      </c>
      <c r="Q958" s="110">
        <v>311.99299999999999</v>
      </c>
      <c r="R958" s="110">
        <v>245.48599999999999</v>
      </c>
      <c r="S958" s="110">
        <v>215.36</v>
      </c>
      <c r="T958" s="110">
        <v>181.892</v>
      </c>
      <c r="U958" s="110">
        <v>137.751</v>
      </c>
      <c r="V958" s="110">
        <v>103.869</v>
      </c>
      <c r="W958" s="110">
        <v>62.87</v>
      </c>
      <c r="X958" s="110">
        <v>38.956000000000003</v>
      </c>
      <c r="Y958" s="110">
        <v>18.460999999999999</v>
      </c>
      <c r="Z958" s="110">
        <v>6.2409999999999997</v>
      </c>
      <c r="AA958" s="110">
        <v>1.48</v>
      </c>
      <c r="AB958" s="110">
        <v>0.27300000000000002</v>
      </c>
      <c r="AC958" s="115">
        <f t="shared" si="42"/>
        <v>3285.9699999999993</v>
      </c>
      <c r="AD958">
        <f t="shared" si="43"/>
        <v>1.0122412692623322</v>
      </c>
    </row>
    <row r="959" spans="1:30" x14ac:dyDescent="0.25">
      <c r="A959" s="104" t="str">
        <f t="shared" si="41"/>
        <v>Haiti2026</v>
      </c>
      <c r="C959" s="107" t="s">
        <v>257</v>
      </c>
      <c r="D959" s="108" t="s">
        <v>138</v>
      </c>
      <c r="E959" s="109"/>
      <c r="F959" s="109">
        <v>332</v>
      </c>
      <c r="G959" s="109">
        <v>2026</v>
      </c>
      <c r="H959" s="110">
        <v>591.10900000000004</v>
      </c>
      <c r="I959" s="110">
        <v>590.97699999999998</v>
      </c>
      <c r="J959" s="110">
        <v>583.00699999999995</v>
      </c>
      <c r="K959" s="110">
        <v>574.87699999999995</v>
      </c>
      <c r="L959" s="110">
        <v>548.67700000000002</v>
      </c>
      <c r="M959" s="110">
        <v>521.178</v>
      </c>
      <c r="N959" s="110">
        <v>485.12900000000002</v>
      </c>
      <c r="O959" s="110">
        <v>450.79899999999998</v>
      </c>
      <c r="P959" s="110">
        <v>415.18599999999998</v>
      </c>
      <c r="Q959" s="110">
        <v>327.79899999999998</v>
      </c>
      <c r="R959" s="110">
        <v>253.05199999999999</v>
      </c>
      <c r="S959" s="110">
        <v>218.01599999999999</v>
      </c>
      <c r="T959" s="110">
        <v>186.239</v>
      </c>
      <c r="U959" s="110">
        <v>142.023</v>
      </c>
      <c r="V959" s="110">
        <v>106.307</v>
      </c>
      <c r="W959" s="110">
        <v>65.564999999999998</v>
      </c>
      <c r="X959" s="110">
        <v>39.369</v>
      </c>
      <c r="Y959" s="110">
        <v>19.545999999999999</v>
      </c>
      <c r="Z959" s="110">
        <v>6.9450000000000003</v>
      </c>
      <c r="AA959" s="110">
        <v>1.629</v>
      </c>
      <c r="AB959" s="110">
        <v>0.28599999999999998</v>
      </c>
      <c r="AC959" s="115">
        <f t="shared" si="42"/>
        <v>3323.645</v>
      </c>
      <c r="AD959">
        <f t="shared" si="43"/>
        <v>1.011465412039672</v>
      </c>
    </row>
    <row r="960" spans="1:30" x14ac:dyDescent="0.25">
      <c r="A960" s="104" t="str">
        <f t="shared" si="41"/>
        <v>Haiti2027</v>
      </c>
      <c r="C960" s="107" t="s">
        <v>257</v>
      </c>
      <c r="D960" s="108" t="s">
        <v>138</v>
      </c>
      <c r="E960" s="109"/>
      <c r="F960" s="109">
        <v>332</v>
      </c>
      <c r="G960" s="109">
        <v>2027</v>
      </c>
      <c r="H960" s="110">
        <v>588.30399999999997</v>
      </c>
      <c r="I960" s="110">
        <v>589.822</v>
      </c>
      <c r="J960" s="110">
        <v>583.01400000000001</v>
      </c>
      <c r="K960" s="110">
        <v>574.59</v>
      </c>
      <c r="L960" s="110">
        <v>551.524</v>
      </c>
      <c r="M960" s="110">
        <v>522.66700000000003</v>
      </c>
      <c r="N960" s="110">
        <v>489.161</v>
      </c>
      <c r="O960" s="110">
        <v>454.03</v>
      </c>
      <c r="P960" s="110">
        <v>421.48899999999998</v>
      </c>
      <c r="Q960" s="110">
        <v>345.24599999999998</v>
      </c>
      <c r="R960" s="110">
        <v>262.197</v>
      </c>
      <c r="S960" s="110">
        <v>220.446</v>
      </c>
      <c r="T960" s="110">
        <v>190.334</v>
      </c>
      <c r="U960" s="110">
        <v>147.32499999999999</v>
      </c>
      <c r="V960" s="110">
        <v>108.241</v>
      </c>
      <c r="W960" s="110">
        <v>69.055000000000007</v>
      </c>
      <c r="X960" s="110">
        <v>39.332000000000001</v>
      </c>
      <c r="Y960" s="110">
        <v>20.414000000000001</v>
      </c>
      <c r="Z960" s="110">
        <v>7.407</v>
      </c>
      <c r="AA960" s="110">
        <v>1.863</v>
      </c>
      <c r="AB960" s="110">
        <v>0.29799999999999999</v>
      </c>
      <c r="AC960" s="115">
        <f t="shared" si="42"/>
        <v>3358.7069999999999</v>
      </c>
      <c r="AD960">
        <f t="shared" si="43"/>
        <v>1.0105492614283413</v>
      </c>
    </row>
    <row r="961" spans="1:30" x14ac:dyDescent="0.25">
      <c r="A961" s="104" t="str">
        <f t="shared" si="41"/>
        <v>Haiti2028</v>
      </c>
      <c r="C961" s="107" t="s">
        <v>257</v>
      </c>
      <c r="D961" s="108" t="s">
        <v>138</v>
      </c>
      <c r="E961" s="109"/>
      <c r="F961" s="109">
        <v>332</v>
      </c>
      <c r="G961" s="109">
        <v>2028</v>
      </c>
      <c r="H961" s="110">
        <v>585.57399999999996</v>
      </c>
      <c r="I961" s="110">
        <v>587.95399999999995</v>
      </c>
      <c r="J961" s="110">
        <v>583.36699999999996</v>
      </c>
      <c r="K961" s="110">
        <v>573.65599999999995</v>
      </c>
      <c r="L961" s="110">
        <v>554.88599999999997</v>
      </c>
      <c r="M961" s="110">
        <v>523.64099999999996</v>
      </c>
      <c r="N961" s="110">
        <v>493.15</v>
      </c>
      <c r="O961" s="110">
        <v>457.23099999999999</v>
      </c>
      <c r="P961" s="110">
        <v>425.31900000000002</v>
      </c>
      <c r="Q961" s="110">
        <v>362.87400000000002</v>
      </c>
      <c r="R961" s="110">
        <v>272.96300000000002</v>
      </c>
      <c r="S961" s="110">
        <v>223.261</v>
      </c>
      <c r="T961" s="110">
        <v>194.18199999999999</v>
      </c>
      <c r="U961" s="110">
        <v>153.185</v>
      </c>
      <c r="V961" s="110">
        <v>110.271</v>
      </c>
      <c r="W961" s="110">
        <v>72.867999999999995</v>
      </c>
      <c r="X961" s="110">
        <v>39.292999999999999</v>
      </c>
      <c r="Y961" s="110">
        <v>20.922000000000001</v>
      </c>
      <c r="Z961" s="110">
        <v>7.6950000000000003</v>
      </c>
      <c r="AA961" s="110">
        <v>2.0510000000000002</v>
      </c>
      <c r="AB961" s="110">
        <v>0.312</v>
      </c>
      <c r="AC961" s="115">
        <f t="shared" si="42"/>
        <v>3390.7570000000005</v>
      </c>
      <c r="AD961">
        <f t="shared" si="43"/>
        <v>1.0095423625817914</v>
      </c>
    </row>
    <row r="962" spans="1:30" x14ac:dyDescent="0.25">
      <c r="A962" s="104" t="str">
        <f t="shared" si="41"/>
        <v>Haiti2029</v>
      </c>
      <c r="C962" s="107" t="s">
        <v>257</v>
      </c>
      <c r="D962" s="108" t="s">
        <v>138</v>
      </c>
      <c r="E962" s="109"/>
      <c r="F962" s="109">
        <v>332</v>
      </c>
      <c r="G962" s="109">
        <v>2029</v>
      </c>
      <c r="H962" s="110">
        <v>582.71199999999999</v>
      </c>
      <c r="I962" s="110">
        <v>585.47799999999995</v>
      </c>
      <c r="J962" s="110">
        <v>583.64499999999998</v>
      </c>
      <c r="K962" s="110">
        <v>572.75599999999997</v>
      </c>
      <c r="L962" s="110">
        <v>558.03200000000004</v>
      </c>
      <c r="M962" s="110">
        <v>524.81600000000003</v>
      </c>
      <c r="N962" s="110">
        <v>496.637</v>
      </c>
      <c r="O962" s="110">
        <v>460.44400000000002</v>
      </c>
      <c r="P962" s="110">
        <v>428.27499999999998</v>
      </c>
      <c r="Q962" s="110">
        <v>378.55099999999999</v>
      </c>
      <c r="R962" s="110">
        <v>285.40100000000001</v>
      </c>
      <c r="S962" s="110">
        <v>227.375</v>
      </c>
      <c r="T962" s="110">
        <v>197.791</v>
      </c>
      <c r="U962" s="110">
        <v>158.94399999999999</v>
      </c>
      <c r="V962" s="110">
        <v>113.13800000000001</v>
      </c>
      <c r="W962" s="110">
        <v>76.382000000000005</v>
      </c>
      <c r="X962" s="110">
        <v>39.792999999999999</v>
      </c>
      <c r="Y962" s="110">
        <v>21.042000000000002</v>
      </c>
      <c r="Z962" s="110">
        <v>7.7530000000000001</v>
      </c>
      <c r="AA962" s="110">
        <v>2.0819999999999999</v>
      </c>
      <c r="AB962" s="110">
        <v>0.32500000000000001</v>
      </c>
      <c r="AC962" s="115">
        <f t="shared" si="42"/>
        <v>3419.511</v>
      </c>
      <c r="AD962">
        <f t="shared" si="43"/>
        <v>1.008480112258118</v>
      </c>
    </row>
    <row r="963" spans="1:30" x14ac:dyDescent="0.25">
      <c r="A963" s="104" t="str">
        <f t="shared" si="41"/>
        <v>Haiti2030</v>
      </c>
      <c r="C963" s="107" t="s">
        <v>257</v>
      </c>
      <c r="D963" s="108" t="s">
        <v>138</v>
      </c>
      <c r="E963" s="109"/>
      <c r="F963" s="109">
        <v>332</v>
      </c>
      <c r="G963" s="109">
        <v>2030</v>
      </c>
      <c r="H963" s="110">
        <v>579.66499999999996</v>
      </c>
      <c r="I963" s="110">
        <v>582.62599999999998</v>
      </c>
      <c r="J963" s="110">
        <v>583.36400000000003</v>
      </c>
      <c r="K963" s="110">
        <v>572.399</v>
      </c>
      <c r="L963" s="110">
        <v>560.33799999999997</v>
      </c>
      <c r="M963" s="110">
        <v>526.74300000000005</v>
      </c>
      <c r="N963" s="110">
        <v>499.33699999999999</v>
      </c>
      <c r="O963" s="110">
        <v>463.67</v>
      </c>
      <c r="P963" s="110">
        <v>431.37599999999998</v>
      </c>
      <c r="Q963" s="110">
        <v>390.95800000000003</v>
      </c>
      <c r="R963" s="110">
        <v>299.38799999999998</v>
      </c>
      <c r="S963" s="110">
        <v>233.35</v>
      </c>
      <c r="T963" s="110">
        <v>201.191</v>
      </c>
      <c r="U963" s="110">
        <v>164.24299999999999</v>
      </c>
      <c r="V963" s="110">
        <v>117.16</v>
      </c>
      <c r="W963" s="110">
        <v>79.385999999999996</v>
      </c>
      <c r="X963" s="110">
        <v>41.073999999999998</v>
      </c>
      <c r="Y963" s="110">
        <v>20.779</v>
      </c>
      <c r="Z963" s="110">
        <v>7.5890000000000004</v>
      </c>
      <c r="AA963" s="110">
        <v>1.877</v>
      </c>
      <c r="AB963" s="110">
        <v>0.34</v>
      </c>
      <c r="AC963" s="115">
        <f t="shared" si="42"/>
        <v>3444.8210000000004</v>
      </c>
      <c r="AD963">
        <f t="shared" si="43"/>
        <v>1.0074016431004318</v>
      </c>
    </row>
    <row r="964" spans="1:30" x14ac:dyDescent="0.25">
      <c r="A964" s="104" t="str">
        <f t="shared" si="41"/>
        <v>Haiti2031</v>
      </c>
      <c r="C964" s="107" t="s">
        <v>257</v>
      </c>
      <c r="D964" s="108" t="s">
        <v>138</v>
      </c>
      <c r="E964" s="109"/>
      <c r="F964" s="109">
        <v>332</v>
      </c>
      <c r="G964" s="109">
        <v>2031</v>
      </c>
      <c r="H964" s="110">
        <v>577.221</v>
      </c>
      <c r="I964" s="110">
        <v>580.428</v>
      </c>
      <c r="J964" s="110">
        <v>582.14599999999996</v>
      </c>
      <c r="K964" s="110">
        <v>572.18200000000002</v>
      </c>
      <c r="L964" s="110">
        <v>560.70600000000002</v>
      </c>
      <c r="M964" s="110">
        <v>529.57500000000005</v>
      </c>
      <c r="N964" s="110">
        <v>501.791</v>
      </c>
      <c r="O964" s="110">
        <v>467.48200000000003</v>
      </c>
      <c r="P964" s="110">
        <v>434.767</v>
      </c>
      <c r="Q964" s="110">
        <v>400.36500000000001</v>
      </c>
      <c r="R964" s="110">
        <v>314.65899999999999</v>
      </c>
      <c r="S964" s="110">
        <v>240.54300000000001</v>
      </c>
      <c r="T964" s="110">
        <v>203.53299999999999</v>
      </c>
      <c r="U964" s="110">
        <v>168.02799999999999</v>
      </c>
      <c r="V964" s="110">
        <v>120.78100000000001</v>
      </c>
      <c r="W964" s="110">
        <v>81.408000000000001</v>
      </c>
      <c r="X964" s="110">
        <v>43.401000000000003</v>
      </c>
      <c r="Y964" s="110">
        <v>21.314</v>
      </c>
      <c r="Z964" s="110">
        <v>8.3460000000000001</v>
      </c>
      <c r="AA964" s="110">
        <v>2.0539999999999998</v>
      </c>
      <c r="AB964" s="110">
        <v>0.35599999999999998</v>
      </c>
      <c r="AC964" s="115">
        <f t="shared" si="42"/>
        <v>3466.8679999999995</v>
      </c>
      <c r="AD964">
        <f t="shared" si="43"/>
        <v>1.0064000422663468</v>
      </c>
    </row>
    <row r="965" spans="1:30" x14ac:dyDescent="0.25">
      <c r="A965" s="104" t="str">
        <f t="shared" si="41"/>
        <v>Haiti2032</v>
      </c>
      <c r="C965" s="107" t="s">
        <v>257</v>
      </c>
      <c r="D965" s="108" t="s">
        <v>138</v>
      </c>
      <c r="E965" s="109"/>
      <c r="F965" s="109">
        <v>332</v>
      </c>
      <c r="G965" s="109">
        <v>2032</v>
      </c>
      <c r="H965" s="110">
        <v>574.19000000000005</v>
      </c>
      <c r="I965" s="110">
        <v>578.14499999999998</v>
      </c>
      <c r="J965" s="110">
        <v>580.60599999999999</v>
      </c>
      <c r="K965" s="110">
        <v>572.51499999999999</v>
      </c>
      <c r="L965" s="110">
        <v>560.18899999999996</v>
      </c>
      <c r="M965" s="110">
        <v>532.99800000000005</v>
      </c>
      <c r="N965" s="110">
        <v>503.41199999999998</v>
      </c>
      <c r="O965" s="110">
        <v>471.60399999999998</v>
      </c>
      <c r="P965" s="110">
        <v>438.09100000000001</v>
      </c>
      <c r="Q965" s="110">
        <v>406.59100000000001</v>
      </c>
      <c r="R965" s="110">
        <v>331.637</v>
      </c>
      <c r="S965" s="110">
        <v>249.339</v>
      </c>
      <c r="T965" s="110">
        <v>205.78100000000001</v>
      </c>
      <c r="U965" s="110">
        <v>171.73599999999999</v>
      </c>
      <c r="V965" s="110">
        <v>125.27800000000001</v>
      </c>
      <c r="W965" s="110">
        <v>82.953000000000003</v>
      </c>
      <c r="X965" s="110">
        <v>46.012999999999998</v>
      </c>
      <c r="Y965" s="110">
        <v>21.434000000000001</v>
      </c>
      <c r="Z965" s="110">
        <v>8.8320000000000007</v>
      </c>
      <c r="AA965" s="110">
        <v>2.327</v>
      </c>
      <c r="AB965" s="110">
        <v>0.372</v>
      </c>
      <c r="AC965" s="115">
        <f t="shared" si="42"/>
        <v>3485.3999999999996</v>
      </c>
      <c r="AD965">
        <f t="shared" si="43"/>
        <v>1.0053454587829707</v>
      </c>
    </row>
    <row r="966" spans="1:30" x14ac:dyDescent="0.25">
      <c r="A966" s="104" t="str">
        <f t="shared" si="41"/>
        <v>Haiti2033</v>
      </c>
      <c r="C966" s="107" t="s">
        <v>257</v>
      </c>
      <c r="D966" s="108" t="s">
        <v>138</v>
      </c>
      <c r="E966" s="109"/>
      <c r="F966" s="109">
        <v>332</v>
      </c>
      <c r="G966" s="109">
        <v>2033</v>
      </c>
      <c r="H966" s="110">
        <v>570.71500000000003</v>
      </c>
      <c r="I966" s="110">
        <v>575.67200000000003</v>
      </c>
      <c r="J966" s="110">
        <v>578.87</v>
      </c>
      <c r="K966" s="110">
        <v>572.99199999999996</v>
      </c>
      <c r="L966" s="110">
        <v>559.37599999999998</v>
      </c>
      <c r="M966" s="110">
        <v>536.47500000000002</v>
      </c>
      <c r="N966" s="110">
        <v>504.59500000000003</v>
      </c>
      <c r="O966" s="110">
        <v>475.73399999999998</v>
      </c>
      <c r="P966" s="110">
        <v>441.40899999999999</v>
      </c>
      <c r="Q966" s="110">
        <v>410.50900000000001</v>
      </c>
      <c r="R966" s="110">
        <v>348.89100000000002</v>
      </c>
      <c r="S966" s="110">
        <v>259.76100000000002</v>
      </c>
      <c r="T966" s="110">
        <v>208.52199999999999</v>
      </c>
      <c r="U966" s="110">
        <v>175.35400000000001</v>
      </c>
      <c r="V966" s="110">
        <v>130.32499999999999</v>
      </c>
      <c r="W966" s="110">
        <v>84.548000000000002</v>
      </c>
      <c r="X966" s="110">
        <v>48.537999999999997</v>
      </c>
      <c r="Y966" s="110">
        <v>21.393000000000001</v>
      </c>
      <c r="Z966" s="110">
        <v>9.0660000000000007</v>
      </c>
      <c r="AA966" s="110">
        <v>2.5339999999999998</v>
      </c>
      <c r="AB966" s="110">
        <v>0.38900000000000001</v>
      </c>
      <c r="AC966" s="115">
        <f t="shared" si="42"/>
        <v>3501.09</v>
      </c>
      <c r="AD966">
        <f t="shared" si="43"/>
        <v>1.0045016353933554</v>
      </c>
    </row>
    <row r="967" spans="1:30" x14ac:dyDescent="0.25">
      <c r="A967" s="104" t="str">
        <f t="shared" si="41"/>
        <v>Haiti2034</v>
      </c>
      <c r="C967" s="107" t="s">
        <v>257</v>
      </c>
      <c r="D967" s="108" t="s">
        <v>138</v>
      </c>
      <c r="E967" s="109"/>
      <c r="F967" s="109">
        <v>332</v>
      </c>
      <c r="G967" s="109">
        <v>2034</v>
      </c>
      <c r="H967" s="110">
        <v>567.04899999999998</v>
      </c>
      <c r="I967" s="110">
        <v>572.89599999999996</v>
      </c>
      <c r="J967" s="110">
        <v>577.03599999999994</v>
      </c>
      <c r="K967" s="110">
        <v>573.15899999999999</v>
      </c>
      <c r="L967" s="110">
        <v>558.93899999999996</v>
      </c>
      <c r="M967" s="110">
        <v>539.25800000000004</v>
      </c>
      <c r="N967" s="110">
        <v>505.97800000000001</v>
      </c>
      <c r="O967" s="110">
        <v>479.35599999999999</v>
      </c>
      <c r="P967" s="110">
        <v>444.726</v>
      </c>
      <c r="Q967" s="110">
        <v>413.63299999999998</v>
      </c>
      <c r="R967" s="110">
        <v>364.31200000000001</v>
      </c>
      <c r="S967" s="110">
        <v>271.86399999999998</v>
      </c>
      <c r="T967" s="110">
        <v>212.62100000000001</v>
      </c>
      <c r="U967" s="110">
        <v>178.84700000000001</v>
      </c>
      <c r="V967" s="110">
        <v>135.40299999999999</v>
      </c>
      <c r="W967" s="110">
        <v>86.796999999999997</v>
      </c>
      <c r="X967" s="110">
        <v>50.594999999999999</v>
      </c>
      <c r="Y967" s="110">
        <v>21.533999999999999</v>
      </c>
      <c r="Z967" s="110">
        <v>8.9890000000000008</v>
      </c>
      <c r="AA967" s="110">
        <v>2.5489999999999999</v>
      </c>
      <c r="AB967" s="110">
        <v>0.40699999999999997</v>
      </c>
      <c r="AC967" s="115">
        <f t="shared" si="42"/>
        <v>3515.0489999999995</v>
      </c>
      <c r="AD967">
        <f t="shared" si="43"/>
        <v>1.0039870440348575</v>
      </c>
    </row>
    <row r="968" spans="1:30" x14ac:dyDescent="0.25">
      <c r="A968" s="104" t="str">
        <f t="shared" si="41"/>
        <v>Haiti2035</v>
      </c>
      <c r="C968" s="107" t="s">
        <v>257</v>
      </c>
      <c r="D968" s="108" t="s">
        <v>138</v>
      </c>
      <c r="E968" s="109"/>
      <c r="F968" s="109">
        <v>332</v>
      </c>
      <c r="G968" s="109">
        <v>2035</v>
      </c>
      <c r="H968" s="110">
        <v>563.43200000000002</v>
      </c>
      <c r="I968" s="110">
        <v>569.70600000000002</v>
      </c>
      <c r="J968" s="110">
        <v>575.08299999999997</v>
      </c>
      <c r="K968" s="110">
        <v>572.84299999999996</v>
      </c>
      <c r="L968" s="110">
        <v>559.12199999999996</v>
      </c>
      <c r="M968" s="110">
        <v>541.04499999999996</v>
      </c>
      <c r="N968" s="110">
        <v>507.92700000000002</v>
      </c>
      <c r="O968" s="110">
        <v>482.16300000000001</v>
      </c>
      <c r="P968" s="110">
        <v>448.04899999999998</v>
      </c>
      <c r="Q968" s="110">
        <v>416.91699999999997</v>
      </c>
      <c r="R968" s="110">
        <v>376.596</v>
      </c>
      <c r="S968" s="110">
        <v>285.54399999999998</v>
      </c>
      <c r="T968" s="110">
        <v>218.58099999999999</v>
      </c>
      <c r="U968" s="110">
        <v>182.23699999999999</v>
      </c>
      <c r="V968" s="110">
        <v>140.21299999999999</v>
      </c>
      <c r="W968" s="110">
        <v>89.984999999999999</v>
      </c>
      <c r="X968" s="110">
        <v>52.152999999999999</v>
      </c>
      <c r="Y968" s="110">
        <v>22.001999999999999</v>
      </c>
      <c r="Z968" s="110">
        <v>8.5530000000000008</v>
      </c>
      <c r="AA968" s="110">
        <v>2.2719999999999998</v>
      </c>
      <c r="AB968" s="110">
        <v>0.42499999999999999</v>
      </c>
      <c r="AC968" s="115">
        <f t="shared" si="42"/>
        <v>3528.0659999999998</v>
      </c>
      <c r="AD968">
        <f t="shared" si="43"/>
        <v>1.0037032200689096</v>
      </c>
    </row>
    <row r="969" spans="1:30" x14ac:dyDescent="0.25">
      <c r="A969" s="104" t="str">
        <f t="shared" si="41"/>
        <v>Haiti2036</v>
      </c>
      <c r="C969" s="107" t="s">
        <v>257</v>
      </c>
      <c r="D969" s="108" t="s">
        <v>138</v>
      </c>
      <c r="E969" s="109"/>
      <c r="F969" s="109">
        <v>332</v>
      </c>
      <c r="G969" s="109">
        <v>2036</v>
      </c>
      <c r="H969" s="110">
        <v>560.48099999999999</v>
      </c>
      <c r="I969" s="110">
        <v>566.97699999999998</v>
      </c>
      <c r="J969" s="110">
        <v>572.601</v>
      </c>
      <c r="K969" s="110">
        <v>571.88800000000003</v>
      </c>
      <c r="L969" s="110">
        <v>558.69799999999998</v>
      </c>
      <c r="M969" s="110">
        <v>542.22699999999998</v>
      </c>
      <c r="N969" s="110">
        <v>510.89299999999997</v>
      </c>
      <c r="O969" s="110">
        <v>484.69799999999998</v>
      </c>
      <c r="P969" s="110">
        <v>451.91199999999998</v>
      </c>
      <c r="Q969" s="110">
        <v>420.25900000000001</v>
      </c>
      <c r="R969" s="110">
        <v>385.67599999999999</v>
      </c>
      <c r="S969" s="110">
        <v>300.17700000000002</v>
      </c>
      <c r="T969" s="110">
        <v>225.292</v>
      </c>
      <c r="U969" s="110">
        <v>184.28100000000001</v>
      </c>
      <c r="V969" s="110">
        <v>143.358</v>
      </c>
      <c r="W969" s="110">
        <v>93.215000000000003</v>
      </c>
      <c r="X969" s="110">
        <v>53.954000000000001</v>
      </c>
      <c r="Y969" s="110">
        <v>23.791</v>
      </c>
      <c r="Z969" s="110">
        <v>9.0630000000000006</v>
      </c>
      <c r="AA969" s="110">
        <v>2.4590000000000001</v>
      </c>
      <c r="AB969" s="110">
        <v>0.443</v>
      </c>
      <c r="AC969" s="115">
        <f t="shared" si="42"/>
        <v>3540.5749999999998</v>
      </c>
      <c r="AD969">
        <f t="shared" si="43"/>
        <v>1.0035455685919707</v>
      </c>
    </row>
    <row r="970" spans="1:30" x14ac:dyDescent="0.25">
      <c r="A970" s="104" t="str">
        <f t="shared" si="41"/>
        <v>Haiti2037</v>
      </c>
      <c r="C970" s="107" t="s">
        <v>257</v>
      </c>
      <c r="D970" s="108" t="s">
        <v>138</v>
      </c>
      <c r="E970" s="109"/>
      <c r="F970" s="109">
        <v>332</v>
      </c>
      <c r="G970" s="109">
        <v>2037</v>
      </c>
      <c r="H970" s="110">
        <v>556.98800000000006</v>
      </c>
      <c r="I970" s="110">
        <v>564.20799999999997</v>
      </c>
      <c r="J970" s="110">
        <v>570.11900000000003</v>
      </c>
      <c r="K970" s="110">
        <v>570.60699999999997</v>
      </c>
      <c r="L970" s="110">
        <v>558.77499999999998</v>
      </c>
      <c r="M970" s="110">
        <v>542.29200000000003</v>
      </c>
      <c r="N970" s="110">
        <v>514.41</v>
      </c>
      <c r="O970" s="110">
        <v>486.43099999999998</v>
      </c>
      <c r="P970" s="110">
        <v>456.10899999999998</v>
      </c>
      <c r="Q970" s="110">
        <v>423.58800000000002</v>
      </c>
      <c r="R970" s="110">
        <v>391.76499999999999</v>
      </c>
      <c r="S970" s="110">
        <v>316.56099999999998</v>
      </c>
      <c r="T970" s="110">
        <v>233.58199999999999</v>
      </c>
      <c r="U970" s="110">
        <v>186.328</v>
      </c>
      <c r="V970" s="110">
        <v>146.51900000000001</v>
      </c>
      <c r="W970" s="110">
        <v>96.932000000000002</v>
      </c>
      <c r="X970" s="110">
        <v>55.238</v>
      </c>
      <c r="Y970" s="110">
        <v>25.486000000000001</v>
      </c>
      <c r="Z970" s="110">
        <v>9.2430000000000003</v>
      </c>
      <c r="AA970" s="110">
        <v>2.746</v>
      </c>
      <c r="AB970" s="110">
        <v>0.46100000000000002</v>
      </c>
      <c r="AC970" s="115">
        <f t="shared" si="42"/>
        <v>3552.212</v>
      </c>
      <c r="AD970">
        <f t="shared" si="43"/>
        <v>1.0032867542701398</v>
      </c>
    </row>
    <row r="971" spans="1:30" x14ac:dyDescent="0.25">
      <c r="A971" s="104" t="str">
        <f t="shared" si="41"/>
        <v>Haiti2038</v>
      </c>
      <c r="C971" s="107" t="s">
        <v>257</v>
      </c>
      <c r="D971" s="108" t="s">
        <v>138</v>
      </c>
      <c r="E971" s="109"/>
      <c r="F971" s="109">
        <v>332</v>
      </c>
      <c r="G971" s="109">
        <v>2038</v>
      </c>
      <c r="H971" s="110">
        <v>553.154</v>
      </c>
      <c r="I971" s="110">
        <v>561.28499999999997</v>
      </c>
      <c r="J971" s="110">
        <v>567.68299999999999</v>
      </c>
      <c r="K971" s="110">
        <v>568.93200000000002</v>
      </c>
      <c r="L971" s="110">
        <v>559.29999999999995</v>
      </c>
      <c r="M971" s="110">
        <v>541.57100000000003</v>
      </c>
      <c r="N971" s="110">
        <v>518.00599999999997</v>
      </c>
      <c r="O971" s="110">
        <v>487.745</v>
      </c>
      <c r="P971" s="110">
        <v>460.30700000000002</v>
      </c>
      <c r="Q971" s="110">
        <v>426.96600000000001</v>
      </c>
      <c r="R971" s="110">
        <v>395.71699999999998</v>
      </c>
      <c r="S971" s="110">
        <v>333.28699999999998</v>
      </c>
      <c r="T971" s="110">
        <v>243.49700000000001</v>
      </c>
      <c r="U971" s="110">
        <v>188.929</v>
      </c>
      <c r="V971" s="110">
        <v>149.77699999999999</v>
      </c>
      <c r="W971" s="110">
        <v>100.91</v>
      </c>
      <c r="X971" s="110">
        <v>56.365000000000002</v>
      </c>
      <c r="Y971" s="110">
        <v>26.827000000000002</v>
      </c>
      <c r="Z971" s="110">
        <v>9.3019999999999996</v>
      </c>
      <c r="AA971" s="110">
        <v>2.9489999999999998</v>
      </c>
      <c r="AB971" s="110">
        <v>0.47899999999999998</v>
      </c>
      <c r="AC971" s="115">
        <f t="shared" si="42"/>
        <v>3562.8269999999998</v>
      </c>
      <c r="AD971">
        <f t="shared" si="43"/>
        <v>1.002988278852726</v>
      </c>
    </row>
    <row r="972" spans="1:30" x14ac:dyDescent="0.25">
      <c r="A972" s="104" t="str">
        <f t="shared" si="41"/>
        <v>Haiti2039</v>
      </c>
      <c r="C972" s="107" t="s">
        <v>257</v>
      </c>
      <c r="D972" s="108" t="s">
        <v>138</v>
      </c>
      <c r="E972" s="109"/>
      <c r="F972" s="109">
        <v>332</v>
      </c>
      <c r="G972" s="109">
        <v>2039</v>
      </c>
      <c r="H972" s="110">
        <v>549.21100000000001</v>
      </c>
      <c r="I972" s="110">
        <v>558.10599999999999</v>
      </c>
      <c r="J972" s="110">
        <v>565.24699999999996</v>
      </c>
      <c r="K972" s="110">
        <v>567.00199999999995</v>
      </c>
      <c r="L972" s="110">
        <v>559.86400000000003</v>
      </c>
      <c r="M972" s="110">
        <v>540.75099999999998</v>
      </c>
      <c r="N972" s="110">
        <v>520.92200000000003</v>
      </c>
      <c r="O972" s="110">
        <v>489.25400000000002</v>
      </c>
      <c r="P972" s="110">
        <v>463.99400000000003</v>
      </c>
      <c r="Q972" s="110">
        <v>430.39299999999997</v>
      </c>
      <c r="R972" s="110">
        <v>398.98</v>
      </c>
      <c r="S972" s="110">
        <v>348.303</v>
      </c>
      <c r="T972" s="110">
        <v>255.12700000000001</v>
      </c>
      <c r="U972" s="110">
        <v>192.905</v>
      </c>
      <c r="V972" s="110">
        <v>153.083</v>
      </c>
      <c r="W972" s="110">
        <v>104.812</v>
      </c>
      <c r="X972" s="110">
        <v>57.771000000000001</v>
      </c>
      <c r="Y972" s="110">
        <v>27.756</v>
      </c>
      <c r="Z972" s="110">
        <v>9.2360000000000007</v>
      </c>
      <c r="AA972" s="110">
        <v>2.9249999999999998</v>
      </c>
      <c r="AB972" s="110">
        <v>0.496</v>
      </c>
      <c r="AC972" s="115">
        <f t="shared" si="42"/>
        <v>3572.18</v>
      </c>
      <c r="AD972">
        <f t="shared" si="43"/>
        <v>1.0026251625464835</v>
      </c>
    </row>
    <row r="973" spans="1:30" x14ac:dyDescent="0.25">
      <c r="A973" s="104" t="str">
        <f t="shared" si="41"/>
        <v>Haiti2040</v>
      </c>
      <c r="C973" s="107" t="s">
        <v>257</v>
      </c>
      <c r="D973" s="108" t="s">
        <v>138</v>
      </c>
      <c r="E973" s="109"/>
      <c r="F973" s="109">
        <v>332</v>
      </c>
      <c r="G973" s="109">
        <v>2040</v>
      </c>
      <c r="H973" s="110">
        <v>545.39200000000005</v>
      </c>
      <c r="I973" s="110">
        <v>554.56899999999996</v>
      </c>
      <c r="J973" s="110">
        <v>562.69200000000001</v>
      </c>
      <c r="K973" s="110">
        <v>565.01700000000005</v>
      </c>
      <c r="L973" s="110">
        <v>560.04600000000005</v>
      </c>
      <c r="M973" s="110">
        <v>540.399</v>
      </c>
      <c r="N973" s="110">
        <v>522.69100000000003</v>
      </c>
      <c r="O973" s="110">
        <v>491.29399999999998</v>
      </c>
      <c r="P973" s="110">
        <v>466.87799999999999</v>
      </c>
      <c r="Q973" s="110">
        <v>433.863</v>
      </c>
      <c r="R973" s="110">
        <v>402.45499999999998</v>
      </c>
      <c r="S973" s="110">
        <v>360.36099999999999</v>
      </c>
      <c r="T973" s="110">
        <v>268.39400000000001</v>
      </c>
      <c r="U973" s="110">
        <v>198.74700000000001</v>
      </c>
      <c r="V973" s="110">
        <v>156.398</v>
      </c>
      <c r="W973" s="110">
        <v>108.52800000000001</v>
      </c>
      <c r="X973" s="110">
        <v>59.703000000000003</v>
      </c>
      <c r="Y973" s="110">
        <v>28.213999999999999</v>
      </c>
      <c r="Z973" s="110">
        <v>9.1240000000000006</v>
      </c>
      <c r="AA973" s="110">
        <v>2.5649999999999999</v>
      </c>
      <c r="AB973" s="110">
        <v>0.51300000000000001</v>
      </c>
      <c r="AC973" s="115">
        <f t="shared" si="42"/>
        <v>3580.1880000000001</v>
      </c>
      <c r="AD973">
        <f t="shared" si="43"/>
        <v>1.0022417683319431</v>
      </c>
    </row>
    <row r="974" spans="1:30" x14ac:dyDescent="0.25">
      <c r="A974" s="104" t="str">
        <f t="shared" si="41"/>
        <v>Haiti2041</v>
      </c>
      <c r="C974" s="107" t="s">
        <v>257</v>
      </c>
      <c r="D974" s="108" t="s">
        <v>138</v>
      </c>
      <c r="E974" s="109"/>
      <c r="F974" s="109">
        <v>332</v>
      </c>
      <c r="G974" s="109">
        <v>2041</v>
      </c>
      <c r="H974" s="110">
        <v>542.15499999999997</v>
      </c>
      <c r="I974" s="110">
        <v>551.47299999999996</v>
      </c>
      <c r="J974" s="110">
        <v>559.71400000000006</v>
      </c>
      <c r="K974" s="110">
        <v>562.81200000000001</v>
      </c>
      <c r="L974" s="110">
        <v>558.88400000000001</v>
      </c>
      <c r="M974" s="110">
        <v>540.79999999999995</v>
      </c>
      <c r="N974" s="110">
        <v>524.01900000000001</v>
      </c>
      <c r="O974" s="110">
        <v>494.33699999999999</v>
      </c>
      <c r="P974" s="110">
        <v>469.488</v>
      </c>
      <c r="Q974" s="110">
        <v>437.67399999999998</v>
      </c>
      <c r="R974" s="110">
        <v>405.71</v>
      </c>
      <c r="S974" s="110">
        <v>369</v>
      </c>
      <c r="T974" s="110">
        <v>282.113</v>
      </c>
      <c r="U974" s="110">
        <v>204.85400000000001</v>
      </c>
      <c r="V974" s="110">
        <v>158.059</v>
      </c>
      <c r="W974" s="110">
        <v>111.30200000000001</v>
      </c>
      <c r="X974" s="110">
        <v>62.561</v>
      </c>
      <c r="Y974" s="110">
        <v>29.693000000000001</v>
      </c>
      <c r="Z974" s="110">
        <v>10.234999999999999</v>
      </c>
      <c r="AA974" s="110">
        <v>2.6659999999999999</v>
      </c>
      <c r="AB974" s="110">
        <v>0.52900000000000003</v>
      </c>
      <c r="AC974" s="115">
        <f t="shared" si="42"/>
        <v>3588.0139999999997</v>
      </c>
      <c r="AD974">
        <f t="shared" si="43"/>
        <v>1.0021859187282902</v>
      </c>
    </row>
    <row r="975" spans="1:30" x14ac:dyDescent="0.25">
      <c r="A975" s="104" t="str">
        <f t="shared" si="41"/>
        <v>Haiti2042</v>
      </c>
      <c r="C975" s="107" t="s">
        <v>257</v>
      </c>
      <c r="D975" s="108" t="s">
        <v>138</v>
      </c>
      <c r="E975" s="109"/>
      <c r="F975" s="109">
        <v>332</v>
      </c>
      <c r="G975" s="109">
        <v>2042</v>
      </c>
      <c r="H975" s="110">
        <v>538.721</v>
      </c>
      <c r="I975" s="110">
        <v>548.28800000000001</v>
      </c>
      <c r="J975" s="110">
        <v>556.75900000000001</v>
      </c>
      <c r="K975" s="110">
        <v>560.58500000000004</v>
      </c>
      <c r="L975" s="110">
        <v>557.34199999999998</v>
      </c>
      <c r="M975" s="110">
        <v>541.44200000000001</v>
      </c>
      <c r="N975" s="110">
        <v>524.20299999999997</v>
      </c>
      <c r="O975" s="110">
        <v>497.93700000000001</v>
      </c>
      <c r="P975" s="110">
        <v>471.32600000000002</v>
      </c>
      <c r="Q975" s="110">
        <v>441.86200000000002</v>
      </c>
      <c r="R975" s="110">
        <v>409.01</v>
      </c>
      <c r="S975" s="110">
        <v>374.892</v>
      </c>
      <c r="T975" s="110">
        <v>297.62900000000002</v>
      </c>
      <c r="U975" s="110">
        <v>212.453</v>
      </c>
      <c r="V975" s="110">
        <v>159.739</v>
      </c>
      <c r="W975" s="110">
        <v>113.99</v>
      </c>
      <c r="X975" s="110">
        <v>65.450999999999993</v>
      </c>
      <c r="Y975" s="110">
        <v>30.652999999999999</v>
      </c>
      <c r="Z975" s="110">
        <v>11.11</v>
      </c>
      <c r="AA975" s="110">
        <v>2.8719999999999999</v>
      </c>
      <c r="AB975" s="110">
        <v>0.54500000000000004</v>
      </c>
      <c r="AC975" s="115">
        <f t="shared" si="42"/>
        <v>3594.6970000000001</v>
      </c>
      <c r="AD975">
        <f t="shared" si="43"/>
        <v>1.0018625902797482</v>
      </c>
    </row>
    <row r="976" spans="1:30" x14ac:dyDescent="0.25">
      <c r="A976" s="104" t="str">
        <f t="shared" si="41"/>
        <v>Haiti2043</v>
      </c>
      <c r="C976" s="107" t="s">
        <v>257</v>
      </c>
      <c r="D976" s="108" t="s">
        <v>138</v>
      </c>
      <c r="E976" s="109"/>
      <c r="F976" s="109">
        <v>332</v>
      </c>
      <c r="G976" s="109">
        <v>2043</v>
      </c>
      <c r="H976" s="110">
        <v>535.12699999999995</v>
      </c>
      <c r="I976" s="110">
        <v>544.92200000000003</v>
      </c>
      <c r="J976" s="110">
        <v>553.87599999999998</v>
      </c>
      <c r="K976" s="110">
        <v>558.20000000000005</v>
      </c>
      <c r="L976" s="110">
        <v>555.71199999999999</v>
      </c>
      <c r="M976" s="110">
        <v>542.02700000000004</v>
      </c>
      <c r="N976" s="110">
        <v>523.62900000000002</v>
      </c>
      <c r="O976" s="110">
        <v>501.61900000000003</v>
      </c>
      <c r="P976" s="110">
        <v>472.74299999999999</v>
      </c>
      <c r="Q976" s="110">
        <v>446.10300000000001</v>
      </c>
      <c r="R976" s="110">
        <v>412.41399999999999</v>
      </c>
      <c r="S976" s="110">
        <v>378.85500000000002</v>
      </c>
      <c r="T976" s="110">
        <v>313.601</v>
      </c>
      <c r="U976" s="110">
        <v>221.59100000000001</v>
      </c>
      <c r="V976" s="110">
        <v>162.07400000000001</v>
      </c>
      <c r="W976" s="110">
        <v>116.681</v>
      </c>
      <c r="X976" s="110">
        <v>68.183999999999997</v>
      </c>
      <c r="Y976" s="110">
        <v>31.254999999999999</v>
      </c>
      <c r="Z976" s="110">
        <v>11.743</v>
      </c>
      <c r="AA976" s="110">
        <v>3.0470000000000002</v>
      </c>
      <c r="AB976" s="110">
        <v>0.55900000000000005</v>
      </c>
      <c r="AC976" s="115">
        <f t="shared" si="42"/>
        <v>3600.0330000000004</v>
      </c>
      <c r="AD976">
        <f t="shared" si="43"/>
        <v>1.0014844088389092</v>
      </c>
    </row>
    <row r="977" spans="1:30" x14ac:dyDescent="0.25">
      <c r="A977" s="104" t="str">
        <f t="shared" si="41"/>
        <v>Haiti2044</v>
      </c>
      <c r="C977" s="107" t="s">
        <v>257</v>
      </c>
      <c r="D977" s="108" t="s">
        <v>138</v>
      </c>
      <c r="E977" s="109"/>
      <c r="F977" s="109">
        <v>332</v>
      </c>
      <c r="G977" s="109">
        <v>2044</v>
      </c>
      <c r="H977" s="110">
        <v>531.33799999999997</v>
      </c>
      <c r="I977" s="110">
        <v>541.33100000000002</v>
      </c>
      <c r="J977" s="110">
        <v>551.00800000000004</v>
      </c>
      <c r="K977" s="110">
        <v>555.65099999999995</v>
      </c>
      <c r="L977" s="110">
        <v>554.17600000000004</v>
      </c>
      <c r="M977" s="110">
        <v>542.17899999999997</v>
      </c>
      <c r="N977" s="110">
        <v>522.96699999999998</v>
      </c>
      <c r="O977" s="110">
        <v>504.62299999999999</v>
      </c>
      <c r="P977" s="110">
        <v>474.34100000000001</v>
      </c>
      <c r="Q977" s="110">
        <v>449.88799999999998</v>
      </c>
      <c r="R977" s="110">
        <v>415.935</v>
      </c>
      <c r="S977" s="110">
        <v>382.25599999999997</v>
      </c>
      <c r="T977" s="110">
        <v>328.06299999999999</v>
      </c>
      <c r="U977" s="110">
        <v>232.434</v>
      </c>
      <c r="V977" s="110">
        <v>165.84200000000001</v>
      </c>
      <c r="W977" s="110">
        <v>119.33</v>
      </c>
      <c r="X977" s="110">
        <v>70.581999999999994</v>
      </c>
      <c r="Y977" s="110">
        <v>31.86</v>
      </c>
      <c r="Z977" s="110">
        <v>11.984999999999999</v>
      </c>
      <c r="AA977" s="110">
        <v>3.052</v>
      </c>
      <c r="AB977" s="110">
        <v>0.57099999999999995</v>
      </c>
      <c r="AC977" s="115">
        <f t="shared" si="42"/>
        <v>3603.8249999999998</v>
      </c>
      <c r="AD977">
        <f t="shared" si="43"/>
        <v>1.001053323677866</v>
      </c>
    </row>
    <row r="978" spans="1:30" x14ac:dyDescent="0.25">
      <c r="A978" s="104" t="str">
        <f t="shared" si="41"/>
        <v>Haiti2045</v>
      </c>
      <c r="C978" s="107" t="s">
        <v>257</v>
      </c>
      <c r="D978" s="108" t="s">
        <v>138</v>
      </c>
      <c r="E978" s="109"/>
      <c r="F978" s="109">
        <v>332</v>
      </c>
      <c r="G978" s="109">
        <v>2045</v>
      </c>
      <c r="H978" s="110">
        <v>527.39300000000003</v>
      </c>
      <c r="I978" s="110">
        <v>537.50300000000004</v>
      </c>
      <c r="J978" s="110">
        <v>548.01800000000003</v>
      </c>
      <c r="K978" s="110">
        <v>553.04399999999998</v>
      </c>
      <c r="L978" s="110">
        <v>552.68600000000004</v>
      </c>
      <c r="M978" s="110">
        <v>541.81299999999999</v>
      </c>
      <c r="N978" s="110">
        <v>522.61300000000006</v>
      </c>
      <c r="O978" s="110">
        <v>506.47399999999999</v>
      </c>
      <c r="P978" s="110">
        <v>476.47</v>
      </c>
      <c r="Q978" s="110">
        <v>452.92</v>
      </c>
      <c r="R978" s="110">
        <v>419.57499999999999</v>
      </c>
      <c r="S978" s="110">
        <v>385.94200000000001</v>
      </c>
      <c r="T978" s="110">
        <v>339.81900000000002</v>
      </c>
      <c r="U978" s="110">
        <v>244.99700000000001</v>
      </c>
      <c r="V978" s="110">
        <v>171.43199999999999</v>
      </c>
      <c r="W978" s="110">
        <v>121.965</v>
      </c>
      <c r="X978" s="110">
        <v>72.701999999999998</v>
      </c>
      <c r="Y978" s="110">
        <v>32.609000000000002</v>
      </c>
      <c r="Z978" s="110">
        <v>11.784000000000001</v>
      </c>
      <c r="AA978" s="110">
        <v>2.7410000000000001</v>
      </c>
      <c r="AB978" s="110">
        <v>0.58099999999999996</v>
      </c>
      <c r="AC978" s="115">
        <f t="shared" si="42"/>
        <v>3606.0200000000004</v>
      </c>
      <c r="AD978">
        <f t="shared" si="43"/>
        <v>1.0006090750799499</v>
      </c>
    </row>
    <row r="979" spans="1:30" x14ac:dyDescent="0.25">
      <c r="A979" s="104" t="str">
        <f t="shared" si="41"/>
        <v>Haiti2046</v>
      </c>
      <c r="C979" s="107" t="s">
        <v>257</v>
      </c>
      <c r="D979" s="108" t="s">
        <v>138</v>
      </c>
      <c r="E979" s="109"/>
      <c r="F979" s="109">
        <v>332</v>
      </c>
      <c r="G979" s="109">
        <v>2046</v>
      </c>
      <c r="H979" s="110">
        <v>524.11400000000003</v>
      </c>
      <c r="I979" s="110">
        <v>534.16600000000005</v>
      </c>
      <c r="J979" s="110">
        <v>544.59</v>
      </c>
      <c r="K979" s="110">
        <v>550.27700000000004</v>
      </c>
      <c r="L979" s="110">
        <v>550.21</v>
      </c>
      <c r="M979" s="110">
        <v>541.40200000000004</v>
      </c>
      <c r="N979" s="110">
        <v>523.10199999999998</v>
      </c>
      <c r="O979" s="110">
        <v>507.83300000000003</v>
      </c>
      <c r="P979" s="110">
        <v>479.53199999999998</v>
      </c>
      <c r="Q979" s="110">
        <v>455.44400000000002</v>
      </c>
      <c r="R979" s="110">
        <v>423.22899999999998</v>
      </c>
      <c r="S979" s="110">
        <v>389.017</v>
      </c>
      <c r="T979" s="110">
        <v>347.71300000000002</v>
      </c>
      <c r="U979" s="110">
        <v>257.46899999999999</v>
      </c>
      <c r="V979" s="110">
        <v>176.69300000000001</v>
      </c>
      <c r="W979" s="110">
        <v>123.548</v>
      </c>
      <c r="X979" s="110">
        <v>75.234999999999999</v>
      </c>
      <c r="Y979" s="110">
        <v>34.884</v>
      </c>
      <c r="Z979" s="110">
        <v>12.843999999999999</v>
      </c>
      <c r="AA979" s="110">
        <v>3.0409999999999999</v>
      </c>
      <c r="AB979" s="110">
        <v>0.58799999999999997</v>
      </c>
      <c r="AC979" s="115">
        <f t="shared" si="42"/>
        <v>3607.8</v>
      </c>
      <c r="AD979">
        <f t="shared" si="43"/>
        <v>1.000493619003777</v>
      </c>
    </row>
    <row r="980" spans="1:30" x14ac:dyDescent="0.25">
      <c r="A980" s="104" t="str">
        <f t="shared" si="41"/>
        <v>Haiti2047</v>
      </c>
      <c r="C980" s="107" t="s">
        <v>257</v>
      </c>
      <c r="D980" s="108" t="s">
        <v>138</v>
      </c>
      <c r="E980" s="109"/>
      <c r="F980" s="109">
        <v>332</v>
      </c>
      <c r="G980" s="109">
        <v>2047</v>
      </c>
      <c r="H980" s="110">
        <v>520.14499999999998</v>
      </c>
      <c r="I980" s="110">
        <v>530.90099999999995</v>
      </c>
      <c r="J980" s="110">
        <v>541.173</v>
      </c>
      <c r="K980" s="110">
        <v>547.56399999999996</v>
      </c>
      <c r="L980" s="110">
        <v>547.69899999999996</v>
      </c>
      <c r="M980" s="110">
        <v>540.40800000000002</v>
      </c>
      <c r="N980" s="110">
        <v>523.82600000000002</v>
      </c>
      <c r="O980" s="110">
        <v>508.10399999999998</v>
      </c>
      <c r="P980" s="110">
        <v>483.19</v>
      </c>
      <c r="Q980" s="110">
        <v>457.29300000000001</v>
      </c>
      <c r="R980" s="110">
        <v>427.35199999999998</v>
      </c>
      <c r="S980" s="110">
        <v>392.24900000000002</v>
      </c>
      <c r="T980" s="110">
        <v>353.238</v>
      </c>
      <c r="U980" s="110">
        <v>271.76499999999999</v>
      </c>
      <c r="V980" s="110">
        <v>183.203</v>
      </c>
      <c r="W980" s="110">
        <v>124.98399999999999</v>
      </c>
      <c r="X980" s="110">
        <v>77.481999999999999</v>
      </c>
      <c r="Y980" s="110">
        <v>36.83</v>
      </c>
      <c r="Z980" s="110">
        <v>13.425000000000001</v>
      </c>
      <c r="AA980" s="110">
        <v>3.5350000000000001</v>
      </c>
      <c r="AB980" s="110">
        <v>0.59299999999999997</v>
      </c>
      <c r="AC980" s="115">
        <f t="shared" si="42"/>
        <v>3608.0839999999998</v>
      </c>
      <c r="AD980">
        <f t="shared" si="43"/>
        <v>1.0000787183325017</v>
      </c>
    </row>
    <row r="981" spans="1:30" x14ac:dyDescent="0.25">
      <c r="A981" s="104" t="str">
        <f t="shared" si="41"/>
        <v>Haiti2048</v>
      </c>
      <c r="C981" s="107" t="s">
        <v>257</v>
      </c>
      <c r="D981" s="108" t="s">
        <v>138</v>
      </c>
      <c r="E981" s="109"/>
      <c r="F981" s="109">
        <v>332</v>
      </c>
      <c r="G981" s="109">
        <v>2048</v>
      </c>
      <c r="H981" s="110">
        <v>515.71799999999996</v>
      </c>
      <c r="I981" s="110">
        <v>527.60199999999998</v>
      </c>
      <c r="J981" s="110">
        <v>537.83600000000001</v>
      </c>
      <c r="K981" s="110">
        <v>544.745</v>
      </c>
      <c r="L981" s="110">
        <v>545.36500000000001</v>
      </c>
      <c r="M981" s="110">
        <v>538.85299999999995</v>
      </c>
      <c r="N981" s="110">
        <v>524.54600000000005</v>
      </c>
      <c r="O981" s="110">
        <v>507.673</v>
      </c>
      <c r="P981" s="110">
        <v>486.947</v>
      </c>
      <c r="Q981" s="110">
        <v>458.81400000000002</v>
      </c>
      <c r="R981" s="110">
        <v>431.61900000000003</v>
      </c>
      <c r="S981" s="110">
        <v>395.66500000000002</v>
      </c>
      <c r="T981" s="110">
        <v>357.19099999999997</v>
      </c>
      <c r="U981" s="110">
        <v>286.60300000000001</v>
      </c>
      <c r="V981" s="110">
        <v>191.161</v>
      </c>
      <c r="W981" s="110">
        <v>126.89400000000001</v>
      </c>
      <c r="X981" s="110">
        <v>79.444999999999993</v>
      </c>
      <c r="Y981" s="110">
        <v>38.280999999999999</v>
      </c>
      <c r="Z981" s="110">
        <v>13.766</v>
      </c>
      <c r="AA981" s="110">
        <v>3.9180000000000001</v>
      </c>
      <c r="AB981" s="110">
        <v>0.59799999999999998</v>
      </c>
      <c r="AC981" s="115">
        <f t="shared" si="42"/>
        <v>3606.9429999999998</v>
      </c>
      <c r="AD981">
        <f t="shared" si="43"/>
        <v>0.99968376567729578</v>
      </c>
    </row>
    <row r="982" spans="1:30" x14ac:dyDescent="0.25">
      <c r="A982" s="104" t="str">
        <f t="shared" si="41"/>
        <v>Haiti2049</v>
      </c>
      <c r="C982" s="107" t="s">
        <v>257</v>
      </c>
      <c r="D982" s="108" t="s">
        <v>138</v>
      </c>
      <c r="E982" s="109"/>
      <c r="F982" s="109">
        <v>332</v>
      </c>
      <c r="G982" s="109">
        <v>2049</v>
      </c>
      <c r="H982" s="110">
        <v>511.17500000000001</v>
      </c>
      <c r="I982" s="110">
        <v>524.13400000000001</v>
      </c>
      <c r="J982" s="110">
        <v>534.58500000000004</v>
      </c>
      <c r="K982" s="110">
        <v>541.774</v>
      </c>
      <c r="L982" s="110">
        <v>543.22799999999995</v>
      </c>
      <c r="M982" s="110">
        <v>536.93799999999999</v>
      </c>
      <c r="N982" s="110">
        <v>524.85500000000002</v>
      </c>
      <c r="O982" s="110">
        <v>507.16300000000001</v>
      </c>
      <c r="P982" s="110">
        <v>490.03199999999998</v>
      </c>
      <c r="Q982" s="110">
        <v>460.57799999999997</v>
      </c>
      <c r="R982" s="110">
        <v>435.51600000000002</v>
      </c>
      <c r="S982" s="110">
        <v>399.28300000000002</v>
      </c>
      <c r="T982" s="110">
        <v>360.822</v>
      </c>
      <c r="U982" s="110">
        <v>300.14400000000001</v>
      </c>
      <c r="V982" s="110">
        <v>200.852</v>
      </c>
      <c r="W982" s="110">
        <v>129.983</v>
      </c>
      <c r="X982" s="110">
        <v>81.061000000000007</v>
      </c>
      <c r="Y982" s="110">
        <v>39.356000000000002</v>
      </c>
      <c r="Z982" s="110">
        <v>13.832000000000001</v>
      </c>
      <c r="AA982" s="110">
        <v>3.9660000000000002</v>
      </c>
      <c r="AB982" s="110">
        <v>0.60699999999999998</v>
      </c>
      <c r="AC982" s="115">
        <f t="shared" si="42"/>
        <v>3604.5680000000002</v>
      </c>
      <c r="AD982">
        <f t="shared" si="43"/>
        <v>0.99934154767624561</v>
      </c>
    </row>
    <row r="983" spans="1:30" x14ac:dyDescent="0.25">
      <c r="A983" s="104" t="str">
        <f t="shared" si="41"/>
        <v>Haiti2050</v>
      </c>
      <c r="C983" s="107" t="s">
        <v>257</v>
      </c>
      <c r="D983" s="108" t="s">
        <v>138</v>
      </c>
      <c r="E983" s="109"/>
      <c r="F983" s="109">
        <v>332</v>
      </c>
      <c r="G983" s="109">
        <v>2050</v>
      </c>
      <c r="H983" s="110">
        <v>506.79700000000003</v>
      </c>
      <c r="I983" s="110">
        <v>520.32799999999997</v>
      </c>
      <c r="J983" s="110">
        <v>531.36300000000006</v>
      </c>
      <c r="K983" s="110">
        <v>538.73500000000001</v>
      </c>
      <c r="L983" s="110">
        <v>541.13400000000001</v>
      </c>
      <c r="M983" s="110">
        <v>534.928</v>
      </c>
      <c r="N983" s="110">
        <v>524.495</v>
      </c>
      <c r="O983" s="110">
        <v>506.93700000000001</v>
      </c>
      <c r="P983" s="110">
        <v>491.98500000000001</v>
      </c>
      <c r="Q983" s="110">
        <v>462.89600000000002</v>
      </c>
      <c r="R983" s="110">
        <v>438.738</v>
      </c>
      <c r="S983" s="110">
        <v>403.11599999999999</v>
      </c>
      <c r="T983" s="110">
        <v>364.84800000000001</v>
      </c>
      <c r="U983" s="110">
        <v>311.32499999999999</v>
      </c>
      <c r="V983" s="110">
        <v>212.33199999999999</v>
      </c>
      <c r="W983" s="110">
        <v>134.625</v>
      </c>
      <c r="X983" s="110">
        <v>82.436000000000007</v>
      </c>
      <c r="Y983" s="110">
        <v>40.064</v>
      </c>
      <c r="Z983" s="110">
        <v>13.71</v>
      </c>
      <c r="AA983" s="110">
        <v>3.544</v>
      </c>
      <c r="AB983" s="110">
        <v>0.622</v>
      </c>
      <c r="AC983" s="115">
        <f t="shared" si="42"/>
        <v>3601.11</v>
      </c>
      <c r="AD983">
        <f t="shared" si="43"/>
        <v>0.99904066173810557</v>
      </c>
    </row>
    <row r="984" spans="1:30" x14ac:dyDescent="0.25">
      <c r="A984" s="104" t="str">
        <f t="shared" si="41"/>
        <v>Haiti2051</v>
      </c>
      <c r="C984" s="107" t="s">
        <v>257</v>
      </c>
      <c r="D984" s="108" t="s">
        <v>138</v>
      </c>
      <c r="E984" s="109"/>
      <c r="F984" s="109">
        <v>332</v>
      </c>
      <c r="G984" s="109">
        <v>2051</v>
      </c>
      <c r="H984" s="110">
        <v>502.78300000000002</v>
      </c>
      <c r="I984" s="110">
        <v>516.79700000000003</v>
      </c>
      <c r="J984" s="110">
        <v>527.91999999999996</v>
      </c>
      <c r="K984" s="110">
        <v>535.63699999999994</v>
      </c>
      <c r="L984" s="110">
        <v>538.26900000000001</v>
      </c>
      <c r="M984" s="110">
        <v>533.38300000000004</v>
      </c>
      <c r="N984" s="110">
        <v>524.32399999999996</v>
      </c>
      <c r="O984" s="110">
        <v>507.58699999999999</v>
      </c>
      <c r="P984" s="110">
        <v>493.47500000000002</v>
      </c>
      <c r="Q984" s="110">
        <v>465.95499999999998</v>
      </c>
      <c r="R984" s="110">
        <v>441.197</v>
      </c>
      <c r="S984" s="110">
        <v>406.625</v>
      </c>
      <c r="T984" s="110">
        <v>367.66</v>
      </c>
      <c r="U984" s="110">
        <v>318.31700000000001</v>
      </c>
      <c r="V984" s="110">
        <v>223.173</v>
      </c>
      <c r="W984" s="110">
        <v>139.26</v>
      </c>
      <c r="X984" s="110">
        <v>84.18</v>
      </c>
      <c r="Y984" s="110">
        <v>42.256</v>
      </c>
      <c r="Z984" s="110">
        <v>15.228</v>
      </c>
      <c r="AA984" s="110">
        <v>3.8109999999999999</v>
      </c>
      <c r="AB984" s="110">
        <v>0.64600000000000002</v>
      </c>
      <c r="AC984" s="115">
        <f t="shared" si="42"/>
        <v>3598.6299999999997</v>
      </c>
      <c r="AD984">
        <f t="shared" si="43"/>
        <v>0.9993113234530463</v>
      </c>
    </row>
    <row r="985" spans="1:30" x14ac:dyDescent="0.25">
      <c r="A985" s="104" t="str">
        <f t="shared" ref="A985:A1048" si="44">D985&amp;G985</f>
        <v>Haiti2052</v>
      </c>
      <c r="C985" s="107" t="s">
        <v>257</v>
      </c>
      <c r="D985" s="108" t="s">
        <v>138</v>
      </c>
      <c r="E985" s="109"/>
      <c r="F985" s="109">
        <v>332</v>
      </c>
      <c r="G985" s="109">
        <v>2052</v>
      </c>
      <c r="H985" s="110">
        <v>498.82499999999999</v>
      </c>
      <c r="I985" s="110">
        <v>513.08399999999995</v>
      </c>
      <c r="J985" s="110">
        <v>524.57799999999997</v>
      </c>
      <c r="K985" s="110">
        <v>532.52</v>
      </c>
      <c r="L985" s="110">
        <v>535.39</v>
      </c>
      <c r="M985" s="110">
        <v>531.56600000000003</v>
      </c>
      <c r="N985" s="110">
        <v>523.54</v>
      </c>
      <c r="O985" s="110">
        <v>508.48899999999998</v>
      </c>
      <c r="P985" s="110">
        <v>493.92700000000002</v>
      </c>
      <c r="Q985" s="110">
        <v>469.654</v>
      </c>
      <c r="R985" s="110">
        <v>443.077</v>
      </c>
      <c r="S985" s="110">
        <v>410.69600000000003</v>
      </c>
      <c r="T985" s="110">
        <v>370.75099999999998</v>
      </c>
      <c r="U985" s="110">
        <v>323.38299999999998</v>
      </c>
      <c r="V985" s="110">
        <v>235.68600000000001</v>
      </c>
      <c r="W985" s="110">
        <v>144.58000000000001</v>
      </c>
      <c r="X985" s="110">
        <v>85.510999999999996</v>
      </c>
      <c r="Y985" s="110">
        <v>43.978999999999999</v>
      </c>
      <c r="Z985" s="110">
        <v>16.279</v>
      </c>
      <c r="AA985" s="110">
        <v>4.2270000000000003</v>
      </c>
      <c r="AB985" s="110">
        <v>0.67600000000000005</v>
      </c>
      <c r="AC985" s="115">
        <f t="shared" si="42"/>
        <v>3595.0859999999998</v>
      </c>
      <c r="AD985">
        <f t="shared" si="43"/>
        <v>0.99901518077712914</v>
      </c>
    </row>
    <row r="986" spans="1:30" x14ac:dyDescent="0.25">
      <c r="A986" s="104" t="str">
        <f t="shared" si="44"/>
        <v>Haiti2053</v>
      </c>
      <c r="C986" s="107" t="s">
        <v>257</v>
      </c>
      <c r="D986" s="108" t="s">
        <v>138</v>
      </c>
      <c r="E986" s="109"/>
      <c r="F986" s="109">
        <v>332</v>
      </c>
      <c r="G986" s="109">
        <v>2053</v>
      </c>
      <c r="H986" s="110">
        <v>494.89699999999999</v>
      </c>
      <c r="I986" s="110">
        <v>509.11599999999999</v>
      </c>
      <c r="J986" s="110">
        <v>521.35199999999998</v>
      </c>
      <c r="K986" s="110">
        <v>529.28599999999994</v>
      </c>
      <c r="L986" s="110">
        <v>532.67999999999995</v>
      </c>
      <c r="M986" s="110">
        <v>529.43399999999997</v>
      </c>
      <c r="N986" s="110">
        <v>522.24099999999999</v>
      </c>
      <c r="O986" s="110">
        <v>509.40600000000001</v>
      </c>
      <c r="P986" s="110">
        <v>493.68200000000002</v>
      </c>
      <c r="Q986" s="110">
        <v>473.50799999999998</v>
      </c>
      <c r="R986" s="110">
        <v>444.71100000000001</v>
      </c>
      <c r="S986" s="110">
        <v>414.98200000000003</v>
      </c>
      <c r="T986" s="110">
        <v>374.161</v>
      </c>
      <c r="U986" s="110">
        <v>327.27199999999999</v>
      </c>
      <c r="V986" s="110">
        <v>248.815</v>
      </c>
      <c r="W986" s="110">
        <v>150.88900000000001</v>
      </c>
      <c r="X986" s="110">
        <v>86.915000000000006</v>
      </c>
      <c r="Y986" s="110">
        <v>45.097000000000001</v>
      </c>
      <c r="Z986" s="110">
        <v>16.984999999999999</v>
      </c>
      <c r="AA986" s="110">
        <v>4.5590000000000002</v>
      </c>
      <c r="AB986" s="110">
        <v>0.71</v>
      </c>
      <c r="AC986" s="115">
        <f t="shared" ref="AC986:AC1049" si="45">SUM(K986:Q986)</f>
        <v>3590.2369999999992</v>
      </c>
      <c r="AD986">
        <f t="shared" ref="AD986:AD1049" si="46">IF(D986=D985,AC986/AC985,"")</f>
        <v>0.99865121446329774</v>
      </c>
    </row>
    <row r="987" spans="1:30" x14ac:dyDescent="0.25">
      <c r="A987" s="104" t="str">
        <f t="shared" si="44"/>
        <v>Haiti2054</v>
      </c>
      <c r="C987" s="107" t="s">
        <v>257</v>
      </c>
      <c r="D987" s="108" t="s">
        <v>138</v>
      </c>
      <c r="E987" s="109"/>
      <c r="F987" s="109">
        <v>332</v>
      </c>
      <c r="G987" s="109">
        <v>2054</v>
      </c>
      <c r="H987" s="110">
        <v>490.87400000000002</v>
      </c>
      <c r="I987" s="110">
        <v>504.91500000000002</v>
      </c>
      <c r="J987" s="110">
        <v>518.12599999999998</v>
      </c>
      <c r="K987" s="110">
        <v>525.98400000000004</v>
      </c>
      <c r="L987" s="110">
        <v>530.15</v>
      </c>
      <c r="M987" s="110">
        <v>527.03200000000004</v>
      </c>
      <c r="N987" s="110">
        <v>520.60599999999999</v>
      </c>
      <c r="O987" s="110">
        <v>509.93400000000003</v>
      </c>
      <c r="P987" s="110">
        <v>493.36500000000001</v>
      </c>
      <c r="Q987" s="110">
        <v>476.762</v>
      </c>
      <c r="R987" s="110">
        <v>446.666</v>
      </c>
      <c r="S987" s="110">
        <v>418.98899999999998</v>
      </c>
      <c r="T987" s="110">
        <v>377.935</v>
      </c>
      <c r="U987" s="110">
        <v>331.09500000000003</v>
      </c>
      <c r="V987" s="110">
        <v>260.96100000000001</v>
      </c>
      <c r="W987" s="110">
        <v>158.63</v>
      </c>
      <c r="X987" s="110">
        <v>88.944000000000003</v>
      </c>
      <c r="Y987" s="110">
        <v>45.72</v>
      </c>
      <c r="Z987" s="110">
        <v>17.216000000000001</v>
      </c>
      <c r="AA987" s="110">
        <v>4.5970000000000004</v>
      </c>
      <c r="AB987" s="110">
        <v>0.74399999999999999</v>
      </c>
      <c r="AC987" s="115">
        <f t="shared" si="45"/>
        <v>3583.8330000000001</v>
      </c>
      <c r="AD987">
        <f t="shared" si="46"/>
        <v>0.99821627374460264</v>
      </c>
    </row>
    <row r="988" spans="1:30" x14ac:dyDescent="0.25">
      <c r="A988" s="104" t="str">
        <f t="shared" si="44"/>
        <v>Haiti2055</v>
      </c>
      <c r="C988" s="107" t="s">
        <v>257</v>
      </c>
      <c r="D988" s="108" t="s">
        <v>138</v>
      </c>
      <c r="E988" s="109"/>
      <c r="F988" s="109">
        <v>332</v>
      </c>
      <c r="G988" s="109">
        <v>2055</v>
      </c>
      <c r="H988" s="110">
        <v>486.70800000000003</v>
      </c>
      <c r="I988" s="110">
        <v>500.56799999999998</v>
      </c>
      <c r="J988" s="110">
        <v>514.721</v>
      </c>
      <c r="K988" s="110">
        <v>522.74300000000005</v>
      </c>
      <c r="L988" s="110">
        <v>527.65</v>
      </c>
      <c r="M988" s="110">
        <v>524.52499999999998</v>
      </c>
      <c r="N988" s="110">
        <v>518.74099999999999</v>
      </c>
      <c r="O988" s="110">
        <v>509.8</v>
      </c>
      <c r="P988" s="110">
        <v>493.35199999999998</v>
      </c>
      <c r="Q988" s="110">
        <v>478.95299999999997</v>
      </c>
      <c r="R988" s="110">
        <v>449.24099999999999</v>
      </c>
      <c r="S988" s="110">
        <v>422.435</v>
      </c>
      <c r="T988" s="110">
        <v>382.08800000000002</v>
      </c>
      <c r="U988" s="110">
        <v>335.46199999999999</v>
      </c>
      <c r="V988" s="110">
        <v>271.20800000000003</v>
      </c>
      <c r="W988" s="110">
        <v>168.029</v>
      </c>
      <c r="X988" s="110">
        <v>91.927000000000007</v>
      </c>
      <c r="Y988" s="110">
        <v>45.924999999999997</v>
      </c>
      <c r="Z988" s="110">
        <v>17.001999999999999</v>
      </c>
      <c r="AA988" s="110">
        <v>4.1429999999999998</v>
      </c>
      <c r="AB988" s="110">
        <v>0.77600000000000002</v>
      </c>
      <c r="AC988" s="115">
        <f t="shared" si="45"/>
        <v>3575.7640000000001</v>
      </c>
      <c r="AD988">
        <f t="shared" si="46"/>
        <v>0.99774849999986048</v>
      </c>
    </row>
    <row r="989" spans="1:30" x14ac:dyDescent="0.25">
      <c r="A989" s="104" t="str">
        <f t="shared" si="44"/>
        <v>Haiti2056</v>
      </c>
      <c r="C989" s="107" t="s">
        <v>257</v>
      </c>
      <c r="D989" s="108" t="s">
        <v>138</v>
      </c>
      <c r="E989" s="109"/>
      <c r="F989" s="109">
        <v>332</v>
      </c>
      <c r="G989" s="109">
        <v>2056</v>
      </c>
      <c r="H989" s="110">
        <v>483.16199999999998</v>
      </c>
      <c r="I989" s="110">
        <v>496.70299999999997</v>
      </c>
      <c r="J989" s="110">
        <v>510.90800000000002</v>
      </c>
      <c r="K989" s="110">
        <v>519.58299999999997</v>
      </c>
      <c r="L989" s="110">
        <v>524.41600000000005</v>
      </c>
      <c r="M989" s="110">
        <v>522.50199999999995</v>
      </c>
      <c r="N989" s="110">
        <v>517.38300000000004</v>
      </c>
      <c r="O989" s="110">
        <v>509.73599999999999</v>
      </c>
      <c r="P989" s="110">
        <v>494.101</v>
      </c>
      <c r="Q989" s="110">
        <v>480.41699999999997</v>
      </c>
      <c r="R989" s="110">
        <v>452.20400000000001</v>
      </c>
      <c r="S989" s="110">
        <v>424.73700000000002</v>
      </c>
      <c r="T989" s="110">
        <v>385.26100000000002</v>
      </c>
      <c r="U989" s="110">
        <v>337.94900000000001</v>
      </c>
      <c r="V989" s="110">
        <v>276.98099999999999</v>
      </c>
      <c r="W989" s="110">
        <v>177.24600000000001</v>
      </c>
      <c r="X989" s="110">
        <v>95.981999999999999</v>
      </c>
      <c r="Y989" s="110">
        <v>47.686</v>
      </c>
      <c r="Z989" s="110">
        <v>18.638000000000002</v>
      </c>
      <c r="AA989" s="110">
        <v>4.5449999999999999</v>
      </c>
      <c r="AB989" s="110">
        <v>0.80400000000000005</v>
      </c>
      <c r="AC989" s="115">
        <f t="shared" si="45"/>
        <v>3568.1379999999999</v>
      </c>
      <c r="AD989">
        <f t="shared" si="46"/>
        <v>0.99786730891636022</v>
      </c>
    </row>
    <row r="990" spans="1:30" x14ac:dyDescent="0.25">
      <c r="A990" s="104" t="str">
        <f t="shared" si="44"/>
        <v>Haiti2057</v>
      </c>
      <c r="C990" s="107" t="s">
        <v>257</v>
      </c>
      <c r="D990" s="108" t="s">
        <v>138</v>
      </c>
      <c r="E990" s="109"/>
      <c r="F990" s="109">
        <v>332</v>
      </c>
      <c r="G990" s="109">
        <v>2057</v>
      </c>
      <c r="H990" s="110">
        <v>479.13</v>
      </c>
      <c r="I990" s="110">
        <v>492.92399999999998</v>
      </c>
      <c r="J990" s="110">
        <v>507.00900000000001</v>
      </c>
      <c r="K990" s="110">
        <v>516.55600000000004</v>
      </c>
      <c r="L990" s="110">
        <v>521.13900000000001</v>
      </c>
      <c r="M990" s="110">
        <v>520.279</v>
      </c>
      <c r="N990" s="110">
        <v>515.77099999999996</v>
      </c>
      <c r="O990" s="110">
        <v>509.13</v>
      </c>
      <c r="P990" s="110">
        <v>495.161</v>
      </c>
      <c r="Q990" s="110">
        <v>480.94900000000001</v>
      </c>
      <c r="R990" s="110">
        <v>455.9</v>
      </c>
      <c r="S990" s="110">
        <v>426.62799999999999</v>
      </c>
      <c r="T990" s="110">
        <v>389.16300000000001</v>
      </c>
      <c r="U990" s="110">
        <v>340.85599999999999</v>
      </c>
      <c r="V990" s="110">
        <v>281.30599999999998</v>
      </c>
      <c r="W990" s="110">
        <v>187.631</v>
      </c>
      <c r="X990" s="110">
        <v>100.033</v>
      </c>
      <c r="Y990" s="110">
        <v>48.857999999999997</v>
      </c>
      <c r="Z990" s="110">
        <v>19.66</v>
      </c>
      <c r="AA990" s="110">
        <v>5.194</v>
      </c>
      <c r="AB990" s="110">
        <v>0.82899999999999996</v>
      </c>
      <c r="AC990" s="115">
        <f t="shared" si="45"/>
        <v>3558.9850000000001</v>
      </c>
      <c r="AD990">
        <f t="shared" si="46"/>
        <v>0.99743479652412548</v>
      </c>
    </row>
    <row r="991" spans="1:30" x14ac:dyDescent="0.25">
      <c r="A991" s="104" t="str">
        <f t="shared" si="44"/>
        <v>Haiti2058</v>
      </c>
      <c r="C991" s="107" t="s">
        <v>257</v>
      </c>
      <c r="D991" s="108" t="s">
        <v>138</v>
      </c>
      <c r="E991" s="109"/>
      <c r="F991" s="109">
        <v>332</v>
      </c>
      <c r="G991" s="109">
        <v>2058</v>
      </c>
      <c r="H991" s="110">
        <v>474.774</v>
      </c>
      <c r="I991" s="110">
        <v>489.15699999999998</v>
      </c>
      <c r="J991" s="110">
        <v>503.10700000000003</v>
      </c>
      <c r="K991" s="110">
        <v>513.46299999999997</v>
      </c>
      <c r="L991" s="110">
        <v>518.03200000000004</v>
      </c>
      <c r="M991" s="110">
        <v>517.79</v>
      </c>
      <c r="N991" s="110">
        <v>513.91200000000003</v>
      </c>
      <c r="O991" s="110">
        <v>508.06099999999998</v>
      </c>
      <c r="P991" s="110">
        <v>496.26499999999999</v>
      </c>
      <c r="Q991" s="110">
        <v>480.88900000000001</v>
      </c>
      <c r="R991" s="110">
        <v>459.83800000000002</v>
      </c>
      <c r="S991" s="110">
        <v>428.39600000000002</v>
      </c>
      <c r="T991" s="110">
        <v>393.45299999999997</v>
      </c>
      <c r="U991" s="110">
        <v>344.202</v>
      </c>
      <c r="V991" s="110">
        <v>285.00900000000001</v>
      </c>
      <c r="W991" s="110">
        <v>198.31700000000001</v>
      </c>
      <c r="X991" s="110">
        <v>104.392</v>
      </c>
      <c r="Y991" s="110">
        <v>49.67</v>
      </c>
      <c r="Z991" s="110">
        <v>20.222000000000001</v>
      </c>
      <c r="AA991" s="110">
        <v>5.6959999999999997</v>
      </c>
      <c r="AB991" s="110">
        <v>0.85399999999999998</v>
      </c>
      <c r="AC991" s="115">
        <f t="shared" si="45"/>
        <v>3548.4120000000003</v>
      </c>
      <c r="AD991">
        <f t="shared" si="46"/>
        <v>0.99702920917059223</v>
      </c>
    </row>
    <row r="992" spans="1:30" x14ac:dyDescent="0.25">
      <c r="A992" s="104" t="str">
        <f t="shared" si="44"/>
        <v>Haiti2059</v>
      </c>
      <c r="C992" s="107" t="s">
        <v>257</v>
      </c>
      <c r="D992" s="108" t="s">
        <v>138</v>
      </c>
      <c r="E992" s="109"/>
      <c r="F992" s="109">
        <v>332</v>
      </c>
      <c r="G992" s="109">
        <v>2059</v>
      </c>
      <c r="H992" s="110">
        <v>470.35700000000003</v>
      </c>
      <c r="I992" s="110">
        <v>485.28800000000001</v>
      </c>
      <c r="J992" s="110">
        <v>499.25799999999998</v>
      </c>
      <c r="K992" s="110">
        <v>510.17599999999999</v>
      </c>
      <c r="L992" s="110">
        <v>515.16600000000005</v>
      </c>
      <c r="M992" s="110">
        <v>515.03</v>
      </c>
      <c r="N992" s="110">
        <v>511.79700000000003</v>
      </c>
      <c r="O992" s="110">
        <v>506.67200000000003</v>
      </c>
      <c r="P992" s="110">
        <v>496.97500000000002</v>
      </c>
      <c r="Q992" s="110">
        <v>480.81700000000001</v>
      </c>
      <c r="R992" s="110">
        <v>463.25200000000001</v>
      </c>
      <c r="S992" s="110">
        <v>430.55500000000001</v>
      </c>
      <c r="T992" s="110">
        <v>397.63799999999998</v>
      </c>
      <c r="U992" s="110">
        <v>348.07400000000001</v>
      </c>
      <c r="V992" s="110">
        <v>289.01</v>
      </c>
      <c r="W992" s="110">
        <v>208.04499999999999</v>
      </c>
      <c r="X992" s="110">
        <v>109.57599999999999</v>
      </c>
      <c r="Y992" s="110">
        <v>50.572000000000003</v>
      </c>
      <c r="Z992" s="110">
        <v>20.234000000000002</v>
      </c>
      <c r="AA992" s="110">
        <v>5.7530000000000001</v>
      </c>
      <c r="AB992" s="110">
        <v>0.88100000000000001</v>
      </c>
      <c r="AC992" s="115">
        <f t="shared" si="45"/>
        <v>3536.6329999999998</v>
      </c>
      <c r="AD992">
        <f t="shared" si="46"/>
        <v>0.99668048693330979</v>
      </c>
    </row>
    <row r="993" spans="1:30" x14ac:dyDescent="0.25">
      <c r="A993" s="104" t="str">
        <f t="shared" si="44"/>
        <v>Haiti2060</v>
      </c>
      <c r="C993" s="107" t="s">
        <v>257</v>
      </c>
      <c r="D993" s="108" t="s">
        <v>138</v>
      </c>
      <c r="E993" s="109"/>
      <c r="F993" s="109">
        <v>332</v>
      </c>
      <c r="G993" s="109">
        <v>2060</v>
      </c>
      <c r="H993" s="110">
        <v>466.09399999999999</v>
      </c>
      <c r="I993" s="110">
        <v>481.18299999999999</v>
      </c>
      <c r="J993" s="110">
        <v>495.44099999999997</v>
      </c>
      <c r="K993" s="110">
        <v>506.71800000000002</v>
      </c>
      <c r="L993" s="110">
        <v>512.42999999999995</v>
      </c>
      <c r="M993" s="110">
        <v>512.13400000000001</v>
      </c>
      <c r="N993" s="110">
        <v>509.42599999999999</v>
      </c>
      <c r="O993" s="110">
        <v>505.03399999999999</v>
      </c>
      <c r="P993" s="110">
        <v>497.03199999999998</v>
      </c>
      <c r="Q993" s="110">
        <v>481.06799999999998</v>
      </c>
      <c r="R993" s="110">
        <v>465.67399999999998</v>
      </c>
      <c r="S993" s="110">
        <v>433.387</v>
      </c>
      <c r="T993" s="110">
        <v>401.41300000000001</v>
      </c>
      <c r="U993" s="110">
        <v>352.52699999999999</v>
      </c>
      <c r="V993" s="110">
        <v>293.697</v>
      </c>
      <c r="W993" s="110">
        <v>216.261</v>
      </c>
      <c r="X993" s="110">
        <v>115.923</v>
      </c>
      <c r="Y993" s="110">
        <v>51.798000000000002</v>
      </c>
      <c r="Z993" s="110">
        <v>19.693999999999999</v>
      </c>
      <c r="AA993" s="110">
        <v>5.1689999999999996</v>
      </c>
      <c r="AB993" s="110">
        <v>0.91300000000000003</v>
      </c>
      <c r="AC993" s="115">
        <f t="shared" si="45"/>
        <v>3523.8419999999996</v>
      </c>
      <c r="AD993">
        <f t="shared" si="46"/>
        <v>0.99638328319619252</v>
      </c>
    </row>
    <row r="994" spans="1:30" x14ac:dyDescent="0.25">
      <c r="A994" s="104" t="str">
        <f t="shared" si="44"/>
        <v>Haiti2061</v>
      </c>
      <c r="C994" s="107" t="s">
        <v>257</v>
      </c>
      <c r="D994" s="108" t="s">
        <v>138</v>
      </c>
      <c r="E994" s="109"/>
      <c r="F994" s="109">
        <v>332</v>
      </c>
      <c r="G994" s="109">
        <v>2061</v>
      </c>
      <c r="H994" s="110">
        <v>462.279</v>
      </c>
      <c r="I994" s="110">
        <v>477.38099999999997</v>
      </c>
      <c r="J994" s="110">
        <v>491.5</v>
      </c>
      <c r="K994" s="110">
        <v>503.197</v>
      </c>
      <c r="L994" s="110">
        <v>509.18</v>
      </c>
      <c r="M994" s="110">
        <v>509.73500000000001</v>
      </c>
      <c r="N994" s="110">
        <v>507.62099999999998</v>
      </c>
      <c r="O994" s="110">
        <v>503.82400000000001</v>
      </c>
      <c r="P994" s="110">
        <v>497.101</v>
      </c>
      <c r="Q994" s="110">
        <v>481.84699999999998</v>
      </c>
      <c r="R994" s="110">
        <v>467.09800000000001</v>
      </c>
      <c r="S994" s="110">
        <v>436.245</v>
      </c>
      <c r="T994" s="110">
        <v>403.44</v>
      </c>
      <c r="U994" s="110">
        <v>355.36200000000002</v>
      </c>
      <c r="V994" s="110">
        <v>295.82299999999998</v>
      </c>
      <c r="W994" s="110">
        <v>221.179</v>
      </c>
      <c r="X994" s="110">
        <v>123.536</v>
      </c>
      <c r="Y994" s="110">
        <v>55.087000000000003</v>
      </c>
      <c r="Z994" s="110">
        <v>21.183</v>
      </c>
      <c r="AA994" s="110">
        <v>5.6040000000000001</v>
      </c>
      <c r="AB994" s="110">
        <v>0.95099999999999996</v>
      </c>
      <c r="AC994" s="115">
        <f t="shared" si="45"/>
        <v>3512.5050000000001</v>
      </c>
      <c r="AD994">
        <f t="shared" si="46"/>
        <v>0.99678277289390405</v>
      </c>
    </row>
    <row r="995" spans="1:30" x14ac:dyDescent="0.25">
      <c r="A995" s="104" t="str">
        <f t="shared" si="44"/>
        <v>Haiti2062</v>
      </c>
      <c r="C995" s="107" t="s">
        <v>257</v>
      </c>
      <c r="D995" s="108" t="s">
        <v>138</v>
      </c>
      <c r="E995" s="109"/>
      <c r="F995" s="109">
        <v>332</v>
      </c>
      <c r="G995" s="109">
        <v>2062</v>
      </c>
      <c r="H995" s="110">
        <v>458.5</v>
      </c>
      <c r="I995" s="110">
        <v>473.50700000000001</v>
      </c>
      <c r="J995" s="110">
        <v>487.654</v>
      </c>
      <c r="K995" s="110">
        <v>499.55700000000002</v>
      </c>
      <c r="L995" s="110">
        <v>505.99299999999999</v>
      </c>
      <c r="M995" s="110">
        <v>507.07400000000001</v>
      </c>
      <c r="N995" s="110">
        <v>505.589</v>
      </c>
      <c r="O995" s="110">
        <v>502.38099999999997</v>
      </c>
      <c r="P995" s="110">
        <v>496.65600000000001</v>
      </c>
      <c r="Q995" s="110">
        <v>482.98099999999999</v>
      </c>
      <c r="R995" s="110">
        <v>467.68599999999998</v>
      </c>
      <c r="S995" s="110">
        <v>439.92</v>
      </c>
      <c r="T995" s="110">
        <v>405.24700000000001</v>
      </c>
      <c r="U995" s="110">
        <v>359.05</v>
      </c>
      <c r="V995" s="110">
        <v>298.35000000000002</v>
      </c>
      <c r="W995" s="110">
        <v>224.89</v>
      </c>
      <c r="X995" s="110">
        <v>131.53399999999999</v>
      </c>
      <c r="Y995" s="110">
        <v>57.792999999999999</v>
      </c>
      <c r="Z995" s="110">
        <v>22.02</v>
      </c>
      <c r="AA995" s="110">
        <v>6.2640000000000002</v>
      </c>
      <c r="AB995" s="110">
        <v>0.99199999999999999</v>
      </c>
      <c r="AC995" s="115">
        <f t="shared" si="45"/>
        <v>3500.2309999999998</v>
      </c>
      <c r="AD995">
        <f t="shared" si="46"/>
        <v>0.99650562774999596</v>
      </c>
    </row>
    <row r="996" spans="1:30" x14ac:dyDescent="0.25">
      <c r="A996" s="104" t="str">
        <f t="shared" si="44"/>
        <v>Haiti2063</v>
      </c>
      <c r="C996" s="107" t="s">
        <v>257</v>
      </c>
      <c r="D996" s="108" t="s">
        <v>138</v>
      </c>
      <c r="E996" s="109"/>
      <c r="F996" s="109">
        <v>332</v>
      </c>
      <c r="G996" s="109">
        <v>2063</v>
      </c>
      <c r="H996" s="110">
        <v>454.762</v>
      </c>
      <c r="I996" s="110">
        <v>469.50400000000002</v>
      </c>
      <c r="J996" s="110">
        <v>483.928</v>
      </c>
      <c r="K996" s="110">
        <v>495.74400000000003</v>
      </c>
      <c r="L996" s="110">
        <v>502.988</v>
      </c>
      <c r="M996" s="110">
        <v>504.15</v>
      </c>
      <c r="N996" s="110">
        <v>503.32499999999999</v>
      </c>
      <c r="O996" s="110">
        <v>500.71600000000001</v>
      </c>
      <c r="P996" s="110">
        <v>495.755</v>
      </c>
      <c r="Q996" s="110">
        <v>484.20699999999999</v>
      </c>
      <c r="R996" s="110">
        <v>467.76900000000001</v>
      </c>
      <c r="S996" s="110">
        <v>443.89800000000002</v>
      </c>
      <c r="T996" s="110">
        <v>407.13200000000001</v>
      </c>
      <c r="U996" s="110">
        <v>363.24799999999999</v>
      </c>
      <c r="V996" s="110">
        <v>301.488</v>
      </c>
      <c r="W996" s="110">
        <v>228.18799999999999</v>
      </c>
      <c r="X996" s="110">
        <v>139.18799999999999</v>
      </c>
      <c r="Y996" s="110">
        <v>60.15</v>
      </c>
      <c r="Z996" s="110">
        <v>22.516999999999999</v>
      </c>
      <c r="AA996" s="110">
        <v>6.7539999999999996</v>
      </c>
      <c r="AB996" s="110">
        <v>1.0369999999999999</v>
      </c>
      <c r="AC996" s="115">
        <f t="shared" si="45"/>
        <v>3486.8850000000002</v>
      </c>
      <c r="AD996">
        <f t="shared" si="46"/>
        <v>0.99618710879367689</v>
      </c>
    </row>
    <row r="997" spans="1:30" x14ac:dyDescent="0.25">
      <c r="A997" s="104" t="str">
        <f t="shared" si="44"/>
        <v>Haiti2064</v>
      </c>
      <c r="C997" s="107" t="s">
        <v>257</v>
      </c>
      <c r="D997" s="108" t="s">
        <v>138</v>
      </c>
      <c r="E997" s="109"/>
      <c r="F997" s="109">
        <v>332</v>
      </c>
      <c r="G997" s="109">
        <v>2064</v>
      </c>
      <c r="H997" s="110">
        <v>451.00400000000002</v>
      </c>
      <c r="I997" s="110">
        <v>465.38799999999998</v>
      </c>
      <c r="J997" s="110">
        <v>480.255</v>
      </c>
      <c r="K997" s="110">
        <v>491.84899999999999</v>
      </c>
      <c r="L997" s="110">
        <v>500.1</v>
      </c>
      <c r="M997" s="110">
        <v>501.05700000000002</v>
      </c>
      <c r="N997" s="110">
        <v>500.82900000000001</v>
      </c>
      <c r="O997" s="110">
        <v>498.82900000000001</v>
      </c>
      <c r="P997" s="110">
        <v>494.55200000000002</v>
      </c>
      <c r="Q997" s="110">
        <v>485.11900000000003</v>
      </c>
      <c r="R997" s="110">
        <v>467.92700000000002</v>
      </c>
      <c r="S997" s="110">
        <v>447.44400000000002</v>
      </c>
      <c r="T997" s="110">
        <v>409.58499999999998</v>
      </c>
      <c r="U997" s="110">
        <v>367.52800000000002</v>
      </c>
      <c r="V997" s="110">
        <v>305.43200000000002</v>
      </c>
      <c r="W997" s="110">
        <v>231.798</v>
      </c>
      <c r="X997" s="110">
        <v>145.65700000000001</v>
      </c>
      <c r="Y997" s="110">
        <v>62.859000000000002</v>
      </c>
      <c r="Z997" s="110">
        <v>22.631</v>
      </c>
      <c r="AA997" s="110">
        <v>6.758</v>
      </c>
      <c r="AB997" s="110">
        <v>1.0820000000000001</v>
      </c>
      <c r="AC997" s="115">
        <f t="shared" si="45"/>
        <v>3472.3350000000005</v>
      </c>
      <c r="AD997">
        <f t="shared" si="46"/>
        <v>0.99582722114437394</v>
      </c>
    </row>
    <row r="998" spans="1:30" x14ac:dyDescent="0.25">
      <c r="A998" s="104" t="str">
        <f t="shared" si="44"/>
        <v>Haiti2065</v>
      </c>
      <c r="C998" s="107" t="s">
        <v>257</v>
      </c>
      <c r="D998" s="108" t="s">
        <v>138</v>
      </c>
      <c r="E998" s="109"/>
      <c r="F998" s="109">
        <v>332</v>
      </c>
      <c r="G998" s="109">
        <v>2065</v>
      </c>
      <c r="H998" s="110">
        <v>447.221</v>
      </c>
      <c r="I998" s="110">
        <v>461.2</v>
      </c>
      <c r="J998" s="110">
        <v>476.49599999999998</v>
      </c>
      <c r="K998" s="110">
        <v>488.029</v>
      </c>
      <c r="L998" s="110">
        <v>497.142</v>
      </c>
      <c r="M998" s="110">
        <v>497.97800000000001</v>
      </c>
      <c r="N998" s="110">
        <v>498.09199999999998</v>
      </c>
      <c r="O998" s="110">
        <v>496.70800000000003</v>
      </c>
      <c r="P998" s="110">
        <v>493.14299999999997</v>
      </c>
      <c r="Q998" s="110">
        <v>485.44900000000001</v>
      </c>
      <c r="R998" s="110">
        <v>468.48700000000002</v>
      </c>
      <c r="S998" s="110">
        <v>450.12400000000002</v>
      </c>
      <c r="T998" s="110">
        <v>412.84800000000001</v>
      </c>
      <c r="U998" s="110">
        <v>371.649</v>
      </c>
      <c r="V998" s="110">
        <v>310.21699999999998</v>
      </c>
      <c r="W998" s="110">
        <v>236.04</v>
      </c>
      <c r="X998" s="110">
        <v>150.81</v>
      </c>
      <c r="Y998" s="110">
        <v>66.12</v>
      </c>
      <c r="Z998" s="110">
        <v>22.471</v>
      </c>
      <c r="AA998" s="110">
        <v>6.0339999999999998</v>
      </c>
      <c r="AB998" s="110">
        <v>1.1259999999999999</v>
      </c>
      <c r="AC998" s="115">
        <f t="shared" si="45"/>
        <v>3456.5410000000002</v>
      </c>
      <c r="AD998">
        <f t="shared" si="46"/>
        <v>0.99545147573606796</v>
      </c>
    </row>
    <row r="999" spans="1:30" x14ac:dyDescent="0.25">
      <c r="A999" s="104" t="str">
        <f t="shared" si="44"/>
        <v>Haiti2066</v>
      </c>
      <c r="C999" s="107" t="s">
        <v>257</v>
      </c>
      <c r="D999" s="108" t="s">
        <v>138</v>
      </c>
      <c r="E999" s="109"/>
      <c r="F999" s="109">
        <v>332</v>
      </c>
      <c r="G999" s="109">
        <v>2066</v>
      </c>
      <c r="H999" s="110">
        <v>443.98500000000001</v>
      </c>
      <c r="I999" s="110">
        <v>457.41500000000002</v>
      </c>
      <c r="J999" s="110">
        <v>472.46100000000001</v>
      </c>
      <c r="K999" s="110">
        <v>484.30200000000002</v>
      </c>
      <c r="L999" s="110">
        <v>493.46</v>
      </c>
      <c r="M999" s="110">
        <v>495.43099999999998</v>
      </c>
      <c r="N999" s="110">
        <v>495.815</v>
      </c>
      <c r="O999" s="110">
        <v>494.95800000000003</v>
      </c>
      <c r="P999" s="110">
        <v>491.99799999999999</v>
      </c>
      <c r="Q999" s="110">
        <v>485.47899999999998</v>
      </c>
      <c r="R999" s="110">
        <v>469.202</v>
      </c>
      <c r="S999" s="110">
        <v>451.43099999999998</v>
      </c>
      <c r="T999" s="110">
        <v>415.435</v>
      </c>
      <c r="U999" s="110">
        <v>373.40600000000001</v>
      </c>
      <c r="V999" s="110">
        <v>312.72699999999998</v>
      </c>
      <c r="W999" s="110">
        <v>238.405</v>
      </c>
      <c r="X999" s="110">
        <v>155.358</v>
      </c>
      <c r="Y999" s="110">
        <v>72.013999999999996</v>
      </c>
      <c r="Z999" s="110">
        <v>24.738</v>
      </c>
      <c r="AA999" s="110">
        <v>6.4219999999999997</v>
      </c>
      <c r="AB999" s="110">
        <v>1.169</v>
      </c>
      <c r="AC999" s="115">
        <f t="shared" si="45"/>
        <v>3441.4429999999998</v>
      </c>
      <c r="AD999">
        <f t="shared" si="46"/>
        <v>0.99563204949688133</v>
      </c>
    </row>
    <row r="1000" spans="1:30" x14ac:dyDescent="0.25">
      <c r="A1000" s="104" t="str">
        <f t="shared" si="44"/>
        <v>Haiti2067</v>
      </c>
      <c r="C1000" s="107" t="s">
        <v>257</v>
      </c>
      <c r="D1000" s="108" t="s">
        <v>138</v>
      </c>
      <c r="E1000" s="109"/>
      <c r="F1000" s="109">
        <v>332</v>
      </c>
      <c r="G1000" s="109">
        <v>2067</v>
      </c>
      <c r="H1000" s="110">
        <v>440.48899999999998</v>
      </c>
      <c r="I1000" s="110">
        <v>453.75299999999999</v>
      </c>
      <c r="J1000" s="110">
        <v>468.43299999999999</v>
      </c>
      <c r="K1000" s="110">
        <v>480.70699999999999</v>
      </c>
      <c r="L1000" s="110">
        <v>489.65100000000001</v>
      </c>
      <c r="M1000" s="110">
        <v>492.803</v>
      </c>
      <c r="N1000" s="110">
        <v>493.30700000000002</v>
      </c>
      <c r="O1000" s="110">
        <v>493.053</v>
      </c>
      <c r="P1000" s="110">
        <v>490.68799999999999</v>
      </c>
      <c r="Q1000" s="110">
        <v>485.09500000000003</v>
      </c>
      <c r="R1000" s="110">
        <v>470.36799999999999</v>
      </c>
      <c r="S1000" s="110">
        <v>452.07600000000002</v>
      </c>
      <c r="T1000" s="110">
        <v>418.99900000000002</v>
      </c>
      <c r="U1000" s="110">
        <v>375.18400000000003</v>
      </c>
      <c r="V1000" s="110">
        <v>316.09300000000002</v>
      </c>
      <c r="W1000" s="110">
        <v>240.857</v>
      </c>
      <c r="X1000" s="110">
        <v>158.76</v>
      </c>
      <c r="Y1000" s="110">
        <v>77.471000000000004</v>
      </c>
      <c r="Z1000" s="110">
        <v>26.306999999999999</v>
      </c>
      <c r="AA1000" s="110">
        <v>7.0830000000000002</v>
      </c>
      <c r="AB1000" s="110">
        <v>1.2130000000000001</v>
      </c>
      <c r="AC1000" s="115">
        <f t="shared" si="45"/>
        <v>3425.3040000000001</v>
      </c>
      <c r="AD1000">
        <f t="shared" si="46"/>
        <v>0.99531039741178351</v>
      </c>
    </row>
    <row r="1001" spans="1:30" x14ac:dyDescent="0.25">
      <c r="A1001" s="104" t="str">
        <f t="shared" si="44"/>
        <v>Haiti2068</v>
      </c>
      <c r="C1001" s="107" t="s">
        <v>257</v>
      </c>
      <c r="D1001" s="108" t="s">
        <v>138</v>
      </c>
      <c r="E1001" s="109"/>
      <c r="F1001" s="109">
        <v>332</v>
      </c>
      <c r="G1001" s="109">
        <v>2068</v>
      </c>
      <c r="H1001" s="110">
        <v>436.81900000000002</v>
      </c>
      <c r="I1001" s="110">
        <v>450.15499999999997</v>
      </c>
      <c r="J1001" s="110">
        <v>464.47899999999998</v>
      </c>
      <c r="K1001" s="110">
        <v>477.09100000000001</v>
      </c>
      <c r="L1001" s="110">
        <v>485.935</v>
      </c>
      <c r="M1001" s="110">
        <v>489.97800000000001</v>
      </c>
      <c r="N1001" s="110">
        <v>490.60399999999998</v>
      </c>
      <c r="O1001" s="110">
        <v>490.97800000000001</v>
      </c>
      <c r="P1001" s="110">
        <v>489.19</v>
      </c>
      <c r="Q1001" s="110">
        <v>484.35399999999998</v>
      </c>
      <c r="R1001" s="110">
        <v>471.71699999999998</v>
      </c>
      <c r="S1001" s="110">
        <v>452.34500000000003</v>
      </c>
      <c r="T1001" s="110">
        <v>423.041</v>
      </c>
      <c r="U1001" s="110">
        <v>377.233</v>
      </c>
      <c r="V1001" s="110">
        <v>320.149</v>
      </c>
      <c r="W1001" s="110">
        <v>243.75800000000001</v>
      </c>
      <c r="X1001" s="110">
        <v>161.55600000000001</v>
      </c>
      <c r="Y1001" s="110">
        <v>81.878</v>
      </c>
      <c r="Z1001" s="110">
        <v>27.617999999999999</v>
      </c>
      <c r="AA1001" s="110">
        <v>7.6310000000000002</v>
      </c>
      <c r="AB1001" s="110">
        <v>1.2549999999999999</v>
      </c>
      <c r="AC1001" s="115">
        <f t="shared" si="45"/>
        <v>3408.13</v>
      </c>
      <c r="AD1001">
        <f t="shared" si="46"/>
        <v>0.99498613845661588</v>
      </c>
    </row>
    <row r="1002" spans="1:30" x14ac:dyDescent="0.25">
      <c r="A1002" s="104" t="str">
        <f t="shared" si="44"/>
        <v>Haiti2069</v>
      </c>
      <c r="C1002" s="107" t="s">
        <v>257</v>
      </c>
      <c r="D1002" s="108" t="s">
        <v>138</v>
      </c>
      <c r="E1002" s="109"/>
      <c r="F1002" s="109">
        <v>332</v>
      </c>
      <c r="G1002" s="109">
        <v>2069</v>
      </c>
      <c r="H1002" s="110">
        <v>433.101</v>
      </c>
      <c r="I1002" s="110">
        <v>446.54599999999999</v>
      </c>
      <c r="J1002" s="110">
        <v>460.63600000000002</v>
      </c>
      <c r="K1002" s="110">
        <v>473.37099999999998</v>
      </c>
      <c r="L1002" s="110">
        <v>482.43099999999998</v>
      </c>
      <c r="M1002" s="110">
        <v>486.88600000000002</v>
      </c>
      <c r="N1002" s="110">
        <v>487.76799999999997</v>
      </c>
      <c r="O1002" s="110">
        <v>488.70100000000002</v>
      </c>
      <c r="P1002" s="110">
        <v>487.48500000000001</v>
      </c>
      <c r="Q1002" s="110">
        <v>483.38099999999997</v>
      </c>
      <c r="R1002" s="110">
        <v>472.82600000000002</v>
      </c>
      <c r="S1002" s="110">
        <v>452.76400000000001</v>
      </c>
      <c r="T1002" s="110">
        <v>426.83300000000003</v>
      </c>
      <c r="U1002" s="110">
        <v>380.01600000000002</v>
      </c>
      <c r="V1002" s="110">
        <v>324.572</v>
      </c>
      <c r="W1002" s="110">
        <v>247.39699999999999</v>
      </c>
      <c r="X1002" s="110">
        <v>164.23</v>
      </c>
      <c r="Y1002" s="110">
        <v>85.317999999999998</v>
      </c>
      <c r="Z1002" s="110">
        <v>28.518999999999998</v>
      </c>
      <c r="AA1002" s="110">
        <v>7.7130000000000001</v>
      </c>
      <c r="AB1002" s="110">
        <v>1.2969999999999999</v>
      </c>
      <c r="AC1002" s="115">
        <f t="shared" si="45"/>
        <v>3390.0230000000001</v>
      </c>
      <c r="AD1002">
        <f t="shared" si="46"/>
        <v>0.99468711580837588</v>
      </c>
    </row>
    <row r="1003" spans="1:30" x14ac:dyDescent="0.25">
      <c r="A1003" s="104" t="str">
        <f t="shared" si="44"/>
        <v>Haiti2070</v>
      </c>
      <c r="C1003" s="107" t="s">
        <v>257</v>
      </c>
      <c r="D1003" s="108" t="s">
        <v>138</v>
      </c>
      <c r="E1003" s="109"/>
      <c r="F1003" s="109">
        <v>332</v>
      </c>
      <c r="G1003" s="109">
        <v>2070</v>
      </c>
      <c r="H1003" s="110">
        <v>429.46</v>
      </c>
      <c r="I1003" s="110">
        <v>442.82900000000001</v>
      </c>
      <c r="J1003" s="110">
        <v>456.88400000000001</v>
      </c>
      <c r="K1003" s="110">
        <v>469.59199999999998</v>
      </c>
      <c r="L1003" s="110">
        <v>479.08100000000002</v>
      </c>
      <c r="M1003" s="110">
        <v>483.6</v>
      </c>
      <c r="N1003" s="110">
        <v>484.83100000000002</v>
      </c>
      <c r="O1003" s="110">
        <v>486.19099999999997</v>
      </c>
      <c r="P1003" s="110">
        <v>485.56900000000002</v>
      </c>
      <c r="Q1003" s="110">
        <v>482.245</v>
      </c>
      <c r="R1003" s="110">
        <v>473.428</v>
      </c>
      <c r="S1003" s="110">
        <v>453.64800000000002</v>
      </c>
      <c r="T1003" s="110">
        <v>429.92899999999997</v>
      </c>
      <c r="U1003" s="110">
        <v>383.76400000000001</v>
      </c>
      <c r="V1003" s="110">
        <v>329.12299999999999</v>
      </c>
      <c r="W1003" s="110">
        <v>251.899</v>
      </c>
      <c r="X1003" s="110">
        <v>167.10900000000001</v>
      </c>
      <c r="Y1003" s="110">
        <v>87.674999999999997</v>
      </c>
      <c r="Z1003" s="110">
        <v>29.300999999999998</v>
      </c>
      <c r="AA1003" s="110">
        <v>7.024</v>
      </c>
      <c r="AB1003" s="110">
        <v>1.3380000000000001</v>
      </c>
      <c r="AC1003" s="115">
        <f t="shared" si="45"/>
        <v>3371.1089999999999</v>
      </c>
      <c r="AD1003">
        <f t="shared" si="46"/>
        <v>0.9944206868212988</v>
      </c>
    </row>
    <row r="1004" spans="1:30" x14ac:dyDescent="0.25">
      <c r="A1004" s="104" t="str">
        <f t="shared" si="44"/>
        <v>Haiti2071</v>
      </c>
      <c r="C1004" s="107" t="s">
        <v>257</v>
      </c>
      <c r="D1004" s="108" t="s">
        <v>138</v>
      </c>
      <c r="E1004" s="109"/>
      <c r="F1004" s="109">
        <v>332</v>
      </c>
      <c r="G1004" s="109">
        <v>2071</v>
      </c>
      <c r="H1004" s="110">
        <v>426.2</v>
      </c>
      <c r="I1004" s="110">
        <v>439.35399999999998</v>
      </c>
      <c r="J1004" s="110">
        <v>452.99700000000001</v>
      </c>
      <c r="K1004" s="110">
        <v>465.774</v>
      </c>
      <c r="L1004" s="110">
        <v>475.23</v>
      </c>
      <c r="M1004" s="110">
        <v>480.608</v>
      </c>
      <c r="N1004" s="110">
        <v>482.42500000000001</v>
      </c>
      <c r="O1004" s="110">
        <v>483.99299999999999</v>
      </c>
      <c r="P1004" s="110">
        <v>483.90899999999999</v>
      </c>
      <c r="Q1004" s="110">
        <v>481.10199999999998</v>
      </c>
      <c r="R1004" s="110">
        <v>473.43099999999998</v>
      </c>
      <c r="S1004" s="110">
        <v>454.32299999999998</v>
      </c>
      <c r="T1004" s="110">
        <v>431.017</v>
      </c>
      <c r="U1004" s="110">
        <v>386.13499999999999</v>
      </c>
      <c r="V1004" s="110">
        <v>330.63200000000001</v>
      </c>
      <c r="W1004" s="110">
        <v>254.608</v>
      </c>
      <c r="X1004" s="110">
        <v>170.10499999999999</v>
      </c>
      <c r="Y1004" s="110">
        <v>91.882000000000005</v>
      </c>
      <c r="Z1004" s="110">
        <v>33.195999999999998</v>
      </c>
      <c r="AA1004" s="110">
        <v>7.6849999999999996</v>
      </c>
      <c r="AB1004" s="110">
        <v>1.379</v>
      </c>
      <c r="AC1004" s="115">
        <f t="shared" si="45"/>
        <v>3353.0410000000002</v>
      </c>
      <c r="AD1004">
        <f t="shared" si="46"/>
        <v>0.99464033942539387</v>
      </c>
    </row>
    <row r="1005" spans="1:30" x14ac:dyDescent="0.25">
      <c r="A1005" s="104" t="str">
        <f t="shared" si="44"/>
        <v>Haiti2072</v>
      </c>
      <c r="C1005" s="107" t="s">
        <v>257</v>
      </c>
      <c r="D1005" s="108" t="s">
        <v>138</v>
      </c>
      <c r="E1005" s="109"/>
      <c r="F1005" s="109">
        <v>332</v>
      </c>
      <c r="G1005" s="109">
        <v>2072</v>
      </c>
      <c r="H1005" s="110">
        <v>422.846</v>
      </c>
      <c r="I1005" s="110">
        <v>435.93</v>
      </c>
      <c r="J1005" s="110">
        <v>449.25700000000001</v>
      </c>
      <c r="K1005" s="110">
        <v>461.964</v>
      </c>
      <c r="L1005" s="110">
        <v>471.48200000000003</v>
      </c>
      <c r="M1005" s="110">
        <v>477.32900000000001</v>
      </c>
      <c r="N1005" s="110">
        <v>479.94299999999998</v>
      </c>
      <c r="O1005" s="110">
        <v>481.61200000000002</v>
      </c>
      <c r="P1005" s="110">
        <v>482.13799999999998</v>
      </c>
      <c r="Q1005" s="110">
        <v>479.86399999999998</v>
      </c>
      <c r="R1005" s="110">
        <v>473.11</v>
      </c>
      <c r="S1005" s="110">
        <v>455.553</v>
      </c>
      <c r="T1005" s="110">
        <v>431.666</v>
      </c>
      <c r="U1005" s="110">
        <v>389.61200000000002</v>
      </c>
      <c r="V1005" s="110">
        <v>332.28800000000001</v>
      </c>
      <c r="W1005" s="110">
        <v>257.82100000000003</v>
      </c>
      <c r="X1005" s="110">
        <v>172.66499999999999</v>
      </c>
      <c r="Y1005" s="110">
        <v>94.837000000000003</v>
      </c>
      <c r="Z1005" s="110">
        <v>36.122</v>
      </c>
      <c r="AA1005" s="110">
        <v>8.7829999999999995</v>
      </c>
      <c r="AB1005" s="110">
        <v>1.42</v>
      </c>
      <c r="AC1005" s="115">
        <f t="shared" si="45"/>
        <v>3334.3319999999999</v>
      </c>
      <c r="AD1005">
        <f t="shared" si="46"/>
        <v>0.99442028892578405</v>
      </c>
    </row>
    <row r="1006" spans="1:30" x14ac:dyDescent="0.25">
      <c r="A1006" s="104" t="str">
        <f t="shared" si="44"/>
        <v>Haiti2073</v>
      </c>
      <c r="C1006" s="107" t="s">
        <v>257</v>
      </c>
      <c r="D1006" s="108" t="s">
        <v>138</v>
      </c>
      <c r="E1006" s="109"/>
      <c r="F1006" s="109">
        <v>332</v>
      </c>
      <c r="G1006" s="109">
        <v>2073</v>
      </c>
      <c r="H1006" s="110">
        <v>419.43299999999999</v>
      </c>
      <c r="I1006" s="110">
        <v>432.50099999999998</v>
      </c>
      <c r="J1006" s="110">
        <v>445.69499999999999</v>
      </c>
      <c r="K1006" s="110">
        <v>458.09500000000003</v>
      </c>
      <c r="L1006" s="110">
        <v>467.952</v>
      </c>
      <c r="M1006" s="110">
        <v>473.78100000000001</v>
      </c>
      <c r="N1006" s="110">
        <v>477.322</v>
      </c>
      <c r="O1006" s="110">
        <v>479.08300000000003</v>
      </c>
      <c r="P1006" s="110">
        <v>480.21899999999999</v>
      </c>
      <c r="Q1006" s="110">
        <v>478.51600000000002</v>
      </c>
      <c r="R1006" s="110">
        <v>472.51799999999997</v>
      </c>
      <c r="S1006" s="110">
        <v>457.03899999999999</v>
      </c>
      <c r="T1006" s="110">
        <v>432.15899999999999</v>
      </c>
      <c r="U1006" s="110">
        <v>393.68599999999998</v>
      </c>
      <c r="V1006" s="110">
        <v>334.471</v>
      </c>
      <c r="W1006" s="110">
        <v>261.565</v>
      </c>
      <c r="X1006" s="110">
        <v>175.14699999999999</v>
      </c>
      <c r="Y1006" s="110">
        <v>96.626000000000005</v>
      </c>
      <c r="Z1006" s="110">
        <v>38.319000000000003</v>
      </c>
      <c r="AA1006" s="110">
        <v>9.7289999999999992</v>
      </c>
      <c r="AB1006" s="110">
        <v>1.4650000000000001</v>
      </c>
      <c r="AC1006" s="115">
        <f t="shared" si="45"/>
        <v>3314.9680000000003</v>
      </c>
      <c r="AD1006">
        <f t="shared" si="46"/>
        <v>0.99419253991504153</v>
      </c>
    </row>
    <row r="1007" spans="1:30" x14ac:dyDescent="0.25">
      <c r="A1007" s="104" t="str">
        <f t="shared" si="44"/>
        <v>Haiti2074</v>
      </c>
      <c r="C1007" s="107" t="s">
        <v>257</v>
      </c>
      <c r="D1007" s="108" t="s">
        <v>138</v>
      </c>
      <c r="E1007" s="109"/>
      <c r="F1007" s="109">
        <v>332</v>
      </c>
      <c r="G1007" s="109">
        <v>2074</v>
      </c>
      <c r="H1007" s="110">
        <v>415.98899999999998</v>
      </c>
      <c r="I1007" s="110">
        <v>429.03100000000001</v>
      </c>
      <c r="J1007" s="110">
        <v>442.25799999999998</v>
      </c>
      <c r="K1007" s="110">
        <v>454.221</v>
      </c>
      <c r="L1007" s="110">
        <v>464.596</v>
      </c>
      <c r="M1007" s="110">
        <v>470.09100000000001</v>
      </c>
      <c r="N1007" s="110">
        <v>474.46899999999999</v>
      </c>
      <c r="O1007" s="110">
        <v>476.45499999999998</v>
      </c>
      <c r="P1007" s="110">
        <v>478.11599999999999</v>
      </c>
      <c r="Q1007" s="110">
        <v>477.03300000000002</v>
      </c>
      <c r="R1007" s="110">
        <v>471.77199999999999</v>
      </c>
      <c r="S1007" s="110">
        <v>458.36099999999999</v>
      </c>
      <c r="T1007" s="110">
        <v>432.988</v>
      </c>
      <c r="U1007" s="110">
        <v>397.69200000000001</v>
      </c>
      <c r="V1007" s="110">
        <v>337.65800000000002</v>
      </c>
      <c r="W1007" s="110">
        <v>265.66899999999998</v>
      </c>
      <c r="X1007" s="110">
        <v>177.87700000000001</v>
      </c>
      <c r="Y1007" s="110">
        <v>97.941999999999993</v>
      </c>
      <c r="Z1007" s="110">
        <v>39.493000000000002</v>
      </c>
      <c r="AA1007" s="110">
        <v>10.044</v>
      </c>
      <c r="AB1007" s="110">
        <v>1.518</v>
      </c>
      <c r="AC1007" s="115">
        <f t="shared" si="45"/>
        <v>3294.9809999999998</v>
      </c>
      <c r="AD1007">
        <f t="shared" si="46"/>
        <v>0.99397068086328422</v>
      </c>
    </row>
    <row r="1008" spans="1:30" x14ac:dyDescent="0.25">
      <c r="A1008" s="104" t="str">
        <f t="shared" si="44"/>
        <v>Haiti2075</v>
      </c>
      <c r="C1008" s="107" t="s">
        <v>257</v>
      </c>
      <c r="D1008" s="108" t="s">
        <v>138</v>
      </c>
      <c r="E1008" s="109"/>
      <c r="F1008" s="109">
        <v>332</v>
      </c>
      <c r="G1008" s="109">
        <v>2075</v>
      </c>
      <c r="H1008" s="110">
        <v>412.55200000000002</v>
      </c>
      <c r="I1008" s="110">
        <v>425.48899999999998</v>
      </c>
      <c r="J1008" s="110">
        <v>438.85500000000002</v>
      </c>
      <c r="K1008" s="110">
        <v>450.46300000000002</v>
      </c>
      <c r="L1008" s="110">
        <v>461.262</v>
      </c>
      <c r="M1008" s="110">
        <v>466.44099999999997</v>
      </c>
      <c r="N1008" s="110">
        <v>471.32400000000001</v>
      </c>
      <c r="O1008" s="110">
        <v>473.73899999999998</v>
      </c>
      <c r="P1008" s="110">
        <v>475.81099999999998</v>
      </c>
      <c r="Q1008" s="110">
        <v>475.38900000000001</v>
      </c>
      <c r="R1008" s="110">
        <v>470.92899999999997</v>
      </c>
      <c r="S1008" s="110">
        <v>459.26600000000002</v>
      </c>
      <c r="T1008" s="110">
        <v>434.40100000000001</v>
      </c>
      <c r="U1008" s="110">
        <v>401.24599999999998</v>
      </c>
      <c r="V1008" s="110">
        <v>342.01100000000002</v>
      </c>
      <c r="W1008" s="110">
        <v>270.03399999999999</v>
      </c>
      <c r="X1008" s="110">
        <v>181.107</v>
      </c>
      <c r="Y1008" s="110">
        <v>99.106999999999999</v>
      </c>
      <c r="Z1008" s="110">
        <v>39.761000000000003</v>
      </c>
      <c r="AA1008" s="110">
        <v>9.3699999999999992</v>
      </c>
      <c r="AB1008" s="110">
        <v>1.583</v>
      </c>
      <c r="AC1008" s="115">
        <f t="shared" si="45"/>
        <v>3274.4290000000001</v>
      </c>
      <c r="AD1008">
        <f t="shared" si="46"/>
        <v>0.99376263474660409</v>
      </c>
    </row>
    <row r="1009" spans="1:30" x14ac:dyDescent="0.25">
      <c r="A1009" s="104" t="str">
        <f t="shared" si="44"/>
        <v>Haiti2076</v>
      </c>
      <c r="C1009" s="107" t="s">
        <v>257</v>
      </c>
      <c r="D1009" s="108" t="s">
        <v>138</v>
      </c>
      <c r="E1009" s="109"/>
      <c r="F1009" s="109">
        <v>332</v>
      </c>
      <c r="G1009" s="109">
        <v>2076</v>
      </c>
      <c r="H1009" s="110">
        <v>409.41800000000001</v>
      </c>
      <c r="I1009" s="110">
        <v>422.15300000000002</v>
      </c>
      <c r="J1009" s="110">
        <v>435.23500000000001</v>
      </c>
      <c r="K1009" s="110">
        <v>446.779</v>
      </c>
      <c r="L1009" s="110">
        <v>457.32600000000002</v>
      </c>
      <c r="M1009" s="110">
        <v>463.245</v>
      </c>
      <c r="N1009" s="110">
        <v>468.46800000000002</v>
      </c>
      <c r="O1009" s="110">
        <v>471.40899999999999</v>
      </c>
      <c r="P1009" s="110">
        <v>473.697</v>
      </c>
      <c r="Q1009" s="110">
        <v>473.733</v>
      </c>
      <c r="R1009" s="110">
        <v>469.77699999999999</v>
      </c>
      <c r="S1009" s="110">
        <v>459.22199999999998</v>
      </c>
      <c r="T1009" s="110">
        <v>434.91899999999998</v>
      </c>
      <c r="U1009" s="110">
        <v>402.13</v>
      </c>
      <c r="V1009" s="110">
        <v>344.13600000000002</v>
      </c>
      <c r="W1009" s="110">
        <v>271.78699999999998</v>
      </c>
      <c r="X1009" s="110">
        <v>184.38800000000001</v>
      </c>
      <c r="Y1009" s="110">
        <v>102.604</v>
      </c>
      <c r="Z1009" s="110">
        <v>43.286000000000001</v>
      </c>
      <c r="AA1009" s="110">
        <v>10.593999999999999</v>
      </c>
      <c r="AB1009" s="110">
        <v>1.66</v>
      </c>
      <c r="AC1009" s="115">
        <f t="shared" si="45"/>
        <v>3254.6570000000002</v>
      </c>
      <c r="AD1009">
        <f t="shared" si="46"/>
        <v>0.99396169530626566</v>
      </c>
    </row>
    <row r="1010" spans="1:30" x14ac:dyDescent="0.25">
      <c r="A1010" s="104" t="str">
        <f t="shared" si="44"/>
        <v>Haiti2077</v>
      </c>
      <c r="C1010" s="107" t="s">
        <v>257</v>
      </c>
      <c r="D1010" s="108" t="s">
        <v>138</v>
      </c>
      <c r="E1010" s="109"/>
      <c r="F1010" s="109">
        <v>332</v>
      </c>
      <c r="G1010" s="109">
        <v>2077</v>
      </c>
      <c r="H1010" s="110">
        <v>406.16899999999998</v>
      </c>
      <c r="I1010" s="110">
        <v>418.88200000000001</v>
      </c>
      <c r="J1010" s="110">
        <v>431.71300000000002</v>
      </c>
      <c r="K1010" s="110">
        <v>443.26100000000002</v>
      </c>
      <c r="L1010" s="110">
        <v>453.375</v>
      </c>
      <c r="M1010" s="110">
        <v>460.00799999999998</v>
      </c>
      <c r="N1010" s="110">
        <v>465.346</v>
      </c>
      <c r="O1010" s="110">
        <v>469.05399999999997</v>
      </c>
      <c r="P1010" s="110">
        <v>471.45299999999997</v>
      </c>
      <c r="Q1010" s="110">
        <v>472.04300000000001</v>
      </c>
      <c r="R1010" s="110">
        <v>468.62400000000002</v>
      </c>
      <c r="S1010" s="110">
        <v>458.995</v>
      </c>
      <c r="T1010" s="110">
        <v>436.15600000000001</v>
      </c>
      <c r="U1010" s="110">
        <v>402.84699999999998</v>
      </c>
      <c r="V1010" s="110">
        <v>347.37700000000001</v>
      </c>
      <c r="W1010" s="110">
        <v>273.52100000000002</v>
      </c>
      <c r="X1010" s="110">
        <v>187.56700000000001</v>
      </c>
      <c r="Y1010" s="110">
        <v>105.095</v>
      </c>
      <c r="Z1010" s="110">
        <v>45.186</v>
      </c>
      <c r="AA1010" s="110">
        <v>12.363</v>
      </c>
      <c r="AB1010" s="110">
        <v>1.748</v>
      </c>
      <c r="AC1010" s="115">
        <f t="shared" si="45"/>
        <v>3234.54</v>
      </c>
      <c r="AD1010">
        <f t="shared" si="46"/>
        <v>0.99381901072831935</v>
      </c>
    </row>
    <row r="1011" spans="1:30" x14ac:dyDescent="0.25">
      <c r="A1011" s="104" t="str">
        <f t="shared" si="44"/>
        <v>Haiti2078</v>
      </c>
      <c r="C1011" s="107" t="s">
        <v>257</v>
      </c>
      <c r="D1011" s="108" t="s">
        <v>138</v>
      </c>
      <c r="E1011" s="109"/>
      <c r="F1011" s="109">
        <v>332</v>
      </c>
      <c r="G1011" s="109">
        <v>2078</v>
      </c>
      <c r="H1011" s="110">
        <v>402.84800000000001</v>
      </c>
      <c r="I1011" s="110">
        <v>415.62</v>
      </c>
      <c r="J1011" s="110">
        <v>428.327</v>
      </c>
      <c r="K1011" s="110">
        <v>439.79300000000001</v>
      </c>
      <c r="L1011" s="110">
        <v>449.59800000000001</v>
      </c>
      <c r="M1011" s="110">
        <v>456.65300000000002</v>
      </c>
      <c r="N1011" s="110">
        <v>462.01499999999999</v>
      </c>
      <c r="O1011" s="110">
        <v>466.61399999999998</v>
      </c>
      <c r="P1011" s="110">
        <v>469.09100000000001</v>
      </c>
      <c r="Q1011" s="110">
        <v>470.28699999999998</v>
      </c>
      <c r="R1011" s="110">
        <v>467.44099999999997</v>
      </c>
      <c r="S1011" s="110">
        <v>458.59399999999999</v>
      </c>
      <c r="T1011" s="110">
        <v>437.81799999999998</v>
      </c>
      <c r="U1011" s="110">
        <v>403.62400000000002</v>
      </c>
      <c r="V1011" s="110">
        <v>351.392</v>
      </c>
      <c r="W1011" s="110">
        <v>275.75200000000001</v>
      </c>
      <c r="X1011" s="110">
        <v>190.73400000000001</v>
      </c>
      <c r="Y1011" s="110">
        <v>106.67100000000001</v>
      </c>
      <c r="Z1011" s="110">
        <v>46.176000000000002</v>
      </c>
      <c r="AA1011" s="110">
        <v>13.737</v>
      </c>
      <c r="AB1011" s="110">
        <v>1.85</v>
      </c>
      <c r="AC1011" s="115">
        <f t="shared" si="45"/>
        <v>3214.0509999999999</v>
      </c>
      <c r="AD1011">
        <f t="shared" si="46"/>
        <v>0.99366555986322624</v>
      </c>
    </row>
    <row r="1012" spans="1:30" x14ac:dyDescent="0.25">
      <c r="A1012" s="104" t="str">
        <f t="shared" si="44"/>
        <v>Haiti2079</v>
      </c>
      <c r="C1012" s="107" t="s">
        <v>257</v>
      </c>
      <c r="D1012" s="108" t="s">
        <v>138</v>
      </c>
      <c r="E1012" s="109"/>
      <c r="F1012" s="109">
        <v>332</v>
      </c>
      <c r="G1012" s="109">
        <v>2079</v>
      </c>
      <c r="H1012" s="110">
        <v>399.50900000000001</v>
      </c>
      <c r="I1012" s="110">
        <v>412.32400000000001</v>
      </c>
      <c r="J1012" s="110">
        <v>425.053</v>
      </c>
      <c r="K1012" s="110">
        <v>436.327</v>
      </c>
      <c r="L1012" s="110">
        <v>446.07400000000001</v>
      </c>
      <c r="M1012" s="110">
        <v>453.12799999999999</v>
      </c>
      <c r="N1012" s="110">
        <v>458.57</v>
      </c>
      <c r="O1012" s="110">
        <v>463.97</v>
      </c>
      <c r="P1012" s="110">
        <v>466.642</v>
      </c>
      <c r="Q1012" s="110">
        <v>468.40699999999998</v>
      </c>
      <c r="R1012" s="110">
        <v>466.18799999999999</v>
      </c>
      <c r="S1012" s="110">
        <v>458.10700000000003</v>
      </c>
      <c r="T1012" s="110">
        <v>439.48</v>
      </c>
      <c r="U1012" s="110">
        <v>404.916</v>
      </c>
      <c r="V1012" s="110">
        <v>355.63499999999999</v>
      </c>
      <c r="W1012" s="110">
        <v>278.97399999999999</v>
      </c>
      <c r="X1012" s="110">
        <v>193.852</v>
      </c>
      <c r="Y1012" s="110">
        <v>108.039</v>
      </c>
      <c r="Z1012" s="110">
        <v>46.323</v>
      </c>
      <c r="AA1012" s="110">
        <v>14.073</v>
      </c>
      <c r="AB1012" s="110">
        <v>1.968</v>
      </c>
      <c r="AC1012" s="115">
        <f t="shared" si="45"/>
        <v>3193.1179999999999</v>
      </c>
      <c r="AD1012">
        <f t="shared" si="46"/>
        <v>0.99348703551997153</v>
      </c>
    </row>
    <row r="1013" spans="1:30" x14ac:dyDescent="0.25">
      <c r="A1013" s="104" t="str">
        <f t="shared" si="44"/>
        <v>Haiti2080</v>
      </c>
      <c r="C1013" s="107" t="s">
        <v>257</v>
      </c>
      <c r="D1013" s="108" t="s">
        <v>138</v>
      </c>
      <c r="E1013" s="109"/>
      <c r="F1013" s="109">
        <v>332</v>
      </c>
      <c r="G1013" s="109">
        <v>2080</v>
      </c>
      <c r="H1013" s="110">
        <v>396.20100000000002</v>
      </c>
      <c r="I1013" s="110">
        <v>408.95</v>
      </c>
      <c r="J1013" s="110">
        <v>421.81700000000001</v>
      </c>
      <c r="K1013" s="110">
        <v>432.89699999999999</v>
      </c>
      <c r="L1013" s="110">
        <v>442.726</v>
      </c>
      <c r="M1013" s="110">
        <v>449.505</v>
      </c>
      <c r="N1013" s="110">
        <v>455.05799999999999</v>
      </c>
      <c r="O1013" s="110">
        <v>461.03800000000001</v>
      </c>
      <c r="P1013" s="110">
        <v>464.11900000000003</v>
      </c>
      <c r="Q1013" s="110">
        <v>466.358</v>
      </c>
      <c r="R1013" s="110">
        <v>464.82600000000002</v>
      </c>
      <c r="S1013" s="110">
        <v>457.58300000000003</v>
      </c>
      <c r="T1013" s="110">
        <v>440.86099999999999</v>
      </c>
      <c r="U1013" s="110">
        <v>406.94600000000003</v>
      </c>
      <c r="V1013" s="110">
        <v>359.73899999999998</v>
      </c>
      <c r="W1013" s="110">
        <v>283.38</v>
      </c>
      <c r="X1013" s="110">
        <v>197.02</v>
      </c>
      <c r="Y1013" s="110">
        <v>109.496</v>
      </c>
      <c r="Z1013" s="110">
        <v>45.970999999999997</v>
      </c>
      <c r="AA1013" s="110">
        <v>13.006</v>
      </c>
      <c r="AB1013" s="110">
        <v>2.1019999999999999</v>
      </c>
      <c r="AC1013" s="115">
        <f t="shared" si="45"/>
        <v>3171.7010000000005</v>
      </c>
      <c r="AD1013">
        <f t="shared" si="46"/>
        <v>0.99329276274788481</v>
      </c>
    </row>
    <row r="1014" spans="1:30" x14ac:dyDescent="0.25">
      <c r="A1014" s="104" t="str">
        <f t="shared" si="44"/>
        <v>Haiti2081</v>
      </c>
      <c r="C1014" s="107" t="s">
        <v>257</v>
      </c>
      <c r="D1014" s="108" t="s">
        <v>138</v>
      </c>
      <c r="E1014" s="109"/>
      <c r="F1014" s="109">
        <v>332</v>
      </c>
      <c r="G1014" s="109">
        <v>2081</v>
      </c>
      <c r="H1014" s="110">
        <v>393.15699999999998</v>
      </c>
      <c r="I1014" s="110">
        <v>405.74</v>
      </c>
      <c r="J1014" s="110">
        <v>418.39100000000002</v>
      </c>
      <c r="K1014" s="110">
        <v>429.49400000000003</v>
      </c>
      <c r="L1014" s="110">
        <v>438.96699999999998</v>
      </c>
      <c r="M1014" s="110">
        <v>446.21199999999999</v>
      </c>
      <c r="N1014" s="110">
        <v>452.02600000000001</v>
      </c>
      <c r="O1014" s="110">
        <v>458.28300000000002</v>
      </c>
      <c r="P1014" s="110">
        <v>461.9</v>
      </c>
      <c r="Q1014" s="110">
        <v>464.27600000000001</v>
      </c>
      <c r="R1014" s="110">
        <v>463.20100000000002</v>
      </c>
      <c r="S1014" s="110">
        <v>456.45800000000003</v>
      </c>
      <c r="T1014" s="110">
        <v>440.68400000000003</v>
      </c>
      <c r="U1014" s="110">
        <v>407.36799999999999</v>
      </c>
      <c r="V1014" s="110">
        <v>360.43700000000001</v>
      </c>
      <c r="W1014" s="110">
        <v>285.72000000000003</v>
      </c>
      <c r="X1014" s="110">
        <v>199.50200000000001</v>
      </c>
      <c r="Y1014" s="110">
        <v>113.32</v>
      </c>
      <c r="Z1014" s="110">
        <v>49.343000000000004</v>
      </c>
      <c r="AA1014" s="110">
        <v>14.045</v>
      </c>
      <c r="AB1014" s="110">
        <v>2.2549999999999999</v>
      </c>
      <c r="AC1014" s="115">
        <f t="shared" si="45"/>
        <v>3151.1579999999999</v>
      </c>
      <c r="AD1014">
        <f t="shared" si="46"/>
        <v>0.99352303385470431</v>
      </c>
    </row>
    <row r="1015" spans="1:30" x14ac:dyDescent="0.25">
      <c r="A1015" s="104" t="str">
        <f t="shared" si="44"/>
        <v>Haiti2082</v>
      </c>
      <c r="C1015" s="107" t="s">
        <v>257</v>
      </c>
      <c r="D1015" s="108" t="s">
        <v>138</v>
      </c>
      <c r="E1015" s="109"/>
      <c r="F1015" s="109">
        <v>332</v>
      </c>
      <c r="G1015" s="109">
        <v>2082</v>
      </c>
      <c r="H1015" s="110">
        <v>390.06700000000001</v>
      </c>
      <c r="I1015" s="110">
        <v>402.58</v>
      </c>
      <c r="J1015" s="110">
        <v>415.05500000000001</v>
      </c>
      <c r="K1015" s="110">
        <v>426.19900000000001</v>
      </c>
      <c r="L1015" s="110">
        <v>435.34100000000001</v>
      </c>
      <c r="M1015" s="110">
        <v>442.76600000000002</v>
      </c>
      <c r="N1015" s="110">
        <v>448.95400000000001</v>
      </c>
      <c r="O1015" s="110">
        <v>455.30399999999997</v>
      </c>
      <c r="P1015" s="110">
        <v>459.68900000000002</v>
      </c>
      <c r="Q1015" s="110">
        <v>462.12700000000001</v>
      </c>
      <c r="R1015" s="110">
        <v>461.61</v>
      </c>
      <c r="S1015" s="110">
        <v>455.44099999999997</v>
      </c>
      <c r="T1015" s="110">
        <v>440.517</v>
      </c>
      <c r="U1015" s="110">
        <v>408.66899999999998</v>
      </c>
      <c r="V1015" s="110">
        <v>361.149</v>
      </c>
      <c r="W1015" s="110">
        <v>288.84300000000002</v>
      </c>
      <c r="X1015" s="110">
        <v>201.518</v>
      </c>
      <c r="Y1015" s="110">
        <v>116.295</v>
      </c>
      <c r="Z1015" s="110">
        <v>51.113999999999997</v>
      </c>
      <c r="AA1015" s="110">
        <v>15.493</v>
      </c>
      <c r="AB1015" s="110">
        <v>2.4239999999999999</v>
      </c>
      <c r="AC1015" s="115">
        <f t="shared" si="45"/>
        <v>3130.3799999999997</v>
      </c>
      <c r="AD1015">
        <f t="shared" si="46"/>
        <v>0.99340623351796375</v>
      </c>
    </row>
    <row r="1016" spans="1:30" x14ac:dyDescent="0.25">
      <c r="A1016" s="104" t="str">
        <f t="shared" si="44"/>
        <v>Haiti2083</v>
      </c>
      <c r="C1016" s="107" t="s">
        <v>257</v>
      </c>
      <c r="D1016" s="108" t="s">
        <v>138</v>
      </c>
      <c r="E1016" s="109"/>
      <c r="F1016" s="109">
        <v>332</v>
      </c>
      <c r="G1016" s="109">
        <v>2083</v>
      </c>
      <c r="H1016" s="110">
        <v>386.94299999999998</v>
      </c>
      <c r="I1016" s="110">
        <v>399.41399999999999</v>
      </c>
      <c r="J1016" s="110">
        <v>411.82600000000002</v>
      </c>
      <c r="K1016" s="110">
        <v>422.90800000000002</v>
      </c>
      <c r="L1016" s="110">
        <v>431.95400000000001</v>
      </c>
      <c r="M1016" s="110">
        <v>439.15899999999999</v>
      </c>
      <c r="N1016" s="110">
        <v>445.79300000000001</v>
      </c>
      <c r="O1016" s="110">
        <v>452.15300000000002</v>
      </c>
      <c r="P1016" s="110">
        <v>457.392</v>
      </c>
      <c r="Q1016" s="110">
        <v>459.92099999999999</v>
      </c>
      <c r="R1016" s="110">
        <v>460.00099999999998</v>
      </c>
      <c r="S1016" s="110">
        <v>454.45499999999998</v>
      </c>
      <c r="T1016" s="110">
        <v>440.35899999999998</v>
      </c>
      <c r="U1016" s="110">
        <v>410.51900000000001</v>
      </c>
      <c r="V1016" s="110">
        <v>362.21</v>
      </c>
      <c r="W1016" s="110">
        <v>292.61900000000003</v>
      </c>
      <c r="X1016" s="110">
        <v>203.595</v>
      </c>
      <c r="Y1016" s="110">
        <v>118.313</v>
      </c>
      <c r="Z1016" s="110">
        <v>52.024999999999999</v>
      </c>
      <c r="AA1016" s="110">
        <v>16.585999999999999</v>
      </c>
      <c r="AB1016" s="110">
        <v>2.601</v>
      </c>
      <c r="AC1016" s="115">
        <f t="shared" si="45"/>
        <v>3109.28</v>
      </c>
      <c r="AD1016">
        <f t="shared" si="46"/>
        <v>0.99325960426529702</v>
      </c>
    </row>
    <row r="1017" spans="1:30" x14ac:dyDescent="0.25">
      <c r="A1017" s="104" t="str">
        <f t="shared" si="44"/>
        <v>Haiti2084</v>
      </c>
      <c r="C1017" s="107" t="s">
        <v>257</v>
      </c>
      <c r="D1017" s="108" t="s">
        <v>138</v>
      </c>
      <c r="E1017" s="109"/>
      <c r="F1017" s="109">
        <v>332</v>
      </c>
      <c r="G1017" s="109">
        <v>2084</v>
      </c>
      <c r="H1017" s="110">
        <v>383.81599999999997</v>
      </c>
      <c r="I1017" s="110">
        <v>396.21300000000002</v>
      </c>
      <c r="J1017" s="110">
        <v>408.68099999999998</v>
      </c>
      <c r="K1017" s="110">
        <v>419.60199999999998</v>
      </c>
      <c r="L1017" s="110">
        <v>428.78899999999999</v>
      </c>
      <c r="M1017" s="110">
        <v>435.47300000000001</v>
      </c>
      <c r="N1017" s="110">
        <v>442.48</v>
      </c>
      <c r="O1017" s="110">
        <v>448.90600000000001</v>
      </c>
      <c r="P1017" s="110">
        <v>454.89</v>
      </c>
      <c r="Q1017" s="110">
        <v>457.67500000000001</v>
      </c>
      <c r="R1017" s="110">
        <v>458.31700000000001</v>
      </c>
      <c r="S1017" s="110">
        <v>453.44200000000001</v>
      </c>
      <c r="T1017" s="110">
        <v>440.27100000000002</v>
      </c>
      <c r="U1017" s="110">
        <v>412.529</v>
      </c>
      <c r="V1017" s="110">
        <v>364.065</v>
      </c>
      <c r="W1017" s="110">
        <v>296.69200000000001</v>
      </c>
      <c r="X1017" s="110">
        <v>206.21600000000001</v>
      </c>
      <c r="Y1017" s="110">
        <v>119.923</v>
      </c>
      <c r="Z1017" s="110">
        <v>52.139000000000003</v>
      </c>
      <c r="AA1017" s="110">
        <v>16.706</v>
      </c>
      <c r="AB1017" s="110">
        <v>2.7749999999999999</v>
      </c>
      <c r="AC1017" s="115">
        <f t="shared" si="45"/>
        <v>3087.8150000000001</v>
      </c>
      <c r="AD1017">
        <f t="shared" si="46"/>
        <v>0.99309647249524002</v>
      </c>
    </row>
    <row r="1018" spans="1:30" x14ac:dyDescent="0.25">
      <c r="A1018" s="104" t="str">
        <f t="shared" si="44"/>
        <v>Haiti2085</v>
      </c>
      <c r="C1018" s="107" t="s">
        <v>257</v>
      </c>
      <c r="D1018" s="108" t="s">
        <v>138</v>
      </c>
      <c r="E1018" s="109"/>
      <c r="F1018" s="109">
        <v>332</v>
      </c>
      <c r="G1018" s="109">
        <v>2085</v>
      </c>
      <c r="H1018" s="110">
        <v>380.71800000000002</v>
      </c>
      <c r="I1018" s="110">
        <v>392.95499999999998</v>
      </c>
      <c r="J1018" s="110">
        <v>405.553</v>
      </c>
      <c r="K1018" s="110">
        <v>416.33699999999999</v>
      </c>
      <c r="L1018" s="110">
        <v>425.72800000000001</v>
      </c>
      <c r="M1018" s="110">
        <v>431.85</v>
      </c>
      <c r="N1018" s="110">
        <v>438.97300000000001</v>
      </c>
      <c r="O1018" s="110">
        <v>445.59500000000003</v>
      </c>
      <c r="P1018" s="110">
        <v>452.11799999999999</v>
      </c>
      <c r="Q1018" s="110">
        <v>455.38799999999998</v>
      </c>
      <c r="R1018" s="110">
        <v>456.512</v>
      </c>
      <c r="S1018" s="110">
        <v>452.36799999999999</v>
      </c>
      <c r="T1018" s="110">
        <v>440.25900000000001</v>
      </c>
      <c r="U1018" s="110">
        <v>414.464</v>
      </c>
      <c r="V1018" s="110">
        <v>366.87299999999999</v>
      </c>
      <c r="W1018" s="110">
        <v>300.84300000000002</v>
      </c>
      <c r="X1018" s="110">
        <v>209.66200000000001</v>
      </c>
      <c r="Y1018" s="110">
        <v>121.327</v>
      </c>
      <c r="Z1018" s="110">
        <v>51.912999999999997</v>
      </c>
      <c r="AA1018" s="110">
        <v>15.375</v>
      </c>
      <c r="AB1018" s="110">
        <v>2.9390000000000001</v>
      </c>
      <c r="AC1018" s="115">
        <f t="shared" si="45"/>
        <v>3065.989</v>
      </c>
      <c r="AD1018">
        <f t="shared" si="46"/>
        <v>0.99293157135385379</v>
      </c>
    </row>
    <row r="1019" spans="1:30" x14ac:dyDescent="0.25">
      <c r="A1019" s="104" t="str">
        <f t="shared" si="44"/>
        <v>Haiti2086</v>
      </c>
      <c r="C1019" s="107" t="s">
        <v>257</v>
      </c>
      <c r="D1019" s="108" t="s">
        <v>138</v>
      </c>
      <c r="E1019" s="109"/>
      <c r="F1019" s="109">
        <v>332</v>
      </c>
      <c r="G1019" s="109">
        <v>2086</v>
      </c>
      <c r="H1019" s="110">
        <v>377.89400000000001</v>
      </c>
      <c r="I1019" s="110">
        <v>389.88</v>
      </c>
      <c r="J1019" s="110">
        <v>402.26600000000002</v>
      </c>
      <c r="K1019" s="110">
        <v>413.10300000000001</v>
      </c>
      <c r="L1019" s="110">
        <v>422.28199999999998</v>
      </c>
      <c r="M1019" s="110">
        <v>428.70699999999999</v>
      </c>
      <c r="N1019" s="110">
        <v>435.84800000000001</v>
      </c>
      <c r="O1019" s="110">
        <v>442.64600000000002</v>
      </c>
      <c r="P1019" s="110">
        <v>449.47</v>
      </c>
      <c r="Q1019" s="110">
        <v>453.18</v>
      </c>
      <c r="R1019" s="110">
        <v>454.46100000000001</v>
      </c>
      <c r="S1019" s="110">
        <v>450.77199999999999</v>
      </c>
      <c r="T1019" s="110">
        <v>439.05500000000001</v>
      </c>
      <c r="U1019" s="110">
        <v>414.17399999999998</v>
      </c>
      <c r="V1019" s="110">
        <v>367.23</v>
      </c>
      <c r="W1019" s="110">
        <v>301.80500000000001</v>
      </c>
      <c r="X1019" s="110">
        <v>212.67</v>
      </c>
      <c r="Y1019" s="110">
        <v>124.67700000000001</v>
      </c>
      <c r="Z1019" s="110">
        <v>55.656999999999996</v>
      </c>
      <c r="AA1019" s="110">
        <v>16.355</v>
      </c>
      <c r="AB1019" s="110">
        <v>3.09</v>
      </c>
      <c r="AC1019" s="115">
        <f t="shared" si="45"/>
        <v>3045.2360000000003</v>
      </c>
      <c r="AD1019">
        <f t="shared" si="46"/>
        <v>0.99323122163843391</v>
      </c>
    </row>
    <row r="1020" spans="1:30" x14ac:dyDescent="0.25">
      <c r="A1020" s="104" t="str">
        <f t="shared" si="44"/>
        <v>Haiti2087</v>
      </c>
      <c r="C1020" s="107" t="s">
        <v>257</v>
      </c>
      <c r="D1020" s="108" t="s">
        <v>138</v>
      </c>
      <c r="E1020" s="109"/>
      <c r="F1020" s="109">
        <v>332</v>
      </c>
      <c r="G1020" s="109">
        <v>2087</v>
      </c>
      <c r="H1020" s="110">
        <v>375.02600000000001</v>
      </c>
      <c r="I1020" s="110">
        <v>386.86500000000001</v>
      </c>
      <c r="J1020" s="110">
        <v>399.05099999999999</v>
      </c>
      <c r="K1020" s="110">
        <v>409.964</v>
      </c>
      <c r="L1020" s="110">
        <v>418.892</v>
      </c>
      <c r="M1020" s="110">
        <v>425.56299999999999</v>
      </c>
      <c r="N1020" s="110">
        <v>432.572</v>
      </c>
      <c r="O1020" s="110">
        <v>439.69600000000003</v>
      </c>
      <c r="P1020" s="110">
        <v>446.62900000000002</v>
      </c>
      <c r="Q1020" s="110">
        <v>451.03699999999998</v>
      </c>
      <c r="R1020" s="110">
        <v>452.40300000000002</v>
      </c>
      <c r="S1020" s="110">
        <v>449.30200000000002</v>
      </c>
      <c r="T1020" s="110">
        <v>438.12200000000001</v>
      </c>
      <c r="U1020" s="110">
        <v>414.11700000000002</v>
      </c>
      <c r="V1020" s="110">
        <v>368.51100000000002</v>
      </c>
      <c r="W1020" s="110">
        <v>302.71600000000001</v>
      </c>
      <c r="X1020" s="110">
        <v>215.798</v>
      </c>
      <c r="Y1020" s="110">
        <v>126.934</v>
      </c>
      <c r="Z1020" s="110">
        <v>57.725999999999999</v>
      </c>
      <c r="AA1020" s="110">
        <v>17.896999999999998</v>
      </c>
      <c r="AB1020" s="110">
        <v>3.23</v>
      </c>
      <c r="AC1020" s="115">
        <f t="shared" si="45"/>
        <v>3024.3529999999996</v>
      </c>
      <c r="AD1020">
        <f t="shared" si="46"/>
        <v>0.99314240341306859</v>
      </c>
    </row>
    <row r="1021" spans="1:30" x14ac:dyDescent="0.25">
      <c r="A1021" s="104" t="str">
        <f t="shared" si="44"/>
        <v>Haiti2088</v>
      </c>
      <c r="C1021" s="107" t="s">
        <v>257</v>
      </c>
      <c r="D1021" s="108" t="s">
        <v>138</v>
      </c>
      <c r="E1021" s="109"/>
      <c r="F1021" s="109">
        <v>332</v>
      </c>
      <c r="G1021" s="109">
        <v>2088</v>
      </c>
      <c r="H1021" s="110">
        <v>372.13499999999999</v>
      </c>
      <c r="I1021" s="110">
        <v>383.86599999999999</v>
      </c>
      <c r="J1021" s="110">
        <v>395.92700000000002</v>
      </c>
      <c r="K1021" s="110">
        <v>406.82900000000001</v>
      </c>
      <c r="L1021" s="110">
        <v>415.67399999999998</v>
      </c>
      <c r="M1021" s="110">
        <v>422.36</v>
      </c>
      <c r="N1021" s="110">
        <v>429.173</v>
      </c>
      <c r="O1021" s="110">
        <v>436.71199999999999</v>
      </c>
      <c r="P1021" s="110">
        <v>443.61900000000003</v>
      </c>
      <c r="Q1021" s="110">
        <v>448.87099999999998</v>
      </c>
      <c r="R1021" s="110">
        <v>450.34</v>
      </c>
      <c r="S1021" s="110">
        <v>447.87200000000001</v>
      </c>
      <c r="T1021" s="110">
        <v>437.38499999999999</v>
      </c>
      <c r="U1021" s="110">
        <v>414.26299999999998</v>
      </c>
      <c r="V1021" s="110">
        <v>370.51499999999999</v>
      </c>
      <c r="W1021" s="110">
        <v>304.05399999999997</v>
      </c>
      <c r="X1021" s="110">
        <v>219.07</v>
      </c>
      <c r="Y1021" s="110">
        <v>128.304</v>
      </c>
      <c r="Z1021" s="110">
        <v>58.845999999999997</v>
      </c>
      <c r="AA1021" s="110">
        <v>19.088000000000001</v>
      </c>
      <c r="AB1021" s="110">
        <v>3.3620000000000001</v>
      </c>
      <c r="AC1021" s="115">
        <f t="shared" si="45"/>
        <v>3003.2379999999998</v>
      </c>
      <c r="AD1021">
        <f t="shared" si="46"/>
        <v>0.99301834144360801</v>
      </c>
    </row>
    <row r="1022" spans="1:30" x14ac:dyDescent="0.25">
      <c r="A1022" s="104" t="str">
        <f t="shared" si="44"/>
        <v>Haiti2089</v>
      </c>
      <c r="C1022" s="107" t="s">
        <v>257</v>
      </c>
      <c r="D1022" s="108" t="s">
        <v>138</v>
      </c>
      <c r="E1022" s="109"/>
      <c r="F1022" s="109">
        <v>332</v>
      </c>
      <c r="G1022" s="109">
        <v>2089</v>
      </c>
      <c r="H1022" s="110">
        <v>369.238</v>
      </c>
      <c r="I1022" s="110">
        <v>380.85</v>
      </c>
      <c r="J1022" s="110">
        <v>392.88299999999998</v>
      </c>
      <c r="K1022" s="110">
        <v>403.68</v>
      </c>
      <c r="L1022" s="110">
        <v>412.64400000000001</v>
      </c>
      <c r="M1022" s="110">
        <v>419.08199999999999</v>
      </c>
      <c r="N1022" s="110">
        <v>425.71499999999997</v>
      </c>
      <c r="O1022" s="110">
        <v>433.61099999999999</v>
      </c>
      <c r="P1022" s="110">
        <v>440.51499999999999</v>
      </c>
      <c r="Q1022" s="110">
        <v>446.565</v>
      </c>
      <c r="R1022" s="110">
        <v>448.28300000000002</v>
      </c>
      <c r="S1022" s="110">
        <v>446.41199999999998</v>
      </c>
      <c r="T1022" s="110">
        <v>436.77100000000002</v>
      </c>
      <c r="U1022" s="110">
        <v>414.65600000000001</v>
      </c>
      <c r="V1022" s="110">
        <v>372.94900000000001</v>
      </c>
      <c r="W1022" s="110">
        <v>306.27699999999999</v>
      </c>
      <c r="X1022" s="110">
        <v>222.32900000000001</v>
      </c>
      <c r="Y1022" s="110">
        <v>129.68299999999999</v>
      </c>
      <c r="Z1022" s="110">
        <v>59.055999999999997</v>
      </c>
      <c r="AA1022" s="110">
        <v>19.213999999999999</v>
      </c>
      <c r="AB1022" s="110">
        <v>3.49</v>
      </c>
      <c r="AC1022" s="115">
        <f t="shared" si="45"/>
        <v>2981.8119999999999</v>
      </c>
      <c r="AD1022">
        <f t="shared" si="46"/>
        <v>0.99286570028748977</v>
      </c>
    </row>
    <row r="1023" spans="1:30" x14ac:dyDescent="0.25">
      <c r="A1023" s="104" t="str">
        <f t="shared" si="44"/>
        <v>Haiti2090</v>
      </c>
      <c r="C1023" s="107" t="s">
        <v>257</v>
      </c>
      <c r="D1023" s="108" t="s">
        <v>138</v>
      </c>
      <c r="E1023" s="109"/>
      <c r="F1023" s="109">
        <v>332</v>
      </c>
      <c r="G1023" s="109">
        <v>2090</v>
      </c>
      <c r="H1023" s="110">
        <v>366.36399999999998</v>
      </c>
      <c r="I1023" s="110">
        <v>377.79199999999997</v>
      </c>
      <c r="J1023" s="110">
        <v>389.86599999999999</v>
      </c>
      <c r="K1023" s="110">
        <v>400.553</v>
      </c>
      <c r="L1023" s="110">
        <v>409.71300000000002</v>
      </c>
      <c r="M1023" s="110">
        <v>415.79199999999997</v>
      </c>
      <c r="N1023" s="110">
        <v>422.23399999999998</v>
      </c>
      <c r="O1023" s="110">
        <v>430.33100000000002</v>
      </c>
      <c r="P1023" s="110">
        <v>437.37099999999998</v>
      </c>
      <c r="Q1023" s="110">
        <v>444.02499999999998</v>
      </c>
      <c r="R1023" s="110">
        <v>446.22699999999998</v>
      </c>
      <c r="S1023" s="110">
        <v>444.88200000000001</v>
      </c>
      <c r="T1023" s="110">
        <v>436.20499999999998</v>
      </c>
      <c r="U1023" s="110">
        <v>415.303</v>
      </c>
      <c r="V1023" s="110">
        <v>375.59899999999999</v>
      </c>
      <c r="W1023" s="110">
        <v>309.53699999999998</v>
      </c>
      <c r="X1023" s="110">
        <v>225.58199999999999</v>
      </c>
      <c r="Y1023" s="110">
        <v>131.44800000000001</v>
      </c>
      <c r="Z1023" s="110">
        <v>58.784999999999997</v>
      </c>
      <c r="AA1023" s="110">
        <v>17.765000000000001</v>
      </c>
      <c r="AB1023" s="110">
        <v>3.6190000000000002</v>
      </c>
      <c r="AC1023" s="115">
        <f t="shared" si="45"/>
        <v>2960.0190000000002</v>
      </c>
      <c r="AD1023">
        <f t="shared" si="46"/>
        <v>0.99269135679915443</v>
      </c>
    </row>
    <row r="1024" spans="1:30" x14ac:dyDescent="0.25">
      <c r="A1024" s="104" t="str">
        <f t="shared" si="44"/>
        <v>Haiti2091</v>
      </c>
      <c r="C1024" s="107" t="s">
        <v>257</v>
      </c>
      <c r="D1024" s="108" t="s">
        <v>138</v>
      </c>
      <c r="E1024" s="109"/>
      <c r="F1024" s="109">
        <v>332</v>
      </c>
      <c r="G1024" s="109">
        <v>2091</v>
      </c>
      <c r="H1024" s="110">
        <v>363.74799999999999</v>
      </c>
      <c r="I1024" s="110">
        <v>374.89400000000001</v>
      </c>
      <c r="J1024" s="110">
        <v>386.714</v>
      </c>
      <c r="K1024" s="110">
        <v>397.43400000000003</v>
      </c>
      <c r="L1024" s="110">
        <v>406.48399999999998</v>
      </c>
      <c r="M1024" s="110">
        <v>412.90300000000002</v>
      </c>
      <c r="N1024" s="110">
        <v>419.23599999999999</v>
      </c>
      <c r="O1024" s="110">
        <v>427.29899999999998</v>
      </c>
      <c r="P1024" s="110">
        <v>434.55700000000002</v>
      </c>
      <c r="Q1024" s="110">
        <v>441.387</v>
      </c>
      <c r="R1024" s="110">
        <v>444.07299999999998</v>
      </c>
      <c r="S1024" s="110">
        <v>442.87900000000002</v>
      </c>
      <c r="T1024" s="110">
        <v>434.53399999999999</v>
      </c>
      <c r="U1024" s="110">
        <v>414.04300000000001</v>
      </c>
      <c r="V1024" s="110">
        <v>375.26299999999998</v>
      </c>
      <c r="W1024" s="110">
        <v>310.26100000000002</v>
      </c>
      <c r="X1024" s="110">
        <v>227.392</v>
      </c>
      <c r="Y1024" s="110">
        <v>135.309</v>
      </c>
      <c r="Z1024" s="110">
        <v>62.478999999999999</v>
      </c>
      <c r="AA1024" s="110">
        <v>18.922999999999998</v>
      </c>
      <c r="AB1024" s="110">
        <v>3.7519999999999998</v>
      </c>
      <c r="AC1024" s="115">
        <f t="shared" si="45"/>
        <v>2939.2999999999997</v>
      </c>
      <c r="AD1024">
        <f t="shared" si="46"/>
        <v>0.99300038276781311</v>
      </c>
    </row>
    <row r="1025" spans="1:30" x14ac:dyDescent="0.25">
      <c r="A1025" s="104" t="str">
        <f t="shared" si="44"/>
        <v>Haiti2092</v>
      </c>
      <c r="C1025" s="107" t="s">
        <v>257</v>
      </c>
      <c r="D1025" s="108" t="s">
        <v>138</v>
      </c>
      <c r="E1025" s="109"/>
      <c r="F1025" s="109">
        <v>332</v>
      </c>
      <c r="G1025" s="109">
        <v>2092</v>
      </c>
      <c r="H1025" s="110">
        <v>361.07900000000001</v>
      </c>
      <c r="I1025" s="110">
        <v>372.065</v>
      </c>
      <c r="J1025" s="110">
        <v>383.64</v>
      </c>
      <c r="K1025" s="110">
        <v>394.38499999999999</v>
      </c>
      <c r="L1025" s="110">
        <v>403.298</v>
      </c>
      <c r="M1025" s="110">
        <v>409.96899999999999</v>
      </c>
      <c r="N1025" s="110">
        <v>416.245</v>
      </c>
      <c r="O1025" s="110">
        <v>424.14100000000002</v>
      </c>
      <c r="P1025" s="110">
        <v>431.78100000000001</v>
      </c>
      <c r="Q1025" s="110">
        <v>438.62299999999999</v>
      </c>
      <c r="R1025" s="110">
        <v>442.02199999999999</v>
      </c>
      <c r="S1025" s="110">
        <v>440.97500000000002</v>
      </c>
      <c r="T1025" s="110">
        <v>433.161</v>
      </c>
      <c r="U1025" s="110">
        <v>413.25799999999998</v>
      </c>
      <c r="V1025" s="110">
        <v>375.30900000000003</v>
      </c>
      <c r="W1025" s="110">
        <v>311.68900000000002</v>
      </c>
      <c r="X1025" s="110">
        <v>228.77199999999999</v>
      </c>
      <c r="Y1025" s="110">
        <v>138.38499999999999</v>
      </c>
      <c r="Z1025" s="110">
        <v>64.236999999999995</v>
      </c>
      <c r="AA1025" s="110">
        <v>20.71</v>
      </c>
      <c r="AB1025" s="110">
        <v>3.8879999999999999</v>
      </c>
      <c r="AC1025" s="115">
        <f t="shared" si="45"/>
        <v>2918.442</v>
      </c>
      <c r="AD1025">
        <f t="shared" si="46"/>
        <v>0.9929037525941552</v>
      </c>
    </row>
    <row r="1026" spans="1:30" x14ac:dyDescent="0.25">
      <c r="A1026" s="104" t="str">
        <f t="shared" si="44"/>
        <v>Haiti2093</v>
      </c>
      <c r="C1026" s="107" t="s">
        <v>257</v>
      </c>
      <c r="D1026" s="108" t="s">
        <v>138</v>
      </c>
      <c r="E1026" s="109"/>
      <c r="F1026" s="109">
        <v>332</v>
      </c>
      <c r="G1026" s="109">
        <v>2093</v>
      </c>
      <c r="H1026" s="110">
        <v>358.37700000000001</v>
      </c>
      <c r="I1026" s="110">
        <v>369.267</v>
      </c>
      <c r="J1026" s="110">
        <v>380.661</v>
      </c>
      <c r="K1026" s="110">
        <v>391.34</v>
      </c>
      <c r="L1026" s="110">
        <v>400.24200000000002</v>
      </c>
      <c r="M1026" s="110">
        <v>406.96300000000002</v>
      </c>
      <c r="N1026" s="110">
        <v>413.23200000000003</v>
      </c>
      <c r="O1026" s="110">
        <v>420.9</v>
      </c>
      <c r="P1026" s="110">
        <v>428.96699999999998</v>
      </c>
      <c r="Q1026" s="110">
        <v>435.77600000000001</v>
      </c>
      <c r="R1026" s="110">
        <v>439.98500000000001</v>
      </c>
      <c r="S1026" s="110">
        <v>439.12400000000002</v>
      </c>
      <c r="T1026" s="110">
        <v>431.99</v>
      </c>
      <c r="U1026" s="110">
        <v>412.84800000000001</v>
      </c>
      <c r="V1026" s="110">
        <v>375.77800000000002</v>
      </c>
      <c r="W1026" s="110">
        <v>313.82400000000001</v>
      </c>
      <c r="X1026" s="110">
        <v>230.26499999999999</v>
      </c>
      <c r="Y1026" s="110">
        <v>140.53399999999999</v>
      </c>
      <c r="Z1026" s="110">
        <v>65.061999999999998</v>
      </c>
      <c r="AA1026" s="110">
        <v>22.073</v>
      </c>
      <c r="AB1026" s="110">
        <v>4.0250000000000004</v>
      </c>
      <c r="AC1026" s="115">
        <f t="shared" si="45"/>
        <v>2897.42</v>
      </c>
      <c r="AD1026">
        <f t="shared" si="46"/>
        <v>0.9927968416024715</v>
      </c>
    </row>
    <row r="1027" spans="1:30" x14ac:dyDescent="0.25">
      <c r="A1027" s="104" t="str">
        <f t="shared" si="44"/>
        <v>Haiti2094</v>
      </c>
      <c r="C1027" s="107" t="s">
        <v>257</v>
      </c>
      <c r="D1027" s="108" t="s">
        <v>138</v>
      </c>
      <c r="E1027" s="109"/>
      <c r="F1027" s="109">
        <v>332</v>
      </c>
      <c r="G1027" s="109">
        <v>2094</v>
      </c>
      <c r="H1027" s="110">
        <v>355.66399999999999</v>
      </c>
      <c r="I1027" s="110">
        <v>366.46100000000001</v>
      </c>
      <c r="J1027" s="110">
        <v>377.76100000000002</v>
      </c>
      <c r="K1027" s="110">
        <v>388.286</v>
      </c>
      <c r="L1027" s="110">
        <v>397.32600000000002</v>
      </c>
      <c r="M1027" s="110">
        <v>403.88400000000001</v>
      </c>
      <c r="N1027" s="110">
        <v>410.16300000000001</v>
      </c>
      <c r="O1027" s="110">
        <v>417.625</v>
      </c>
      <c r="P1027" s="110">
        <v>426.02699999999999</v>
      </c>
      <c r="Q1027" s="110">
        <v>432.90600000000001</v>
      </c>
      <c r="R1027" s="110">
        <v>437.839</v>
      </c>
      <c r="S1027" s="110">
        <v>437.31299999999999</v>
      </c>
      <c r="T1027" s="110">
        <v>430.93299999999999</v>
      </c>
      <c r="U1027" s="110">
        <v>412.73099999999999</v>
      </c>
      <c r="V1027" s="110">
        <v>376.74900000000002</v>
      </c>
      <c r="W1027" s="110">
        <v>316.52499999999998</v>
      </c>
      <c r="X1027" s="110">
        <v>232.32300000000001</v>
      </c>
      <c r="Y1027" s="110">
        <v>142.334</v>
      </c>
      <c r="Z1027" s="110">
        <v>65.147000000000006</v>
      </c>
      <c r="AA1027" s="110">
        <v>22.213999999999999</v>
      </c>
      <c r="AB1027" s="110">
        <v>4.1619999999999999</v>
      </c>
      <c r="AC1027" s="115">
        <f t="shared" si="45"/>
        <v>2876.2170000000001</v>
      </c>
      <c r="AD1027">
        <f t="shared" si="46"/>
        <v>0.99268211029122466</v>
      </c>
    </row>
    <row r="1028" spans="1:30" x14ac:dyDescent="0.25">
      <c r="A1028" s="104" t="str">
        <f t="shared" si="44"/>
        <v>Haiti2095</v>
      </c>
      <c r="C1028" s="107" t="s">
        <v>257</v>
      </c>
      <c r="D1028" s="108" t="s">
        <v>138</v>
      </c>
      <c r="E1028" s="109"/>
      <c r="F1028" s="109">
        <v>332</v>
      </c>
      <c r="G1028" s="109">
        <v>2095</v>
      </c>
      <c r="H1028" s="110">
        <v>352.96699999999998</v>
      </c>
      <c r="I1028" s="110">
        <v>363.61500000000001</v>
      </c>
      <c r="J1028" s="110">
        <v>374.89600000000002</v>
      </c>
      <c r="K1028" s="110">
        <v>385.25799999999998</v>
      </c>
      <c r="L1028" s="110">
        <v>394.47199999999998</v>
      </c>
      <c r="M1028" s="110">
        <v>400.79300000000001</v>
      </c>
      <c r="N1028" s="110">
        <v>407.01900000000001</v>
      </c>
      <c r="O1028" s="110">
        <v>414.32900000000001</v>
      </c>
      <c r="P1028" s="110">
        <v>422.90899999999999</v>
      </c>
      <c r="Q1028" s="110">
        <v>430.02600000000001</v>
      </c>
      <c r="R1028" s="110">
        <v>435.50599999999997</v>
      </c>
      <c r="S1028" s="110">
        <v>435.53</v>
      </c>
      <c r="T1028" s="110">
        <v>429.911</v>
      </c>
      <c r="U1028" s="110">
        <v>412.83800000000002</v>
      </c>
      <c r="V1028" s="110">
        <v>378.22</v>
      </c>
      <c r="W1028" s="110">
        <v>319.64699999999999</v>
      </c>
      <c r="X1028" s="110">
        <v>235.17</v>
      </c>
      <c r="Y1028" s="110">
        <v>143.96899999999999</v>
      </c>
      <c r="Z1028" s="110">
        <v>65.108999999999995</v>
      </c>
      <c r="AA1028" s="110">
        <v>20.605</v>
      </c>
      <c r="AB1028" s="110">
        <v>4.2990000000000004</v>
      </c>
      <c r="AC1028" s="115">
        <f t="shared" si="45"/>
        <v>2854.806</v>
      </c>
      <c r="AD1028">
        <f t="shared" si="46"/>
        <v>0.99255584679459163</v>
      </c>
    </row>
    <row r="1029" spans="1:30" x14ac:dyDescent="0.25">
      <c r="A1029" s="104" t="str">
        <f t="shared" si="44"/>
        <v>Haiti2096</v>
      </c>
      <c r="C1029" s="107" t="s">
        <v>257</v>
      </c>
      <c r="D1029" s="108" t="s">
        <v>138</v>
      </c>
      <c r="E1029" s="109"/>
      <c r="F1029" s="109">
        <v>332</v>
      </c>
      <c r="G1029" s="109">
        <v>2096</v>
      </c>
      <c r="H1029" s="110">
        <v>350.52600000000001</v>
      </c>
      <c r="I1029" s="110">
        <v>360.94099999999997</v>
      </c>
      <c r="J1029" s="110">
        <v>371.95299999999997</v>
      </c>
      <c r="K1029" s="110">
        <v>382.274</v>
      </c>
      <c r="L1029" s="110">
        <v>391.35899999999998</v>
      </c>
      <c r="M1029" s="110">
        <v>398.03899999999999</v>
      </c>
      <c r="N1029" s="110">
        <v>404.29500000000002</v>
      </c>
      <c r="O1029" s="110">
        <v>411.423</v>
      </c>
      <c r="P1029" s="110">
        <v>419.98099999999999</v>
      </c>
      <c r="Q1029" s="110">
        <v>427.24299999999999</v>
      </c>
      <c r="R1029" s="110">
        <v>432.95600000000002</v>
      </c>
      <c r="S1029" s="110">
        <v>433.40800000000002</v>
      </c>
      <c r="T1029" s="110">
        <v>427.85</v>
      </c>
      <c r="U1029" s="110">
        <v>411.137</v>
      </c>
      <c r="V1029" s="110">
        <v>377.029</v>
      </c>
      <c r="W1029" s="110">
        <v>319.625</v>
      </c>
      <c r="X1029" s="110">
        <v>236.827</v>
      </c>
      <c r="Y1029" s="110">
        <v>147.00899999999999</v>
      </c>
      <c r="Z1029" s="110">
        <v>69.275000000000006</v>
      </c>
      <c r="AA1029" s="110">
        <v>21.79</v>
      </c>
      <c r="AB1029" s="110">
        <v>4.4390000000000001</v>
      </c>
      <c r="AC1029" s="115">
        <f t="shared" si="45"/>
        <v>2834.614</v>
      </c>
      <c r="AD1029">
        <f t="shared" si="46"/>
        <v>0.99292701500557301</v>
      </c>
    </row>
    <row r="1030" spans="1:30" x14ac:dyDescent="0.25">
      <c r="A1030" s="104" t="str">
        <f t="shared" si="44"/>
        <v>Haiti2097</v>
      </c>
      <c r="C1030" s="107" t="s">
        <v>257</v>
      </c>
      <c r="D1030" s="108" t="s">
        <v>138</v>
      </c>
      <c r="E1030" s="109"/>
      <c r="F1030" s="109">
        <v>332</v>
      </c>
      <c r="G1030" s="109">
        <v>2097</v>
      </c>
      <c r="H1030" s="110">
        <v>348.03100000000001</v>
      </c>
      <c r="I1030" s="110">
        <v>358.334</v>
      </c>
      <c r="J1030" s="110">
        <v>369.09899999999999</v>
      </c>
      <c r="K1030" s="110">
        <v>379.36500000000001</v>
      </c>
      <c r="L1030" s="110">
        <v>388.28500000000003</v>
      </c>
      <c r="M1030" s="110">
        <v>395.23</v>
      </c>
      <c r="N1030" s="110">
        <v>401.53</v>
      </c>
      <c r="O1030" s="110">
        <v>408.553</v>
      </c>
      <c r="P1030" s="110">
        <v>416.964</v>
      </c>
      <c r="Q1030" s="110">
        <v>424.53899999999999</v>
      </c>
      <c r="R1030" s="110">
        <v>430.327</v>
      </c>
      <c r="S1030" s="110">
        <v>431.48700000000002</v>
      </c>
      <c r="T1030" s="110">
        <v>426.05099999999999</v>
      </c>
      <c r="U1030" s="110">
        <v>409.92099999999999</v>
      </c>
      <c r="V1030" s="110">
        <v>376.44900000000001</v>
      </c>
      <c r="W1030" s="110">
        <v>319.92200000000003</v>
      </c>
      <c r="X1030" s="110">
        <v>238.60300000000001</v>
      </c>
      <c r="Y1030" s="110">
        <v>148.94200000000001</v>
      </c>
      <c r="Z1030" s="110">
        <v>71.491</v>
      </c>
      <c r="AA1030" s="110">
        <v>23.576000000000001</v>
      </c>
      <c r="AB1030" s="110">
        <v>4.5830000000000002</v>
      </c>
      <c r="AC1030" s="115">
        <f t="shared" si="45"/>
        <v>2814.4660000000003</v>
      </c>
      <c r="AD1030">
        <f t="shared" si="46"/>
        <v>0.99289215392289754</v>
      </c>
    </row>
    <row r="1031" spans="1:30" x14ac:dyDescent="0.25">
      <c r="A1031" s="104" t="str">
        <f t="shared" si="44"/>
        <v>Haiti2098</v>
      </c>
      <c r="C1031" s="107" t="s">
        <v>257</v>
      </c>
      <c r="D1031" s="108" t="s">
        <v>138</v>
      </c>
      <c r="E1031" s="109"/>
      <c r="F1031" s="109">
        <v>332</v>
      </c>
      <c r="G1031" s="109">
        <v>2098</v>
      </c>
      <c r="H1031" s="110">
        <v>345.5</v>
      </c>
      <c r="I1031" s="110">
        <v>355.74299999999999</v>
      </c>
      <c r="J1031" s="110">
        <v>366.34</v>
      </c>
      <c r="K1031" s="110">
        <v>376.46699999999998</v>
      </c>
      <c r="L1031" s="110">
        <v>385.32799999999997</v>
      </c>
      <c r="M1031" s="110">
        <v>392.33199999999999</v>
      </c>
      <c r="N1031" s="110">
        <v>398.702</v>
      </c>
      <c r="O1031" s="110">
        <v>405.69499999999999</v>
      </c>
      <c r="P1031" s="110">
        <v>413.86399999999998</v>
      </c>
      <c r="Q1031" s="110">
        <v>421.86</v>
      </c>
      <c r="R1031" s="110">
        <v>427.63499999999999</v>
      </c>
      <c r="S1031" s="110">
        <v>429.63900000000001</v>
      </c>
      <c r="T1031" s="110">
        <v>424.45299999999997</v>
      </c>
      <c r="U1031" s="110">
        <v>409.07499999999999</v>
      </c>
      <c r="V1031" s="110">
        <v>376.41500000000002</v>
      </c>
      <c r="W1031" s="110">
        <v>320.75299999999999</v>
      </c>
      <c r="X1031" s="110">
        <v>240.684</v>
      </c>
      <c r="Y1031" s="110">
        <v>149.98699999999999</v>
      </c>
      <c r="Z1031" s="110">
        <v>72.668999999999997</v>
      </c>
      <c r="AA1031" s="110">
        <v>24.916</v>
      </c>
      <c r="AB1031" s="110">
        <v>4.7359999999999998</v>
      </c>
      <c r="AC1031" s="115">
        <f t="shared" si="45"/>
        <v>2794.248</v>
      </c>
      <c r="AD1031">
        <f t="shared" si="46"/>
        <v>0.99281639927432053</v>
      </c>
    </row>
    <row r="1032" spans="1:30" x14ac:dyDescent="0.25">
      <c r="A1032" s="104" t="str">
        <f t="shared" si="44"/>
        <v>Haiti2099</v>
      </c>
      <c r="C1032" s="107" t="s">
        <v>257</v>
      </c>
      <c r="D1032" s="108" t="s">
        <v>138</v>
      </c>
      <c r="E1032" s="109"/>
      <c r="F1032" s="109">
        <v>332</v>
      </c>
      <c r="G1032" s="109">
        <v>2099</v>
      </c>
      <c r="H1032" s="110">
        <v>342.94200000000001</v>
      </c>
      <c r="I1032" s="110">
        <v>353.13600000000002</v>
      </c>
      <c r="J1032" s="110">
        <v>363.65199999999999</v>
      </c>
      <c r="K1032" s="110">
        <v>373.57100000000003</v>
      </c>
      <c r="L1032" s="110">
        <v>382.49700000000001</v>
      </c>
      <c r="M1032" s="110">
        <v>389.351</v>
      </c>
      <c r="N1032" s="110">
        <v>395.798</v>
      </c>
      <c r="O1032" s="110">
        <v>402.80099999999999</v>
      </c>
      <c r="P1032" s="110">
        <v>410.72500000000002</v>
      </c>
      <c r="Q1032" s="110">
        <v>419.11</v>
      </c>
      <c r="R1032" s="110">
        <v>424.92899999999997</v>
      </c>
      <c r="S1032" s="110">
        <v>427.72199999999998</v>
      </c>
      <c r="T1032" s="110">
        <v>423.02</v>
      </c>
      <c r="U1032" s="110">
        <v>408.50400000000002</v>
      </c>
      <c r="V1032" s="110">
        <v>376.89499999999998</v>
      </c>
      <c r="W1032" s="110">
        <v>322.26799999999997</v>
      </c>
      <c r="X1032" s="110">
        <v>243.089</v>
      </c>
      <c r="Y1032" s="110">
        <v>151.077</v>
      </c>
      <c r="Z1032" s="110">
        <v>72.936000000000007</v>
      </c>
      <c r="AA1032" s="110">
        <v>25.027999999999999</v>
      </c>
      <c r="AB1032" s="110">
        <v>4.9039999999999999</v>
      </c>
      <c r="AC1032" s="115">
        <f t="shared" si="45"/>
        <v>2773.8530000000001</v>
      </c>
      <c r="AD1032">
        <f t="shared" si="46"/>
        <v>0.99270107735605428</v>
      </c>
    </row>
    <row r="1033" spans="1:30" x14ac:dyDescent="0.25">
      <c r="A1033" s="104" t="str">
        <f t="shared" si="44"/>
        <v>Haiti2100</v>
      </c>
      <c r="C1033" s="107" t="s">
        <v>257</v>
      </c>
      <c r="D1033" s="108" t="s">
        <v>138</v>
      </c>
      <c r="E1033" s="109"/>
      <c r="F1033" s="109">
        <v>332</v>
      </c>
      <c r="G1033" s="109">
        <v>2100</v>
      </c>
      <c r="H1033" s="110">
        <v>340.375</v>
      </c>
      <c r="I1033" s="110">
        <v>350.47699999999998</v>
      </c>
      <c r="J1033" s="110">
        <v>360.988</v>
      </c>
      <c r="K1033" s="110">
        <v>370.70600000000002</v>
      </c>
      <c r="L1033" s="110">
        <v>379.72300000000001</v>
      </c>
      <c r="M1033" s="110">
        <v>386.34500000000003</v>
      </c>
      <c r="N1033" s="110">
        <v>392.803</v>
      </c>
      <c r="O1033" s="110">
        <v>399.82400000000001</v>
      </c>
      <c r="P1033" s="110">
        <v>407.57400000000001</v>
      </c>
      <c r="Q1033" s="110">
        <v>416.21</v>
      </c>
      <c r="R1033" s="110">
        <v>422.23200000000003</v>
      </c>
      <c r="S1033" s="110">
        <v>425.65100000000001</v>
      </c>
      <c r="T1033" s="110">
        <v>421.70400000000001</v>
      </c>
      <c r="U1033" s="110">
        <v>408.12700000000001</v>
      </c>
      <c r="V1033" s="110">
        <v>377.82499999999999</v>
      </c>
      <c r="W1033" s="110">
        <v>324.46300000000002</v>
      </c>
      <c r="X1033" s="110">
        <v>245.846</v>
      </c>
      <c r="Y1033" s="110">
        <v>152.62799999999999</v>
      </c>
      <c r="Z1033" s="110">
        <v>72.820999999999998</v>
      </c>
      <c r="AA1033" s="110">
        <v>23.356000000000002</v>
      </c>
      <c r="AB1033" s="110">
        <v>5.0949999999999998</v>
      </c>
      <c r="AC1033" s="115">
        <f t="shared" si="45"/>
        <v>2753.1850000000004</v>
      </c>
      <c r="AD1033">
        <f t="shared" si="46"/>
        <v>0.99254899232223204</v>
      </c>
    </row>
    <row r="1034" spans="1:30" x14ac:dyDescent="0.25">
      <c r="A1034" s="104" t="str">
        <f t="shared" si="44"/>
        <v>Mali2015</v>
      </c>
      <c r="C1034" s="107" t="s">
        <v>257</v>
      </c>
      <c r="D1034" s="108" t="s">
        <v>210</v>
      </c>
      <c r="E1034" s="109"/>
      <c r="F1034" s="109">
        <v>466</v>
      </c>
      <c r="G1034" s="109">
        <v>2015</v>
      </c>
      <c r="H1034" s="110">
        <v>1607.499</v>
      </c>
      <c r="I1034" s="110">
        <v>1378.979</v>
      </c>
      <c r="J1034" s="110">
        <v>1129.952</v>
      </c>
      <c r="K1034" s="110">
        <v>909.82299999999998</v>
      </c>
      <c r="L1034" s="110">
        <v>744.96199999999999</v>
      </c>
      <c r="M1034" s="110">
        <v>611.553</v>
      </c>
      <c r="N1034" s="110">
        <v>521.36300000000006</v>
      </c>
      <c r="O1034" s="110">
        <v>436.66300000000001</v>
      </c>
      <c r="P1034" s="110">
        <v>352.416</v>
      </c>
      <c r="Q1034" s="110">
        <v>269.85700000000003</v>
      </c>
      <c r="R1034" s="110">
        <v>207.95</v>
      </c>
      <c r="S1034" s="110">
        <v>170.31200000000001</v>
      </c>
      <c r="T1034" s="110">
        <v>143.09700000000001</v>
      </c>
      <c r="U1034" s="110">
        <v>103.241</v>
      </c>
      <c r="V1034" s="110">
        <v>77.727000000000004</v>
      </c>
      <c r="W1034" s="110">
        <v>42.076999999999998</v>
      </c>
      <c r="X1034" s="110">
        <v>18.437000000000001</v>
      </c>
      <c r="Y1034" s="110">
        <v>5.4109999999999996</v>
      </c>
      <c r="Z1034" s="110">
        <v>0.877</v>
      </c>
      <c r="AA1034" s="110">
        <v>6.9000000000000006E-2</v>
      </c>
      <c r="AB1034" s="110">
        <v>3.0000000000000001E-3</v>
      </c>
      <c r="AC1034" s="115">
        <f t="shared" si="45"/>
        <v>3846.6370000000002</v>
      </c>
      <c r="AD1034" t="str">
        <f t="shared" si="46"/>
        <v/>
      </c>
    </row>
    <row r="1035" spans="1:30" x14ac:dyDescent="0.25">
      <c r="A1035" s="104" t="str">
        <f t="shared" si="44"/>
        <v>Mali2016</v>
      </c>
      <c r="C1035" s="107" t="s">
        <v>257</v>
      </c>
      <c r="D1035" s="108" t="s">
        <v>210</v>
      </c>
      <c r="E1035" s="109"/>
      <c r="F1035" s="109">
        <v>466</v>
      </c>
      <c r="G1035" s="109">
        <v>2016</v>
      </c>
      <c r="H1035" s="110">
        <v>1636.268</v>
      </c>
      <c r="I1035" s="110">
        <v>1421.579</v>
      </c>
      <c r="J1035" s="110">
        <v>1174.4449999999999</v>
      </c>
      <c r="K1035" s="110">
        <v>943.625</v>
      </c>
      <c r="L1035" s="110">
        <v>768.31700000000001</v>
      </c>
      <c r="M1035" s="110">
        <v>628.64200000000005</v>
      </c>
      <c r="N1035" s="110">
        <v>533.21799999999996</v>
      </c>
      <c r="O1035" s="110">
        <v>449.517</v>
      </c>
      <c r="P1035" s="110">
        <v>366.09</v>
      </c>
      <c r="Q1035" s="110">
        <v>282.28699999999998</v>
      </c>
      <c r="R1035" s="110">
        <v>215.52600000000001</v>
      </c>
      <c r="S1035" s="110">
        <v>173.363</v>
      </c>
      <c r="T1035" s="110">
        <v>145.50200000000001</v>
      </c>
      <c r="U1035" s="110">
        <v>105.845</v>
      </c>
      <c r="V1035" s="110">
        <v>77.971999999999994</v>
      </c>
      <c r="W1035" s="110">
        <v>44.09</v>
      </c>
      <c r="X1035" s="110">
        <v>19.332000000000001</v>
      </c>
      <c r="Y1035" s="110">
        <v>6.0789999999999997</v>
      </c>
      <c r="Z1035" s="110">
        <v>1.0940000000000001</v>
      </c>
      <c r="AA1035" s="110">
        <v>9.0999999999999998E-2</v>
      </c>
      <c r="AB1035" s="110">
        <v>3.0000000000000001E-3</v>
      </c>
      <c r="AC1035" s="115">
        <f t="shared" si="45"/>
        <v>3971.6959999999995</v>
      </c>
      <c r="AD1035">
        <f t="shared" si="46"/>
        <v>1.0325112559360292</v>
      </c>
    </row>
    <row r="1036" spans="1:30" x14ac:dyDescent="0.25">
      <c r="A1036" s="104" t="str">
        <f t="shared" si="44"/>
        <v>Mali2017</v>
      </c>
      <c r="C1036" s="107" t="s">
        <v>257</v>
      </c>
      <c r="D1036" s="108" t="s">
        <v>210</v>
      </c>
      <c r="E1036" s="109"/>
      <c r="F1036" s="109">
        <v>466</v>
      </c>
      <c r="G1036" s="109">
        <v>2017</v>
      </c>
      <c r="H1036" s="110">
        <v>1667.8430000000001</v>
      </c>
      <c r="I1036" s="110">
        <v>1460.0150000000001</v>
      </c>
      <c r="J1036" s="110">
        <v>1220.9179999999999</v>
      </c>
      <c r="K1036" s="110">
        <v>980.92200000000003</v>
      </c>
      <c r="L1036" s="110">
        <v>792.73400000000004</v>
      </c>
      <c r="M1036" s="110">
        <v>647.83600000000001</v>
      </c>
      <c r="N1036" s="110">
        <v>544.77300000000002</v>
      </c>
      <c r="O1036" s="110">
        <v>462.35599999999999</v>
      </c>
      <c r="P1036" s="110">
        <v>379.52</v>
      </c>
      <c r="Q1036" s="110">
        <v>295.613</v>
      </c>
      <c r="R1036" s="110">
        <v>224.25</v>
      </c>
      <c r="S1036" s="110">
        <v>177.239</v>
      </c>
      <c r="T1036" s="110">
        <v>147.41200000000001</v>
      </c>
      <c r="U1036" s="110">
        <v>109.864</v>
      </c>
      <c r="V1036" s="110">
        <v>77.561999999999998</v>
      </c>
      <c r="W1036" s="110">
        <v>46.314</v>
      </c>
      <c r="X1036" s="110">
        <v>19.826000000000001</v>
      </c>
      <c r="Y1036" s="110">
        <v>6.5149999999999997</v>
      </c>
      <c r="Z1036" s="110">
        <v>1.2649999999999999</v>
      </c>
      <c r="AA1036" s="110">
        <v>0.13500000000000001</v>
      </c>
      <c r="AB1036" s="110">
        <v>3.0000000000000001E-3</v>
      </c>
      <c r="AC1036" s="115">
        <f t="shared" si="45"/>
        <v>4103.7539999999999</v>
      </c>
      <c r="AD1036">
        <f t="shared" si="46"/>
        <v>1.033249775410807</v>
      </c>
    </row>
    <row r="1037" spans="1:30" x14ac:dyDescent="0.25">
      <c r="A1037" s="104" t="str">
        <f t="shared" si="44"/>
        <v>Mali2018</v>
      </c>
      <c r="C1037" s="107" t="s">
        <v>257</v>
      </c>
      <c r="D1037" s="108" t="s">
        <v>210</v>
      </c>
      <c r="E1037" s="109"/>
      <c r="F1037" s="109">
        <v>466</v>
      </c>
      <c r="G1037" s="109">
        <v>2018</v>
      </c>
      <c r="H1037" s="110">
        <v>1702.153</v>
      </c>
      <c r="I1037" s="110">
        <v>1493.7170000000001</v>
      </c>
      <c r="J1037" s="110">
        <v>1268.5309999999999</v>
      </c>
      <c r="K1037" s="110">
        <v>1021.592</v>
      </c>
      <c r="L1037" s="110">
        <v>819.00099999999998</v>
      </c>
      <c r="M1037" s="110">
        <v>668.79899999999998</v>
      </c>
      <c r="N1037" s="110">
        <v>556.678</v>
      </c>
      <c r="O1037" s="110">
        <v>475.09699999999998</v>
      </c>
      <c r="P1037" s="110">
        <v>392.72199999999998</v>
      </c>
      <c r="Q1037" s="110">
        <v>309.53699999999998</v>
      </c>
      <c r="R1037" s="110">
        <v>234.06299999999999</v>
      </c>
      <c r="S1037" s="110">
        <v>182.036</v>
      </c>
      <c r="T1037" s="110">
        <v>149.25899999999999</v>
      </c>
      <c r="U1037" s="110">
        <v>114.614</v>
      </c>
      <c r="V1037" s="110">
        <v>77.293000000000006</v>
      </c>
      <c r="W1037" s="110">
        <v>48.41</v>
      </c>
      <c r="X1037" s="110">
        <v>20.059999999999999</v>
      </c>
      <c r="Y1037" s="110">
        <v>6.641</v>
      </c>
      <c r="Z1037" s="110">
        <v>1.3680000000000001</v>
      </c>
      <c r="AA1037" s="110">
        <v>0.16800000000000001</v>
      </c>
      <c r="AB1037" s="110">
        <v>4.0000000000000001E-3</v>
      </c>
      <c r="AC1037" s="115">
        <f t="shared" si="45"/>
        <v>4243.4259999999995</v>
      </c>
      <c r="AD1037">
        <f t="shared" si="46"/>
        <v>1.0340351785219093</v>
      </c>
    </row>
    <row r="1038" spans="1:30" x14ac:dyDescent="0.25">
      <c r="A1038" s="104" t="str">
        <f t="shared" si="44"/>
        <v>Mali2019</v>
      </c>
      <c r="C1038" s="107" t="s">
        <v>257</v>
      </c>
      <c r="D1038" s="108" t="s">
        <v>210</v>
      </c>
      <c r="E1038" s="109"/>
      <c r="F1038" s="109">
        <v>466</v>
      </c>
      <c r="G1038" s="109">
        <v>2019</v>
      </c>
      <c r="H1038" s="110">
        <v>1737.9580000000001</v>
      </c>
      <c r="I1038" s="110">
        <v>1523.913</v>
      </c>
      <c r="J1038" s="110">
        <v>1315.2180000000001</v>
      </c>
      <c r="K1038" s="110">
        <v>1065.1679999999999</v>
      </c>
      <c r="L1038" s="110">
        <v>848.31399999999996</v>
      </c>
      <c r="M1038" s="110">
        <v>690.96400000000006</v>
      </c>
      <c r="N1038" s="110">
        <v>569.9</v>
      </c>
      <c r="O1038" s="110">
        <v>487.56</v>
      </c>
      <c r="P1038" s="110">
        <v>405.78300000000002</v>
      </c>
      <c r="Q1038" s="110">
        <v>323.62900000000002</v>
      </c>
      <c r="R1038" s="110">
        <v>244.90199999999999</v>
      </c>
      <c r="S1038" s="110">
        <v>187.887</v>
      </c>
      <c r="T1038" s="110">
        <v>151.649</v>
      </c>
      <c r="U1038" s="110">
        <v>119.167</v>
      </c>
      <c r="V1038" s="110">
        <v>78.090999999999994</v>
      </c>
      <c r="W1038" s="110">
        <v>49.929000000000002</v>
      </c>
      <c r="X1038" s="110">
        <v>20.268000000000001</v>
      </c>
      <c r="Y1038" s="110">
        <v>6.4340000000000002</v>
      </c>
      <c r="Z1038" s="110">
        <v>1.3109999999999999</v>
      </c>
      <c r="AA1038" s="110">
        <v>0.156</v>
      </c>
      <c r="AB1038" s="110">
        <v>4.0000000000000001E-3</v>
      </c>
      <c r="AC1038" s="115">
        <f t="shared" si="45"/>
        <v>4391.3180000000002</v>
      </c>
      <c r="AD1038">
        <f t="shared" si="46"/>
        <v>1.0348520275833726</v>
      </c>
    </row>
    <row r="1039" spans="1:30" x14ac:dyDescent="0.25">
      <c r="A1039" s="104" t="str">
        <f t="shared" si="44"/>
        <v>Mali2020</v>
      </c>
      <c r="C1039" s="107" t="s">
        <v>257</v>
      </c>
      <c r="D1039" s="108" t="s">
        <v>210</v>
      </c>
      <c r="E1039" s="109"/>
      <c r="F1039" s="109">
        <v>466</v>
      </c>
      <c r="G1039" s="109">
        <v>2020</v>
      </c>
      <c r="H1039" s="110">
        <v>1774.681</v>
      </c>
      <c r="I1039" s="110">
        <v>1552.933</v>
      </c>
      <c r="J1039" s="110">
        <v>1358.4179999999999</v>
      </c>
      <c r="K1039" s="110">
        <v>1110.9190000000001</v>
      </c>
      <c r="L1039" s="110">
        <v>881.423</v>
      </c>
      <c r="M1039" s="110">
        <v>714.06500000000005</v>
      </c>
      <c r="N1039" s="110">
        <v>584.99</v>
      </c>
      <c r="O1039" s="110">
        <v>499.63299999999998</v>
      </c>
      <c r="P1039" s="110">
        <v>418.72699999999998</v>
      </c>
      <c r="Q1039" s="110">
        <v>337.54899999999998</v>
      </c>
      <c r="R1039" s="110">
        <v>256.661</v>
      </c>
      <c r="S1039" s="110">
        <v>194.85599999999999</v>
      </c>
      <c r="T1039" s="110">
        <v>154.90899999999999</v>
      </c>
      <c r="U1039" s="110">
        <v>123.05</v>
      </c>
      <c r="V1039" s="110">
        <v>80.334000000000003</v>
      </c>
      <c r="W1039" s="110">
        <v>50.792000000000002</v>
      </c>
      <c r="X1039" s="110">
        <v>20.597000000000001</v>
      </c>
      <c r="Y1039" s="110">
        <v>5.8920000000000003</v>
      </c>
      <c r="Z1039" s="110">
        <v>0.99099999999999999</v>
      </c>
      <c r="AA1039" s="110">
        <v>7.9000000000000001E-2</v>
      </c>
      <c r="AB1039" s="110">
        <v>4.0000000000000001E-3</v>
      </c>
      <c r="AC1039" s="115">
        <f t="shared" si="45"/>
        <v>4547.3059999999996</v>
      </c>
      <c r="AD1039">
        <f t="shared" si="46"/>
        <v>1.0355219093675292</v>
      </c>
    </row>
    <row r="1040" spans="1:30" x14ac:dyDescent="0.25">
      <c r="A1040" s="104" t="str">
        <f t="shared" si="44"/>
        <v>Mali2021</v>
      </c>
      <c r="C1040" s="107" t="s">
        <v>257</v>
      </c>
      <c r="D1040" s="108" t="s">
        <v>210</v>
      </c>
      <c r="E1040" s="109"/>
      <c r="F1040" s="109">
        <v>466</v>
      </c>
      <c r="G1040" s="109">
        <v>2021</v>
      </c>
      <c r="H1040" s="110">
        <v>1814.89</v>
      </c>
      <c r="I1040" s="110">
        <v>1587.12</v>
      </c>
      <c r="J1040" s="110">
        <v>1396.5440000000001</v>
      </c>
      <c r="K1040" s="110">
        <v>1155.0160000000001</v>
      </c>
      <c r="L1040" s="110">
        <v>916.05</v>
      </c>
      <c r="M1040" s="110">
        <v>737.98400000000004</v>
      </c>
      <c r="N1040" s="110">
        <v>602.11699999999996</v>
      </c>
      <c r="O1040" s="110">
        <v>511.42500000000001</v>
      </c>
      <c r="P1040" s="110">
        <v>431.45299999999997</v>
      </c>
      <c r="Q1040" s="110">
        <v>350.86</v>
      </c>
      <c r="R1040" s="110">
        <v>268.67</v>
      </c>
      <c r="S1040" s="110">
        <v>202.04</v>
      </c>
      <c r="T1040" s="110">
        <v>157.75200000000001</v>
      </c>
      <c r="U1040" s="110">
        <v>125.13800000000001</v>
      </c>
      <c r="V1040" s="110">
        <v>82.784000000000006</v>
      </c>
      <c r="W1040" s="110">
        <v>51.348999999999997</v>
      </c>
      <c r="X1040" s="110">
        <v>22.44</v>
      </c>
      <c r="Y1040" s="110">
        <v>6.59</v>
      </c>
      <c r="Z1040" s="110">
        <v>1.2190000000000001</v>
      </c>
      <c r="AA1040" s="110">
        <v>0.107</v>
      </c>
      <c r="AB1040" s="110">
        <v>4.0000000000000001E-3</v>
      </c>
      <c r="AC1040" s="115">
        <f t="shared" si="45"/>
        <v>4704.9049999999997</v>
      </c>
      <c r="AD1040">
        <f t="shared" si="46"/>
        <v>1.0346576632406088</v>
      </c>
    </row>
    <row r="1041" spans="1:30" x14ac:dyDescent="0.25">
      <c r="A1041" s="104" t="str">
        <f t="shared" si="44"/>
        <v>Mali2022</v>
      </c>
      <c r="C1041" s="107" t="s">
        <v>257</v>
      </c>
      <c r="D1041" s="108" t="s">
        <v>210</v>
      </c>
      <c r="E1041" s="109"/>
      <c r="F1041" s="109">
        <v>466</v>
      </c>
      <c r="G1041" s="109">
        <v>2022</v>
      </c>
      <c r="H1041" s="110">
        <v>1853.2139999999999</v>
      </c>
      <c r="I1041" s="110">
        <v>1621.8389999999999</v>
      </c>
      <c r="J1041" s="110">
        <v>1432.3009999999999</v>
      </c>
      <c r="K1041" s="110">
        <v>1201.479</v>
      </c>
      <c r="L1041" s="110">
        <v>953.75</v>
      </c>
      <c r="M1041" s="110">
        <v>762.78800000000001</v>
      </c>
      <c r="N1041" s="110">
        <v>621.39099999999996</v>
      </c>
      <c r="O1041" s="110">
        <v>523.04200000000003</v>
      </c>
      <c r="P1041" s="110">
        <v>444.274</v>
      </c>
      <c r="Q1041" s="110">
        <v>364.06400000000002</v>
      </c>
      <c r="R1041" s="110">
        <v>281.661</v>
      </c>
      <c r="S1041" s="110">
        <v>210.416</v>
      </c>
      <c r="T1041" s="110">
        <v>161.42699999999999</v>
      </c>
      <c r="U1041" s="110">
        <v>126.913</v>
      </c>
      <c r="V1041" s="110">
        <v>86.216999999999999</v>
      </c>
      <c r="W1041" s="110">
        <v>51.293999999999997</v>
      </c>
      <c r="X1041" s="110">
        <v>24.132000000000001</v>
      </c>
      <c r="Y1041" s="110">
        <v>6.9809999999999999</v>
      </c>
      <c r="Z1041" s="110">
        <v>1.407</v>
      </c>
      <c r="AA1041" s="110">
        <v>0.157</v>
      </c>
      <c r="AB1041" s="110">
        <v>4.0000000000000001E-3</v>
      </c>
      <c r="AC1041" s="115">
        <f t="shared" si="45"/>
        <v>4870.7880000000005</v>
      </c>
      <c r="AD1041">
        <f t="shared" si="46"/>
        <v>1.035257460033731</v>
      </c>
    </row>
    <row r="1042" spans="1:30" x14ac:dyDescent="0.25">
      <c r="A1042" s="104" t="str">
        <f t="shared" si="44"/>
        <v>Mali2023</v>
      </c>
      <c r="C1042" s="107" t="s">
        <v>257</v>
      </c>
      <c r="D1042" s="108" t="s">
        <v>210</v>
      </c>
      <c r="E1042" s="109"/>
      <c r="F1042" s="109">
        <v>466</v>
      </c>
      <c r="G1042" s="109">
        <v>2023</v>
      </c>
      <c r="H1042" s="110">
        <v>1890.538</v>
      </c>
      <c r="I1042" s="110">
        <v>1656.7349999999999</v>
      </c>
      <c r="J1042" s="110">
        <v>1466.3520000000001</v>
      </c>
      <c r="K1042" s="110">
        <v>1249.0150000000001</v>
      </c>
      <c r="L1042" s="110">
        <v>994.25800000000004</v>
      </c>
      <c r="M1042" s="110">
        <v>789.13</v>
      </c>
      <c r="N1042" s="110">
        <v>642.43399999999997</v>
      </c>
      <c r="O1042" s="110">
        <v>535.08199999999999</v>
      </c>
      <c r="P1042" s="110">
        <v>457.03199999999998</v>
      </c>
      <c r="Q1042" s="110">
        <v>377.16399999999999</v>
      </c>
      <c r="R1042" s="110">
        <v>295.30700000000002</v>
      </c>
      <c r="S1042" s="110">
        <v>219.929</v>
      </c>
      <c r="T1042" s="110">
        <v>166.03100000000001</v>
      </c>
      <c r="U1042" s="110">
        <v>128.77799999999999</v>
      </c>
      <c r="V1042" s="110">
        <v>90.146000000000001</v>
      </c>
      <c r="W1042" s="110">
        <v>51.268999999999998</v>
      </c>
      <c r="X1042" s="110">
        <v>25.347000000000001</v>
      </c>
      <c r="Y1042" s="110">
        <v>7.1029999999999998</v>
      </c>
      <c r="Z1042" s="110">
        <v>1.5229999999999999</v>
      </c>
      <c r="AA1042" s="110">
        <v>0.192</v>
      </c>
      <c r="AB1042" s="110">
        <v>4.0000000000000001E-3</v>
      </c>
      <c r="AC1042" s="115">
        <f t="shared" si="45"/>
        <v>5044.1150000000007</v>
      </c>
      <c r="AD1042">
        <f t="shared" si="46"/>
        <v>1.0355850018518564</v>
      </c>
    </row>
    <row r="1043" spans="1:30" x14ac:dyDescent="0.25">
      <c r="A1043" s="104" t="str">
        <f t="shared" si="44"/>
        <v>Mali2024</v>
      </c>
      <c r="C1043" s="107" t="s">
        <v>257</v>
      </c>
      <c r="D1043" s="108" t="s">
        <v>210</v>
      </c>
      <c r="E1043" s="109"/>
      <c r="F1043" s="109">
        <v>466</v>
      </c>
      <c r="G1043" s="109">
        <v>2024</v>
      </c>
      <c r="H1043" s="110">
        <v>1928.5029999999999</v>
      </c>
      <c r="I1043" s="110">
        <v>1691.2070000000001</v>
      </c>
      <c r="J1043" s="110">
        <v>1499.8879999999999</v>
      </c>
      <c r="K1043" s="110">
        <v>1295.443</v>
      </c>
      <c r="L1043" s="110">
        <v>1037.1179999999999</v>
      </c>
      <c r="M1043" s="110">
        <v>818.07399999999996</v>
      </c>
      <c r="N1043" s="110">
        <v>664.553</v>
      </c>
      <c r="O1043" s="110">
        <v>548.39599999999996</v>
      </c>
      <c r="P1043" s="110">
        <v>469.48099999999999</v>
      </c>
      <c r="Q1043" s="110">
        <v>390.18900000000002</v>
      </c>
      <c r="R1043" s="110">
        <v>309.14999999999998</v>
      </c>
      <c r="S1043" s="110">
        <v>230.49</v>
      </c>
      <c r="T1043" s="110">
        <v>171.70400000000001</v>
      </c>
      <c r="U1043" s="110">
        <v>131.227</v>
      </c>
      <c r="V1043" s="110">
        <v>93.888999999999996</v>
      </c>
      <c r="W1043" s="110">
        <v>51.945</v>
      </c>
      <c r="X1043" s="110">
        <v>25.815999999999999</v>
      </c>
      <c r="Y1043" s="110">
        <v>7.06</v>
      </c>
      <c r="Z1043" s="110">
        <v>1.472</v>
      </c>
      <c r="AA1043" s="110">
        <v>0.182</v>
      </c>
      <c r="AB1043" s="110">
        <v>4.0000000000000001E-3</v>
      </c>
      <c r="AC1043" s="115">
        <f t="shared" si="45"/>
        <v>5223.2539999999999</v>
      </c>
      <c r="AD1043">
        <f t="shared" si="46"/>
        <v>1.0355144559551079</v>
      </c>
    </row>
    <row r="1044" spans="1:30" x14ac:dyDescent="0.25">
      <c r="A1044" s="104" t="str">
        <f t="shared" si="44"/>
        <v>Mali2025</v>
      </c>
      <c r="C1044" s="107" t="s">
        <v>257</v>
      </c>
      <c r="D1044" s="108" t="s">
        <v>210</v>
      </c>
      <c r="E1044" s="109"/>
      <c r="F1044" s="109">
        <v>466</v>
      </c>
      <c r="G1044" s="109">
        <v>2025</v>
      </c>
      <c r="H1044" s="110">
        <v>1968.7380000000001</v>
      </c>
      <c r="I1044" s="110">
        <v>1724.519</v>
      </c>
      <c r="J1044" s="110">
        <v>1533.5039999999999</v>
      </c>
      <c r="K1044" s="110">
        <v>1339.2370000000001</v>
      </c>
      <c r="L1044" s="110">
        <v>1081.9949999999999</v>
      </c>
      <c r="M1044" s="110">
        <v>850.33</v>
      </c>
      <c r="N1044" s="110">
        <v>687.36900000000003</v>
      </c>
      <c r="O1044" s="110">
        <v>563.495</v>
      </c>
      <c r="P1044" s="110">
        <v>481.54500000000002</v>
      </c>
      <c r="Q1044" s="110">
        <v>403.13099999999997</v>
      </c>
      <c r="R1044" s="110">
        <v>322.88299999999998</v>
      </c>
      <c r="S1044" s="110">
        <v>242.00700000000001</v>
      </c>
      <c r="T1044" s="110">
        <v>178.52799999999999</v>
      </c>
      <c r="U1044" s="110">
        <v>134.52000000000001</v>
      </c>
      <c r="V1044" s="110">
        <v>97.155000000000001</v>
      </c>
      <c r="W1044" s="110">
        <v>53.594999999999999</v>
      </c>
      <c r="X1044" s="110">
        <v>25.626000000000001</v>
      </c>
      <c r="Y1044" s="110">
        <v>6.8449999999999998</v>
      </c>
      <c r="Z1044" s="110">
        <v>1.129</v>
      </c>
      <c r="AA1044" s="110">
        <v>9.4E-2</v>
      </c>
      <c r="AB1044" s="110">
        <v>4.0000000000000001E-3</v>
      </c>
      <c r="AC1044" s="115">
        <f t="shared" si="45"/>
        <v>5407.1020000000008</v>
      </c>
      <c r="AD1044">
        <f t="shared" si="46"/>
        <v>1.035197981947652</v>
      </c>
    </row>
    <row r="1045" spans="1:30" x14ac:dyDescent="0.25">
      <c r="A1045" s="104" t="str">
        <f t="shared" si="44"/>
        <v>Mali2026</v>
      </c>
      <c r="C1045" s="107" t="s">
        <v>257</v>
      </c>
      <c r="D1045" s="108" t="s">
        <v>210</v>
      </c>
      <c r="E1045" s="109"/>
      <c r="F1045" s="109">
        <v>466</v>
      </c>
      <c r="G1045" s="109">
        <v>2026</v>
      </c>
      <c r="H1045" s="110">
        <v>2014.002</v>
      </c>
      <c r="I1045" s="110">
        <v>1762.3330000000001</v>
      </c>
      <c r="J1045" s="110">
        <v>1565.9369999999999</v>
      </c>
      <c r="K1045" s="110">
        <v>1376.94</v>
      </c>
      <c r="L1045" s="110">
        <v>1126.905</v>
      </c>
      <c r="M1045" s="110">
        <v>885.44500000000005</v>
      </c>
      <c r="N1045" s="110">
        <v>711.27</v>
      </c>
      <c r="O1045" s="110">
        <v>580.50300000000004</v>
      </c>
      <c r="P1045" s="110">
        <v>493.28500000000003</v>
      </c>
      <c r="Q1045" s="110">
        <v>415.58800000000002</v>
      </c>
      <c r="R1045" s="110">
        <v>335.78800000000001</v>
      </c>
      <c r="S1045" s="110">
        <v>253.417</v>
      </c>
      <c r="T1045" s="110">
        <v>185.17699999999999</v>
      </c>
      <c r="U1045" s="110">
        <v>137.12200000000001</v>
      </c>
      <c r="V1045" s="110">
        <v>98.936999999999998</v>
      </c>
      <c r="W1045" s="110">
        <v>55.966999999999999</v>
      </c>
      <c r="X1045" s="110">
        <v>26.571999999999999</v>
      </c>
      <c r="Y1045" s="110">
        <v>8.0619999999999994</v>
      </c>
      <c r="Z1045" s="110">
        <v>1.3560000000000001</v>
      </c>
      <c r="AA1045" s="110">
        <v>0.125</v>
      </c>
      <c r="AB1045" s="110">
        <v>4.0000000000000001E-3</v>
      </c>
      <c r="AC1045" s="115">
        <f t="shared" si="45"/>
        <v>5589.9359999999997</v>
      </c>
      <c r="AD1045">
        <f t="shared" si="46"/>
        <v>1.0338136769012307</v>
      </c>
    </row>
    <row r="1046" spans="1:30" x14ac:dyDescent="0.25">
      <c r="A1046" s="104" t="str">
        <f t="shared" si="44"/>
        <v>Mali2027</v>
      </c>
      <c r="C1046" s="107" t="s">
        <v>257</v>
      </c>
      <c r="D1046" s="108" t="s">
        <v>210</v>
      </c>
      <c r="E1046" s="109"/>
      <c r="F1046" s="109">
        <v>466</v>
      </c>
      <c r="G1046" s="109">
        <v>2027</v>
      </c>
      <c r="H1046" s="110">
        <v>2056.1799999999998</v>
      </c>
      <c r="I1046" s="110">
        <v>1801.9010000000001</v>
      </c>
      <c r="J1046" s="110">
        <v>1599.567</v>
      </c>
      <c r="K1046" s="110">
        <v>1412.287</v>
      </c>
      <c r="L1046" s="110">
        <v>1173.7460000000001</v>
      </c>
      <c r="M1046" s="110">
        <v>923.37699999999995</v>
      </c>
      <c r="N1046" s="110">
        <v>736.08699999999999</v>
      </c>
      <c r="O1046" s="110">
        <v>599.70299999999997</v>
      </c>
      <c r="P1046" s="110">
        <v>504.93299999999999</v>
      </c>
      <c r="Q1046" s="110">
        <v>428.24200000000002</v>
      </c>
      <c r="R1046" s="110">
        <v>348.71100000000001</v>
      </c>
      <c r="S1046" s="110">
        <v>265.89699999999999</v>
      </c>
      <c r="T1046" s="110">
        <v>193.03</v>
      </c>
      <c r="U1046" s="110">
        <v>140.47399999999999</v>
      </c>
      <c r="V1046" s="110">
        <v>100.491</v>
      </c>
      <c r="W1046" s="110">
        <v>58.720999999999997</v>
      </c>
      <c r="X1046" s="110">
        <v>26.93</v>
      </c>
      <c r="Y1046" s="110">
        <v>9.0410000000000004</v>
      </c>
      <c r="Z1046" s="110">
        <v>1.524</v>
      </c>
      <c r="AA1046" s="110">
        <v>0.183</v>
      </c>
      <c r="AB1046" s="110">
        <v>4.0000000000000001E-3</v>
      </c>
      <c r="AC1046" s="115">
        <f t="shared" si="45"/>
        <v>5778.3750000000009</v>
      </c>
      <c r="AD1046">
        <f t="shared" si="46"/>
        <v>1.0337104038400442</v>
      </c>
    </row>
    <row r="1047" spans="1:30" x14ac:dyDescent="0.25">
      <c r="A1047" s="104" t="str">
        <f t="shared" si="44"/>
        <v>Mali2028</v>
      </c>
      <c r="C1047" s="107" t="s">
        <v>257</v>
      </c>
      <c r="D1047" s="108" t="s">
        <v>210</v>
      </c>
      <c r="E1047" s="109"/>
      <c r="F1047" s="109">
        <v>466</v>
      </c>
      <c r="G1047" s="109">
        <v>2028</v>
      </c>
      <c r="H1047" s="110">
        <v>2096.5059999999999</v>
      </c>
      <c r="I1047" s="110">
        <v>1842.5</v>
      </c>
      <c r="J1047" s="110">
        <v>1634.2360000000001</v>
      </c>
      <c r="K1047" s="110">
        <v>1446.21</v>
      </c>
      <c r="L1047" s="110">
        <v>1221.0630000000001</v>
      </c>
      <c r="M1047" s="110">
        <v>963.73900000000003</v>
      </c>
      <c r="N1047" s="110">
        <v>762.41600000000005</v>
      </c>
      <c r="O1047" s="110">
        <v>620.68700000000001</v>
      </c>
      <c r="P1047" s="110">
        <v>516.99900000000002</v>
      </c>
      <c r="Q1047" s="110">
        <v>440.92599999999999</v>
      </c>
      <c r="R1047" s="110">
        <v>361.60500000000002</v>
      </c>
      <c r="S1047" s="110">
        <v>279.11500000000001</v>
      </c>
      <c r="T1047" s="110">
        <v>202.03200000000001</v>
      </c>
      <c r="U1047" s="110">
        <v>144.703</v>
      </c>
      <c r="V1047" s="110">
        <v>102.22799999999999</v>
      </c>
      <c r="W1047" s="110">
        <v>61.543999999999997</v>
      </c>
      <c r="X1047" s="110">
        <v>27.021999999999998</v>
      </c>
      <c r="Y1047" s="110">
        <v>9.5449999999999999</v>
      </c>
      <c r="Z1047" s="110">
        <v>1.655</v>
      </c>
      <c r="AA1047" s="110">
        <v>0.22500000000000001</v>
      </c>
      <c r="AB1047" s="110">
        <v>5.0000000000000001E-3</v>
      </c>
      <c r="AC1047" s="115">
        <f t="shared" si="45"/>
        <v>5972.04</v>
      </c>
      <c r="AD1047">
        <f t="shared" si="46"/>
        <v>1.0335154779674214</v>
      </c>
    </row>
    <row r="1048" spans="1:30" x14ac:dyDescent="0.25">
      <c r="A1048" s="104" t="str">
        <f t="shared" si="44"/>
        <v>Mali2029</v>
      </c>
      <c r="C1048" s="107" t="s">
        <v>257</v>
      </c>
      <c r="D1048" s="108" t="s">
        <v>210</v>
      </c>
      <c r="E1048" s="109"/>
      <c r="F1048" s="109">
        <v>466</v>
      </c>
      <c r="G1048" s="109">
        <v>2029</v>
      </c>
      <c r="H1048" s="110">
        <v>2136.2330000000002</v>
      </c>
      <c r="I1048" s="110">
        <v>1883.039</v>
      </c>
      <c r="J1048" s="110">
        <v>1669.8510000000001</v>
      </c>
      <c r="K1048" s="110">
        <v>1480.1569999999999</v>
      </c>
      <c r="L1048" s="110">
        <v>1266.818</v>
      </c>
      <c r="M1048" s="110">
        <v>1006.074</v>
      </c>
      <c r="N1048" s="110">
        <v>791.24599999999998</v>
      </c>
      <c r="O1048" s="110">
        <v>642.74900000000002</v>
      </c>
      <c r="P1048" s="110">
        <v>530.303</v>
      </c>
      <c r="Q1048" s="110">
        <v>453.392</v>
      </c>
      <c r="R1048" s="110">
        <v>374.49299999999999</v>
      </c>
      <c r="S1048" s="110">
        <v>292.62599999999998</v>
      </c>
      <c r="T1048" s="110">
        <v>212.13499999999999</v>
      </c>
      <c r="U1048" s="110">
        <v>149.99100000000001</v>
      </c>
      <c r="V1048" s="110">
        <v>104.544</v>
      </c>
      <c r="W1048" s="110">
        <v>64.034000000000006</v>
      </c>
      <c r="X1048" s="110">
        <v>27.245000000000001</v>
      </c>
      <c r="Y1048" s="110">
        <v>9.4760000000000009</v>
      </c>
      <c r="Z1048" s="110">
        <v>1.647</v>
      </c>
      <c r="AA1048" s="110">
        <v>0.21299999999999999</v>
      </c>
      <c r="AB1048" s="110">
        <v>5.0000000000000001E-3</v>
      </c>
      <c r="AC1048" s="115">
        <f t="shared" si="45"/>
        <v>6170.7389999999996</v>
      </c>
      <c r="AD1048">
        <f t="shared" si="46"/>
        <v>1.0332715454015713</v>
      </c>
    </row>
    <row r="1049" spans="1:30" x14ac:dyDescent="0.25">
      <c r="A1049" s="104" t="str">
        <f t="shared" ref="A1049:A1112" si="47">D1049&amp;G1049</f>
        <v>Mali2030</v>
      </c>
      <c r="C1049" s="107" t="s">
        <v>257</v>
      </c>
      <c r="D1049" s="108" t="s">
        <v>210</v>
      </c>
      <c r="E1049" s="109"/>
      <c r="F1049" s="109">
        <v>466</v>
      </c>
      <c r="G1049" s="109">
        <v>2030</v>
      </c>
      <c r="H1049" s="110">
        <v>2176.7910000000002</v>
      </c>
      <c r="I1049" s="110">
        <v>1922.1310000000001</v>
      </c>
      <c r="J1049" s="110">
        <v>1706.298</v>
      </c>
      <c r="K1049" s="110">
        <v>1514.934</v>
      </c>
      <c r="L1049" s="110">
        <v>1309.873</v>
      </c>
      <c r="M1049" s="110">
        <v>1050.03</v>
      </c>
      <c r="N1049" s="110">
        <v>823.149</v>
      </c>
      <c r="O1049" s="110">
        <v>665.48699999999997</v>
      </c>
      <c r="P1049" s="110">
        <v>545.38199999999995</v>
      </c>
      <c r="Q1049" s="110">
        <v>465.536</v>
      </c>
      <c r="R1049" s="110">
        <v>387.37700000000001</v>
      </c>
      <c r="S1049" s="110">
        <v>306.12599999999998</v>
      </c>
      <c r="T1049" s="110">
        <v>223.27199999999999</v>
      </c>
      <c r="U1049" s="110">
        <v>156.46700000000001</v>
      </c>
      <c r="V1049" s="110">
        <v>107.614</v>
      </c>
      <c r="W1049" s="110">
        <v>66.119</v>
      </c>
      <c r="X1049" s="110">
        <v>27.808</v>
      </c>
      <c r="Y1049" s="110">
        <v>8.84</v>
      </c>
      <c r="Z1049" s="110">
        <v>1.3680000000000001</v>
      </c>
      <c r="AA1049" s="110">
        <v>0.112</v>
      </c>
      <c r="AB1049" s="110">
        <v>5.0000000000000001E-3</v>
      </c>
      <c r="AC1049" s="115">
        <f t="shared" si="45"/>
        <v>6374.3909999999996</v>
      </c>
      <c r="AD1049">
        <f t="shared" si="46"/>
        <v>1.0330028542772591</v>
      </c>
    </row>
    <row r="1050" spans="1:30" x14ac:dyDescent="0.25">
      <c r="A1050" s="104" t="str">
        <f t="shared" si="47"/>
        <v>Mali2031</v>
      </c>
      <c r="C1050" s="107" t="s">
        <v>257</v>
      </c>
      <c r="D1050" s="108" t="s">
        <v>210</v>
      </c>
      <c r="E1050" s="109"/>
      <c r="F1050" s="109">
        <v>466</v>
      </c>
      <c r="G1050" s="109">
        <v>2031</v>
      </c>
      <c r="H1050" s="110">
        <v>2220.5749999999998</v>
      </c>
      <c r="I1050" s="110">
        <v>1964.9780000000001</v>
      </c>
      <c r="J1050" s="110">
        <v>1742.971</v>
      </c>
      <c r="K1050" s="110">
        <v>1547.229</v>
      </c>
      <c r="L1050" s="110">
        <v>1348.73</v>
      </c>
      <c r="M1050" s="110">
        <v>1095.5530000000001</v>
      </c>
      <c r="N1050" s="110">
        <v>858.24099999999999</v>
      </c>
      <c r="O1050" s="110">
        <v>689.24400000000003</v>
      </c>
      <c r="P1050" s="110">
        <v>562.28700000000003</v>
      </c>
      <c r="Q1050" s="110">
        <v>477.05500000000001</v>
      </c>
      <c r="R1050" s="110">
        <v>399.48</v>
      </c>
      <c r="S1050" s="110">
        <v>318.36200000000002</v>
      </c>
      <c r="T1050" s="110">
        <v>233.77</v>
      </c>
      <c r="U1050" s="110">
        <v>162.34</v>
      </c>
      <c r="V1050" s="110">
        <v>109.88200000000001</v>
      </c>
      <c r="W1050" s="110">
        <v>67.784000000000006</v>
      </c>
      <c r="X1050" s="110">
        <v>30.015000000000001</v>
      </c>
      <c r="Y1050" s="110">
        <v>9.69</v>
      </c>
      <c r="Z1050" s="110">
        <v>1.786</v>
      </c>
      <c r="AA1050" s="110">
        <v>0.14499999999999999</v>
      </c>
      <c r="AB1050" s="110">
        <v>5.0000000000000001E-3</v>
      </c>
      <c r="AC1050" s="115">
        <f t="shared" ref="AC1050:AC1113" si="48">SUM(K1050:Q1050)</f>
        <v>6578.3389999999999</v>
      </c>
      <c r="AD1050">
        <f t="shared" ref="AD1050:AD1113" si="49">IF(D1050=D1049,AC1050/AC1049,"")</f>
        <v>1.0319948995911923</v>
      </c>
    </row>
    <row r="1051" spans="1:30" x14ac:dyDescent="0.25">
      <c r="A1051" s="104" t="str">
        <f t="shared" si="47"/>
        <v>Mali2032</v>
      </c>
      <c r="C1051" s="107" t="s">
        <v>257</v>
      </c>
      <c r="D1051" s="108" t="s">
        <v>210</v>
      </c>
      <c r="E1051" s="109"/>
      <c r="F1051" s="109">
        <v>466</v>
      </c>
      <c r="G1051" s="109">
        <v>2032</v>
      </c>
      <c r="H1051" s="110">
        <v>2260.4929999999999</v>
      </c>
      <c r="I1051" s="110">
        <v>2008.48</v>
      </c>
      <c r="J1051" s="110">
        <v>1781.7850000000001</v>
      </c>
      <c r="K1051" s="110">
        <v>1580.482</v>
      </c>
      <c r="L1051" s="110">
        <v>1384.7270000000001</v>
      </c>
      <c r="M1051" s="110">
        <v>1142.693</v>
      </c>
      <c r="N1051" s="110">
        <v>896.09400000000005</v>
      </c>
      <c r="O1051" s="110">
        <v>713.94600000000003</v>
      </c>
      <c r="P1051" s="110">
        <v>581.37699999999995</v>
      </c>
      <c r="Q1051" s="110">
        <v>488.55599999999998</v>
      </c>
      <c r="R1051" s="110">
        <v>411.86599999999999</v>
      </c>
      <c r="S1051" s="110">
        <v>330.75400000000002</v>
      </c>
      <c r="T1051" s="110">
        <v>245.39599999999999</v>
      </c>
      <c r="U1051" s="110">
        <v>169.321</v>
      </c>
      <c r="V1051" s="110">
        <v>112.651</v>
      </c>
      <c r="W1051" s="110">
        <v>69.111000000000004</v>
      </c>
      <c r="X1051" s="110">
        <v>32.057000000000002</v>
      </c>
      <c r="Y1051" s="110">
        <v>10.117000000000001</v>
      </c>
      <c r="Z1051" s="110">
        <v>2.1429999999999998</v>
      </c>
      <c r="AA1051" s="110">
        <v>0.21099999999999999</v>
      </c>
      <c r="AB1051" s="110">
        <v>5.0000000000000001E-3</v>
      </c>
      <c r="AC1051" s="115">
        <f t="shared" si="48"/>
        <v>6787.8749999999991</v>
      </c>
      <c r="AD1051">
        <f t="shared" si="49"/>
        <v>1.0318524174567469</v>
      </c>
    </row>
    <row r="1052" spans="1:30" x14ac:dyDescent="0.25">
      <c r="A1052" s="104" t="str">
        <f t="shared" si="47"/>
        <v>Mali2033</v>
      </c>
      <c r="C1052" s="107" t="s">
        <v>257</v>
      </c>
      <c r="D1052" s="108" t="s">
        <v>210</v>
      </c>
      <c r="E1052" s="109"/>
      <c r="F1052" s="109">
        <v>466</v>
      </c>
      <c r="G1052" s="109">
        <v>2033</v>
      </c>
      <c r="H1052" s="110">
        <v>2297.752</v>
      </c>
      <c r="I1052" s="110">
        <v>2051.7629999999999</v>
      </c>
      <c r="J1052" s="110">
        <v>1822.2190000000001</v>
      </c>
      <c r="K1052" s="110">
        <v>1615.0409999999999</v>
      </c>
      <c r="L1052" s="110">
        <v>1418.7349999999999</v>
      </c>
      <c r="M1052" s="110">
        <v>1189.9570000000001</v>
      </c>
      <c r="N1052" s="110">
        <v>936.34900000000005</v>
      </c>
      <c r="O1052" s="110">
        <v>740.19899999999996</v>
      </c>
      <c r="P1052" s="110">
        <v>602.22799999999995</v>
      </c>
      <c r="Q1052" s="110">
        <v>500.56400000000002</v>
      </c>
      <c r="R1052" s="110">
        <v>424.35899999999998</v>
      </c>
      <c r="S1052" s="110">
        <v>343.26900000000001</v>
      </c>
      <c r="T1052" s="110">
        <v>257.86700000000002</v>
      </c>
      <c r="U1052" s="110">
        <v>177.411</v>
      </c>
      <c r="V1052" s="110">
        <v>116.15900000000001</v>
      </c>
      <c r="W1052" s="110">
        <v>70.462000000000003</v>
      </c>
      <c r="X1052" s="110">
        <v>33.652999999999999</v>
      </c>
      <c r="Y1052" s="110">
        <v>10.206</v>
      </c>
      <c r="Z1052" s="110">
        <v>2.371</v>
      </c>
      <c r="AA1052" s="110">
        <v>0.26</v>
      </c>
      <c r="AB1052" s="110">
        <v>6.0000000000000001E-3</v>
      </c>
      <c r="AC1052" s="115">
        <f t="shared" si="48"/>
        <v>7003.0730000000003</v>
      </c>
      <c r="AD1052">
        <f t="shared" si="49"/>
        <v>1.031703294477285</v>
      </c>
    </row>
    <row r="1053" spans="1:30" x14ac:dyDescent="0.25">
      <c r="A1053" s="104" t="str">
        <f t="shared" si="47"/>
        <v>Mali2034</v>
      </c>
      <c r="C1053" s="107" t="s">
        <v>257</v>
      </c>
      <c r="D1053" s="108" t="s">
        <v>210</v>
      </c>
      <c r="E1053" s="109"/>
      <c r="F1053" s="109">
        <v>466</v>
      </c>
      <c r="G1053" s="109">
        <v>2034</v>
      </c>
      <c r="H1053" s="110">
        <v>2333.6190000000001</v>
      </c>
      <c r="I1053" s="110">
        <v>2093.848</v>
      </c>
      <c r="J1053" s="110">
        <v>1863.5809999999999</v>
      </c>
      <c r="K1053" s="110">
        <v>1651.133</v>
      </c>
      <c r="L1053" s="110">
        <v>1452.3030000000001</v>
      </c>
      <c r="M1053" s="110">
        <v>1235.329</v>
      </c>
      <c r="N1053" s="110">
        <v>978.51300000000003</v>
      </c>
      <c r="O1053" s="110">
        <v>768.96100000000001</v>
      </c>
      <c r="P1053" s="110">
        <v>624.149</v>
      </c>
      <c r="Q1053" s="110">
        <v>513.88099999999997</v>
      </c>
      <c r="R1053" s="110">
        <v>436.71300000000002</v>
      </c>
      <c r="S1053" s="110">
        <v>355.916</v>
      </c>
      <c r="T1053" s="110">
        <v>270.76600000000002</v>
      </c>
      <c r="U1053" s="110">
        <v>186.62100000000001</v>
      </c>
      <c r="V1053" s="110">
        <v>120.66200000000001</v>
      </c>
      <c r="W1053" s="110">
        <v>72.119</v>
      </c>
      <c r="X1053" s="110">
        <v>34.603999999999999</v>
      </c>
      <c r="Y1053" s="110">
        <v>10.116</v>
      </c>
      <c r="Z1053" s="110">
        <v>2.3210000000000002</v>
      </c>
      <c r="AA1053" s="110">
        <v>0.249</v>
      </c>
      <c r="AB1053" s="110">
        <v>6.0000000000000001E-3</v>
      </c>
      <c r="AC1053" s="115">
        <f t="shared" si="48"/>
        <v>7224.2690000000011</v>
      </c>
      <c r="AD1053">
        <f t="shared" si="49"/>
        <v>1.031585562509487</v>
      </c>
    </row>
    <row r="1054" spans="1:30" x14ac:dyDescent="0.25">
      <c r="A1054" s="104" t="str">
        <f t="shared" si="47"/>
        <v>Mali2035</v>
      </c>
      <c r="C1054" s="107" t="s">
        <v>257</v>
      </c>
      <c r="D1054" s="108" t="s">
        <v>210</v>
      </c>
      <c r="E1054" s="109"/>
      <c r="F1054" s="109">
        <v>466</v>
      </c>
      <c r="G1054" s="109">
        <v>2035</v>
      </c>
      <c r="H1054" s="110">
        <v>2369.402</v>
      </c>
      <c r="I1054" s="110">
        <v>2133.6770000000001</v>
      </c>
      <c r="J1054" s="110">
        <v>1905.1990000000001</v>
      </c>
      <c r="K1054" s="110">
        <v>1688.7570000000001</v>
      </c>
      <c r="L1054" s="110">
        <v>1486.579</v>
      </c>
      <c r="M1054" s="110">
        <v>1277.662</v>
      </c>
      <c r="N1054" s="110">
        <v>1022.112</v>
      </c>
      <c r="O1054" s="110">
        <v>800.75400000000002</v>
      </c>
      <c r="P1054" s="110">
        <v>646.774</v>
      </c>
      <c r="Q1054" s="110">
        <v>529.00699999999995</v>
      </c>
      <c r="R1054" s="110">
        <v>448.84500000000003</v>
      </c>
      <c r="S1054" s="110">
        <v>368.67700000000002</v>
      </c>
      <c r="T1054" s="110">
        <v>283.81299999999999</v>
      </c>
      <c r="U1054" s="110">
        <v>196.95099999999999</v>
      </c>
      <c r="V1054" s="110">
        <v>126.298</v>
      </c>
      <c r="W1054" s="110">
        <v>74.233999999999995</v>
      </c>
      <c r="X1054" s="110">
        <v>35.036000000000001</v>
      </c>
      <c r="Y1054" s="110">
        <v>9.8789999999999996</v>
      </c>
      <c r="Z1054" s="110">
        <v>1.839</v>
      </c>
      <c r="AA1054" s="110">
        <v>0.14299999999999999</v>
      </c>
      <c r="AB1054" s="110">
        <v>6.0000000000000001E-3</v>
      </c>
      <c r="AC1054" s="115">
        <f t="shared" si="48"/>
        <v>7451.6450000000004</v>
      </c>
      <c r="AD1054">
        <f t="shared" si="49"/>
        <v>1.0314739110628355</v>
      </c>
    </row>
    <row r="1055" spans="1:30" x14ac:dyDescent="0.25">
      <c r="A1055" s="104" t="str">
        <f t="shared" si="47"/>
        <v>Mali2036</v>
      </c>
      <c r="C1055" s="107" t="s">
        <v>257</v>
      </c>
      <c r="D1055" s="108" t="s">
        <v>210</v>
      </c>
      <c r="E1055" s="109"/>
      <c r="F1055" s="109">
        <v>466</v>
      </c>
      <c r="G1055" s="109">
        <v>2036</v>
      </c>
      <c r="H1055" s="110">
        <v>2406.5880000000002</v>
      </c>
      <c r="I1055" s="110">
        <v>2176.335</v>
      </c>
      <c r="J1055" s="110">
        <v>1946.704</v>
      </c>
      <c r="K1055" s="110">
        <v>1725.325</v>
      </c>
      <c r="L1055" s="110">
        <v>1520.09</v>
      </c>
      <c r="M1055" s="110">
        <v>1317.306</v>
      </c>
      <c r="N1055" s="110">
        <v>1067.588</v>
      </c>
      <c r="O1055" s="110">
        <v>835.60299999999995</v>
      </c>
      <c r="P1055" s="110">
        <v>670.346</v>
      </c>
      <c r="Q1055" s="110">
        <v>545.61099999999999</v>
      </c>
      <c r="R1055" s="110">
        <v>460.05900000000003</v>
      </c>
      <c r="S1055" s="110">
        <v>380.18200000000002</v>
      </c>
      <c r="T1055" s="110">
        <v>295.05200000000002</v>
      </c>
      <c r="U1055" s="110">
        <v>206.22200000000001</v>
      </c>
      <c r="V1055" s="110">
        <v>131.24700000000001</v>
      </c>
      <c r="W1055" s="110">
        <v>76.387</v>
      </c>
      <c r="X1055" s="110">
        <v>36.804000000000002</v>
      </c>
      <c r="Y1055" s="110">
        <v>11.425000000000001</v>
      </c>
      <c r="Z1055" s="110">
        <v>2.173</v>
      </c>
      <c r="AA1055" s="110">
        <v>0.19900000000000001</v>
      </c>
      <c r="AB1055" s="110">
        <v>6.0000000000000001E-3</v>
      </c>
      <c r="AC1055" s="115">
        <f t="shared" si="48"/>
        <v>7681.8689999999997</v>
      </c>
      <c r="AD1055">
        <f t="shared" si="49"/>
        <v>1.0308957283928581</v>
      </c>
    </row>
    <row r="1056" spans="1:30" x14ac:dyDescent="0.25">
      <c r="A1056" s="104" t="str">
        <f t="shared" si="47"/>
        <v>Mali2037</v>
      </c>
      <c r="C1056" s="107" t="s">
        <v>257</v>
      </c>
      <c r="D1056" s="108" t="s">
        <v>210</v>
      </c>
      <c r="E1056" s="109"/>
      <c r="F1056" s="109">
        <v>466</v>
      </c>
      <c r="G1056" s="109">
        <v>2037</v>
      </c>
      <c r="H1056" s="110">
        <v>2440.6170000000002</v>
      </c>
      <c r="I1056" s="110">
        <v>2217.8690000000001</v>
      </c>
      <c r="J1056" s="110">
        <v>1989.3309999999999</v>
      </c>
      <c r="K1056" s="110">
        <v>1763.77</v>
      </c>
      <c r="L1056" s="110">
        <v>1553.9490000000001</v>
      </c>
      <c r="M1056" s="110">
        <v>1353.7639999999999</v>
      </c>
      <c r="N1056" s="110">
        <v>1114.595</v>
      </c>
      <c r="O1056" s="110">
        <v>873.17700000000002</v>
      </c>
      <c r="P1056" s="110">
        <v>694.86</v>
      </c>
      <c r="Q1056" s="110">
        <v>564.40599999999995</v>
      </c>
      <c r="R1056" s="110">
        <v>471.33300000000003</v>
      </c>
      <c r="S1056" s="110">
        <v>392.096</v>
      </c>
      <c r="T1056" s="110">
        <v>306.61099999999999</v>
      </c>
      <c r="U1056" s="110">
        <v>216.59700000000001</v>
      </c>
      <c r="V1056" s="110">
        <v>137</v>
      </c>
      <c r="W1056" s="110">
        <v>78.570999999999998</v>
      </c>
      <c r="X1056" s="110">
        <v>38.073</v>
      </c>
      <c r="Y1056" s="110">
        <v>12.632999999999999</v>
      </c>
      <c r="Z1056" s="110">
        <v>2.4039999999999999</v>
      </c>
      <c r="AA1056" s="110">
        <v>0.30199999999999999</v>
      </c>
      <c r="AB1056" s="110">
        <v>7.0000000000000001E-3</v>
      </c>
      <c r="AC1056" s="115">
        <f t="shared" si="48"/>
        <v>7918.5209999999997</v>
      </c>
      <c r="AD1056">
        <f t="shared" si="49"/>
        <v>1.0308065654334901</v>
      </c>
    </row>
    <row r="1057" spans="1:30" x14ac:dyDescent="0.25">
      <c r="A1057" s="104" t="str">
        <f t="shared" si="47"/>
        <v>Mali2038</v>
      </c>
      <c r="C1057" s="107" t="s">
        <v>257</v>
      </c>
      <c r="D1057" s="108" t="s">
        <v>210</v>
      </c>
      <c r="E1057" s="109"/>
      <c r="F1057" s="109">
        <v>466</v>
      </c>
      <c r="G1057" s="109">
        <v>2038</v>
      </c>
      <c r="H1057" s="110">
        <v>2472.2860000000001</v>
      </c>
      <c r="I1057" s="110">
        <v>2257.5540000000001</v>
      </c>
      <c r="J1057" s="110">
        <v>2032.585</v>
      </c>
      <c r="K1057" s="110">
        <v>1804.0229999999999</v>
      </c>
      <c r="L1057" s="110">
        <v>1588.518</v>
      </c>
      <c r="M1057" s="110">
        <v>1387.8779999999999</v>
      </c>
      <c r="N1057" s="110">
        <v>1161.71</v>
      </c>
      <c r="O1057" s="110">
        <v>913.178</v>
      </c>
      <c r="P1057" s="110">
        <v>720.90800000000002</v>
      </c>
      <c r="Q1057" s="110">
        <v>585.01599999999996</v>
      </c>
      <c r="R1057" s="110">
        <v>483.178</v>
      </c>
      <c r="S1057" s="110">
        <v>404.25900000000001</v>
      </c>
      <c r="T1057" s="110">
        <v>318.5</v>
      </c>
      <c r="U1057" s="110">
        <v>227.85900000000001</v>
      </c>
      <c r="V1057" s="110">
        <v>143.69</v>
      </c>
      <c r="W1057" s="110">
        <v>81.096000000000004</v>
      </c>
      <c r="X1057" s="110">
        <v>38.945</v>
      </c>
      <c r="Y1057" s="110">
        <v>13.279</v>
      </c>
      <c r="Z1057" s="110">
        <v>2.56</v>
      </c>
      <c r="AA1057" s="110">
        <v>0.376</v>
      </c>
      <c r="AB1057" s="110">
        <v>7.0000000000000001E-3</v>
      </c>
      <c r="AC1057" s="115">
        <f t="shared" si="48"/>
        <v>8161.2309999999998</v>
      </c>
      <c r="AD1057">
        <f t="shared" si="49"/>
        <v>1.0306509258484002</v>
      </c>
    </row>
    <row r="1058" spans="1:30" x14ac:dyDescent="0.25">
      <c r="A1058" s="104" t="str">
        <f t="shared" si="47"/>
        <v>Mali2039</v>
      </c>
      <c r="C1058" s="107" t="s">
        <v>257</v>
      </c>
      <c r="D1058" s="108" t="s">
        <v>210</v>
      </c>
      <c r="E1058" s="109"/>
      <c r="F1058" s="109">
        <v>466</v>
      </c>
      <c r="G1058" s="109">
        <v>2039</v>
      </c>
      <c r="H1058" s="110">
        <v>2502.317</v>
      </c>
      <c r="I1058" s="110">
        <v>2294.9409999999998</v>
      </c>
      <c r="J1058" s="110">
        <v>2075.712</v>
      </c>
      <c r="K1058" s="110">
        <v>1845.723</v>
      </c>
      <c r="L1058" s="110">
        <v>1624.2059999999999</v>
      </c>
      <c r="M1058" s="110">
        <v>1421.2249999999999</v>
      </c>
      <c r="N1058" s="110">
        <v>1206.9349999999999</v>
      </c>
      <c r="O1058" s="110">
        <v>955.13699999999994</v>
      </c>
      <c r="P1058" s="110">
        <v>749.45399999999995</v>
      </c>
      <c r="Q1058" s="110">
        <v>606.78599999999994</v>
      </c>
      <c r="R1058" s="110">
        <v>496.39699999999999</v>
      </c>
      <c r="S1058" s="110">
        <v>416.44099999999997</v>
      </c>
      <c r="T1058" s="110">
        <v>330.72399999999999</v>
      </c>
      <c r="U1058" s="110">
        <v>239.678</v>
      </c>
      <c r="V1058" s="110">
        <v>151.44800000000001</v>
      </c>
      <c r="W1058" s="110">
        <v>84.257999999999996</v>
      </c>
      <c r="X1058" s="110">
        <v>39.56</v>
      </c>
      <c r="Y1058" s="110">
        <v>13.326000000000001</v>
      </c>
      <c r="Z1058" s="110">
        <v>2.5209999999999999</v>
      </c>
      <c r="AA1058" s="110">
        <v>0.35699999999999998</v>
      </c>
      <c r="AB1058" s="110">
        <v>7.0000000000000001E-3</v>
      </c>
      <c r="AC1058" s="115">
        <f t="shared" si="48"/>
        <v>8409.4659999999985</v>
      </c>
      <c r="AD1058">
        <f t="shared" si="49"/>
        <v>1.0304163673347806</v>
      </c>
    </row>
    <row r="1059" spans="1:30" x14ac:dyDescent="0.25">
      <c r="A1059" s="104" t="str">
        <f t="shared" si="47"/>
        <v>Mali2040</v>
      </c>
      <c r="C1059" s="107" t="s">
        <v>257</v>
      </c>
      <c r="D1059" s="108" t="s">
        <v>210</v>
      </c>
      <c r="E1059" s="109"/>
      <c r="F1059" s="109">
        <v>466</v>
      </c>
      <c r="G1059" s="109">
        <v>2040</v>
      </c>
      <c r="H1059" s="110">
        <v>2531.5569999999998</v>
      </c>
      <c r="I1059" s="110">
        <v>2329.7460000000001</v>
      </c>
      <c r="J1059" s="110">
        <v>2117.8290000000002</v>
      </c>
      <c r="K1059" s="110">
        <v>1888.4190000000001</v>
      </c>
      <c r="L1059" s="110">
        <v>1661.375</v>
      </c>
      <c r="M1059" s="110">
        <v>1454.954</v>
      </c>
      <c r="N1059" s="110">
        <v>1249.0229999999999</v>
      </c>
      <c r="O1059" s="110">
        <v>998.55499999999995</v>
      </c>
      <c r="P1059" s="110">
        <v>781.06100000000004</v>
      </c>
      <c r="Q1059" s="110">
        <v>629.34500000000003</v>
      </c>
      <c r="R1059" s="110">
        <v>511.49299999999999</v>
      </c>
      <c r="S1059" s="110">
        <v>428.55700000000002</v>
      </c>
      <c r="T1059" s="110">
        <v>343.25099999999998</v>
      </c>
      <c r="U1059" s="110">
        <v>251.84399999999999</v>
      </c>
      <c r="V1059" s="110">
        <v>160.339</v>
      </c>
      <c r="W1059" s="110">
        <v>88.253</v>
      </c>
      <c r="X1059" s="110">
        <v>40.112000000000002</v>
      </c>
      <c r="Y1059" s="110">
        <v>12.803000000000001</v>
      </c>
      <c r="Z1059" s="110">
        <v>2.13</v>
      </c>
      <c r="AA1059" s="110">
        <v>0.19900000000000001</v>
      </c>
      <c r="AB1059" s="110">
        <v>8.0000000000000002E-3</v>
      </c>
      <c r="AC1059" s="115">
        <f t="shared" si="48"/>
        <v>8662.732</v>
      </c>
      <c r="AD1059">
        <f t="shared" si="49"/>
        <v>1.0301167755479363</v>
      </c>
    </row>
    <row r="1060" spans="1:30" x14ac:dyDescent="0.25">
      <c r="A1060" s="104" t="str">
        <f t="shared" si="47"/>
        <v>Mali2041</v>
      </c>
      <c r="C1060" s="107" t="s">
        <v>257</v>
      </c>
      <c r="D1060" s="108" t="s">
        <v>210</v>
      </c>
      <c r="E1060" s="109"/>
      <c r="F1060" s="109">
        <v>466</v>
      </c>
      <c r="G1060" s="109">
        <v>2041</v>
      </c>
      <c r="H1060" s="110">
        <v>2562.0239999999999</v>
      </c>
      <c r="I1060" s="110">
        <v>2367.0810000000001</v>
      </c>
      <c r="J1060" s="110">
        <v>2158.643</v>
      </c>
      <c r="K1060" s="110">
        <v>1929.6759999999999</v>
      </c>
      <c r="L1060" s="110">
        <v>1698.954</v>
      </c>
      <c r="M1060" s="110">
        <v>1489.2280000000001</v>
      </c>
      <c r="N1060" s="110">
        <v>1288.6859999999999</v>
      </c>
      <c r="O1060" s="110">
        <v>1043.644</v>
      </c>
      <c r="P1060" s="110">
        <v>815.54700000000003</v>
      </c>
      <c r="Q1060" s="110">
        <v>652.43799999999999</v>
      </c>
      <c r="R1060" s="110">
        <v>527.64200000000005</v>
      </c>
      <c r="S1060" s="110">
        <v>439.17700000000002</v>
      </c>
      <c r="T1060" s="110">
        <v>353.803</v>
      </c>
      <c r="U1060" s="110">
        <v>261.714</v>
      </c>
      <c r="V1060" s="110">
        <v>168.07900000000001</v>
      </c>
      <c r="W1060" s="110">
        <v>92.406000000000006</v>
      </c>
      <c r="X1060" s="110">
        <v>42.293999999999997</v>
      </c>
      <c r="Y1060" s="110">
        <v>14.237</v>
      </c>
      <c r="Z1060" s="110">
        <v>2.702</v>
      </c>
      <c r="AA1060" s="110">
        <v>0.25</v>
      </c>
      <c r="AB1060" s="110">
        <v>8.9999999999999993E-3</v>
      </c>
      <c r="AC1060" s="115">
        <f t="shared" si="48"/>
        <v>8918.1730000000007</v>
      </c>
      <c r="AD1060">
        <f t="shared" si="49"/>
        <v>1.0294873487948144</v>
      </c>
    </row>
    <row r="1061" spans="1:30" x14ac:dyDescent="0.25">
      <c r="A1061" s="104" t="str">
        <f t="shared" si="47"/>
        <v>Mali2042</v>
      </c>
      <c r="C1061" s="107" t="s">
        <v>257</v>
      </c>
      <c r="D1061" s="108" t="s">
        <v>210</v>
      </c>
      <c r="E1061" s="109"/>
      <c r="F1061" s="109">
        <v>466</v>
      </c>
      <c r="G1061" s="109">
        <v>2042</v>
      </c>
      <c r="H1061" s="110">
        <v>2589.1869999999999</v>
      </c>
      <c r="I1061" s="110">
        <v>2402.828</v>
      </c>
      <c r="J1061" s="110">
        <v>2199.1170000000002</v>
      </c>
      <c r="K1061" s="110">
        <v>1972.0429999999999</v>
      </c>
      <c r="L1061" s="110">
        <v>1737.952</v>
      </c>
      <c r="M1061" s="110">
        <v>1523.597</v>
      </c>
      <c r="N1061" s="110">
        <v>1325.223</v>
      </c>
      <c r="O1061" s="110">
        <v>1090.3420000000001</v>
      </c>
      <c r="P1061" s="110">
        <v>852.79399999999998</v>
      </c>
      <c r="Q1061" s="110">
        <v>676.57500000000005</v>
      </c>
      <c r="R1061" s="110">
        <v>546.04700000000003</v>
      </c>
      <c r="S1061" s="110">
        <v>450.03800000000001</v>
      </c>
      <c r="T1061" s="110">
        <v>364.964</v>
      </c>
      <c r="U1061" s="110">
        <v>272.05399999999997</v>
      </c>
      <c r="V1061" s="110">
        <v>176.69399999999999</v>
      </c>
      <c r="W1061" s="110">
        <v>96.772999999999996</v>
      </c>
      <c r="X1061" s="110">
        <v>44.055</v>
      </c>
      <c r="Y1061" s="110">
        <v>15.217000000000001</v>
      </c>
      <c r="Z1061" s="110">
        <v>3.173</v>
      </c>
      <c r="AA1061" s="110">
        <v>0.34899999999999998</v>
      </c>
      <c r="AB1061" s="110">
        <v>0.01</v>
      </c>
      <c r="AC1061" s="115">
        <f t="shared" si="48"/>
        <v>9178.5259999999998</v>
      </c>
      <c r="AD1061">
        <f t="shared" si="49"/>
        <v>1.0291935354920789</v>
      </c>
    </row>
    <row r="1062" spans="1:30" x14ac:dyDescent="0.25">
      <c r="A1062" s="104" t="str">
        <f t="shared" si="47"/>
        <v>Mali2043</v>
      </c>
      <c r="C1062" s="107" t="s">
        <v>257</v>
      </c>
      <c r="D1062" s="108" t="s">
        <v>210</v>
      </c>
      <c r="E1062" s="109"/>
      <c r="F1062" s="109">
        <v>466</v>
      </c>
      <c r="G1062" s="109">
        <v>2043</v>
      </c>
      <c r="H1062" s="110">
        <v>2613.9059999999999</v>
      </c>
      <c r="I1062" s="110">
        <v>2436.4029999999998</v>
      </c>
      <c r="J1062" s="110">
        <v>2238.9720000000002</v>
      </c>
      <c r="K1062" s="110">
        <v>2015.2360000000001</v>
      </c>
      <c r="L1062" s="110">
        <v>1778.2449999999999</v>
      </c>
      <c r="M1062" s="110">
        <v>1558.3430000000001</v>
      </c>
      <c r="N1062" s="110">
        <v>1359.4690000000001</v>
      </c>
      <c r="O1062" s="110">
        <v>1137.2619999999999</v>
      </c>
      <c r="P1062" s="110">
        <v>892.47</v>
      </c>
      <c r="Q1062" s="110">
        <v>702.36</v>
      </c>
      <c r="R1062" s="110">
        <v>566.322</v>
      </c>
      <c r="S1062" s="110">
        <v>461.63299999999998</v>
      </c>
      <c r="T1062" s="110">
        <v>376.59699999999998</v>
      </c>
      <c r="U1062" s="110">
        <v>282.91399999999999</v>
      </c>
      <c r="V1062" s="110">
        <v>186.12299999999999</v>
      </c>
      <c r="W1062" s="110">
        <v>101.58199999999999</v>
      </c>
      <c r="X1062" s="110">
        <v>45.537999999999997</v>
      </c>
      <c r="Y1062" s="110">
        <v>15.648999999999999</v>
      </c>
      <c r="Z1062" s="110">
        <v>3.4809999999999999</v>
      </c>
      <c r="AA1062" s="110">
        <v>0.42199999999999999</v>
      </c>
      <c r="AB1062" s="110">
        <v>0.01</v>
      </c>
      <c r="AC1062" s="115">
        <f t="shared" si="48"/>
        <v>9443.3850000000002</v>
      </c>
      <c r="AD1062">
        <f t="shared" si="49"/>
        <v>1.0288563762852554</v>
      </c>
    </row>
    <row r="1063" spans="1:30" x14ac:dyDescent="0.25">
      <c r="A1063" s="104" t="str">
        <f t="shared" si="47"/>
        <v>Mali2044</v>
      </c>
      <c r="C1063" s="107" t="s">
        <v>257</v>
      </c>
      <c r="D1063" s="108" t="s">
        <v>210</v>
      </c>
      <c r="E1063" s="109"/>
      <c r="F1063" s="109">
        <v>466</v>
      </c>
      <c r="G1063" s="109">
        <v>2044</v>
      </c>
      <c r="H1063" s="110">
        <v>2637.201</v>
      </c>
      <c r="I1063" s="110">
        <v>2467.424</v>
      </c>
      <c r="J1063" s="110">
        <v>2277.828</v>
      </c>
      <c r="K1063" s="110">
        <v>2058.6689999999999</v>
      </c>
      <c r="L1063" s="110">
        <v>1819.5709999999999</v>
      </c>
      <c r="M1063" s="110">
        <v>1593.8520000000001</v>
      </c>
      <c r="N1063" s="110">
        <v>1392.9110000000001</v>
      </c>
      <c r="O1063" s="110">
        <v>1182.3800000000001</v>
      </c>
      <c r="P1063" s="110">
        <v>934.1</v>
      </c>
      <c r="Q1063" s="110">
        <v>730.72500000000002</v>
      </c>
      <c r="R1063" s="110">
        <v>587.81399999999996</v>
      </c>
      <c r="S1063" s="110">
        <v>474.72199999999998</v>
      </c>
      <c r="T1063" s="110">
        <v>388.48700000000002</v>
      </c>
      <c r="U1063" s="110">
        <v>294.31700000000001</v>
      </c>
      <c r="V1063" s="110">
        <v>196.16</v>
      </c>
      <c r="W1063" s="110">
        <v>107.07299999999999</v>
      </c>
      <c r="X1063" s="110">
        <v>46.968000000000004</v>
      </c>
      <c r="Y1063" s="110">
        <v>15.579000000000001</v>
      </c>
      <c r="Z1063" s="110">
        <v>3.4359999999999999</v>
      </c>
      <c r="AA1063" s="110">
        <v>0.40600000000000003</v>
      </c>
      <c r="AB1063" s="110">
        <v>1.0999999999999999E-2</v>
      </c>
      <c r="AC1063" s="115">
        <f t="shared" si="48"/>
        <v>9712.2080000000005</v>
      </c>
      <c r="AD1063">
        <f t="shared" si="49"/>
        <v>1.0284668050704275</v>
      </c>
    </row>
    <row r="1064" spans="1:30" x14ac:dyDescent="0.25">
      <c r="A1064" s="104" t="str">
        <f t="shared" si="47"/>
        <v>Mali2045</v>
      </c>
      <c r="C1064" s="107" t="s">
        <v>257</v>
      </c>
      <c r="D1064" s="108" t="s">
        <v>210</v>
      </c>
      <c r="E1064" s="109"/>
      <c r="F1064" s="109">
        <v>466</v>
      </c>
      <c r="G1064" s="109">
        <v>2045</v>
      </c>
      <c r="H1064" s="110">
        <v>2660.0929999999998</v>
      </c>
      <c r="I1064" s="110">
        <v>2495.6550000000002</v>
      </c>
      <c r="J1064" s="110">
        <v>2315.116</v>
      </c>
      <c r="K1064" s="110">
        <v>2101.75</v>
      </c>
      <c r="L1064" s="110">
        <v>1861.7940000000001</v>
      </c>
      <c r="M1064" s="110">
        <v>1630.46</v>
      </c>
      <c r="N1064" s="110">
        <v>1426.546</v>
      </c>
      <c r="O1064" s="110">
        <v>1224.405</v>
      </c>
      <c r="P1064" s="110">
        <v>977.22799999999995</v>
      </c>
      <c r="Q1064" s="110">
        <v>762.18</v>
      </c>
      <c r="R1064" s="110">
        <v>610.18200000000002</v>
      </c>
      <c r="S1064" s="110">
        <v>489.779</v>
      </c>
      <c r="T1064" s="110">
        <v>400.52</v>
      </c>
      <c r="U1064" s="110">
        <v>306.238</v>
      </c>
      <c r="V1064" s="110">
        <v>206.69200000000001</v>
      </c>
      <c r="W1064" s="110">
        <v>113.44</v>
      </c>
      <c r="X1064" s="110">
        <v>48.594000000000001</v>
      </c>
      <c r="Y1064" s="110">
        <v>15.055</v>
      </c>
      <c r="Z1064" s="110">
        <v>2.8580000000000001</v>
      </c>
      <c r="AA1064" s="110">
        <v>0.24099999999999999</v>
      </c>
      <c r="AB1064" s="110">
        <v>1.2E-2</v>
      </c>
      <c r="AC1064" s="115">
        <f t="shared" si="48"/>
        <v>9984.3629999999994</v>
      </c>
      <c r="AD1064">
        <f t="shared" si="49"/>
        <v>1.0280219492827993</v>
      </c>
    </row>
    <row r="1065" spans="1:30" x14ac:dyDescent="0.25">
      <c r="A1065" s="104" t="str">
        <f t="shared" si="47"/>
        <v>Mali2046</v>
      </c>
      <c r="C1065" s="107" t="s">
        <v>257</v>
      </c>
      <c r="D1065" s="108" t="s">
        <v>210</v>
      </c>
      <c r="E1065" s="109"/>
      <c r="F1065" s="109">
        <v>466</v>
      </c>
      <c r="G1065" s="109">
        <v>2046</v>
      </c>
      <c r="H1065" s="110">
        <v>2684.5279999999998</v>
      </c>
      <c r="I1065" s="110">
        <v>2526.174</v>
      </c>
      <c r="J1065" s="110">
        <v>2350.8429999999998</v>
      </c>
      <c r="K1065" s="110">
        <v>2142.3440000000001</v>
      </c>
      <c r="L1065" s="110">
        <v>1904.0219999999999</v>
      </c>
      <c r="M1065" s="110">
        <v>1668.78</v>
      </c>
      <c r="N1065" s="110">
        <v>1460.952</v>
      </c>
      <c r="O1065" s="110">
        <v>1263.827</v>
      </c>
      <c r="P1065" s="110">
        <v>1021.884</v>
      </c>
      <c r="Q1065" s="110">
        <v>796.02800000000002</v>
      </c>
      <c r="R1065" s="110">
        <v>632.64</v>
      </c>
      <c r="S1065" s="110">
        <v>505.17700000000002</v>
      </c>
      <c r="T1065" s="110">
        <v>410.21600000000001</v>
      </c>
      <c r="U1065" s="110">
        <v>315.52600000000001</v>
      </c>
      <c r="V1065" s="110">
        <v>214.892</v>
      </c>
      <c r="W1065" s="110">
        <v>119.742</v>
      </c>
      <c r="X1065" s="110">
        <v>52.134</v>
      </c>
      <c r="Y1065" s="110">
        <v>16.763000000000002</v>
      </c>
      <c r="Z1065" s="110">
        <v>3.4620000000000002</v>
      </c>
      <c r="AA1065" s="110">
        <v>0.32600000000000001</v>
      </c>
      <c r="AB1065" s="110">
        <v>1.2999999999999999E-2</v>
      </c>
      <c r="AC1065" s="115">
        <f t="shared" si="48"/>
        <v>10257.837</v>
      </c>
      <c r="AD1065">
        <f t="shared" si="49"/>
        <v>1.0273902301028117</v>
      </c>
    </row>
    <row r="1066" spans="1:30" x14ac:dyDescent="0.25">
      <c r="A1066" s="104" t="str">
        <f t="shared" si="47"/>
        <v>Mali2047</v>
      </c>
      <c r="C1066" s="107" t="s">
        <v>257</v>
      </c>
      <c r="D1066" s="108" t="s">
        <v>210</v>
      </c>
      <c r="E1066" s="109"/>
      <c r="F1066" s="109">
        <v>466</v>
      </c>
      <c r="G1066" s="109">
        <v>2047</v>
      </c>
      <c r="H1066" s="110">
        <v>2706.491</v>
      </c>
      <c r="I1066" s="110">
        <v>2554.9349999999999</v>
      </c>
      <c r="J1066" s="110">
        <v>2385.6410000000001</v>
      </c>
      <c r="K1066" s="110">
        <v>2182.527</v>
      </c>
      <c r="L1066" s="110">
        <v>1946.8710000000001</v>
      </c>
      <c r="M1066" s="110">
        <v>1708.212</v>
      </c>
      <c r="N1066" s="110">
        <v>1495.423</v>
      </c>
      <c r="O1066" s="110">
        <v>1300.222</v>
      </c>
      <c r="P1066" s="110">
        <v>1068.1949999999999</v>
      </c>
      <c r="Q1066" s="110">
        <v>832.69799999999998</v>
      </c>
      <c r="R1066" s="110">
        <v>656.25599999999997</v>
      </c>
      <c r="S1066" s="110">
        <v>522.93299999999999</v>
      </c>
      <c r="T1066" s="110">
        <v>420.37299999999999</v>
      </c>
      <c r="U1066" s="110">
        <v>325.55500000000001</v>
      </c>
      <c r="V1066" s="110">
        <v>223.49600000000001</v>
      </c>
      <c r="W1066" s="110">
        <v>126.313</v>
      </c>
      <c r="X1066" s="110">
        <v>55.243000000000002</v>
      </c>
      <c r="Y1066" s="110">
        <v>17.968</v>
      </c>
      <c r="Z1066" s="110">
        <v>3.9319999999999999</v>
      </c>
      <c r="AA1066" s="110">
        <v>0.47799999999999998</v>
      </c>
      <c r="AB1066" s="110">
        <v>1.2999999999999999E-2</v>
      </c>
      <c r="AC1066" s="115">
        <f t="shared" si="48"/>
        <v>10534.148000000001</v>
      </c>
      <c r="AD1066">
        <f t="shared" si="49"/>
        <v>1.0269365754203348</v>
      </c>
    </row>
    <row r="1067" spans="1:30" x14ac:dyDescent="0.25">
      <c r="A1067" s="104" t="str">
        <f t="shared" si="47"/>
        <v>Mali2048</v>
      </c>
      <c r="C1067" s="107" t="s">
        <v>257</v>
      </c>
      <c r="D1067" s="108" t="s">
        <v>210</v>
      </c>
      <c r="E1067" s="109"/>
      <c r="F1067" s="109">
        <v>466</v>
      </c>
      <c r="G1067" s="109">
        <v>2048</v>
      </c>
      <c r="H1067" s="110">
        <v>2726.7559999999999</v>
      </c>
      <c r="I1067" s="110">
        <v>2581.5459999999998</v>
      </c>
      <c r="J1067" s="110">
        <v>2419.3490000000002</v>
      </c>
      <c r="K1067" s="110">
        <v>2222.2869999999998</v>
      </c>
      <c r="L1067" s="110">
        <v>1990.0360000000001</v>
      </c>
      <c r="M1067" s="110">
        <v>1748.587</v>
      </c>
      <c r="N1067" s="110">
        <v>1530.2629999999999</v>
      </c>
      <c r="O1067" s="110">
        <v>1334.454</v>
      </c>
      <c r="P1067" s="110">
        <v>1114.7560000000001</v>
      </c>
      <c r="Q1067" s="110">
        <v>871.89599999999996</v>
      </c>
      <c r="R1067" s="110">
        <v>681.60299999999995</v>
      </c>
      <c r="S1067" s="110">
        <v>542.65800000000002</v>
      </c>
      <c r="T1067" s="110">
        <v>431.49599999999998</v>
      </c>
      <c r="U1067" s="110">
        <v>336.25700000000001</v>
      </c>
      <c r="V1067" s="110">
        <v>232.71199999999999</v>
      </c>
      <c r="W1067" s="110">
        <v>133.203</v>
      </c>
      <c r="X1067" s="110">
        <v>58.006999999999998</v>
      </c>
      <c r="Y1067" s="110">
        <v>18.628</v>
      </c>
      <c r="Z1067" s="110">
        <v>4.2229999999999999</v>
      </c>
      <c r="AA1067" s="110">
        <v>0.58899999999999997</v>
      </c>
      <c r="AB1067" s="110">
        <v>1.4E-2</v>
      </c>
      <c r="AC1067" s="115">
        <f t="shared" si="48"/>
        <v>10812.279</v>
      </c>
      <c r="AD1067">
        <f t="shared" si="49"/>
        <v>1.0264027997328307</v>
      </c>
    </row>
    <row r="1068" spans="1:30" x14ac:dyDescent="0.25">
      <c r="A1068" s="104" t="str">
        <f t="shared" si="47"/>
        <v>Mali2049</v>
      </c>
      <c r="C1068" s="107" t="s">
        <v>257</v>
      </c>
      <c r="D1068" s="108" t="s">
        <v>210</v>
      </c>
      <c r="E1068" s="109"/>
      <c r="F1068" s="109">
        <v>466</v>
      </c>
      <c r="G1068" s="109">
        <v>2049</v>
      </c>
      <c r="H1068" s="110">
        <v>2746.2</v>
      </c>
      <c r="I1068" s="110">
        <v>2605.8580000000002</v>
      </c>
      <c r="J1068" s="110">
        <v>2451.71</v>
      </c>
      <c r="K1068" s="110">
        <v>2261.4659999999999</v>
      </c>
      <c r="L1068" s="110">
        <v>2033.09</v>
      </c>
      <c r="M1068" s="110">
        <v>1789.6769999999999</v>
      </c>
      <c r="N1068" s="110">
        <v>1565.838</v>
      </c>
      <c r="O1068" s="110">
        <v>1367.991</v>
      </c>
      <c r="P1068" s="110">
        <v>1159.5830000000001</v>
      </c>
      <c r="Q1068" s="110">
        <v>913.17499999999995</v>
      </c>
      <c r="R1068" s="110">
        <v>709.60500000000002</v>
      </c>
      <c r="S1068" s="110">
        <v>563.73800000000006</v>
      </c>
      <c r="T1068" s="110">
        <v>444.33</v>
      </c>
      <c r="U1068" s="110">
        <v>347.46100000000001</v>
      </c>
      <c r="V1068" s="110">
        <v>242.61500000000001</v>
      </c>
      <c r="W1068" s="110">
        <v>140.38399999999999</v>
      </c>
      <c r="X1068" s="110">
        <v>60.682000000000002</v>
      </c>
      <c r="Y1068" s="110">
        <v>18.856999999999999</v>
      </c>
      <c r="Z1068" s="110">
        <v>4.1399999999999997</v>
      </c>
      <c r="AA1068" s="110">
        <v>0.56699999999999995</v>
      </c>
      <c r="AB1068" s="110">
        <v>1.4E-2</v>
      </c>
      <c r="AC1068" s="115">
        <f t="shared" si="48"/>
        <v>11090.819999999998</v>
      </c>
      <c r="AD1068">
        <f t="shared" si="49"/>
        <v>1.0257615438891281</v>
      </c>
    </row>
    <row r="1069" spans="1:30" x14ac:dyDescent="0.25">
      <c r="A1069" s="104" t="str">
        <f t="shared" si="47"/>
        <v>Mali2050</v>
      </c>
      <c r="C1069" s="107" t="s">
        <v>257</v>
      </c>
      <c r="D1069" s="108" t="s">
        <v>210</v>
      </c>
      <c r="E1069" s="109"/>
      <c r="F1069" s="109">
        <v>466</v>
      </c>
      <c r="G1069" s="109">
        <v>2050</v>
      </c>
      <c r="H1069" s="110">
        <v>2765.7379999999998</v>
      </c>
      <c r="I1069" s="110">
        <v>2627.8649999999998</v>
      </c>
      <c r="J1069" s="110">
        <v>2482.2689999999998</v>
      </c>
      <c r="K1069" s="110">
        <v>2299.7759999999998</v>
      </c>
      <c r="L1069" s="110">
        <v>2075.779</v>
      </c>
      <c r="M1069" s="110">
        <v>1831.3689999999999</v>
      </c>
      <c r="N1069" s="110">
        <v>1602.38</v>
      </c>
      <c r="O1069" s="110">
        <v>1401.7660000000001</v>
      </c>
      <c r="P1069" s="110">
        <v>1201.454</v>
      </c>
      <c r="Q1069" s="110">
        <v>956.06299999999999</v>
      </c>
      <c r="R1069" s="110">
        <v>740.779</v>
      </c>
      <c r="S1069" s="110">
        <v>585.85900000000004</v>
      </c>
      <c r="T1069" s="110">
        <v>459.29899999999998</v>
      </c>
      <c r="U1069" s="110">
        <v>359.09100000000001</v>
      </c>
      <c r="V1069" s="110">
        <v>253.2</v>
      </c>
      <c r="W1069" s="110">
        <v>147.947</v>
      </c>
      <c r="X1069" s="110">
        <v>63.587000000000003</v>
      </c>
      <c r="Y1069" s="110">
        <v>18.704999999999998</v>
      </c>
      <c r="Z1069" s="110">
        <v>3.4729999999999999</v>
      </c>
      <c r="AA1069" s="110">
        <v>0.33600000000000002</v>
      </c>
      <c r="AB1069" s="110">
        <v>1.4999999999999999E-2</v>
      </c>
      <c r="AC1069" s="115">
        <f t="shared" si="48"/>
        <v>11368.587</v>
      </c>
      <c r="AD1069">
        <f t="shared" si="49"/>
        <v>1.0250447667530445</v>
      </c>
    </row>
    <row r="1070" spans="1:30" x14ac:dyDescent="0.25">
      <c r="A1070" s="104" t="str">
        <f t="shared" si="47"/>
        <v>Mali2051</v>
      </c>
      <c r="C1070" s="107" t="s">
        <v>257</v>
      </c>
      <c r="D1070" s="108" t="s">
        <v>210</v>
      </c>
      <c r="E1070" s="109"/>
      <c r="F1070" s="109">
        <v>466</v>
      </c>
      <c r="G1070" s="109">
        <v>2051</v>
      </c>
      <c r="H1070" s="110">
        <v>2787.6289999999999</v>
      </c>
      <c r="I1070" s="110">
        <v>2652.4110000000001</v>
      </c>
      <c r="J1070" s="110">
        <v>2511.1999999999998</v>
      </c>
      <c r="K1070" s="110">
        <v>2335.2939999999999</v>
      </c>
      <c r="L1070" s="110">
        <v>2117.355</v>
      </c>
      <c r="M1070" s="110">
        <v>1874.338</v>
      </c>
      <c r="N1070" s="110">
        <v>1640.82</v>
      </c>
      <c r="O1070" s="110">
        <v>1436.018</v>
      </c>
      <c r="P1070" s="110">
        <v>1240.5619999999999</v>
      </c>
      <c r="Q1070" s="110">
        <v>999.93</v>
      </c>
      <c r="R1070" s="110">
        <v>773.78200000000004</v>
      </c>
      <c r="S1070" s="110">
        <v>607.31200000000001</v>
      </c>
      <c r="T1070" s="110">
        <v>473.59699999999998</v>
      </c>
      <c r="U1070" s="110">
        <v>367.697</v>
      </c>
      <c r="V1070" s="110">
        <v>261.13200000000001</v>
      </c>
      <c r="W1070" s="110">
        <v>154.797</v>
      </c>
      <c r="X1070" s="110">
        <v>68.790000000000006</v>
      </c>
      <c r="Y1070" s="110">
        <v>21.209</v>
      </c>
      <c r="Z1070" s="110">
        <v>4.181</v>
      </c>
      <c r="AA1070" s="110">
        <v>0.432</v>
      </c>
      <c r="AB1070" s="110">
        <v>1.6E-2</v>
      </c>
      <c r="AC1070" s="115">
        <f t="shared" si="48"/>
        <v>11644.316999999999</v>
      </c>
      <c r="AD1070">
        <f t="shared" si="49"/>
        <v>1.0242536737415124</v>
      </c>
    </row>
    <row r="1071" spans="1:30" x14ac:dyDescent="0.25">
      <c r="A1071" s="104" t="str">
        <f t="shared" si="47"/>
        <v>Mali2052</v>
      </c>
      <c r="C1071" s="107" t="s">
        <v>257</v>
      </c>
      <c r="D1071" s="108" t="s">
        <v>210</v>
      </c>
      <c r="E1071" s="109"/>
      <c r="F1071" s="109">
        <v>466</v>
      </c>
      <c r="G1071" s="109">
        <v>2052</v>
      </c>
      <c r="H1071" s="110">
        <v>2807.65</v>
      </c>
      <c r="I1071" s="110">
        <v>2675.8440000000001</v>
      </c>
      <c r="J1071" s="110">
        <v>2539.0500000000002</v>
      </c>
      <c r="K1071" s="110">
        <v>2369.8850000000002</v>
      </c>
      <c r="L1071" s="110">
        <v>2158.1289999999999</v>
      </c>
      <c r="M1071" s="110">
        <v>1917.7159999999999</v>
      </c>
      <c r="N1071" s="110">
        <v>1680.414</v>
      </c>
      <c r="O1071" s="110">
        <v>1470.45</v>
      </c>
      <c r="P1071" s="110">
        <v>1276.808</v>
      </c>
      <c r="Q1071" s="110">
        <v>1045.6010000000001</v>
      </c>
      <c r="R1071" s="110">
        <v>809.71299999999997</v>
      </c>
      <c r="S1071" s="110">
        <v>630.13199999999995</v>
      </c>
      <c r="T1071" s="110">
        <v>490.37299999999999</v>
      </c>
      <c r="U1071" s="110">
        <v>376.923</v>
      </c>
      <c r="V1071" s="110">
        <v>269.702</v>
      </c>
      <c r="W1071" s="110">
        <v>161.60300000000001</v>
      </c>
      <c r="X1071" s="110">
        <v>73.53</v>
      </c>
      <c r="Y1071" s="110">
        <v>23.082000000000001</v>
      </c>
      <c r="Z1071" s="110">
        <v>4.7549999999999999</v>
      </c>
      <c r="AA1071" s="110">
        <v>0.60599999999999998</v>
      </c>
      <c r="AB1071" s="110">
        <v>1.7000000000000001E-2</v>
      </c>
      <c r="AC1071" s="115">
        <f t="shared" si="48"/>
        <v>11919.002999999999</v>
      </c>
      <c r="AD1071">
        <f t="shared" si="49"/>
        <v>1.0235897047461007</v>
      </c>
    </row>
    <row r="1072" spans="1:30" x14ac:dyDescent="0.25">
      <c r="A1072" s="104" t="str">
        <f t="shared" si="47"/>
        <v>Mali2053</v>
      </c>
      <c r="C1072" s="107" t="s">
        <v>257</v>
      </c>
      <c r="D1072" s="108" t="s">
        <v>210</v>
      </c>
      <c r="E1072" s="109"/>
      <c r="F1072" s="109">
        <v>466</v>
      </c>
      <c r="G1072" s="109">
        <v>2053</v>
      </c>
      <c r="H1072" s="110">
        <v>2826.24</v>
      </c>
      <c r="I1072" s="110">
        <v>2697.8560000000002</v>
      </c>
      <c r="J1072" s="110">
        <v>2565.7820000000002</v>
      </c>
      <c r="K1072" s="110">
        <v>2403.587</v>
      </c>
      <c r="L1072" s="110">
        <v>2198.011</v>
      </c>
      <c r="M1072" s="110">
        <v>1961.1110000000001</v>
      </c>
      <c r="N1072" s="110">
        <v>1720.979</v>
      </c>
      <c r="O1072" s="110">
        <v>1505.38</v>
      </c>
      <c r="P1072" s="110">
        <v>1310.9770000000001</v>
      </c>
      <c r="Q1072" s="110">
        <v>1091.713</v>
      </c>
      <c r="R1072" s="110">
        <v>848.255</v>
      </c>
      <c r="S1072" s="110">
        <v>654.86199999999997</v>
      </c>
      <c r="T1072" s="110">
        <v>509.27100000000002</v>
      </c>
      <c r="U1072" s="110">
        <v>387.30500000000001</v>
      </c>
      <c r="V1072" s="110">
        <v>279.036</v>
      </c>
      <c r="W1072" s="110">
        <v>168.654</v>
      </c>
      <c r="X1072" s="110">
        <v>77.706999999999994</v>
      </c>
      <c r="Y1072" s="110">
        <v>24.271999999999998</v>
      </c>
      <c r="Z1072" s="110">
        <v>5.1689999999999996</v>
      </c>
      <c r="AA1072" s="110">
        <v>0.73299999999999998</v>
      </c>
      <c r="AB1072" s="110">
        <v>1.7999999999999999E-2</v>
      </c>
      <c r="AC1072" s="115">
        <f t="shared" si="48"/>
        <v>12191.758</v>
      </c>
      <c r="AD1072">
        <f t="shared" si="49"/>
        <v>1.0228840449155019</v>
      </c>
    </row>
    <row r="1073" spans="1:30" x14ac:dyDescent="0.25">
      <c r="A1073" s="104" t="str">
        <f t="shared" si="47"/>
        <v>Mali2054</v>
      </c>
      <c r="C1073" s="107" t="s">
        <v>257</v>
      </c>
      <c r="D1073" s="108" t="s">
        <v>210</v>
      </c>
      <c r="E1073" s="109"/>
      <c r="F1073" s="109">
        <v>466</v>
      </c>
      <c r="G1073" s="109">
        <v>2054</v>
      </c>
      <c r="H1073" s="110">
        <v>2843.7539999999999</v>
      </c>
      <c r="I1073" s="110">
        <v>2718.232</v>
      </c>
      <c r="J1073" s="110">
        <v>2591.3690000000001</v>
      </c>
      <c r="K1073" s="110">
        <v>2436.3029999999999</v>
      </c>
      <c r="L1073" s="110">
        <v>2236.944</v>
      </c>
      <c r="M1073" s="110">
        <v>2004.078</v>
      </c>
      <c r="N1073" s="110">
        <v>1762.2380000000001</v>
      </c>
      <c r="O1073" s="110">
        <v>1541.15</v>
      </c>
      <c r="P1073" s="110">
        <v>1344.5070000000001</v>
      </c>
      <c r="Q1073" s="110">
        <v>1136.289</v>
      </c>
      <c r="R1073" s="110">
        <v>888.97500000000002</v>
      </c>
      <c r="S1073" s="110">
        <v>682.38800000000003</v>
      </c>
      <c r="T1073" s="110">
        <v>529.74</v>
      </c>
      <c r="U1073" s="110">
        <v>399.58199999999999</v>
      </c>
      <c r="V1073" s="110">
        <v>289.04700000000003</v>
      </c>
      <c r="W1073" s="110">
        <v>176.08699999999999</v>
      </c>
      <c r="X1073" s="110">
        <v>81.403999999999996</v>
      </c>
      <c r="Y1073" s="110">
        <v>24.994</v>
      </c>
      <c r="Z1073" s="110">
        <v>5.1719999999999997</v>
      </c>
      <c r="AA1073" s="110">
        <v>0.70399999999999996</v>
      </c>
      <c r="AB1073" s="110">
        <v>0.02</v>
      </c>
      <c r="AC1073" s="115">
        <f t="shared" si="48"/>
        <v>12461.508999999998</v>
      </c>
      <c r="AD1073">
        <f t="shared" si="49"/>
        <v>1.0221256852375185</v>
      </c>
    </row>
    <row r="1074" spans="1:30" x14ac:dyDescent="0.25">
      <c r="A1074" s="104" t="str">
        <f t="shared" si="47"/>
        <v>Mali2055</v>
      </c>
      <c r="C1074" s="107" t="s">
        <v>257</v>
      </c>
      <c r="D1074" s="108" t="s">
        <v>210</v>
      </c>
      <c r="E1074" s="109"/>
      <c r="F1074" s="109">
        <v>466</v>
      </c>
      <c r="G1074" s="109">
        <v>2055</v>
      </c>
      <c r="H1074" s="110">
        <v>2860.7559999999999</v>
      </c>
      <c r="I1074" s="110">
        <v>2736.779</v>
      </c>
      <c r="J1074" s="110">
        <v>2615.627</v>
      </c>
      <c r="K1074" s="110">
        <v>2467.8220000000001</v>
      </c>
      <c r="L1074" s="110">
        <v>2274.9409999999998</v>
      </c>
      <c r="M1074" s="110">
        <v>2046.36</v>
      </c>
      <c r="N1074" s="110">
        <v>1803.9570000000001</v>
      </c>
      <c r="O1074" s="110">
        <v>1577.9290000000001</v>
      </c>
      <c r="P1074" s="110">
        <v>1378.3620000000001</v>
      </c>
      <c r="Q1074" s="110">
        <v>1178.078</v>
      </c>
      <c r="R1074" s="110">
        <v>931.43899999999996</v>
      </c>
      <c r="S1074" s="110">
        <v>713.19299999999998</v>
      </c>
      <c r="T1074" s="110">
        <v>551.48299999999995</v>
      </c>
      <c r="U1074" s="110">
        <v>414.16300000000001</v>
      </c>
      <c r="V1074" s="110">
        <v>299.68400000000003</v>
      </c>
      <c r="W1074" s="110">
        <v>184.03899999999999</v>
      </c>
      <c r="X1074" s="110">
        <v>84.960999999999999</v>
      </c>
      <c r="Y1074" s="110">
        <v>25.335999999999999</v>
      </c>
      <c r="Z1074" s="110">
        <v>4.5090000000000003</v>
      </c>
      <c r="AA1074" s="110">
        <v>0.43099999999999999</v>
      </c>
      <c r="AB1074" s="110">
        <v>2.1000000000000001E-2</v>
      </c>
      <c r="AC1074" s="115">
        <f t="shared" si="48"/>
        <v>12727.448999999999</v>
      </c>
      <c r="AD1074">
        <f t="shared" si="49"/>
        <v>1.0213409146516685</v>
      </c>
    </row>
    <row r="1075" spans="1:30" x14ac:dyDescent="0.25">
      <c r="A1075" s="104" t="str">
        <f t="shared" si="47"/>
        <v>Mali2056</v>
      </c>
      <c r="C1075" s="107" t="s">
        <v>257</v>
      </c>
      <c r="D1075" s="108" t="s">
        <v>210</v>
      </c>
      <c r="E1075" s="109"/>
      <c r="F1075" s="109">
        <v>466</v>
      </c>
      <c r="G1075" s="109">
        <v>2056</v>
      </c>
      <c r="H1075" s="110">
        <v>2880.7089999999998</v>
      </c>
      <c r="I1075" s="110">
        <v>2758.06</v>
      </c>
      <c r="J1075" s="110">
        <v>2638.8580000000002</v>
      </c>
      <c r="K1075" s="110">
        <v>2496.5129999999999</v>
      </c>
      <c r="L1075" s="110">
        <v>2311.3739999999998</v>
      </c>
      <c r="M1075" s="110">
        <v>2088.6190000000001</v>
      </c>
      <c r="N1075" s="110">
        <v>1846.9849999999999</v>
      </c>
      <c r="O1075" s="110">
        <v>1616.155</v>
      </c>
      <c r="P1075" s="110">
        <v>1412.39</v>
      </c>
      <c r="Q1075" s="110">
        <v>1216.4829999999999</v>
      </c>
      <c r="R1075" s="110">
        <v>974.22500000000002</v>
      </c>
      <c r="S1075" s="110">
        <v>744.85199999999998</v>
      </c>
      <c r="T1075" s="110">
        <v>571.38400000000001</v>
      </c>
      <c r="U1075" s="110">
        <v>427.01600000000002</v>
      </c>
      <c r="V1075" s="110">
        <v>307.01799999999997</v>
      </c>
      <c r="W1075" s="110">
        <v>190.85599999999999</v>
      </c>
      <c r="X1075" s="110">
        <v>90.813000000000002</v>
      </c>
      <c r="Y1075" s="110">
        <v>28.96</v>
      </c>
      <c r="Z1075" s="110">
        <v>5.5119999999999996</v>
      </c>
      <c r="AA1075" s="110">
        <v>0.55300000000000005</v>
      </c>
      <c r="AB1075" s="110">
        <v>2.1999999999999999E-2</v>
      </c>
      <c r="AC1075" s="115">
        <f t="shared" si="48"/>
        <v>12988.519</v>
      </c>
      <c r="AD1075">
        <f t="shared" si="49"/>
        <v>1.0205123587609741</v>
      </c>
    </row>
    <row r="1076" spans="1:30" x14ac:dyDescent="0.25">
      <c r="A1076" s="104" t="str">
        <f t="shared" si="47"/>
        <v>Mali2057</v>
      </c>
      <c r="C1076" s="107" t="s">
        <v>257</v>
      </c>
      <c r="D1076" s="108" t="s">
        <v>210</v>
      </c>
      <c r="E1076" s="109"/>
      <c r="F1076" s="109">
        <v>466</v>
      </c>
      <c r="G1076" s="109">
        <v>2057</v>
      </c>
      <c r="H1076" s="110">
        <v>2897.1489999999999</v>
      </c>
      <c r="I1076" s="110">
        <v>2779.0279999999998</v>
      </c>
      <c r="J1076" s="110">
        <v>2661.5619999999999</v>
      </c>
      <c r="K1076" s="110">
        <v>2524.1849999999999</v>
      </c>
      <c r="L1076" s="110">
        <v>2346.5949999999998</v>
      </c>
      <c r="M1076" s="110">
        <v>2129.9580000000001</v>
      </c>
      <c r="N1076" s="110">
        <v>1890.539</v>
      </c>
      <c r="O1076" s="110">
        <v>1655.7049999999999</v>
      </c>
      <c r="P1076" s="110">
        <v>1446.7619999999999</v>
      </c>
      <c r="Q1076" s="110">
        <v>1252.309</v>
      </c>
      <c r="R1076" s="110">
        <v>1019.039</v>
      </c>
      <c r="S1076" s="110">
        <v>779.63800000000003</v>
      </c>
      <c r="T1076" s="110">
        <v>592.93299999999999</v>
      </c>
      <c r="U1076" s="110">
        <v>442.34500000000003</v>
      </c>
      <c r="V1076" s="110">
        <v>314.90300000000002</v>
      </c>
      <c r="W1076" s="110">
        <v>197.77699999999999</v>
      </c>
      <c r="X1076" s="110">
        <v>95.951999999999998</v>
      </c>
      <c r="Y1076" s="110">
        <v>31.777999999999999</v>
      </c>
      <c r="Z1076" s="110">
        <v>6.327</v>
      </c>
      <c r="AA1076" s="110">
        <v>0.77800000000000002</v>
      </c>
      <c r="AB1076" s="110">
        <v>2.4E-2</v>
      </c>
      <c r="AC1076" s="115">
        <f t="shared" si="48"/>
        <v>13246.053</v>
      </c>
      <c r="AD1076">
        <f t="shared" si="49"/>
        <v>1.0198278187066594</v>
      </c>
    </row>
    <row r="1077" spans="1:30" x14ac:dyDescent="0.25">
      <c r="A1077" s="104" t="str">
        <f t="shared" si="47"/>
        <v>Mali2058</v>
      </c>
      <c r="C1077" s="107" t="s">
        <v>257</v>
      </c>
      <c r="D1077" s="108" t="s">
        <v>210</v>
      </c>
      <c r="E1077" s="109"/>
      <c r="F1077" s="109">
        <v>466</v>
      </c>
      <c r="G1077" s="109">
        <v>2058</v>
      </c>
      <c r="H1077" s="110">
        <v>2911.1579999999999</v>
      </c>
      <c r="I1077" s="110">
        <v>2799.259</v>
      </c>
      <c r="J1077" s="110">
        <v>2683.6260000000002</v>
      </c>
      <c r="K1077" s="110">
        <v>2550.989</v>
      </c>
      <c r="L1077" s="110">
        <v>2380.5239999999999</v>
      </c>
      <c r="M1077" s="110">
        <v>2170.1570000000002</v>
      </c>
      <c r="N1077" s="110">
        <v>1934.171</v>
      </c>
      <c r="O1077" s="110">
        <v>1696.3820000000001</v>
      </c>
      <c r="P1077" s="110">
        <v>1481.6969999999999</v>
      </c>
      <c r="Q1077" s="110">
        <v>1286.329</v>
      </c>
      <c r="R1077" s="110">
        <v>1064.48</v>
      </c>
      <c r="S1077" s="110">
        <v>817.20899999999995</v>
      </c>
      <c r="T1077" s="110">
        <v>616.67600000000004</v>
      </c>
      <c r="U1077" s="110">
        <v>459.858</v>
      </c>
      <c r="V1077" s="110">
        <v>324.03399999999999</v>
      </c>
      <c r="W1077" s="110">
        <v>205.08199999999999</v>
      </c>
      <c r="X1077" s="110">
        <v>100.40300000000001</v>
      </c>
      <c r="Y1077" s="110">
        <v>33.581000000000003</v>
      </c>
      <c r="Z1077" s="110">
        <v>6.9550000000000001</v>
      </c>
      <c r="AA1077" s="110">
        <v>0.94799999999999995</v>
      </c>
      <c r="AB1077" s="110">
        <v>2.5999999999999999E-2</v>
      </c>
      <c r="AC1077" s="115">
        <f t="shared" si="48"/>
        <v>13500.249</v>
      </c>
      <c r="AD1077">
        <f t="shared" si="49"/>
        <v>1.0191903203165502</v>
      </c>
    </row>
    <row r="1078" spans="1:30" x14ac:dyDescent="0.25">
      <c r="A1078" s="104" t="str">
        <f t="shared" si="47"/>
        <v>Mali2059</v>
      </c>
      <c r="C1078" s="107" t="s">
        <v>257</v>
      </c>
      <c r="D1078" s="108" t="s">
        <v>210</v>
      </c>
      <c r="E1078" s="109"/>
      <c r="F1078" s="109">
        <v>466</v>
      </c>
      <c r="G1078" s="109">
        <v>2059</v>
      </c>
      <c r="H1078" s="110">
        <v>2924.1869999999999</v>
      </c>
      <c r="I1078" s="110">
        <v>2818.105</v>
      </c>
      <c r="J1078" s="110">
        <v>2705.011</v>
      </c>
      <c r="K1078" s="110">
        <v>2576.9899999999998</v>
      </c>
      <c r="L1078" s="110">
        <v>2413.069</v>
      </c>
      <c r="M1078" s="110">
        <v>2209.0720000000001</v>
      </c>
      <c r="N1078" s="110">
        <v>1977.3219999999999</v>
      </c>
      <c r="O1078" s="110">
        <v>1737.8320000000001</v>
      </c>
      <c r="P1078" s="110">
        <v>1517.4749999999999</v>
      </c>
      <c r="Q1078" s="110">
        <v>1319.893</v>
      </c>
      <c r="R1078" s="110">
        <v>1108.556</v>
      </c>
      <c r="S1078" s="110">
        <v>857.12599999999998</v>
      </c>
      <c r="T1078" s="110">
        <v>643.44799999999998</v>
      </c>
      <c r="U1078" s="110">
        <v>479.12200000000001</v>
      </c>
      <c r="V1078" s="110">
        <v>335.15899999999999</v>
      </c>
      <c r="W1078" s="110">
        <v>212.77600000000001</v>
      </c>
      <c r="X1078" s="110">
        <v>104.316</v>
      </c>
      <c r="Y1078" s="110">
        <v>34.601999999999997</v>
      </c>
      <c r="Z1078" s="110">
        <v>7.0670000000000002</v>
      </c>
      <c r="AA1078" s="110">
        <v>0.92400000000000004</v>
      </c>
      <c r="AB1078" s="110">
        <v>2.7E-2</v>
      </c>
      <c r="AC1078" s="115">
        <f t="shared" si="48"/>
        <v>13751.653</v>
      </c>
      <c r="AD1078">
        <f t="shared" si="49"/>
        <v>1.0186221750428455</v>
      </c>
    </row>
    <row r="1079" spans="1:30" x14ac:dyDescent="0.25">
      <c r="A1079" s="104" t="str">
        <f t="shared" si="47"/>
        <v>Mali2060</v>
      </c>
      <c r="C1079" s="107" t="s">
        <v>257</v>
      </c>
      <c r="D1079" s="108" t="s">
        <v>210</v>
      </c>
      <c r="E1079" s="109"/>
      <c r="F1079" s="109">
        <v>466</v>
      </c>
      <c r="G1079" s="109">
        <v>2060</v>
      </c>
      <c r="H1079" s="110">
        <v>2937.5309999999999</v>
      </c>
      <c r="I1079" s="110">
        <v>2834.7840000000001</v>
      </c>
      <c r="J1079" s="110">
        <v>2725.6619999999998</v>
      </c>
      <c r="K1079" s="110">
        <v>2602.123</v>
      </c>
      <c r="L1079" s="110">
        <v>2444.2689999999998</v>
      </c>
      <c r="M1079" s="110">
        <v>2246.674</v>
      </c>
      <c r="N1079" s="110">
        <v>2019.6010000000001</v>
      </c>
      <c r="O1079" s="110">
        <v>1779.7349999999999</v>
      </c>
      <c r="P1079" s="110">
        <v>1554.2940000000001</v>
      </c>
      <c r="Q1079" s="110">
        <v>1353.864</v>
      </c>
      <c r="R1079" s="110">
        <v>1150.028</v>
      </c>
      <c r="S1079" s="110">
        <v>898.96100000000001</v>
      </c>
      <c r="T1079" s="110">
        <v>673.66399999999999</v>
      </c>
      <c r="U1079" s="110">
        <v>499.947</v>
      </c>
      <c r="V1079" s="110">
        <v>348.63099999999997</v>
      </c>
      <c r="W1079" s="110">
        <v>220.94399999999999</v>
      </c>
      <c r="X1079" s="110">
        <v>108.09099999999999</v>
      </c>
      <c r="Y1079" s="110">
        <v>34.97</v>
      </c>
      <c r="Z1079" s="110">
        <v>6.3680000000000003</v>
      </c>
      <c r="AA1079" s="110">
        <v>0.58799999999999997</v>
      </c>
      <c r="AB1079" s="110">
        <v>2.9000000000000001E-2</v>
      </c>
      <c r="AC1079" s="115">
        <f t="shared" si="48"/>
        <v>14000.56</v>
      </c>
      <c r="AD1079">
        <f t="shared" si="49"/>
        <v>1.0181001513054466</v>
      </c>
    </row>
    <row r="1080" spans="1:30" x14ac:dyDescent="0.25">
      <c r="A1080" s="104" t="str">
        <f t="shared" si="47"/>
        <v>Mali2061</v>
      </c>
      <c r="C1080" s="107" t="s">
        <v>257</v>
      </c>
      <c r="D1080" s="108" t="s">
        <v>210</v>
      </c>
      <c r="E1080" s="109"/>
      <c r="F1080" s="109">
        <v>466</v>
      </c>
      <c r="G1080" s="109">
        <v>2061</v>
      </c>
      <c r="H1080" s="110">
        <v>2952.8989999999999</v>
      </c>
      <c r="I1080" s="110">
        <v>2853.6390000000001</v>
      </c>
      <c r="J1080" s="110">
        <v>2746.3560000000002</v>
      </c>
      <c r="K1080" s="110">
        <v>2625.366</v>
      </c>
      <c r="L1080" s="110">
        <v>2474.0810000000001</v>
      </c>
      <c r="M1080" s="110">
        <v>2284.0160000000001</v>
      </c>
      <c r="N1080" s="110">
        <v>2062.1329999999998</v>
      </c>
      <c r="O1080" s="110">
        <v>1822.6890000000001</v>
      </c>
      <c r="P1080" s="110">
        <v>1592.4259999999999</v>
      </c>
      <c r="Q1080" s="110">
        <v>1387.4570000000001</v>
      </c>
      <c r="R1080" s="110">
        <v>1187.588</v>
      </c>
      <c r="S1080" s="110">
        <v>940.15</v>
      </c>
      <c r="T1080" s="110">
        <v>703.31899999999996</v>
      </c>
      <c r="U1080" s="110">
        <v>517.81100000000004</v>
      </c>
      <c r="V1080" s="110">
        <v>359.74400000000003</v>
      </c>
      <c r="W1080" s="110">
        <v>227.37100000000001</v>
      </c>
      <c r="X1080" s="110">
        <v>114.294</v>
      </c>
      <c r="Y1080" s="110">
        <v>39.341000000000001</v>
      </c>
      <c r="Z1080" s="110">
        <v>7.8869999999999996</v>
      </c>
      <c r="AA1080" s="110">
        <v>0.76700000000000002</v>
      </c>
      <c r="AB1080" s="110">
        <v>3.1E-2</v>
      </c>
      <c r="AC1080" s="115">
        <f t="shared" si="48"/>
        <v>14248.168</v>
      </c>
      <c r="AD1080">
        <f t="shared" si="49"/>
        <v>1.017685578291154</v>
      </c>
    </row>
    <row r="1081" spans="1:30" x14ac:dyDescent="0.25">
      <c r="A1081" s="104" t="str">
        <f t="shared" si="47"/>
        <v>Mali2062</v>
      </c>
      <c r="C1081" s="107" t="s">
        <v>257</v>
      </c>
      <c r="D1081" s="108" t="s">
        <v>210</v>
      </c>
      <c r="E1081" s="109"/>
      <c r="F1081" s="109">
        <v>466</v>
      </c>
      <c r="G1081" s="109">
        <v>2062</v>
      </c>
      <c r="H1081" s="110">
        <v>2966.99</v>
      </c>
      <c r="I1081" s="110">
        <v>2871.2020000000002</v>
      </c>
      <c r="J1081" s="110">
        <v>2766.9340000000002</v>
      </c>
      <c r="K1081" s="110">
        <v>2647.8069999999998</v>
      </c>
      <c r="L1081" s="110">
        <v>2502.3440000000001</v>
      </c>
      <c r="M1081" s="110">
        <v>2319.7890000000002</v>
      </c>
      <c r="N1081" s="110">
        <v>2103.654</v>
      </c>
      <c r="O1081" s="110">
        <v>1866.155</v>
      </c>
      <c r="P1081" s="110">
        <v>1631.87</v>
      </c>
      <c r="Q1081" s="110">
        <v>1421.4680000000001</v>
      </c>
      <c r="R1081" s="110">
        <v>1222.8</v>
      </c>
      <c r="S1081" s="110">
        <v>983.60400000000004</v>
      </c>
      <c r="T1081" s="110">
        <v>736.26400000000001</v>
      </c>
      <c r="U1081" s="110">
        <v>537.452</v>
      </c>
      <c r="V1081" s="110">
        <v>372.92399999999998</v>
      </c>
      <c r="W1081" s="110">
        <v>233.749</v>
      </c>
      <c r="X1081" s="110">
        <v>119.767</v>
      </c>
      <c r="Y1081" s="110">
        <v>42.643000000000001</v>
      </c>
      <c r="Z1081" s="110">
        <v>9.0879999999999992</v>
      </c>
      <c r="AA1081" s="110">
        <v>1.091</v>
      </c>
      <c r="AB1081" s="110">
        <v>3.3000000000000002E-2</v>
      </c>
      <c r="AC1081" s="115">
        <f t="shared" si="48"/>
        <v>14493.087000000003</v>
      </c>
      <c r="AD1081">
        <f t="shared" si="49"/>
        <v>1.0171895081529081</v>
      </c>
    </row>
    <row r="1082" spans="1:30" x14ac:dyDescent="0.25">
      <c r="A1082" s="104" t="str">
        <f t="shared" si="47"/>
        <v>Mali2063</v>
      </c>
      <c r="C1082" s="107" t="s">
        <v>257</v>
      </c>
      <c r="D1082" s="108" t="s">
        <v>210</v>
      </c>
      <c r="E1082" s="109"/>
      <c r="F1082" s="109">
        <v>466</v>
      </c>
      <c r="G1082" s="109">
        <v>2063</v>
      </c>
      <c r="H1082" s="110">
        <v>2979.9989999999998</v>
      </c>
      <c r="I1082" s="110">
        <v>2887.18</v>
      </c>
      <c r="J1082" s="110">
        <v>2787.154</v>
      </c>
      <c r="K1082" s="110">
        <v>2669.759</v>
      </c>
      <c r="L1082" s="110">
        <v>2529.2339999999999</v>
      </c>
      <c r="M1082" s="110">
        <v>2353.9070000000002</v>
      </c>
      <c r="N1082" s="110">
        <v>2143.9920000000002</v>
      </c>
      <c r="O1082" s="110">
        <v>1909.7739999999999</v>
      </c>
      <c r="P1082" s="110">
        <v>1672.414</v>
      </c>
      <c r="Q1082" s="110">
        <v>1456.18</v>
      </c>
      <c r="R1082" s="110">
        <v>1256.4169999999999</v>
      </c>
      <c r="S1082" s="110">
        <v>1027.9480000000001</v>
      </c>
      <c r="T1082" s="110">
        <v>772.23500000000001</v>
      </c>
      <c r="U1082" s="110">
        <v>559.47199999999998</v>
      </c>
      <c r="V1082" s="110">
        <v>388.16500000000002</v>
      </c>
      <c r="W1082" s="110">
        <v>240.946</v>
      </c>
      <c r="X1082" s="110">
        <v>124.532</v>
      </c>
      <c r="Y1082" s="110">
        <v>44.628999999999998</v>
      </c>
      <c r="Z1082" s="110">
        <v>9.9600000000000009</v>
      </c>
      <c r="AA1082" s="110">
        <v>1.337</v>
      </c>
      <c r="AB1082" s="110">
        <v>3.5000000000000003E-2</v>
      </c>
      <c r="AC1082" s="115">
        <f t="shared" si="48"/>
        <v>14735.26</v>
      </c>
      <c r="AD1082">
        <f t="shared" si="49"/>
        <v>1.0167095526301606</v>
      </c>
    </row>
    <row r="1083" spans="1:30" x14ac:dyDescent="0.25">
      <c r="A1083" s="104" t="str">
        <f t="shared" si="47"/>
        <v>Mali2064</v>
      </c>
      <c r="C1083" s="107" t="s">
        <v>257</v>
      </c>
      <c r="D1083" s="108" t="s">
        <v>210</v>
      </c>
      <c r="E1083" s="109"/>
      <c r="F1083" s="109">
        <v>466</v>
      </c>
      <c r="G1083" s="109">
        <v>2064</v>
      </c>
      <c r="H1083" s="110">
        <v>2991.7809999999999</v>
      </c>
      <c r="I1083" s="110">
        <v>2901.5320000000002</v>
      </c>
      <c r="J1083" s="110">
        <v>2806.58</v>
      </c>
      <c r="K1083" s="110">
        <v>2691.511</v>
      </c>
      <c r="L1083" s="110">
        <v>2555.0189999999998</v>
      </c>
      <c r="M1083" s="110">
        <v>2386.384</v>
      </c>
      <c r="N1083" s="110">
        <v>2183.0619999999999</v>
      </c>
      <c r="O1083" s="110">
        <v>1953.066</v>
      </c>
      <c r="P1083" s="110">
        <v>1713.7850000000001</v>
      </c>
      <c r="Q1083" s="110">
        <v>1491.9359999999999</v>
      </c>
      <c r="R1083" s="110">
        <v>1289.7860000000001</v>
      </c>
      <c r="S1083" s="110">
        <v>1071.252</v>
      </c>
      <c r="T1083" s="110">
        <v>810.88199999999995</v>
      </c>
      <c r="U1083" s="110">
        <v>584.73400000000004</v>
      </c>
      <c r="V1083" s="110">
        <v>405.27600000000001</v>
      </c>
      <c r="W1083" s="110">
        <v>249.71199999999999</v>
      </c>
      <c r="X1083" s="110">
        <v>128.643</v>
      </c>
      <c r="Y1083" s="110">
        <v>45.633000000000003</v>
      </c>
      <c r="Z1083" s="110">
        <v>10.084</v>
      </c>
      <c r="AA1083" s="110">
        <v>1.3149999999999999</v>
      </c>
      <c r="AB1083" s="110">
        <v>3.6999999999999998E-2</v>
      </c>
      <c r="AC1083" s="115">
        <f t="shared" si="48"/>
        <v>14974.762999999999</v>
      </c>
      <c r="AD1083">
        <f t="shared" si="49"/>
        <v>1.0162537342401829</v>
      </c>
    </row>
    <row r="1084" spans="1:30" x14ac:dyDescent="0.25">
      <c r="A1084" s="104" t="str">
        <f t="shared" si="47"/>
        <v>Mali2065</v>
      </c>
      <c r="C1084" s="107" t="s">
        <v>257</v>
      </c>
      <c r="D1084" s="108" t="s">
        <v>210</v>
      </c>
      <c r="E1084" s="109"/>
      <c r="F1084" s="109">
        <v>466</v>
      </c>
      <c r="G1084" s="109">
        <v>2065</v>
      </c>
      <c r="H1084" s="110">
        <v>3002.4780000000001</v>
      </c>
      <c r="I1084" s="110">
        <v>2914.326</v>
      </c>
      <c r="J1084" s="110">
        <v>2824.7080000000001</v>
      </c>
      <c r="K1084" s="110">
        <v>2713.0929999999998</v>
      </c>
      <c r="L1084" s="110">
        <v>2579.9430000000002</v>
      </c>
      <c r="M1084" s="110">
        <v>2417.3040000000001</v>
      </c>
      <c r="N1084" s="110">
        <v>2220.7629999999999</v>
      </c>
      <c r="O1084" s="110">
        <v>1995.61</v>
      </c>
      <c r="P1084" s="110">
        <v>1755.75</v>
      </c>
      <c r="Q1084" s="110">
        <v>1528.9110000000001</v>
      </c>
      <c r="R1084" s="110">
        <v>1323.778</v>
      </c>
      <c r="S1084" s="110">
        <v>1112.3140000000001</v>
      </c>
      <c r="T1084" s="110">
        <v>851.81299999999999</v>
      </c>
      <c r="U1084" s="110">
        <v>613.69600000000003</v>
      </c>
      <c r="V1084" s="110">
        <v>424.2</v>
      </c>
      <c r="W1084" s="110">
        <v>260.43</v>
      </c>
      <c r="X1084" s="110">
        <v>132.50299999999999</v>
      </c>
      <c r="Y1084" s="110">
        <v>45.86</v>
      </c>
      <c r="Z1084" s="110">
        <v>9.1430000000000007</v>
      </c>
      <c r="AA1084" s="110">
        <v>0.86799999999999999</v>
      </c>
      <c r="AB1084" s="110">
        <v>0.04</v>
      </c>
      <c r="AC1084" s="115">
        <f t="shared" si="48"/>
        <v>15211.374</v>
      </c>
      <c r="AD1084">
        <f t="shared" si="49"/>
        <v>1.0158006507348398</v>
      </c>
    </row>
    <row r="1085" spans="1:30" x14ac:dyDescent="0.25">
      <c r="A1085" s="104" t="str">
        <f t="shared" si="47"/>
        <v>Mali2066</v>
      </c>
      <c r="C1085" s="107" t="s">
        <v>257</v>
      </c>
      <c r="D1085" s="108" t="s">
        <v>210</v>
      </c>
      <c r="E1085" s="109"/>
      <c r="F1085" s="109">
        <v>466</v>
      </c>
      <c r="G1085" s="109">
        <v>2066</v>
      </c>
      <c r="H1085" s="110">
        <v>3015.7130000000002</v>
      </c>
      <c r="I1085" s="110">
        <v>2929.7750000000001</v>
      </c>
      <c r="J1085" s="110">
        <v>2842.2449999999999</v>
      </c>
      <c r="K1085" s="110">
        <v>2733.5729999999999</v>
      </c>
      <c r="L1085" s="110">
        <v>2604.0079999999998</v>
      </c>
      <c r="M1085" s="110">
        <v>2447.7890000000002</v>
      </c>
      <c r="N1085" s="110">
        <v>2258.1869999999999</v>
      </c>
      <c r="O1085" s="110">
        <v>2037.8879999999999</v>
      </c>
      <c r="P1085" s="110">
        <v>1798.412</v>
      </c>
      <c r="Q1085" s="110">
        <v>1566.4280000000001</v>
      </c>
      <c r="R1085" s="110">
        <v>1356.607</v>
      </c>
      <c r="S1085" s="110">
        <v>1148.3579999999999</v>
      </c>
      <c r="T1085" s="110">
        <v>890.43100000000004</v>
      </c>
      <c r="U1085" s="110">
        <v>640.60199999999998</v>
      </c>
      <c r="V1085" s="110">
        <v>439.52800000000002</v>
      </c>
      <c r="W1085" s="110">
        <v>270.06799999999998</v>
      </c>
      <c r="X1085" s="110">
        <v>138.73400000000001</v>
      </c>
      <c r="Y1085" s="110">
        <v>50.906999999999996</v>
      </c>
      <c r="Z1085" s="110">
        <v>11.167</v>
      </c>
      <c r="AA1085" s="110">
        <v>1.1399999999999999</v>
      </c>
      <c r="AB1085" s="110">
        <v>4.2999999999999997E-2</v>
      </c>
      <c r="AC1085" s="115">
        <f t="shared" si="48"/>
        <v>15446.285</v>
      </c>
      <c r="AD1085">
        <f t="shared" si="49"/>
        <v>1.0154431151321373</v>
      </c>
    </row>
    <row r="1086" spans="1:30" x14ac:dyDescent="0.25">
      <c r="A1086" s="104" t="str">
        <f t="shared" si="47"/>
        <v>Mali2067</v>
      </c>
      <c r="C1086" s="107" t="s">
        <v>257</v>
      </c>
      <c r="D1086" s="108" t="s">
        <v>210</v>
      </c>
      <c r="E1086" s="109"/>
      <c r="F1086" s="109">
        <v>466</v>
      </c>
      <c r="G1086" s="109">
        <v>2067</v>
      </c>
      <c r="H1086" s="110">
        <v>3025.4810000000002</v>
      </c>
      <c r="I1086" s="110">
        <v>2944.73</v>
      </c>
      <c r="J1086" s="110">
        <v>2859.107</v>
      </c>
      <c r="K1086" s="110">
        <v>2754.0749999999998</v>
      </c>
      <c r="L1086" s="110">
        <v>2627.078</v>
      </c>
      <c r="M1086" s="110">
        <v>2476.6819999999998</v>
      </c>
      <c r="N1086" s="110">
        <v>2294.2310000000002</v>
      </c>
      <c r="O1086" s="110">
        <v>2079.3989999999999</v>
      </c>
      <c r="P1086" s="110">
        <v>1841.807</v>
      </c>
      <c r="Q1086" s="110">
        <v>1605.5219999999999</v>
      </c>
      <c r="R1086" s="110">
        <v>1390.162</v>
      </c>
      <c r="S1086" s="110">
        <v>1182.6210000000001</v>
      </c>
      <c r="T1086" s="110">
        <v>931.78399999999999</v>
      </c>
      <c r="U1086" s="110">
        <v>670.89099999999996</v>
      </c>
      <c r="V1086" s="110">
        <v>456.48899999999998</v>
      </c>
      <c r="W1086" s="110">
        <v>280.75299999999999</v>
      </c>
      <c r="X1086" s="110">
        <v>144.02500000000001</v>
      </c>
      <c r="Y1086" s="110">
        <v>54.752000000000002</v>
      </c>
      <c r="Z1086" s="110">
        <v>12.678000000000001</v>
      </c>
      <c r="AA1086" s="110">
        <v>1.6140000000000001</v>
      </c>
      <c r="AB1086" s="110">
        <v>4.7E-2</v>
      </c>
      <c r="AC1086" s="115">
        <f t="shared" si="48"/>
        <v>15678.794000000002</v>
      </c>
      <c r="AD1086">
        <f t="shared" si="49"/>
        <v>1.0150527456925729</v>
      </c>
    </row>
    <row r="1087" spans="1:30" x14ac:dyDescent="0.25">
      <c r="A1087" s="104" t="str">
        <f t="shared" si="47"/>
        <v>Mali2068</v>
      </c>
      <c r="C1087" s="107" t="s">
        <v>257</v>
      </c>
      <c r="D1087" s="108" t="s">
        <v>210</v>
      </c>
      <c r="E1087" s="109"/>
      <c r="F1087" s="109">
        <v>466</v>
      </c>
      <c r="G1087" s="109">
        <v>2068</v>
      </c>
      <c r="H1087" s="110">
        <v>3032.5610000000001</v>
      </c>
      <c r="I1087" s="110">
        <v>2958.8</v>
      </c>
      <c r="J1087" s="110">
        <v>2875.1970000000001</v>
      </c>
      <c r="K1087" s="110">
        <v>2774.4349999999999</v>
      </c>
      <c r="L1087" s="110">
        <v>2649.3359999999998</v>
      </c>
      <c r="M1087" s="110">
        <v>2504.0059999999999</v>
      </c>
      <c r="N1087" s="110">
        <v>2328.7220000000002</v>
      </c>
      <c r="O1087" s="110">
        <v>2119.9499999999998</v>
      </c>
      <c r="P1087" s="110">
        <v>1885.463</v>
      </c>
      <c r="Q1087" s="110">
        <v>1645.9580000000001</v>
      </c>
      <c r="R1087" s="110">
        <v>1424.627</v>
      </c>
      <c r="S1087" s="110">
        <v>1215.752</v>
      </c>
      <c r="T1087" s="110">
        <v>974.55700000000002</v>
      </c>
      <c r="U1087" s="110">
        <v>704.37099999999998</v>
      </c>
      <c r="V1087" s="110">
        <v>475.88400000000001</v>
      </c>
      <c r="W1087" s="110">
        <v>292.80900000000003</v>
      </c>
      <c r="X1087" s="110">
        <v>148.905</v>
      </c>
      <c r="Y1087" s="110">
        <v>57.048000000000002</v>
      </c>
      <c r="Z1087" s="110">
        <v>13.702</v>
      </c>
      <c r="AA1087" s="110">
        <v>1.97</v>
      </c>
      <c r="AB1087" s="110">
        <v>5.0999999999999997E-2</v>
      </c>
      <c r="AC1087" s="115">
        <f t="shared" si="48"/>
        <v>15907.87</v>
      </c>
      <c r="AD1087">
        <f t="shared" si="49"/>
        <v>1.0146105625215815</v>
      </c>
    </row>
    <row r="1088" spans="1:30" x14ac:dyDescent="0.25">
      <c r="A1088" s="104" t="str">
        <f t="shared" si="47"/>
        <v>Mali2069</v>
      </c>
      <c r="C1088" s="107" t="s">
        <v>257</v>
      </c>
      <c r="D1088" s="108" t="s">
        <v>210</v>
      </c>
      <c r="E1088" s="109"/>
      <c r="F1088" s="109">
        <v>466</v>
      </c>
      <c r="G1088" s="109">
        <v>2069</v>
      </c>
      <c r="H1088" s="110">
        <v>3038.0140000000001</v>
      </c>
      <c r="I1088" s="110">
        <v>2971.3649999999998</v>
      </c>
      <c r="J1088" s="110">
        <v>2890.558</v>
      </c>
      <c r="K1088" s="110">
        <v>2794.2150000000001</v>
      </c>
      <c r="L1088" s="110">
        <v>2671.0219999999999</v>
      </c>
      <c r="M1088" s="110">
        <v>2529.8919999999998</v>
      </c>
      <c r="N1088" s="110">
        <v>2361.5140000000001</v>
      </c>
      <c r="O1088" s="110">
        <v>2159.3209999999999</v>
      </c>
      <c r="P1088" s="110">
        <v>1928.7940000000001</v>
      </c>
      <c r="Q1088" s="110">
        <v>1687.375</v>
      </c>
      <c r="R1088" s="110">
        <v>1460.2619999999999</v>
      </c>
      <c r="S1088" s="110">
        <v>1248.952</v>
      </c>
      <c r="T1088" s="110">
        <v>1016.82</v>
      </c>
      <c r="U1088" s="110">
        <v>740.81600000000003</v>
      </c>
      <c r="V1088" s="110">
        <v>498.62099999999998</v>
      </c>
      <c r="W1088" s="110">
        <v>306.31</v>
      </c>
      <c r="X1088" s="110">
        <v>153.96600000000001</v>
      </c>
      <c r="Y1088" s="110">
        <v>58.1</v>
      </c>
      <c r="Z1088" s="110">
        <v>13.757999999999999</v>
      </c>
      <c r="AA1088" s="110">
        <v>1.944</v>
      </c>
      <c r="AB1088" s="110">
        <v>5.6000000000000001E-2</v>
      </c>
      <c r="AC1088" s="115">
        <f t="shared" si="48"/>
        <v>16132.133</v>
      </c>
      <c r="AD1088">
        <f t="shared" si="49"/>
        <v>1.0140976133196964</v>
      </c>
    </row>
    <row r="1089" spans="1:30" x14ac:dyDescent="0.25">
      <c r="A1089" s="104" t="str">
        <f t="shared" si="47"/>
        <v>Mali2070</v>
      </c>
      <c r="C1089" s="107" t="s">
        <v>257</v>
      </c>
      <c r="D1089" s="108" t="s">
        <v>210</v>
      </c>
      <c r="E1089" s="109"/>
      <c r="F1089" s="109">
        <v>466</v>
      </c>
      <c r="G1089" s="109">
        <v>2070</v>
      </c>
      <c r="H1089" s="110">
        <v>3042.7869999999998</v>
      </c>
      <c r="I1089" s="110">
        <v>2981.68</v>
      </c>
      <c r="J1089" s="110">
        <v>2905.1930000000002</v>
      </c>
      <c r="K1089" s="110">
        <v>2813.0390000000002</v>
      </c>
      <c r="L1089" s="110">
        <v>2692.3560000000002</v>
      </c>
      <c r="M1089" s="110">
        <v>2554.5360000000001</v>
      </c>
      <c r="N1089" s="110">
        <v>2392.5430000000001</v>
      </c>
      <c r="O1089" s="110">
        <v>2197.3069999999998</v>
      </c>
      <c r="P1089" s="110">
        <v>1971.3969999999999</v>
      </c>
      <c r="Q1089" s="110">
        <v>1729.4549999999999</v>
      </c>
      <c r="R1089" s="110">
        <v>1497.2380000000001</v>
      </c>
      <c r="S1089" s="110">
        <v>1282.9849999999999</v>
      </c>
      <c r="T1089" s="110">
        <v>1057.325</v>
      </c>
      <c r="U1089" s="110">
        <v>779.96799999999996</v>
      </c>
      <c r="V1089" s="110">
        <v>525.14400000000001</v>
      </c>
      <c r="W1089" s="110">
        <v>321.41000000000003</v>
      </c>
      <c r="X1089" s="110">
        <v>159.79499999999999</v>
      </c>
      <c r="Y1089" s="110">
        <v>58.164000000000001</v>
      </c>
      <c r="Z1089" s="110">
        <v>12.548999999999999</v>
      </c>
      <c r="AA1089" s="110">
        <v>1.319</v>
      </c>
      <c r="AB1089" s="110">
        <v>6.2E-2</v>
      </c>
      <c r="AC1089" s="115">
        <f t="shared" si="48"/>
        <v>16350.633</v>
      </c>
      <c r="AD1089">
        <f t="shared" si="49"/>
        <v>1.0135443961440189</v>
      </c>
    </row>
    <row r="1090" spans="1:30" x14ac:dyDescent="0.25">
      <c r="A1090" s="104" t="str">
        <f t="shared" si="47"/>
        <v>Mali2071</v>
      </c>
      <c r="C1090" s="107" t="s">
        <v>257</v>
      </c>
      <c r="D1090" s="108" t="s">
        <v>210</v>
      </c>
      <c r="E1090" s="109"/>
      <c r="F1090" s="109">
        <v>466</v>
      </c>
      <c r="G1090" s="109">
        <v>2071</v>
      </c>
      <c r="H1090" s="110">
        <v>3049.1480000000001</v>
      </c>
      <c r="I1090" s="110">
        <v>2993.8150000000001</v>
      </c>
      <c r="J1090" s="110">
        <v>2920.2379999999998</v>
      </c>
      <c r="K1090" s="110">
        <v>2830.6350000000002</v>
      </c>
      <c r="L1090" s="110">
        <v>2713.8829999999998</v>
      </c>
      <c r="M1090" s="110">
        <v>2579.5120000000002</v>
      </c>
      <c r="N1090" s="110">
        <v>2423.3969999999999</v>
      </c>
      <c r="O1090" s="110">
        <v>2234.7469999999998</v>
      </c>
      <c r="P1090" s="110">
        <v>2013.61</v>
      </c>
      <c r="Q1090" s="110">
        <v>1771.6410000000001</v>
      </c>
      <c r="R1090" s="110">
        <v>1534.095</v>
      </c>
      <c r="S1090" s="110">
        <v>1314.691</v>
      </c>
      <c r="T1090" s="110">
        <v>1091.0640000000001</v>
      </c>
      <c r="U1090" s="110">
        <v>815.15</v>
      </c>
      <c r="V1090" s="110">
        <v>548.50300000000004</v>
      </c>
      <c r="W1090" s="110">
        <v>334.32</v>
      </c>
      <c r="X1090" s="110">
        <v>168.56399999999999</v>
      </c>
      <c r="Y1090" s="110">
        <v>63.609000000000002</v>
      </c>
      <c r="Z1090" s="110">
        <v>15.118</v>
      </c>
      <c r="AA1090" s="110">
        <v>1.6859999999999999</v>
      </c>
      <c r="AB1090" s="110">
        <v>6.8000000000000005E-2</v>
      </c>
      <c r="AC1090" s="115">
        <f t="shared" si="48"/>
        <v>16567.424999999999</v>
      </c>
      <c r="AD1090">
        <f t="shared" si="49"/>
        <v>1.0132589362136621</v>
      </c>
    </row>
    <row r="1091" spans="1:30" x14ac:dyDescent="0.25">
      <c r="A1091" s="104" t="str">
        <f t="shared" si="47"/>
        <v>Mali2072</v>
      </c>
      <c r="C1091" s="107" t="s">
        <v>257</v>
      </c>
      <c r="D1091" s="108" t="s">
        <v>210</v>
      </c>
      <c r="E1091" s="109"/>
      <c r="F1091" s="109">
        <v>466</v>
      </c>
      <c r="G1091" s="109">
        <v>2072</v>
      </c>
      <c r="H1091" s="110">
        <v>3053.3009999999999</v>
      </c>
      <c r="I1091" s="110">
        <v>3004.3519999999999</v>
      </c>
      <c r="J1091" s="110">
        <v>2934.951</v>
      </c>
      <c r="K1091" s="110">
        <v>2847.33</v>
      </c>
      <c r="L1091" s="110">
        <v>2734.98</v>
      </c>
      <c r="M1091" s="110">
        <v>2603.1959999999999</v>
      </c>
      <c r="N1091" s="110">
        <v>2452.5929999999998</v>
      </c>
      <c r="O1091" s="110">
        <v>2270.8319999999999</v>
      </c>
      <c r="P1091" s="110">
        <v>2055.1</v>
      </c>
      <c r="Q1091" s="110">
        <v>1814.671</v>
      </c>
      <c r="R1091" s="110">
        <v>1572.6890000000001</v>
      </c>
      <c r="S1091" s="110">
        <v>1347.451</v>
      </c>
      <c r="T1091" s="110">
        <v>1123.7</v>
      </c>
      <c r="U1091" s="110">
        <v>853.36900000000003</v>
      </c>
      <c r="V1091" s="110">
        <v>574.83600000000001</v>
      </c>
      <c r="W1091" s="110">
        <v>347.95800000000003</v>
      </c>
      <c r="X1091" s="110">
        <v>176.88</v>
      </c>
      <c r="Y1091" s="110">
        <v>67.578999999999994</v>
      </c>
      <c r="Z1091" s="110">
        <v>17.013000000000002</v>
      </c>
      <c r="AA1091" s="110">
        <v>2.319</v>
      </c>
      <c r="AB1091" s="110">
        <v>7.4999999999999997E-2</v>
      </c>
      <c r="AC1091" s="115">
        <f t="shared" si="48"/>
        <v>16778.701999999997</v>
      </c>
      <c r="AD1091">
        <f t="shared" si="49"/>
        <v>1.0127525550892791</v>
      </c>
    </row>
    <row r="1092" spans="1:30" x14ac:dyDescent="0.25">
      <c r="A1092" s="104" t="str">
        <f t="shared" si="47"/>
        <v>Mali2073</v>
      </c>
      <c r="C1092" s="107" t="s">
        <v>257</v>
      </c>
      <c r="D1092" s="108" t="s">
        <v>210</v>
      </c>
      <c r="E1092" s="109"/>
      <c r="F1092" s="109">
        <v>466</v>
      </c>
      <c r="G1092" s="109">
        <v>2073</v>
      </c>
      <c r="H1092" s="110">
        <v>3055.808</v>
      </c>
      <c r="I1092" s="110">
        <v>3012.9789999999998</v>
      </c>
      <c r="J1092" s="110">
        <v>2949.0360000000001</v>
      </c>
      <c r="K1092" s="110">
        <v>2863.375</v>
      </c>
      <c r="L1092" s="110">
        <v>2755.489</v>
      </c>
      <c r="M1092" s="110">
        <v>2625.741</v>
      </c>
      <c r="N1092" s="110">
        <v>2480.1770000000001</v>
      </c>
      <c r="O1092" s="110">
        <v>2305.4630000000002</v>
      </c>
      <c r="P1092" s="110">
        <v>2095.625</v>
      </c>
      <c r="Q1092" s="110">
        <v>1858.127</v>
      </c>
      <c r="R1092" s="110">
        <v>1612.7570000000001</v>
      </c>
      <c r="S1092" s="110">
        <v>1381.3879999999999</v>
      </c>
      <c r="T1092" s="110">
        <v>1155.924</v>
      </c>
      <c r="U1092" s="110">
        <v>893.44299999999998</v>
      </c>
      <c r="V1092" s="110">
        <v>604.29499999999996</v>
      </c>
      <c r="W1092" s="110">
        <v>363.4</v>
      </c>
      <c r="X1092" s="110">
        <v>184.94</v>
      </c>
      <c r="Y1092" s="110">
        <v>69.998999999999995</v>
      </c>
      <c r="Z1092" s="110">
        <v>18.225999999999999</v>
      </c>
      <c r="AA1092" s="110">
        <v>2.7930000000000001</v>
      </c>
      <c r="AB1092" s="110">
        <v>8.3000000000000004E-2</v>
      </c>
      <c r="AC1092" s="115">
        <f t="shared" si="48"/>
        <v>16983.996999999999</v>
      </c>
      <c r="AD1092">
        <f t="shared" si="49"/>
        <v>1.0122354518245811</v>
      </c>
    </row>
    <row r="1093" spans="1:30" x14ac:dyDescent="0.25">
      <c r="A1093" s="104" t="str">
        <f t="shared" si="47"/>
        <v>Mali2074</v>
      </c>
      <c r="C1093" s="107" t="s">
        <v>257</v>
      </c>
      <c r="D1093" s="108" t="s">
        <v>210</v>
      </c>
      <c r="E1093" s="109"/>
      <c r="F1093" s="109">
        <v>466</v>
      </c>
      <c r="G1093" s="109">
        <v>2074</v>
      </c>
      <c r="H1093" s="110">
        <v>3057.2310000000002</v>
      </c>
      <c r="I1093" s="110">
        <v>3019.5770000000002</v>
      </c>
      <c r="J1093" s="110">
        <v>2962.011</v>
      </c>
      <c r="K1093" s="110">
        <v>2879.049</v>
      </c>
      <c r="L1093" s="110">
        <v>2775.105</v>
      </c>
      <c r="M1093" s="110">
        <v>2647.4279999999999</v>
      </c>
      <c r="N1093" s="110">
        <v>2506.2890000000002</v>
      </c>
      <c r="O1093" s="110">
        <v>2338.5219999999999</v>
      </c>
      <c r="P1093" s="110">
        <v>2135.0079999999998</v>
      </c>
      <c r="Q1093" s="110">
        <v>1901.4570000000001</v>
      </c>
      <c r="R1093" s="110">
        <v>1653.9570000000001</v>
      </c>
      <c r="S1093" s="110">
        <v>1416.7739999999999</v>
      </c>
      <c r="T1093" s="110">
        <v>1188.848</v>
      </c>
      <c r="U1093" s="110">
        <v>933.60400000000004</v>
      </c>
      <c r="V1093" s="110">
        <v>636.95600000000002</v>
      </c>
      <c r="W1093" s="110">
        <v>381.65600000000001</v>
      </c>
      <c r="X1093" s="110">
        <v>192.98099999999999</v>
      </c>
      <c r="Y1093" s="110">
        <v>71.506</v>
      </c>
      <c r="Z1093" s="110">
        <v>18.204000000000001</v>
      </c>
      <c r="AA1093" s="110">
        <v>2.7519999999999998</v>
      </c>
      <c r="AB1093" s="110">
        <v>9.0999999999999998E-2</v>
      </c>
      <c r="AC1093" s="115">
        <f t="shared" si="48"/>
        <v>17182.858</v>
      </c>
      <c r="AD1093">
        <f t="shared" si="49"/>
        <v>1.0117087279278252</v>
      </c>
    </row>
    <row r="1094" spans="1:30" x14ac:dyDescent="0.25">
      <c r="A1094" s="104" t="str">
        <f t="shared" si="47"/>
        <v>Mali2075</v>
      </c>
      <c r="C1094" s="107" t="s">
        <v>257</v>
      </c>
      <c r="D1094" s="108" t="s">
        <v>210</v>
      </c>
      <c r="E1094" s="109"/>
      <c r="F1094" s="109">
        <v>466</v>
      </c>
      <c r="G1094" s="109">
        <v>2075</v>
      </c>
      <c r="H1094" s="110">
        <v>3058.1410000000001</v>
      </c>
      <c r="I1094" s="110">
        <v>3024.1489999999999</v>
      </c>
      <c r="J1094" s="110">
        <v>2973.364</v>
      </c>
      <c r="K1094" s="110">
        <v>2894.384</v>
      </c>
      <c r="L1094" s="110">
        <v>2793.6889999999999</v>
      </c>
      <c r="M1094" s="110">
        <v>2668.4949999999999</v>
      </c>
      <c r="N1094" s="110">
        <v>2531.0500000000002</v>
      </c>
      <c r="O1094" s="110">
        <v>2369.88</v>
      </c>
      <c r="P1094" s="110">
        <v>2173.1089999999999</v>
      </c>
      <c r="Q1094" s="110">
        <v>1944.203</v>
      </c>
      <c r="R1094" s="110">
        <v>1695.999</v>
      </c>
      <c r="S1094" s="110">
        <v>1453.7819999999999</v>
      </c>
      <c r="T1094" s="110">
        <v>1223.0640000000001</v>
      </c>
      <c r="U1094" s="110">
        <v>972.75599999999997</v>
      </c>
      <c r="V1094" s="110">
        <v>672.74800000000005</v>
      </c>
      <c r="W1094" s="110">
        <v>403.26900000000001</v>
      </c>
      <c r="X1094" s="110">
        <v>201.56399999999999</v>
      </c>
      <c r="Y1094" s="110">
        <v>72.478999999999999</v>
      </c>
      <c r="Z1094" s="110">
        <v>16.635999999999999</v>
      </c>
      <c r="AA1094" s="110">
        <v>1.9119999999999999</v>
      </c>
      <c r="AB1094" s="110">
        <v>0.1</v>
      </c>
      <c r="AC1094" s="115">
        <f t="shared" si="48"/>
        <v>17374.810000000001</v>
      </c>
      <c r="AD1094">
        <f t="shared" si="49"/>
        <v>1.0111711334633622</v>
      </c>
    </row>
    <row r="1095" spans="1:30" x14ac:dyDescent="0.25">
      <c r="A1095" s="104" t="str">
        <f t="shared" si="47"/>
        <v>Mali2076</v>
      </c>
      <c r="C1095" s="107" t="s">
        <v>257</v>
      </c>
      <c r="D1095" s="108" t="s">
        <v>210</v>
      </c>
      <c r="E1095" s="109"/>
      <c r="F1095" s="109">
        <v>466</v>
      </c>
      <c r="G1095" s="109">
        <v>2076</v>
      </c>
      <c r="H1095" s="110">
        <v>3060.9349999999999</v>
      </c>
      <c r="I1095" s="110">
        <v>3030.9470000000001</v>
      </c>
      <c r="J1095" s="110">
        <v>2984.6030000000001</v>
      </c>
      <c r="K1095" s="110">
        <v>2909.4319999999998</v>
      </c>
      <c r="L1095" s="110">
        <v>2812.1819999999998</v>
      </c>
      <c r="M1095" s="110">
        <v>2690.817</v>
      </c>
      <c r="N1095" s="110">
        <v>2556.328</v>
      </c>
      <c r="O1095" s="110">
        <v>2400.7159999999999</v>
      </c>
      <c r="P1095" s="110">
        <v>2210.4879999999998</v>
      </c>
      <c r="Q1095" s="110">
        <v>1985.9090000000001</v>
      </c>
      <c r="R1095" s="110">
        <v>1737.413</v>
      </c>
      <c r="S1095" s="110">
        <v>1489.3969999999999</v>
      </c>
      <c r="T1095" s="110">
        <v>1252.7950000000001</v>
      </c>
      <c r="U1095" s="110">
        <v>1003.321</v>
      </c>
      <c r="V1095" s="110">
        <v>703.32299999999998</v>
      </c>
      <c r="W1095" s="110">
        <v>422.839</v>
      </c>
      <c r="X1095" s="110">
        <v>212.79499999999999</v>
      </c>
      <c r="Y1095" s="110">
        <v>79.775000000000006</v>
      </c>
      <c r="Z1095" s="110">
        <v>19.634</v>
      </c>
      <c r="AA1095" s="110">
        <v>2.3940000000000001</v>
      </c>
      <c r="AB1095" s="110">
        <v>0.109</v>
      </c>
      <c r="AC1095" s="115">
        <f t="shared" si="48"/>
        <v>17565.871999999999</v>
      </c>
      <c r="AD1095">
        <f t="shared" si="49"/>
        <v>1.0109964943501539</v>
      </c>
    </row>
    <row r="1096" spans="1:30" x14ac:dyDescent="0.25">
      <c r="A1096" s="104" t="str">
        <f t="shared" si="47"/>
        <v>Mali2077</v>
      </c>
      <c r="C1096" s="107" t="s">
        <v>257</v>
      </c>
      <c r="D1096" s="108" t="s">
        <v>210</v>
      </c>
      <c r="E1096" s="109"/>
      <c r="F1096" s="109">
        <v>466</v>
      </c>
      <c r="G1096" s="109">
        <v>2077</v>
      </c>
      <c r="H1096" s="110">
        <v>3062.5639999999999</v>
      </c>
      <c r="I1096" s="110">
        <v>3036.1529999999998</v>
      </c>
      <c r="J1096" s="110">
        <v>2994.623</v>
      </c>
      <c r="K1096" s="110">
        <v>2924.0659999999998</v>
      </c>
      <c r="L1096" s="110">
        <v>2829.41</v>
      </c>
      <c r="M1096" s="110">
        <v>2712.4870000000001</v>
      </c>
      <c r="N1096" s="110">
        <v>2580.3150000000001</v>
      </c>
      <c r="O1096" s="110">
        <v>2429.9720000000002</v>
      </c>
      <c r="P1096" s="110">
        <v>2246.6089999999999</v>
      </c>
      <c r="Q1096" s="110">
        <v>2027.07</v>
      </c>
      <c r="R1096" s="110">
        <v>1779.9090000000001</v>
      </c>
      <c r="S1096" s="110">
        <v>1527.127</v>
      </c>
      <c r="T1096" s="110">
        <v>1284.126</v>
      </c>
      <c r="U1096" s="110">
        <v>1033.5650000000001</v>
      </c>
      <c r="V1096" s="110">
        <v>736.87599999999998</v>
      </c>
      <c r="W1096" s="110">
        <v>444.07900000000001</v>
      </c>
      <c r="X1096" s="110">
        <v>223.22800000000001</v>
      </c>
      <c r="Y1096" s="110">
        <v>85.561000000000007</v>
      </c>
      <c r="Z1096" s="110">
        <v>21.766999999999999</v>
      </c>
      <c r="AA1096" s="110">
        <v>3.2240000000000002</v>
      </c>
      <c r="AB1096" s="110">
        <v>0.11899999999999999</v>
      </c>
      <c r="AC1096" s="115">
        <f t="shared" si="48"/>
        <v>17749.929</v>
      </c>
      <c r="AD1096">
        <f t="shared" si="49"/>
        <v>1.0104781020834035</v>
      </c>
    </row>
    <row r="1097" spans="1:30" x14ac:dyDescent="0.25">
      <c r="A1097" s="104" t="str">
        <f t="shared" si="47"/>
        <v>Mali2078</v>
      </c>
      <c r="C1097" s="107" t="s">
        <v>257</v>
      </c>
      <c r="D1097" s="108" t="s">
        <v>210</v>
      </c>
      <c r="E1097" s="109"/>
      <c r="F1097" s="109">
        <v>466</v>
      </c>
      <c r="G1097" s="109">
        <v>2078</v>
      </c>
      <c r="H1097" s="110">
        <v>3063.0459999999998</v>
      </c>
      <c r="I1097" s="110">
        <v>3039.61</v>
      </c>
      <c r="J1097" s="110">
        <v>3003.3760000000002</v>
      </c>
      <c r="K1097" s="110">
        <v>2938.1669999999999</v>
      </c>
      <c r="L1097" s="110">
        <v>2845.623</v>
      </c>
      <c r="M1097" s="110">
        <v>2733.3029999999999</v>
      </c>
      <c r="N1097" s="110">
        <v>2603.16</v>
      </c>
      <c r="O1097" s="110">
        <v>2457.759</v>
      </c>
      <c r="P1097" s="110">
        <v>2281.317</v>
      </c>
      <c r="Q1097" s="110">
        <v>2067.4969999999998</v>
      </c>
      <c r="R1097" s="110">
        <v>1823.03</v>
      </c>
      <c r="S1097" s="110">
        <v>1566.6310000000001</v>
      </c>
      <c r="T1097" s="110">
        <v>1317.223</v>
      </c>
      <c r="U1097" s="110">
        <v>1064.2149999999999</v>
      </c>
      <c r="V1097" s="110">
        <v>772.625</v>
      </c>
      <c r="W1097" s="110">
        <v>467.62599999999998</v>
      </c>
      <c r="X1097" s="110">
        <v>233.66300000000001</v>
      </c>
      <c r="Y1097" s="110">
        <v>89.546000000000006</v>
      </c>
      <c r="Z1097" s="110">
        <v>23.164999999999999</v>
      </c>
      <c r="AA1097" s="110">
        <v>3.84</v>
      </c>
      <c r="AB1097" s="110">
        <v>0.13</v>
      </c>
      <c r="AC1097" s="115">
        <f t="shared" si="48"/>
        <v>17926.826000000001</v>
      </c>
      <c r="AD1097">
        <f t="shared" si="49"/>
        <v>1.0099660680332863</v>
      </c>
    </row>
    <row r="1098" spans="1:30" x14ac:dyDescent="0.25">
      <c r="A1098" s="104" t="str">
        <f t="shared" si="47"/>
        <v>Mali2079</v>
      </c>
      <c r="C1098" s="107" t="s">
        <v>257</v>
      </c>
      <c r="D1098" s="108" t="s">
        <v>210</v>
      </c>
      <c r="E1098" s="109"/>
      <c r="F1098" s="109">
        <v>466</v>
      </c>
      <c r="G1098" s="109">
        <v>2079</v>
      </c>
      <c r="H1098" s="110">
        <v>3062.2049999999999</v>
      </c>
      <c r="I1098" s="110">
        <v>3041.3560000000002</v>
      </c>
      <c r="J1098" s="110">
        <v>3010.7869999999998</v>
      </c>
      <c r="K1098" s="110">
        <v>2951.3890000000001</v>
      </c>
      <c r="L1098" s="110">
        <v>2861.1950000000002</v>
      </c>
      <c r="M1098" s="110">
        <v>2752.9749999999999</v>
      </c>
      <c r="N1098" s="110">
        <v>2625.1370000000002</v>
      </c>
      <c r="O1098" s="110">
        <v>2484.2240000000002</v>
      </c>
      <c r="P1098" s="110">
        <v>2314.5079999999998</v>
      </c>
      <c r="Q1098" s="110">
        <v>2107.0149999999999</v>
      </c>
      <c r="R1098" s="110">
        <v>1866.2180000000001</v>
      </c>
      <c r="S1098" s="110">
        <v>1607.5650000000001</v>
      </c>
      <c r="T1098" s="110">
        <v>1352.374</v>
      </c>
      <c r="U1098" s="110">
        <v>1096.298</v>
      </c>
      <c r="V1098" s="110">
        <v>809.12099999999998</v>
      </c>
      <c r="W1098" s="110">
        <v>493.96600000000001</v>
      </c>
      <c r="X1098" s="110">
        <v>245.06899999999999</v>
      </c>
      <c r="Y1098" s="110">
        <v>92.355999999999995</v>
      </c>
      <c r="Z1098" s="110">
        <v>23.222999999999999</v>
      </c>
      <c r="AA1098" s="110">
        <v>3.78</v>
      </c>
      <c r="AB1098" s="110">
        <v>0.14099999999999999</v>
      </c>
      <c r="AC1098" s="115">
        <f t="shared" si="48"/>
        <v>18096.443000000003</v>
      </c>
      <c r="AD1098">
        <f t="shared" si="49"/>
        <v>1.0094616302964061</v>
      </c>
    </row>
    <row r="1099" spans="1:30" x14ac:dyDescent="0.25">
      <c r="A1099" s="104" t="str">
        <f t="shared" si="47"/>
        <v>Mali2080</v>
      </c>
      <c r="C1099" s="107" t="s">
        <v>257</v>
      </c>
      <c r="D1099" s="108" t="s">
        <v>210</v>
      </c>
      <c r="E1099" s="109"/>
      <c r="F1099" s="109">
        <v>466</v>
      </c>
      <c r="G1099" s="109">
        <v>2080</v>
      </c>
      <c r="H1099" s="110">
        <v>3060.0819999999999</v>
      </c>
      <c r="I1099" s="110">
        <v>3041.5259999999998</v>
      </c>
      <c r="J1099" s="110">
        <v>3016.65</v>
      </c>
      <c r="K1099" s="110">
        <v>2963.3960000000002</v>
      </c>
      <c r="L1099" s="110">
        <v>2876.3850000000002</v>
      </c>
      <c r="M1099" s="110">
        <v>2771.395</v>
      </c>
      <c r="N1099" s="110">
        <v>2646.415</v>
      </c>
      <c r="O1099" s="110">
        <v>2509.4279999999999</v>
      </c>
      <c r="P1099" s="110">
        <v>2346.1260000000002</v>
      </c>
      <c r="Q1099" s="110">
        <v>2145.4290000000001</v>
      </c>
      <c r="R1099" s="110">
        <v>1909.047</v>
      </c>
      <c r="S1099" s="110">
        <v>1649.6510000000001</v>
      </c>
      <c r="T1099" s="110">
        <v>1389.6780000000001</v>
      </c>
      <c r="U1099" s="110">
        <v>1130.329</v>
      </c>
      <c r="V1099" s="110">
        <v>845.471</v>
      </c>
      <c r="W1099" s="110">
        <v>523.37699999999995</v>
      </c>
      <c r="X1099" s="110">
        <v>258.32499999999999</v>
      </c>
      <c r="Y1099" s="110">
        <v>94.406000000000006</v>
      </c>
      <c r="Z1099" s="110">
        <v>21.657</v>
      </c>
      <c r="AA1099" s="110">
        <v>2.6789999999999998</v>
      </c>
      <c r="AB1099" s="110">
        <v>0.153</v>
      </c>
      <c r="AC1099" s="115">
        <f t="shared" si="48"/>
        <v>18258.574000000001</v>
      </c>
      <c r="AD1099">
        <f t="shared" si="49"/>
        <v>1.0089592744828362</v>
      </c>
    </row>
    <row r="1100" spans="1:30" x14ac:dyDescent="0.25">
      <c r="A1100" s="104" t="str">
        <f t="shared" si="47"/>
        <v>Mali2081</v>
      </c>
      <c r="C1100" s="107" t="s">
        <v>257</v>
      </c>
      <c r="D1100" s="108" t="s">
        <v>210</v>
      </c>
      <c r="E1100" s="109"/>
      <c r="F1100" s="109">
        <v>466</v>
      </c>
      <c r="G1100" s="109">
        <v>2081</v>
      </c>
      <c r="H1100" s="110">
        <v>3060.7350000000001</v>
      </c>
      <c r="I1100" s="110">
        <v>3044.25</v>
      </c>
      <c r="J1100" s="110">
        <v>3022.4059999999999</v>
      </c>
      <c r="K1100" s="110">
        <v>2974.3980000000001</v>
      </c>
      <c r="L1100" s="110">
        <v>2892.0070000000001</v>
      </c>
      <c r="M1100" s="110">
        <v>2790.3530000000001</v>
      </c>
      <c r="N1100" s="110">
        <v>2668.7539999999999</v>
      </c>
      <c r="O1100" s="110">
        <v>2534.453</v>
      </c>
      <c r="P1100" s="110">
        <v>2376.7269999999999</v>
      </c>
      <c r="Q1100" s="110">
        <v>2182.1990000000001</v>
      </c>
      <c r="R1100" s="110">
        <v>1949.903</v>
      </c>
      <c r="S1100" s="110">
        <v>1689.6949999999999</v>
      </c>
      <c r="T1100" s="110">
        <v>1423.2329999999999</v>
      </c>
      <c r="U1100" s="110">
        <v>1157.701</v>
      </c>
      <c r="V1100" s="110">
        <v>872.29899999999998</v>
      </c>
      <c r="W1100" s="110">
        <v>549.37099999999998</v>
      </c>
      <c r="X1100" s="110">
        <v>275.089</v>
      </c>
      <c r="Y1100" s="110">
        <v>103.718</v>
      </c>
      <c r="Z1100" s="110">
        <v>25.696999999999999</v>
      </c>
      <c r="AA1100" s="110">
        <v>3.2810000000000001</v>
      </c>
      <c r="AB1100" s="110">
        <v>0.16600000000000001</v>
      </c>
      <c r="AC1100" s="115">
        <f t="shared" si="48"/>
        <v>18418.891000000003</v>
      </c>
      <c r="AD1100">
        <f t="shared" si="49"/>
        <v>1.0087803680616023</v>
      </c>
    </row>
    <row r="1101" spans="1:30" x14ac:dyDescent="0.25">
      <c r="A1101" s="104" t="str">
        <f t="shared" si="47"/>
        <v>Mali2082</v>
      </c>
      <c r="C1101" s="107" t="s">
        <v>257</v>
      </c>
      <c r="D1101" s="108" t="s">
        <v>210</v>
      </c>
      <c r="E1101" s="109"/>
      <c r="F1101" s="109">
        <v>466</v>
      </c>
      <c r="G1101" s="109">
        <v>2082</v>
      </c>
      <c r="H1101" s="110">
        <v>3058.1680000000001</v>
      </c>
      <c r="I1101" s="110">
        <v>3046.32</v>
      </c>
      <c r="J1101" s="110">
        <v>3027.0459999999998</v>
      </c>
      <c r="K1101" s="110">
        <v>2984.3150000000001</v>
      </c>
      <c r="L1101" s="110">
        <v>2907.0819999999999</v>
      </c>
      <c r="M1101" s="110">
        <v>2808.0349999999999</v>
      </c>
      <c r="N1101" s="110">
        <v>2690.616</v>
      </c>
      <c r="O1101" s="110">
        <v>2558.4229999999998</v>
      </c>
      <c r="P1101" s="110">
        <v>2405.9960000000001</v>
      </c>
      <c r="Q1101" s="110">
        <v>2218.0279999999998</v>
      </c>
      <c r="R1101" s="110">
        <v>1990.597</v>
      </c>
      <c r="S1101" s="110">
        <v>1731.3520000000001</v>
      </c>
      <c r="T1101" s="110">
        <v>1459.538</v>
      </c>
      <c r="U1101" s="110">
        <v>1187.2049999999999</v>
      </c>
      <c r="V1101" s="110">
        <v>899.38599999999997</v>
      </c>
      <c r="W1101" s="110">
        <v>577.32500000000005</v>
      </c>
      <c r="X1101" s="110">
        <v>291.43099999999998</v>
      </c>
      <c r="Y1101" s="110">
        <v>111.087</v>
      </c>
      <c r="Z1101" s="110">
        <v>28.751000000000001</v>
      </c>
      <c r="AA1101" s="110">
        <v>4.3220000000000001</v>
      </c>
      <c r="AB1101" s="110">
        <v>0.18099999999999999</v>
      </c>
      <c r="AC1101" s="115">
        <f t="shared" si="48"/>
        <v>18572.494999999999</v>
      </c>
      <c r="AD1101">
        <f t="shared" si="49"/>
        <v>1.0083394814595512</v>
      </c>
    </row>
    <row r="1102" spans="1:30" x14ac:dyDescent="0.25">
      <c r="A1102" s="104" t="str">
        <f t="shared" si="47"/>
        <v>Mali2083</v>
      </c>
      <c r="C1102" s="107" t="s">
        <v>257</v>
      </c>
      <c r="D1102" s="108" t="s">
        <v>210</v>
      </c>
      <c r="E1102" s="109"/>
      <c r="F1102" s="109">
        <v>466</v>
      </c>
      <c r="G1102" s="109">
        <v>2083</v>
      </c>
      <c r="H1102" s="110">
        <v>3053.24</v>
      </c>
      <c r="I1102" s="110">
        <v>3047.4780000000001</v>
      </c>
      <c r="J1102" s="110">
        <v>3030.5459999999998</v>
      </c>
      <c r="K1102" s="110">
        <v>2993.1590000000001</v>
      </c>
      <c r="L1102" s="110">
        <v>2921.3789999999999</v>
      </c>
      <c r="M1102" s="110">
        <v>2824.549</v>
      </c>
      <c r="N1102" s="110">
        <v>2711.703</v>
      </c>
      <c r="O1102" s="110">
        <v>2581.4699999999998</v>
      </c>
      <c r="P1102" s="110">
        <v>2433.9</v>
      </c>
      <c r="Q1102" s="110">
        <v>2252.7359999999999</v>
      </c>
      <c r="R1102" s="110">
        <v>2030.827</v>
      </c>
      <c r="S1102" s="110">
        <v>1774.0170000000001</v>
      </c>
      <c r="T1102" s="110">
        <v>1498.2650000000001</v>
      </c>
      <c r="U1102" s="110">
        <v>1219.0260000000001</v>
      </c>
      <c r="V1102" s="110">
        <v>927.721</v>
      </c>
      <c r="W1102" s="110">
        <v>607.03599999999994</v>
      </c>
      <c r="X1102" s="110">
        <v>307.89400000000001</v>
      </c>
      <c r="Y1102" s="110">
        <v>116.56100000000001</v>
      </c>
      <c r="Z1102" s="110">
        <v>30.919</v>
      </c>
      <c r="AA1102" s="110">
        <v>5.1150000000000002</v>
      </c>
      <c r="AB1102" s="110">
        <v>0.19600000000000001</v>
      </c>
      <c r="AC1102" s="115">
        <f t="shared" si="48"/>
        <v>18718.896000000001</v>
      </c>
      <c r="AD1102">
        <f t="shared" si="49"/>
        <v>1.0078826781215988</v>
      </c>
    </row>
    <row r="1103" spans="1:30" x14ac:dyDescent="0.25">
      <c r="A1103" s="104" t="str">
        <f t="shared" si="47"/>
        <v>Mali2084</v>
      </c>
      <c r="C1103" s="107" t="s">
        <v>257</v>
      </c>
      <c r="D1103" s="108" t="s">
        <v>210</v>
      </c>
      <c r="E1103" s="109"/>
      <c r="F1103" s="109">
        <v>466</v>
      </c>
      <c r="G1103" s="109">
        <v>2084</v>
      </c>
      <c r="H1103" s="110">
        <v>3047.2</v>
      </c>
      <c r="I1103" s="110">
        <v>3047.2289999999998</v>
      </c>
      <c r="J1103" s="110">
        <v>3033.0129999999999</v>
      </c>
      <c r="K1103" s="110">
        <v>3000.8310000000001</v>
      </c>
      <c r="L1103" s="110">
        <v>2934.509</v>
      </c>
      <c r="M1103" s="110">
        <v>2840.1559999999999</v>
      </c>
      <c r="N1103" s="110">
        <v>2731.5940000000001</v>
      </c>
      <c r="O1103" s="110">
        <v>2603.7449999999999</v>
      </c>
      <c r="P1103" s="110">
        <v>2460.4870000000001</v>
      </c>
      <c r="Q1103" s="110">
        <v>2286.1120000000001</v>
      </c>
      <c r="R1103" s="110">
        <v>2070.3130000000001</v>
      </c>
      <c r="S1103" s="110">
        <v>1817.029</v>
      </c>
      <c r="T1103" s="110">
        <v>1539.0119999999999</v>
      </c>
      <c r="U1103" s="110">
        <v>1253.5029999999999</v>
      </c>
      <c r="V1103" s="110">
        <v>958.23599999999999</v>
      </c>
      <c r="W1103" s="110">
        <v>637.52</v>
      </c>
      <c r="X1103" s="110">
        <v>325.25799999999998</v>
      </c>
      <c r="Y1103" s="110">
        <v>121.38800000000001</v>
      </c>
      <c r="Z1103" s="110">
        <v>31.414999999999999</v>
      </c>
      <c r="AA1103" s="110">
        <v>5.0839999999999996</v>
      </c>
      <c r="AB1103" s="110">
        <v>0.21299999999999999</v>
      </c>
      <c r="AC1103" s="115">
        <f t="shared" si="48"/>
        <v>18857.434000000001</v>
      </c>
      <c r="AD1103">
        <f t="shared" si="49"/>
        <v>1.0074009706555345</v>
      </c>
    </row>
    <row r="1104" spans="1:30" x14ac:dyDescent="0.25">
      <c r="A1104" s="104" t="str">
        <f t="shared" si="47"/>
        <v>Mali2085</v>
      </c>
      <c r="C1104" s="107" t="s">
        <v>257</v>
      </c>
      <c r="D1104" s="108" t="s">
        <v>210</v>
      </c>
      <c r="E1104" s="109"/>
      <c r="F1104" s="109">
        <v>466</v>
      </c>
      <c r="G1104" s="109">
        <v>2085</v>
      </c>
      <c r="H1104" s="110">
        <v>3041.0729999999999</v>
      </c>
      <c r="I1104" s="110">
        <v>3044.953</v>
      </c>
      <c r="J1104" s="110">
        <v>3034.55</v>
      </c>
      <c r="K1104" s="110">
        <v>3007.2069999999999</v>
      </c>
      <c r="L1104" s="110">
        <v>2946.2750000000001</v>
      </c>
      <c r="M1104" s="110">
        <v>2855.0659999999998</v>
      </c>
      <c r="N1104" s="110">
        <v>2750.0569999999998</v>
      </c>
      <c r="O1104" s="110">
        <v>2625.3040000000001</v>
      </c>
      <c r="P1104" s="110">
        <v>2485.8290000000002</v>
      </c>
      <c r="Q1104" s="110">
        <v>2317.991</v>
      </c>
      <c r="R1104" s="110">
        <v>2108.8229999999999</v>
      </c>
      <c r="S1104" s="110">
        <v>1859.9179999999999</v>
      </c>
      <c r="T1104" s="110">
        <v>1581.3889999999999</v>
      </c>
      <c r="U1104" s="110">
        <v>1290.7919999999999</v>
      </c>
      <c r="V1104" s="110">
        <v>991.28</v>
      </c>
      <c r="W1104" s="110">
        <v>668.298</v>
      </c>
      <c r="X1104" s="110">
        <v>344.43299999999999</v>
      </c>
      <c r="Y1104" s="110">
        <v>126.205</v>
      </c>
      <c r="Z1104" s="110">
        <v>29.937000000000001</v>
      </c>
      <c r="AA1104" s="110">
        <v>3.766</v>
      </c>
      <c r="AB1104" s="110">
        <v>0.23100000000000001</v>
      </c>
      <c r="AC1104" s="115">
        <f t="shared" si="48"/>
        <v>18987.728999999999</v>
      </c>
      <c r="AD1104">
        <f t="shared" si="49"/>
        <v>1.0069094766552011</v>
      </c>
    </row>
    <row r="1105" spans="1:30" x14ac:dyDescent="0.25">
      <c r="A1105" s="104" t="str">
        <f t="shared" si="47"/>
        <v>Mali2086</v>
      </c>
      <c r="C1105" s="107" t="s">
        <v>257</v>
      </c>
      <c r="D1105" s="108" t="s">
        <v>210</v>
      </c>
      <c r="E1105" s="109"/>
      <c r="F1105" s="109">
        <v>466</v>
      </c>
      <c r="G1105" s="109">
        <v>2086</v>
      </c>
      <c r="H1105" s="110">
        <v>3036.8530000000001</v>
      </c>
      <c r="I1105" s="110">
        <v>3044.598</v>
      </c>
      <c r="J1105" s="110">
        <v>3037.0259999999998</v>
      </c>
      <c r="K1105" s="110">
        <v>3012.953</v>
      </c>
      <c r="L1105" s="110">
        <v>2958.0540000000001</v>
      </c>
      <c r="M1105" s="110">
        <v>2871.366</v>
      </c>
      <c r="N1105" s="110">
        <v>2769.2689999999998</v>
      </c>
      <c r="O1105" s="110">
        <v>2647.6190000000001</v>
      </c>
      <c r="P1105" s="110">
        <v>2510.873</v>
      </c>
      <c r="Q1105" s="110">
        <v>2348.2600000000002</v>
      </c>
      <c r="R1105" s="110">
        <v>2145.0349999999999</v>
      </c>
      <c r="S1105" s="110">
        <v>1899.607</v>
      </c>
      <c r="T1105" s="110">
        <v>1619.298</v>
      </c>
      <c r="U1105" s="110">
        <v>1321.874</v>
      </c>
      <c r="V1105" s="110">
        <v>1015.79</v>
      </c>
      <c r="W1105" s="110">
        <v>691.38499999999999</v>
      </c>
      <c r="X1105" s="110">
        <v>366.54899999999998</v>
      </c>
      <c r="Y1105" s="110">
        <v>139.59</v>
      </c>
      <c r="Z1105" s="110">
        <v>35.250999999999998</v>
      </c>
      <c r="AA1105" s="110">
        <v>4.6440000000000001</v>
      </c>
      <c r="AB1105" s="110">
        <v>0.251</v>
      </c>
      <c r="AC1105" s="115">
        <f t="shared" si="48"/>
        <v>19118.394</v>
      </c>
      <c r="AD1105">
        <f t="shared" si="49"/>
        <v>1.0068815496576764</v>
      </c>
    </row>
    <row r="1106" spans="1:30" x14ac:dyDescent="0.25">
      <c r="A1106" s="104" t="str">
        <f t="shared" si="47"/>
        <v>Mali2087</v>
      </c>
      <c r="C1106" s="107" t="s">
        <v>257</v>
      </c>
      <c r="D1106" s="108" t="s">
        <v>210</v>
      </c>
      <c r="E1106" s="109"/>
      <c r="F1106" s="109">
        <v>466</v>
      </c>
      <c r="G1106" s="109">
        <v>2087</v>
      </c>
      <c r="H1106" s="110">
        <v>3032.027</v>
      </c>
      <c r="I1106" s="110">
        <v>3042.6280000000002</v>
      </c>
      <c r="J1106" s="110">
        <v>3038.9250000000002</v>
      </c>
      <c r="K1106" s="110">
        <v>3017.3609999999999</v>
      </c>
      <c r="L1106" s="110">
        <v>2968.3519999999999</v>
      </c>
      <c r="M1106" s="110">
        <v>2886.8310000000001</v>
      </c>
      <c r="N1106" s="110">
        <v>2787.1170000000002</v>
      </c>
      <c r="O1106" s="110">
        <v>2669.4409999999998</v>
      </c>
      <c r="P1106" s="110">
        <v>2534.8609999999999</v>
      </c>
      <c r="Q1106" s="110">
        <v>2377.2890000000002</v>
      </c>
      <c r="R1106" s="110">
        <v>2180.4969999999998</v>
      </c>
      <c r="S1106" s="110">
        <v>1939.5519999999999</v>
      </c>
      <c r="T1106" s="110">
        <v>1659.43</v>
      </c>
      <c r="U1106" s="110">
        <v>1356.1559999999999</v>
      </c>
      <c r="V1106" s="110">
        <v>1042.5070000000001</v>
      </c>
      <c r="W1106" s="110">
        <v>714.39599999999996</v>
      </c>
      <c r="X1106" s="110">
        <v>388.44799999999998</v>
      </c>
      <c r="Y1106" s="110">
        <v>150.61600000000001</v>
      </c>
      <c r="Z1106" s="110">
        <v>39.195</v>
      </c>
      <c r="AA1106" s="110">
        <v>6.1310000000000002</v>
      </c>
      <c r="AB1106" s="110">
        <v>0.27200000000000002</v>
      </c>
      <c r="AC1106" s="115">
        <f t="shared" si="48"/>
        <v>19241.252</v>
      </c>
      <c r="AD1106">
        <f t="shared" si="49"/>
        <v>1.0064261673862356</v>
      </c>
    </row>
    <row r="1107" spans="1:30" x14ac:dyDescent="0.25">
      <c r="A1107" s="104" t="str">
        <f t="shared" si="47"/>
        <v>Mali2088</v>
      </c>
      <c r="C1107" s="107" t="s">
        <v>257</v>
      </c>
      <c r="D1107" s="108" t="s">
        <v>210</v>
      </c>
      <c r="E1107" s="109"/>
      <c r="F1107" s="109">
        <v>466</v>
      </c>
      <c r="G1107" s="109">
        <v>2088</v>
      </c>
      <c r="H1107" s="110">
        <v>3026.6709999999998</v>
      </c>
      <c r="I1107" s="110">
        <v>3038.9270000000001</v>
      </c>
      <c r="J1107" s="110">
        <v>3040.0610000000001</v>
      </c>
      <c r="K1107" s="110">
        <v>3020.7489999999998</v>
      </c>
      <c r="L1107" s="110">
        <v>2977.221</v>
      </c>
      <c r="M1107" s="110">
        <v>2901.2460000000001</v>
      </c>
      <c r="N1107" s="110">
        <v>2803.75</v>
      </c>
      <c r="O1107" s="110">
        <v>2690.578</v>
      </c>
      <c r="P1107" s="110">
        <v>2557.9140000000002</v>
      </c>
      <c r="Q1107" s="110">
        <v>2405.134</v>
      </c>
      <c r="R1107" s="110">
        <v>2215.0149999999999</v>
      </c>
      <c r="S1107" s="110">
        <v>1979.374</v>
      </c>
      <c r="T1107" s="110">
        <v>1701.2629999999999</v>
      </c>
      <c r="U1107" s="110">
        <v>1393.3789999999999</v>
      </c>
      <c r="V1107" s="110">
        <v>1072.011</v>
      </c>
      <c r="W1107" s="110">
        <v>738.83900000000006</v>
      </c>
      <c r="X1107" s="110">
        <v>409.94400000000002</v>
      </c>
      <c r="Y1107" s="110">
        <v>159.191</v>
      </c>
      <c r="Z1107" s="110">
        <v>42.167000000000002</v>
      </c>
      <c r="AA1107" s="110">
        <v>7.2770000000000001</v>
      </c>
      <c r="AB1107" s="110">
        <v>0.29499999999999998</v>
      </c>
      <c r="AC1107" s="115">
        <f t="shared" si="48"/>
        <v>19356.591999999997</v>
      </c>
      <c r="AD1107">
        <f t="shared" si="49"/>
        <v>1.005994412421811</v>
      </c>
    </row>
    <row r="1108" spans="1:30" x14ac:dyDescent="0.25">
      <c r="A1108" s="104" t="str">
        <f t="shared" si="47"/>
        <v>Mali2089</v>
      </c>
      <c r="C1108" s="107" t="s">
        <v>257</v>
      </c>
      <c r="D1108" s="108" t="s">
        <v>210</v>
      </c>
      <c r="E1108" s="109"/>
      <c r="F1108" s="109">
        <v>466</v>
      </c>
      <c r="G1108" s="109">
        <v>2089</v>
      </c>
      <c r="H1108" s="110">
        <v>3020.6019999999999</v>
      </c>
      <c r="I1108" s="110">
        <v>3033.6729999999998</v>
      </c>
      <c r="J1108" s="110">
        <v>3040.0439999999999</v>
      </c>
      <c r="K1108" s="110">
        <v>3023.4760000000001</v>
      </c>
      <c r="L1108" s="110">
        <v>2984.7379999999998</v>
      </c>
      <c r="M1108" s="110">
        <v>2914.3240000000001</v>
      </c>
      <c r="N1108" s="110">
        <v>2819.4960000000001</v>
      </c>
      <c r="O1108" s="110">
        <v>2710.6970000000001</v>
      </c>
      <c r="P1108" s="110">
        <v>2580.2689999999998</v>
      </c>
      <c r="Q1108" s="110">
        <v>2431.9110000000001</v>
      </c>
      <c r="R1108" s="110">
        <v>2248.4250000000002</v>
      </c>
      <c r="S1108" s="110">
        <v>2018.8050000000001</v>
      </c>
      <c r="T1108" s="110">
        <v>1744.1790000000001</v>
      </c>
      <c r="U1108" s="110">
        <v>1433.3050000000001</v>
      </c>
      <c r="V1108" s="110">
        <v>1104.905</v>
      </c>
      <c r="W1108" s="110">
        <v>765.65300000000002</v>
      </c>
      <c r="X1108" s="110">
        <v>430.61700000000002</v>
      </c>
      <c r="Y1108" s="110">
        <v>167.083</v>
      </c>
      <c r="Z1108" s="110">
        <v>43.262999999999998</v>
      </c>
      <c r="AA1108" s="110">
        <v>7.3049999999999997</v>
      </c>
      <c r="AB1108" s="110">
        <v>0.32200000000000001</v>
      </c>
      <c r="AC1108" s="115">
        <f t="shared" si="48"/>
        <v>19464.911</v>
      </c>
      <c r="AD1108">
        <f t="shared" si="49"/>
        <v>1.0055959747459677</v>
      </c>
    </row>
    <row r="1109" spans="1:30" x14ac:dyDescent="0.25">
      <c r="A1109" s="104" t="str">
        <f t="shared" si="47"/>
        <v>Mali2090</v>
      </c>
      <c r="C1109" s="107" t="s">
        <v>257</v>
      </c>
      <c r="D1109" s="108" t="s">
        <v>210</v>
      </c>
      <c r="E1109" s="109"/>
      <c r="F1109" s="109">
        <v>466</v>
      </c>
      <c r="G1109" s="109">
        <v>2090</v>
      </c>
      <c r="H1109" s="110">
        <v>3013.8510000000001</v>
      </c>
      <c r="I1109" s="110">
        <v>3027.2080000000001</v>
      </c>
      <c r="J1109" s="110">
        <v>3038.433</v>
      </c>
      <c r="K1109" s="110">
        <v>3025.6550000000002</v>
      </c>
      <c r="L1109" s="110">
        <v>2990.9940000000001</v>
      </c>
      <c r="M1109" s="110">
        <v>2925.9180000000001</v>
      </c>
      <c r="N1109" s="110">
        <v>2834.5390000000002</v>
      </c>
      <c r="O1109" s="110">
        <v>2729.529</v>
      </c>
      <c r="P1109" s="110">
        <v>2602.0720000000001</v>
      </c>
      <c r="Q1109" s="110">
        <v>2457.6570000000002</v>
      </c>
      <c r="R1109" s="110">
        <v>2280.596</v>
      </c>
      <c r="S1109" s="110">
        <v>2057.6289999999999</v>
      </c>
      <c r="T1109" s="110">
        <v>1787.606</v>
      </c>
      <c r="U1109" s="110">
        <v>1475.684</v>
      </c>
      <c r="V1109" s="110">
        <v>1141.402</v>
      </c>
      <c r="W1109" s="110">
        <v>795.13699999999994</v>
      </c>
      <c r="X1109" s="110">
        <v>450.96800000000002</v>
      </c>
      <c r="Y1109" s="110">
        <v>175.07300000000001</v>
      </c>
      <c r="Z1109" s="110">
        <v>42.348999999999997</v>
      </c>
      <c r="AA1109" s="110">
        <v>5.61</v>
      </c>
      <c r="AB1109" s="110">
        <v>0.35099999999999998</v>
      </c>
      <c r="AC1109" s="115">
        <f t="shared" si="48"/>
        <v>19566.364000000001</v>
      </c>
      <c r="AD1109">
        <f t="shared" si="49"/>
        <v>1.0052120967827698</v>
      </c>
    </row>
    <row r="1110" spans="1:30" x14ac:dyDescent="0.25">
      <c r="A1110" s="104" t="str">
        <f t="shared" si="47"/>
        <v>Mali2091</v>
      </c>
      <c r="C1110" s="107" t="s">
        <v>257</v>
      </c>
      <c r="D1110" s="108" t="s">
        <v>210</v>
      </c>
      <c r="E1110" s="109"/>
      <c r="F1110" s="109">
        <v>466</v>
      </c>
      <c r="G1110" s="109">
        <v>2091</v>
      </c>
      <c r="H1110" s="110">
        <v>3009.924</v>
      </c>
      <c r="I1110" s="110">
        <v>3023.5010000000002</v>
      </c>
      <c r="J1110" s="110">
        <v>3037.0160000000001</v>
      </c>
      <c r="K1110" s="110">
        <v>3027.915</v>
      </c>
      <c r="L1110" s="110">
        <v>2997.2350000000001</v>
      </c>
      <c r="M1110" s="110">
        <v>2938.107</v>
      </c>
      <c r="N1110" s="110">
        <v>2850.8539999999998</v>
      </c>
      <c r="O1110" s="110">
        <v>2748.4960000000001</v>
      </c>
      <c r="P1110" s="110">
        <v>2624.21</v>
      </c>
      <c r="Q1110" s="110">
        <v>2482.2399999999998</v>
      </c>
      <c r="R1110" s="110">
        <v>2310.2600000000002</v>
      </c>
      <c r="S1110" s="110">
        <v>2092.6990000000001</v>
      </c>
      <c r="T1110" s="110">
        <v>1825.07</v>
      </c>
      <c r="U1110" s="110">
        <v>1510.7760000000001</v>
      </c>
      <c r="V1110" s="110">
        <v>1169.2929999999999</v>
      </c>
      <c r="W1110" s="110">
        <v>816.89599999999996</v>
      </c>
      <c r="X1110" s="110">
        <v>471.6</v>
      </c>
      <c r="Y1110" s="110">
        <v>193.05099999999999</v>
      </c>
      <c r="Z1110" s="110">
        <v>50.08</v>
      </c>
      <c r="AA1110" s="110">
        <v>6.8479999999999999</v>
      </c>
      <c r="AB1110" s="110">
        <v>0.38400000000000001</v>
      </c>
      <c r="AC1110" s="115">
        <f t="shared" si="48"/>
        <v>19669.057000000001</v>
      </c>
      <c r="AD1110">
        <f t="shared" si="49"/>
        <v>1.005248445751086</v>
      </c>
    </row>
    <row r="1111" spans="1:30" x14ac:dyDescent="0.25">
      <c r="A1111" s="104" t="str">
        <f t="shared" si="47"/>
        <v>Mali2092</v>
      </c>
      <c r="C1111" s="107" t="s">
        <v>257</v>
      </c>
      <c r="D1111" s="108" t="s">
        <v>210</v>
      </c>
      <c r="E1111" s="109"/>
      <c r="F1111" s="109">
        <v>466</v>
      </c>
      <c r="G1111" s="109">
        <v>2092</v>
      </c>
      <c r="H1111" s="110">
        <v>3004.1689999999999</v>
      </c>
      <c r="I1111" s="110">
        <v>3019.25</v>
      </c>
      <c r="J1111" s="110">
        <v>3034.4720000000002</v>
      </c>
      <c r="K1111" s="110">
        <v>3029.7440000000001</v>
      </c>
      <c r="L1111" s="110">
        <v>3002.038</v>
      </c>
      <c r="M1111" s="110">
        <v>2948.82</v>
      </c>
      <c r="N1111" s="110">
        <v>2866.5120000000002</v>
      </c>
      <c r="O1111" s="110">
        <v>2766.3380000000002</v>
      </c>
      <c r="P1111" s="110">
        <v>2646.0889999999999</v>
      </c>
      <c r="Q1111" s="110">
        <v>2506.0819999999999</v>
      </c>
      <c r="R1111" s="110">
        <v>2339.078</v>
      </c>
      <c r="S1111" s="110">
        <v>2127.6489999999999</v>
      </c>
      <c r="T1111" s="110">
        <v>1863.682</v>
      </c>
      <c r="U1111" s="110">
        <v>1548.8579999999999</v>
      </c>
      <c r="V1111" s="110">
        <v>1200.579</v>
      </c>
      <c r="W1111" s="110">
        <v>840.00199999999995</v>
      </c>
      <c r="X1111" s="110">
        <v>490.69299999999998</v>
      </c>
      <c r="Y1111" s="110">
        <v>208.358</v>
      </c>
      <c r="Z1111" s="110">
        <v>55.802</v>
      </c>
      <c r="AA1111" s="110">
        <v>8.9130000000000003</v>
      </c>
      <c r="AB1111" s="110">
        <v>0.42199999999999999</v>
      </c>
      <c r="AC1111" s="115">
        <f t="shared" si="48"/>
        <v>19765.623</v>
      </c>
      <c r="AD1111">
        <f t="shared" si="49"/>
        <v>1.0049095388762155</v>
      </c>
    </row>
    <row r="1112" spans="1:30" x14ac:dyDescent="0.25">
      <c r="A1112" s="104" t="str">
        <f t="shared" si="47"/>
        <v>Mali2093</v>
      </c>
      <c r="C1112" s="107" t="s">
        <v>257</v>
      </c>
      <c r="D1112" s="108" t="s">
        <v>210</v>
      </c>
      <c r="E1112" s="109"/>
      <c r="F1112" s="109">
        <v>466</v>
      </c>
      <c r="G1112" s="109">
        <v>2093</v>
      </c>
      <c r="H1112" s="110">
        <v>2996.97</v>
      </c>
      <c r="I1112" s="110">
        <v>3014.308</v>
      </c>
      <c r="J1112" s="110">
        <v>3030.8609999999999</v>
      </c>
      <c r="K1112" s="110">
        <v>3030.973</v>
      </c>
      <c r="L1112" s="110">
        <v>3005.6350000000002</v>
      </c>
      <c r="M1112" s="110">
        <v>2957.9940000000001</v>
      </c>
      <c r="N1112" s="110">
        <v>2881.2089999999998</v>
      </c>
      <c r="O1112" s="110">
        <v>2783.203</v>
      </c>
      <c r="P1112" s="110">
        <v>2667.3960000000002</v>
      </c>
      <c r="Q1112" s="110">
        <v>2529.2809999999999</v>
      </c>
      <c r="R1112" s="110">
        <v>2367</v>
      </c>
      <c r="S1112" s="110">
        <v>2162.096</v>
      </c>
      <c r="T1112" s="110">
        <v>1903.066</v>
      </c>
      <c r="U1112" s="110">
        <v>1589.395</v>
      </c>
      <c r="V1112" s="110">
        <v>1235.355</v>
      </c>
      <c r="W1112" s="110">
        <v>865.81700000000001</v>
      </c>
      <c r="X1112" s="110">
        <v>509.51299999999998</v>
      </c>
      <c r="Y1112" s="110">
        <v>220.08600000000001</v>
      </c>
      <c r="Z1112" s="110">
        <v>60.228999999999999</v>
      </c>
      <c r="AA1112" s="110">
        <v>10.538</v>
      </c>
      <c r="AB1112" s="110">
        <v>0.46400000000000002</v>
      </c>
      <c r="AC1112" s="115">
        <f t="shared" si="48"/>
        <v>19855.690999999999</v>
      </c>
      <c r="AD1112">
        <f t="shared" si="49"/>
        <v>1.0045568004610834</v>
      </c>
    </row>
    <row r="1113" spans="1:30" x14ac:dyDescent="0.25">
      <c r="A1113" s="104" t="str">
        <f t="shared" ref="A1113:A1176" si="50">D1113&amp;G1113</f>
        <v>Mali2094</v>
      </c>
      <c r="C1113" s="107" t="s">
        <v>257</v>
      </c>
      <c r="D1113" s="108" t="s">
        <v>210</v>
      </c>
      <c r="E1113" s="109"/>
      <c r="F1113" s="109">
        <v>466</v>
      </c>
      <c r="G1113" s="109">
        <v>2094</v>
      </c>
      <c r="H1113" s="110">
        <v>2988.9070000000002</v>
      </c>
      <c r="I1113" s="110">
        <v>3008.41</v>
      </c>
      <c r="J1113" s="110">
        <v>3026.3870000000002</v>
      </c>
      <c r="K1113" s="110">
        <v>3031.1950000000002</v>
      </c>
      <c r="L1113" s="110">
        <v>3008.3530000000001</v>
      </c>
      <c r="M1113" s="110">
        <v>2965.614</v>
      </c>
      <c r="N1113" s="110">
        <v>2894.55</v>
      </c>
      <c r="O1113" s="110">
        <v>2799.3150000000001</v>
      </c>
      <c r="P1113" s="110">
        <v>2687.7159999999999</v>
      </c>
      <c r="Q1113" s="110">
        <v>2551.9879999999998</v>
      </c>
      <c r="R1113" s="110">
        <v>2394.0340000000001</v>
      </c>
      <c r="S1113" s="110">
        <v>2195.75</v>
      </c>
      <c r="T1113" s="110">
        <v>1942.8389999999999</v>
      </c>
      <c r="U1113" s="110">
        <v>1631.7929999999999</v>
      </c>
      <c r="V1113" s="110">
        <v>1273.6320000000001</v>
      </c>
      <c r="W1113" s="110">
        <v>895.22699999999998</v>
      </c>
      <c r="X1113" s="110">
        <v>528.88300000000004</v>
      </c>
      <c r="Y1113" s="110">
        <v>229.79400000000001</v>
      </c>
      <c r="Z1113" s="110">
        <v>62.250999999999998</v>
      </c>
      <c r="AA1113" s="110">
        <v>10.683</v>
      </c>
      <c r="AB1113" s="110">
        <v>0.51100000000000001</v>
      </c>
      <c r="AC1113" s="115">
        <f t="shared" si="48"/>
        <v>19938.731</v>
      </c>
      <c r="AD1113">
        <f t="shared" si="49"/>
        <v>1.0041821762838674</v>
      </c>
    </row>
    <row r="1114" spans="1:30" x14ac:dyDescent="0.25">
      <c r="A1114" s="104" t="str">
        <f t="shared" si="50"/>
        <v>Mali2095</v>
      </c>
      <c r="C1114" s="107" t="s">
        <v>257</v>
      </c>
      <c r="D1114" s="108" t="s">
        <v>210</v>
      </c>
      <c r="E1114" s="109"/>
      <c r="F1114" s="109">
        <v>466</v>
      </c>
      <c r="G1114" s="109">
        <v>2095</v>
      </c>
      <c r="H1114" s="110">
        <v>2980.4870000000001</v>
      </c>
      <c r="I1114" s="110">
        <v>3001.2020000000002</v>
      </c>
      <c r="J1114" s="110">
        <v>3021.183</v>
      </c>
      <c r="K1114" s="110">
        <v>3030.087</v>
      </c>
      <c r="L1114" s="110">
        <v>3010.431</v>
      </c>
      <c r="M1114" s="110">
        <v>2971.741</v>
      </c>
      <c r="N1114" s="110">
        <v>2906.2890000000002</v>
      </c>
      <c r="O1114" s="110">
        <v>2814.7489999999998</v>
      </c>
      <c r="P1114" s="110">
        <v>2706.806</v>
      </c>
      <c r="Q1114" s="110">
        <v>2574.2399999999998</v>
      </c>
      <c r="R1114" s="110">
        <v>2420.1889999999999</v>
      </c>
      <c r="S1114" s="110">
        <v>2228.44</v>
      </c>
      <c r="T1114" s="110">
        <v>1982.598</v>
      </c>
      <c r="U1114" s="110">
        <v>1675.559</v>
      </c>
      <c r="V1114" s="110">
        <v>1315.26</v>
      </c>
      <c r="W1114" s="110">
        <v>928.50599999999997</v>
      </c>
      <c r="X1114" s="110">
        <v>549.62900000000002</v>
      </c>
      <c r="Y1114" s="110">
        <v>238.16900000000001</v>
      </c>
      <c r="Z1114" s="110">
        <v>62.076000000000001</v>
      </c>
      <c r="AA1114" s="110">
        <v>8.5389999999999997</v>
      </c>
      <c r="AB1114" s="110">
        <v>0.56299999999999994</v>
      </c>
      <c r="AC1114" s="115">
        <f t="shared" ref="AC1114:AC1177" si="51">SUM(K1114:Q1114)</f>
        <v>20014.343000000001</v>
      </c>
      <c r="AD1114">
        <f t="shared" ref="AD1114:AD1177" si="52">IF(D1114=D1113,AC1114/AC1113,"")</f>
        <v>1.0037922172679896</v>
      </c>
    </row>
    <row r="1115" spans="1:30" x14ac:dyDescent="0.25">
      <c r="A1115" s="104" t="str">
        <f t="shared" si="50"/>
        <v>Mali2096</v>
      </c>
      <c r="C1115" s="107" t="s">
        <v>257</v>
      </c>
      <c r="D1115" s="108" t="s">
        <v>210</v>
      </c>
      <c r="E1115" s="109"/>
      <c r="F1115" s="109">
        <v>466</v>
      </c>
      <c r="G1115" s="109">
        <v>2096</v>
      </c>
      <c r="H1115" s="110">
        <v>2974.6640000000002</v>
      </c>
      <c r="I1115" s="110">
        <v>2996.3539999999998</v>
      </c>
      <c r="J1115" s="110">
        <v>3017.0390000000002</v>
      </c>
      <c r="K1115" s="110">
        <v>3028.5230000000001</v>
      </c>
      <c r="L1115" s="110">
        <v>3013.2449999999999</v>
      </c>
      <c r="M1115" s="110">
        <v>2978.4760000000001</v>
      </c>
      <c r="N1115" s="110">
        <v>2918.596</v>
      </c>
      <c r="O1115" s="110">
        <v>2830.913</v>
      </c>
      <c r="P1115" s="110">
        <v>2725.701</v>
      </c>
      <c r="Q1115" s="110">
        <v>2596.0340000000001</v>
      </c>
      <c r="R1115" s="110">
        <v>2444.3470000000002</v>
      </c>
      <c r="S1115" s="110">
        <v>2257.2080000000001</v>
      </c>
      <c r="T1115" s="110">
        <v>2015.6780000000001</v>
      </c>
      <c r="U1115" s="110">
        <v>1710.2739999999999</v>
      </c>
      <c r="V1115" s="110">
        <v>1346.7560000000001</v>
      </c>
      <c r="W1115" s="110">
        <v>953.22900000000004</v>
      </c>
      <c r="X1115" s="110">
        <v>570.10199999999998</v>
      </c>
      <c r="Y1115" s="110">
        <v>256.68900000000002</v>
      </c>
      <c r="Z1115" s="110">
        <v>73.162000000000006</v>
      </c>
      <c r="AA1115" s="110">
        <v>10.414</v>
      </c>
      <c r="AB1115" s="110">
        <v>0.621</v>
      </c>
      <c r="AC1115" s="115">
        <f t="shared" si="51"/>
        <v>20091.488000000001</v>
      </c>
      <c r="AD1115">
        <f t="shared" si="52"/>
        <v>1.0038544857555405</v>
      </c>
    </row>
    <row r="1116" spans="1:30" x14ac:dyDescent="0.25">
      <c r="A1116" s="104" t="str">
        <f t="shared" si="50"/>
        <v>Mali2097</v>
      </c>
      <c r="C1116" s="107" t="s">
        <v>257</v>
      </c>
      <c r="D1116" s="108" t="s">
        <v>210</v>
      </c>
      <c r="E1116" s="109"/>
      <c r="F1116" s="109">
        <v>466</v>
      </c>
      <c r="G1116" s="109">
        <v>2097</v>
      </c>
      <c r="H1116" s="110">
        <v>2967.2190000000001</v>
      </c>
      <c r="I1116" s="110">
        <v>2990.8939999999998</v>
      </c>
      <c r="J1116" s="110">
        <v>3012.5120000000002</v>
      </c>
      <c r="K1116" s="110">
        <v>3025.7829999999999</v>
      </c>
      <c r="L1116" s="110">
        <v>3015.4059999999999</v>
      </c>
      <c r="M1116" s="110">
        <v>2983.6489999999999</v>
      </c>
      <c r="N1116" s="110">
        <v>2929.4789999999998</v>
      </c>
      <c r="O1116" s="110">
        <v>2846.5279999999998</v>
      </c>
      <c r="P1116" s="110">
        <v>2743.5940000000001</v>
      </c>
      <c r="Q1116" s="110">
        <v>2617.7579999999998</v>
      </c>
      <c r="R1116" s="110">
        <v>2468.0439999999999</v>
      </c>
      <c r="S1116" s="110">
        <v>2285.6799999999998</v>
      </c>
      <c r="T1116" s="110">
        <v>2049.5039999999999</v>
      </c>
      <c r="U1116" s="110">
        <v>1747.0239999999999</v>
      </c>
      <c r="V1116" s="110">
        <v>1381.6279999999999</v>
      </c>
      <c r="W1116" s="110">
        <v>980.33600000000001</v>
      </c>
      <c r="X1116" s="110">
        <v>589.63300000000004</v>
      </c>
      <c r="Y1116" s="110">
        <v>271.52600000000001</v>
      </c>
      <c r="Z1116" s="110">
        <v>81.238</v>
      </c>
      <c r="AA1116" s="110">
        <v>13.488</v>
      </c>
      <c r="AB1116" s="110">
        <v>0.68600000000000005</v>
      </c>
      <c r="AC1116" s="115">
        <f t="shared" si="51"/>
        <v>20162.197</v>
      </c>
      <c r="AD1116">
        <f t="shared" si="52"/>
        <v>1.0035193510804177</v>
      </c>
    </row>
    <row r="1117" spans="1:30" x14ac:dyDescent="0.25">
      <c r="A1117" s="104" t="str">
        <f t="shared" si="50"/>
        <v>Mali2098</v>
      </c>
      <c r="C1117" s="107" t="s">
        <v>257</v>
      </c>
      <c r="D1117" s="108" t="s">
        <v>210</v>
      </c>
      <c r="E1117" s="109"/>
      <c r="F1117" s="109">
        <v>466</v>
      </c>
      <c r="G1117" s="109">
        <v>2098</v>
      </c>
      <c r="H1117" s="110">
        <v>2958.2930000000001</v>
      </c>
      <c r="I1117" s="110">
        <v>2984.6590000000001</v>
      </c>
      <c r="J1117" s="110">
        <v>3007.5050000000001</v>
      </c>
      <c r="K1117" s="110">
        <v>3022.15</v>
      </c>
      <c r="L1117" s="110">
        <v>3016.7460000000001</v>
      </c>
      <c r="M1117" s="110">
        <v>2987.4650000000001</v>
      </c>
      <c r="N1117" s="110">
        <v>2938.864</v>
      </c>
      <c r="O1117" s="110">
        <v>2861.3649999999998</v>
      </c>
      <c r="P1117" s="110">
        <v>2760.5709999999999</v>
      </c>
      <c r="Q1117" s="110">
        <v>2639.1509999999998</v>
      </c>
      <c r="R1117" s="110">
        <v>2491.33</v>
      </c>
      <c r="S1117" s="110">
        <v>2313.6460000000002</v>
      </c>
      <c r="T1117" s="110">
        <v>2083.7339999999999</v>
      </c>
      <c r="U1117" s="110">
        <v>1785.4290000000001</v>
      </c>
      <c r="V1117" s="110">
        <v>1419.712</v>
      </c>
      <c r="W1117" s="110">
        <v>1010.859</v>
      </c>
      <c r="X1117" s="110">
        <v>609.779</v>
      </c>
      <c r="Y1117" s="110">
        <v>282.42200000000003</v>
      </c>
      <c r="Z1117" s="110">
        <v>87.106999999999999</v>
      </c>
      <c r="AA1117" s="110">
        <v>15.923999999999999</v>
      </c>
      <c r="AB1117" s="110">
        <v>0.75800000000000001</v>
      </c>
      <c r="AC1117" s="115">
        <f t="shared" si="51"/>
        <v>20226.311999999998</v>
      </c>
      <c r="AD1117">
        <f t="shared" si="52"/>
        <v>1.0031799609933381</v>
      </c>
    </row>
    <row r="1118" spans="1:30" x14ac:dyDescent="0.25">
      <c r="A1118" s="104" t="str">
        <f t="shared" si="50"/>
        <v>Mali2099</v>
      </c>
      <c r="C1118" s="107" t="s">
        <v>257</v>
      </c>
      <c r="D1118" s="108" t="s">
        <v>210</v>
      </c>
      <c r="E1118" s="109"/>
      <c r="F1118" s="109">
        <v>466</v>
      </c>
      <c r="G1118" s="109">
        <v>2099</v>
      </c>
      <c r="H1118" s="110">
        <v>2948.0079999999998</v>
      </c>
      <c r="I1118" s="110">
        <v>2977.4279999999999</v>
      </c>
      <c r="J1118" s="110">
        <v>3001.9119999999998</v>
      </c>
      <c r="K1118" s="110">
        <v>3017.9720000000002</v>
      </c>
      <c r="L1118" s="110">
        <v>3016.942</v>
      </c>
      <c r="M1118" s="110">
        <v>2990.2689999999998</v>
      </c>
      <c r="N1118" s="110">
        <v>2946.7379999999998</v>
      </c>
      <c r="O1118" s="110">
        <v>2875.0450000000001</v>
      </c>
      <c r="P1118" s="110">
        <v>2776.877</v>
      </c>
      <c r="Q1118" s="110">
        <v>2659.8110000000001</v>
      </c>
      <c r="R1118" s="110">
        <v>2514.337</v>
      </c>
      <c r="S1118" s="110">
        <v>2341.069</v>
      </c>
      <c r="T1118" s="110">
        <v>2118.0369999999998</v>
      </c>
      <c r="U1118" s="110">
        <v>1825.154</v>
      </c>
      <c r="V1118" s="110">
        <v>1460.684</v>
      </c>
      <c r="W1118" s="110">
        <v>1045.297</v>
      </c>
      <c r="X1118" s="110">
        <v>631.63499999999999</v>
      </c>
      <c r="Y1118" s="110">
        <v>291.77499999999998</v>
      </c>
      <c r="Z1118" s="110">
        <v>89.516000000000005</v>
      </c>
      <c r="AA1118" s="110">
        <v>16.259</v>
      </c>
      <c r="AB1118" s="110">
        <v>0.83699999999999997</v>
      </c>
      <c r="AC1118" s="115">
        <f t="shared" si="51"/>
        <v>20283.654000000002</v>
      </c>
      <c r="AD1118">
        <f t="shared" si="52"/>
        <v>1.0028350200471545</v>
      </c>
    </row>
    <row r="1119" spans="1:30" x14ac:dyDescent="0.25">
      <c r="A1119" s="104" t="str">
        <f t="shared" si="50"/>
        <v>Mali2100</v>
      </c>
      <c r="C1119" s="107" t="s">
        <v>257</v>
      </c>
      <c r="D1119" s="108" t="s">
        <v>210</v>
      </c>
      <c r="E1119" s="109"/>
      <c r="F1119" s="109">
        <v>466</v>
      </c>
      <c r="G1119" s="109">
        <v>2100</v>
      </c>
      <c r="H1119" s="110">
        <v>2936.7449999999999</v>
      </c>
      <c r="I1119" s="110">
        <v>2968.9110000000001</v>
      </c>
      <c r="J1119" s="110">
        <v>2995.616</v>
      </c>
      <c r="K1119" s="110">
        <v>3013.3879999999999</v>
      </c>
      <c r="L1119" s="110">
        <v>3015.8310000000001</v>
      </c>
      <c r="M1119" s="110">
        <v>2992.3209999999999</v>
      </c>
      <c r="N1119" s="110">
        <v>2953.107</v>
      </c>
      <c r="O1119" s="110">
        <v>2887.2579999999998</v>
      </c>
      <c r="P1119" s="110">
        <v>2792.6509999999998</v>
      </c>
      <c r="Q1119" s="110">
        <v>2679.4349999999999</v>
      </c>
      <c r="R1119" s="110">
        <v>2537.1109999999999</v>
      </c>
      <c r="S1119" s="110">
        <v>2367.9499999999998</v>
      </c>
      <c r="T1119" s="110">
        <v>2152.0659999999998</v>
      </c>
      <c r="U1119" s="110">
        <v>1865.8510000000001</v>
      </c>
      <c r="V1119" s="110">
        <v>1504.1590000000001</v>
      </c>
      <c r="W1119" s="110">
        <v>1083.673</v>
      </c>
      <c r="X1119" s="110">
        <v>656.08</v>
      </c>
      <c r="Y1119" s="110">
        <v>300.67399999999998</v>
      </c>
      <c r="Z1119" s="110">
        <v>88.885000000000005</v>
      </c>
      <c r="AA1119" s="110">
        <v>13.407999999999999</v>
      </c>
      <c r="AB1119" s="110">
        <v>0.92500000000000004</v>
      </c>
      <c r="AC1119" s="115">
        <f t="shared" si="51"/>
        <v>20333.991000000002</v>
      </c>
      <c r="AD1119">
        <f t="shared" si="52"/>
        <v>1.0024816534535641</v>
      </c>
    </row>
    <row r="1120" spans="1:30" x14ac:dyDescent="0.25">
      <c r="A1120" s="104" t="str">
        <f t="shared" si="50"/>
        <v>Malawi2015</v>
      </c>
      <c r="C1120" s="107" t="s">
        <v>257</v>
      </c>
      <c r="D1120" s="108" t="s">
        <v>142</v>
      </c>
      <c r="E1120" s="109"/>
      <c r="F1120" s="109">
        <v>454</v>
      </c>
      <c r="G1120" s="109">
        <v>2015</v>
      </c>
      <c r="H1120" s="110">
        <v>1428.1389999999999</v>
      </c>
      <c r="I1120" s="110">
        <v>1329.6030000000001</v>
      </c>
      <c r="J1120" s="110">
        <v>1137.7139999999999</v>
      </c>
      <c r="K1120" s="110">
        <v>989.65700000000004</v>
      </c>
      <c r="L1120" s="110">
        <v>854.48099999999999</v>
      </c>
      <c r="M1120" s="110">
        <v>725.04399999999998</v>
      </c>
      <c r="N1120" s="110">
        <v>559.30700000000002</v>
      </c>
      <c r="O1120" s="110">
        <v>445.69</v>
      </c>
      <c r="P1120" s="110">
        <v>337.22899999999998</v>
      </c>
      <c r="Q1120" s="110">
        <v>258.68599999999998</v>
      </c>
      <c r="R1120" s="110">
        <v>204.17099999999999</v>
      </c>
      <c r="S1120" s="110">
        <v>165.62700000000001</v>
      </c>
      <c r="T1120" s="110">
        <v>133.27099999999999</v>
      </c>
      <c r="U1120" s="110">
        <v>122.129</v>
      </c>
      <c r="V1120" s="110">
        <v>88.676000000000002</v>
      </c>
      <c r="W1120" s="110">
        <v>54.444000000000003</v>
      </c>
      <c r="X1120" s="110">
        <v>26.393000000000001</v>
      </c>
      <c r="Y1120" s="110">
        <v>9.1679999999999993</v>
      </c>
      <c r="Z1120" s="110">
        <v>1.847</v>
      </c>
      <c r="AA1120" s="110">
        <v>0.189</v>
      </c>
      <c r="AB1120" s="110">
        <v>8.0000000000000002E-3</v>
      </c>
      <c r="AC1120" s="115">
        <f t="shared" si="51"/>
        <v>4170.0939999999991</v>
      </c>
      <c r="AD1120" t="str">
        <f t="shared" si="52"/>
        <v/>
      </c>
    </row>
    <row r="1121" spans="1:30" x14ac:dyDescent="0.25">
      <c r="A1121" s="104" t="str">
        <f t="shared" si="50"/>
        <v>Malawi2016</v>
      </c>
      <c r="C1121" s="107" t="s">
        <v>257</v>
      </c>
      <c r="D1121" s="108" t="s">
        <v>142</v>
      </c>
      <c r="E1121" s="109"/>
      <c r="F1121" s="109">
        <v>454</v>
      </c>
      <c r="G1121" s="109">
        <v>2016</v>
      </c>
      <c r="H1121" s="110">
        <v>1437.6089999999999</v>
      </c>
      <c r="I1121" s="110">
        <v>1360.633</v>
      </c>
      <c r="J1121" s="110">
        <v>1175.5440000000001</v>
      </c>
      <c r="K1121" s="110">
        <v>1017.029</v>
      </c>
      <c r="L1121" s="110">
        <v>879.35400000000004</v>
      </c>
      <c r="M1121" s="110">
        <v>752.38</v>
      </c>
      <c r="N1121" s="110">
        <v>587.22500000000002</v>
      </c>
      <c r="O1121" s="110">
        <v>464.303</v>
      </c>
      <c r="P1121" s="110">
        <v>354.56700000000001</v>
      </c>
      <c r="Q1121" s="110">
        <v>270.279</v>
      </c>
      <c r="R1121" s="110">
        <v>211.88200000000001</v>
      </c>
      <c r="S1121" s="110">
        <v>171.274</v>
      </c>
      <c r="T1121" s="110">
        <v>136.077</v>
      </c>
      <c r="U1121" s="110">
        <v>122.824</v>
      </c>
      <c r="V1121" s="110">
        <v>92.444000000000003</v>
      </c>
      <c r="W1121" s="110">
        <v>56.981000000000002</v>
      </c>
      <c r="X1121" s="110">
        <v>27.998000000000001</v>
      </c>
      <c r="Y1121" s="110">
        <v>10.085000000000001</v>
      </c>
      <c r="Z1121" s="110">
        <v>2.2450000000000001</v>
      </c>
      <c r="AA1121" s="110">
        <v>0.23799999999999999</v>
      </c>
      <c r="AB1121" s="110">
        <v>8.9999999999999993E-3</v>
      </c>
      <c r="AC1121" s="115">
        <f t="shared" si="51"/>
        <v>4325.1369999999997</v>
      </c>
      <c r="AD1121">
        <f t="shared" si="52"/>
        <v>1.0371797374351754</v>
      </c>
    </row>
    <row r="1122" spans="1:30" x14ac:dyDescent="0.25">
      <c r="A1122" s="104" t="str">
        <f t="shared" si="50"/>
        <v>Malawi2017</v>
      </c>
      <c r="C1122" s="107" t="s">
        <v>257</v>
      </c>
      <c r="D1122" s="108" t="s">
        <v>142</v>
      </c>
      <c r="E1122" s="109"/>
      <c r="F1122" s="109">
        <v>454</v>
      </c>
      <c r="G1122" s="109">
        <v>2017</v>
      </c>
      <c r="H1122" s="110">
        <v>1466.17</v>
      </c>
      <c r="I1122" s="110">
        <v>1380.8520000000001</v>
      </c>
      <c r="J1122" s="110">
        <v>1215.144</v>
      </c>
      <c r="K1122" s="110">
        <v>1042.69</v>
      </c>
      <c r="L1122" s="110">
        <v>903.82</v>
      </c>
      <c r="M1122" s="110">
        <v>775.928</v>
      </c>
      <c r="N1122" s="110">
        <v>617.88599999999997</v>
      </c>
      <c r="O1122" s="110">
        <v>481.36399999999998</v>
      </c>
      <c r="P1122" s="110">
        <v>372.67700000000002</v>
      </c>
      <c r="Q1122" s="110">
        <v>282.10500000000002</v>
      </c>
      <c r="R1122" s="110">
        <v>219.85900000000001</v>
      </c>
      <c r="S1122" s="110">
        <v>176.67500000000001</v>
      </c>
      <c r="T1122" s="110">
        <v>140.298</v>
      </c>
      <c r="U1122" s="110">
        <v>122.211</v>
      </c>
      <c r="V1122" s="110">
        <v>96.614999999999995</v>
      </c>
      <c r="W1122" s="110">
        <v>59.564999999999998</v>
      </c>
      <c r="X1122" s="110">
        <v>29.498999999999999</v>
      </c>
      <c r="Y1122" s="110">
        <v>10.721</v>
      </c>
      <c r="Z1122" s="110">
        <v>2.536</v>
      </c>
      <c r="AA1122" s="110">
        <v>0.32800000000000001</v>
      </c>
      <c r="AB1122" s="110">
        <v>0.01</v>
      </c>
      <c r="AC1122" s="115">
        <f t="shared" si="51"/>
        <v>4476.4699999999993</v>
      </c>
      <c r="AD1122">
        <f t="shared" si="52"/>
        <v>1.0349891806895364</v>
      </c>
    </row>
    <row r="1123" spans="1:30" x14ac:dyDescent="0.25">
      <c r="A1123" s="104" t="str">
        <f t="shared" si="50"/>
        <v>Malawi2018</v>
      </c>
      <c r="C1123" s="107" t="s">
        <v>257</v>
      </c>
      <c r="D1123" s="108" t="s">
        <v>142</v>
      </c>
      <c r="E1123" s="109"/>
      <c r="F1123" s="109">
        <v>454</v>
      </c>
      <c r="G1123" s="109">
        <v>2018</v>
      </c>
      <c r="H1123" s="110">
        <v>1508.0329999999999</v>
      </c>
      <c r="I1123" s="110">
        <v>1391.5150000000001</v>
      </c>
      <c r="J1123" s="110">
        <v>1255.645</v>
      </c>
      <c r="K1123" s="110">
        <v>1068.5550000000001</v>
      </c>
      <c r="L1123" s="110">
        <v>928.40599999999995</v>
      </c>
      <c r="M1123" s="110">
        <v>797.19</v>
      </c>
      <c r="N1123" s="110">
        <v>649.92700000000002</v>
      </c>
      <c r="O1123" s="110">
        <v>498.59300000000002</v>
      </c>
      <c r="P1123" s="110">
        <v>391.18099999999998</v>
      </c>
      <c r="Q1123" s="110">
        <v>294.52100000000002</v>
      </c>
      <c r="R1123" s="110">
        <v>228.29499999999999</v>
      </c>
      <c r="S1123" s="110">
        <v>182.1</v>
      </c>
      <c r="T1123" s="110">
        <v>145.50200000000001</v>
      </c>
      <c r="U1123" s="110">
        <v>121.22799999999999</v>
      </c>
      <c r="V1123" s="110">
        <v>100.779</v>
      </c>
      <c r="W1123" s="110">
        <v>62.390999999999998</v>
      </c>
      <c r="X1123" s="110">
        <v>30.981999999999999</v>
      </c>
      <c r="Y1123" s="110">
        <v>11.086</v>
      </c>
      <c r="Z1123" s="110">
        <v>2.7090000000000001</v>
      </c>
      <c r="AA1123" s="110">
        <v>0.39300000000000002</v>
      </c>
      <c r="AB1123" s="110">
        <v>0.01</v>
      </c>
      <c r="AC1123" s="115">
        <f t="shared" si="51"/>
        <v>4628.3729999999996</v>
      </c>
      <c r="AD1123">
        <f t="shared" si="52"/>
        <v>1.0339336575471298</v>
      </c>
    </row>
    <row r="1124" spans="1:30" x14ac:dyDescent="0.25">
      <c r="A1124" s="104" t="str">
        <f t="shared" si="50"/>
        <v>Malawi2019</v>
      </c>
      <c r="C1124" s="107" t="s">
        <v>257</v>
      </c>
      <c r="D1124" s="108" t="s">
        <v>142</v>
      </c>
      <c r="E1124" s="109"/>
      <c r="F1124" s="109">
        <v>454</v>
      </c>
      <c r="G1124" s="109">
        <v>2019</v>
      </c>
      <c r="H1124" s="110">
        <v>1552.04</v>
      </c>
      <c r="I1124" s="110">
        <v>1398.7650000000001</v>
      </c>
      <c r="J1124" s="110">
        <v>1293.549</v>
      </c>
      <c r="K1124" s="110">
        <v>1097.6400000000001</v>
      </c>
      <c r="L1124" s="110">
        <v>953.76199999999994</v>
      </c>
      <c r="M1124" s="110">
        <v>818.74099999999999</v>
      </c>
      <c r="N1124" s="110">
        <v>681.23599999999999</v>
      </c>
      <c r="O1124" s="110">
        <v>518.59</v>
      </c>
      <c r="P1124" s="110">
        <v>409.637</v>
      </c>
      <c r="Q1124" s="110">
        <v>308.07799999999997</v>
      </c>
      <c r="R1124" s="110">
        <v>237.47499999999999</v>
      </c>
      <c r="S1124" s="110">
        <v>188.01400000000001</v>
      </c>
      <c r="T1124" s="110">
        <v>151.036</v>
      </c>
      <c r="U1124" s="110">
        <v>121.249</v>
      </c>
      <c r="V1124" s="110">
        <v>104.29900000000001</v>
      </c>
      <c r="W1124" s="110">
        <v>65.656999999999996</v>
      </c>
      <c r="X1124" s="110">
        <v>32.572000000000003</v>
      </c>
      <c r="Y1124" s="110">
        <v>11.321</v>
      </c>
      <c r="Z1124" s="110">
        <v>2.6629999999999998</v>
      </c>
      <c r="AA1124" s="110">
        <v>0.377</v>
      </c>
      <c r="AB1124" s="110">
        <v>1.0999999999999999E-2</v>
      </c>
      <c r="AC1124" s="115">
        <f t="shared" si="51"/>
        <v>4787.6839999999993</v>
      </c>
      <c r="AD1124">
        <f t="shared" si="52"/>
        <v>1.0344205188302671</v>
      </c>
    </row>
    <row r="1125" spans="1:30" x14ac:dyDescent="0.25">
      <c r="A1125" s="104" t="str">
        <f t="shared" si="50"/>
        <v>Malawi2020</v>
      </c>
      <c r="C1125" s="107" t="s">
        <v>257</v>
      </c>
      <c r="D1125" s="108" t="s">
        <v>142</v>
      </c>
      <c r="E1125" s="109"/>
      <c r="F1125" s="109">
        <v>454</v>
      </c>
      <c r="G1125" s="109">
        <v>2020</v>
      </c>
      <c r="H1125" s="110">
        <v>1590.4480000000001</v>
      </c>
      <c r="I1125" s="110">
        <v>1410.9480000000001</v>
      </c>
      <c r="J1125" s="110">
        <v>1324.3810000000001</v>
      </c>
      <c r="K1125" s="110">
        <v>1131.319</v>
      </c>
      <c r="L1125" s="110">
        <v>980.11900000000003</v>
      </c>
      <c r="M1125" s="110">
        <v>842.03</v>
      </c>
      <c r="N1125" s="110">
        <v>710.36599999999999</v>
      </c>
      <c r="O1125" s="110">
        <v>542.68499999999995</v>
      </c>
      <c r="P1125" s="110">
        <v>427.85199999999998</v>
      </c>
      <c r="Q1125" s="110">
        <v>323.00099999999998</v>
      </c>
      <c r="R1125" s="110">
        <v>247.52199999999999</v>
      </c>
      <c r="S1125" s="110">
        <v>194.65899999999999</v>
      </c>
      <c r="T1125" s="110">
        <v>156.49299999999999</v>
      </c>
      <c r="U1125" s="110">
        <v>123.005</v>
      </c>
      <c r="V1125" s="110">
        <v>106.827</v>
      </c>
      <c r="W1125" s="110">
        <v>69.414000000000001</v>
      </c>
      <c r="X1125" s="110">
        <v>34.396000000000001</v>
      </c>
      <c r="Y1125" s="110">
        <v>11.523999999999999</v>
      </c>
      <c r="Z1125" s="110">
        <v>2.3359999999999999</v>
      </c>
      <c r="AA1125" s="110">
        <v>0.24</v>
      </c>
      <c r="AB1125" s="110">
        <v>1.2E-2</v>
      </c>
      <c r="AC1125" s="115">
        <f t="shared" si="51"/>
        <v>4957.3720000000003</v>
      </c>
      <c r="AD1125">
        <f t="shared" si="52"/>
        <v>1.0354426064878135</v>
      </c>
    </row>
    <row r="1126" spans="1:30" x14ac:dyDescent="0.25">
      <c r="A1126" s="104" t="str">
        <f t="shared" si="50"/>
        <v>Malawi2021</v>
      </c>
      <c r="C1126" s="107" t="s">
        <v>257</v>
      </c>
      <c r="D1126" s="108" t="s">
        <v>142</v>
      </c>
      <c r="E1126" s="109"/>
      <c r="F1126" s="109">
        <v>454</v>
      </c>
      <c r="G1126" s="109">
        <v>2021</v>
      </c>
      <c r="H1126" s="110">
        <v>1637.777</v>
      </c>
      <c r="I1126" s="110">
        <v>1431.3989999999999</v>
      </c>
      <c r="J1126" s="110">
        <v>1345.6020000000001</v>
      </c>
      <c r="K1126" s="110">
        <v>1166.4860000000001</v>
      </c>
      <c r="L1126" s="110">
        <v>1004.823</v>
      </c>
      <c r="M1126" s="110">
        <v>864.77599999999995</v>
      </c>
      <c r="N1126" s="110">
        <v>735.84100000000001</v>
      </c>
      <c r="O1126" s="110">
        <v>569.23099999999999</v>
      </c>
      <c r="P1126" s="110">
        <v>445.44299999999998</v>
      </c>
      <c r="Q1126" s="110">
        <v>338.767</v>
      </c>
      <c r="R1126" s="110">
        <v>257.79300000000001</v>
      </c>
      <c r="S1126" s="110">
        <v>201.34399999999999</v>
      </c>
      <c r="T1126" s="110">
        <v>161.226</v>
      </c>
      <c r="U1126" s="110">
        <v>125.202</v>
      </c>
      <c r="V1126" s="110">
        <v>106.962</v>
      </c>
      <c r="W1126" s="110">
        <v>72.350999999999999</v>
      </c>
      <c r="X1126" s="110">
        <v>36.445</v>
      </c>
      <c r="Y1126" s="110">
        <v>12.829000000000001</v>
      </c>
      <c r="Z1126" s="110">
        <v>2.8079999999999998</v>
      </c>
      <c r="AA1126" s="110">
        <v>0.30099999999999999</v>
      </c>
      <c r="AB1126" s="110">
        <v>1.2999999999999999E-2</v>
      </c>
      <c r="AC1126" s="115">
        <f t="shared" si="51"/>
        <v>5125.3670000000002</v>
      </c>
      <c r="AD1126">
        <f t="shared" si="52"/>
        <v>1.0338879148064741</v>
      </c>
    </row>
    <row r="1127" spans="1:30" x14ac:dyDescent="0.25">
      <c r="A1127" s="104" t="str">
        <f t="shared" si="50"/>
        <v>Malawi2022</v>
      </c>
      <c r="C1127" s="107" t="s">
        <v>257</v>
      </c>
      <c r="D1127" s="108" t="s">
        <v>142</v>
      </c>
      <c r="E1127" s="109"/>
      <c r="F1127" s="109">
        <v>454</v>
      </c>
      <c r="G1127" s="109">
        <v>2022</v>
      </c>
      <c r="H1127" s="110">
        <v>1671.806</v>
      </c>
      <c r="I1127" s="110">
        <v>1460.4069999999999</v>
      </c>
      <c r="J1127" s="110">
        <v>1361.336</v>
      </c>
      <c r="K1127" s="110">
        <v>1207.287</v>
      </c>
      <c r="L1127" s="110">
        <v>1030.452</v>
      </c>
      <c r="M1127" s="110">
        <v>889.35599999999999</v>
      </c>
      <c r="N1127" s="110">
        <v>759.53800000000001</v>
      </c>
      <c r="O1127" s="110">
        <v>599.93600000000004</v>
      </c>
      <c r="P1127" s="110">
        <v>462.76</v>
      </c>
      <c r="Q1127" s="110">
        <v>356.315</v>
      </c>
      <c r="R1127" s="110">
        <v>269.03300000000002</v>
      </c>
      <c r="S1127" s="110">
        <v>208.851</v>
      </c>
      <c r="T1127" s="110">
        <v>166.23599999999999</v>
      </c>
      <c r="U1127" s="110">
        <v>129.09</v>
      </c>
      <c r="V1127" s="110">
        <v>106.352</v>
      </c>
      <c r="W1127" s="110">
        <v>75.805999999999997</v>
      </c>
      <c r="X1127" s="110">
        <v>38.381999999999998</v>
      </c>
      <c r="Y1127" s="110">
        <v>13.837</v>
      </c>
      <c r="Z1127" s="110">
        <v>3.1520000000000001</v>
      </c>
      <c r="AA1127" s="110">
        <v>0.41599999999999998</v>
      </c>
      <c r="AB1127" s="110">
        <v>1.4E-2</v>
      </c>
      <c r="AC1127" s="115">
        <f t="shared" si="51"/>
        <v>5305.6440000000002</v>
      </c>
      <c r="AD1127">
        <f t="shared" si="52"/>
        <v>1.0351734812355877</v>
      </c>
    </row>
    <row r="1128" spans="1:30" x14ac:dyDescent="0.25">
      <c r="A1128" s="104" t="str">
        <f t="shared" si="50"/>
        <v>Malawi2023</v>
      </c>
      <c r="C1128" s="107" t="s">
        <v>257</v>
      </c>
      <c r="D1128" s="108" t="s">
        <v>142</v>
      </c>
      <c r="E1128" s="109"/>
      <c r="F1128" s="109">
        <v>454</v>
      </c>
      <c r="G1128" s="109">
        <v>2023</v>
      </c>
      <c r="H1128" s="110">
        <v>1696.1590000000001</v>
      </c>
      <c r="I1128" s="110">
        <v>1497.241</v>
      </c>
      <c r="J1128" s="110">
        <v>1373.5930000000001</v>
      </c>
      <c r="K1128" s="110">
        <v>1249.846</v>
      </c>
      <c r="L1128" s="110">
        <v>1057.7829999999999</v>
      </c>
      <c r="M1128" s="110">
        <v>915.23800000000006</v>
      </c>
      <c r="N1128" s="110">
        <v>782.10299999999995</v>
      </c>
      <c r="O1128" s="110">
        <v>632.90200000000004</v>
      </c>
      <c r="P1128" s="110">
        <v>480.83699999999999</v>
      </c>
      <c r="Q1128" s="110">
        <v>374.98700000000002</v>
      </c>
      <c r="R1128" s="110">
        <v>281.31</v>
      </c>
      <c r="S1128" s="110">
        <v>217.125</v>
      </c>
      <c r="T1128" s="110">
        <v>171.59</v>
      </c>
      <c r="U1128" s="110">
        <v>134.10300000000001</v>
      </c>
      <c r="V1128" s="110">
        <v>105.755</v>
      </c>
      <c r="W1128" s="110">
        <v>79.418000000000006</v>
      </c>
      <c r="X1128" s="110">
        <v>40.328000000000003</v>
      </c>
      <c r="Y1128" s="110">
        <v>14.513</v>
      </c>
      <c r="Z1128" s="110">
        <v>3.379</v>
      </c>
      <c r="AA1128" s="110">
        <v>0.501</v>
      </c>
      <c r="AB1128" s="110">
        <v>1.4E-2</v>
      </c>
      <c r="AC1128" s="115">
        <f t="shared" si="51"/>
        <v>5493.6960000000008</v>
      </c>
      <c r="AD1128">
        <f t="shared" si="52"/>
        <v>1.0354437651678101</v>
      </c>
    </row>
    <row r="1129" spans="1:30" x14ac:dyDescent="0.25">
      <c r="A1129" s="104" t="str">
        <f t="shared" si="50"/>
        <v>Malawi2024</v>
      </c>
      <c r="C1129" s="107" t="s">
        <v>257</v>
      </c>
      <c r="D1129" s="108" t="s">
        <v>142</v>
      </c>
      <c r="E1129" s="109"/>
      <c r="F1129" s="109">
        <v>454</v>
      </c>
      <c r="G1129" s="109">
        <v>2024</v>
      </c>
      <c r="H1129" s="110">
        <v>1718.7260000000001</v>
      </c>
      <c r="I1129" s="110">
        <v>1537.3630000000001</v>
      </c>
      <c r="J1129" s="110">
        <v>1387.23</v>
      </c>
      <c r="K1129" s="110">
        <v>1288.01</v>
      </c>
      <c r="L1129" s="110">
        <v>1087.9749999999999</v>
      </c>
      <c r="M1129" s="110">
        <v>941.44799999999998</v>
      </c>
      <c r="N1129" s="110">
        <v>804.66700000000003</v>
      </c>
      <c r="O1129" s="110">
        <v>664.952</v>
      </c>
      <c r="P1129" s="110">
        <v>501.334</v>
      </c>
      <c r="Q1129" s="110">
        <v>393.69299999999998</v>
      </c>
      <c r="R1129" s="110">
        <v>294.685</v>
      </c>
      <c r="S1129" s="110">
        <v>226.05600000000001</v>
      </c>
      <c r="T1129" s="110">
        <v>177.392</v>
      </c>
      <c r="U1129" s="110">
        <v>139.43100000000001</v>
      </c>
      <c r="V1129" s="110">
        <v>106.19799999999999</v>
      </c>
      <c r="W1129" s="110">
        <v>82.504000000000005</v>
      </c>
      <c r="X1129" s="110">
        <v>42.427999999999997</v>
      </c>
      <c r="Y1129" s="110">
        <v>15.021000000000001</v>
      </c>
      <c r="Z1129" s="110">
        <v>3.367</v>
      </c>
      <c r="AA1129" s="110">
        <v>0.48599999999999999</v>
      </c>
      <c r="AB1129" s="110">
        <v>1.4999999999999999E-2</v>
      </c>
      <c r="AC1129" s="115">
        <f t="shared" si="51"/>
        <v>5682.0789999999997</v>
      </c>
      <c r="AD1129">
        <f t="shared" si="52"/>
        <v>1.0342907579887928</v>
      </c>
    </row>
    <row r="1130" spans="1:30" x14ac:dyDescent="0.25">
      <c r="A1130" s="104" t="str">
        <f t="shared" si="50"/>
        <v>Malawi2025</v>
      </c>
      <c r="C1130" s="107" t="s">
        <v>257</v>
      </c>
      <c r="D1130" s="108" t="s">
        <v>142</v>
      </c>
      <c r="E1130" s="109"/>
      <c r="F1130" s="109">
        <v>454</v>
      </c>
      <c r="G1130" s="109">
        <v>2025</v>
      </c>
      <c r="H1130" s="110">
        <v>1745.404</v>
      </c>
      <c r="I1130" s="110">
        <v>1574.2539999999999</v>
      </c>
      <c r="J1130" s="110">
        <v>1406.9079999999999</v>
      </c>
      <c r="K1130" s="110">
        <v>1318.346</v>
      </c>
      <c r="L1130" s="110">
        <v>1121.682</v>
      </c>
      <c r="M1130" s="110">
        <v>967.64</v>
      </c>
      <c r="N1130" s="110">
        <v>828.072</v>
      </c>
      <c r="O1130" s="110">
        <v>694.16700000000003</v>
      </c>
      <c r="P1130" s="110">
        <v>525.28</v>
      </c>
      <c r="Q1130" s="110">
        <v>411.863</v>
      </c>
      <c r="R1130" s="110">
        <v>309.2</v>
      </c>
      <c r="S1130" s="110">
        <v>235.626</v>
      </c>
      <c r="T1130" s="110">
        <v>183.738</v>
      </c>
      <c r="U1130" s="110">
        <v>144.64400000000001</v>
      </c>
      <c r="V1130" s="110">
        <v>108.215</v>
      </c>
      <c r="W1130" s="110">
        <v>84.727999999999994</v>
      </c>
      <c r="X1130" s="110">
        <v>44.817999999999998</v>
      </c>
      <c r="Y1130" s="110">
        <v>15.476000000000001</v>
      </c>
      <c r="Z1130" s="110">
        <v>3.0459999999999998</v>
      </c>
      <c r="AA1130" s="110">
        <v>0.314</v>
      </c>
      <c r="AB1130" s="110">
        <v>1.6E-2</v>
      </c>
      <c r="AC1130" s="115">
        <f t="shared" si="51"/>
        <v>5867.05</v>
      </c>
      <c r="AD1130">
        <f t="shared" si="52"/>
        <v>1.03255340166865</v>
      </c>
    </row>
    <row r="1131" spans="1:30" x14ac:dyDescent="0.25">
      <c r="A1131" s="104" t="str">
        <f t="shared" si="50"/>
        <v>Malawi2026</v>
      </c>
      <c r="C1131" s="107" t="s">
        <v>257</v>
      </c>
      <c r="D1131" s="108" t="s">
        <v>142</v>
      </c>
      <c r="E1131" s="109"/>
      <c r="F1131" s="109">
        <v>454</v>
      </c>
      <c r="G1131" s="109">
        <v>2026</v>
      </c>
      <c r="H1131" s="110">
        <v>1771.92</v>
      </c>
      <c r="I1131" s="110">
        <v>1609.568</v>
      </c>
      <c r="J1131" s="110">
        <v>1432.596</v>
      </c>
      <c r="K1131" s="110">
        <v>1341.405</v>
      </c>
      <c r="L1131" s="110">
        <v>1158.8920000000001</v>
      </c>
      <c r="M1131" s="110">
        <v>994.25300000000004</v>
      </c>
      <c r="N1131" s="110">
        <v>852.49199999999996</v>
      </c>
      <c r="O1131" s="110">
        <v>721.24900000000002</v>
      </c>
      <c r="P1131" s="110">
        <v>553.26499999999999</v>
      </c>
      <c r="Q1131" s="110">
        <v>430.11700000000002</v>
      </c>
      <c r="R1131" s="110">
        <v>325.13</v>
      </c>
      <c r="S1131" s="110">
        <v>245.83799999999999</v>
      </c>
      <c r="T1131" s="110">
        <v>190.23500000000001</v>
      </c>
      <c r="U1131" s="110">
        <v>149.05699999999999</v>
      </c>
      <c r="V1131" s="110">
        <v>110.331</v>
      </c>
      <c r="W1131" s="110">
        <v>84.893000000000001</v>
      </c>
      <c r="X1131" s="110">
        <v>47.511000000000003</v>
      </c>
      <c r="Y1131" s="110">
        <v>17.257999999999999</v>
      </c>
      <c r="Z1131" s="110">
        <v>3.7250000000000001</v>
      </c>
      <c r="AA1131" s="110">
        <v>0.39500000000000002</v>
      </c>
      <c r="AB1131" s="110">
        <v>1.7000000000000001E-2</v>
      </c>
      <c r="AC1131" s="115">
        <f t="shared" si="51"/>
        <v>6051.6730000000007</v>
      </c>
      <c r="AD1131">
        <f t="shared" si="52"/>
        <v>1.0314677734125328</v>
      </c>
    </row>
    <row r="1132" spans="1:30" x14ac:dyDescent="0.25">
      <c r="A1132" s="104" t="str">
        <f t="shared" si="50"/>
        <v>Malawi2027</v>
      </c>
      <c r="C1132" s="107" t="s">
        <v>257</v>
      </c>
      <c r="D1132" s="108" t="s">
        <v>142</v>
      </c>
      <c r="E1132" s="109"/>
      <c r="F1132" s="109">
        <v>454</v>
      </c>
      <c r="G1132" s="109">
        <v>2027</v>
      </c>
      <c r="H1132" s="110">
        <v>1800.3150000000001</v>
      </c>
      <c r="I1132" s="110">
        <v>1642.8130000000001</v>
      </c>
      <c r="J1132" s="110">
        <v>1464.0170000000001</v>
      </c>
      <c r="K1132" s="110">
        <v>1356.694</v>
      </c>
      <c r="L1132" s="110">
        <v>1200.252</v>
      </c>
      <c r="M1132" s="110">
        <v>1020.564</v>
      </c>
      <c r="N1132" s="110">
        <v>877.678</v>
      </c>
      <c r="O1132" s="110">
        <v>745.69299999999998</v>
      </c>
      <c r="P1132" s="110">
        <v>584.71299999999997</v>
      </c>
      <c r="Q1132" s="110">
        <v>447.77600000000001</v>
      </c>
      <c r="R1132" s="110">
        <v>342.55599999999998</v>
      </c>
      <c r="S1132" s="110">
        <v>256.78699999999998</v>
      </c>
      <c r="T1132" s="110">
        <v>197.398</v>
      </c>
      <c r="U1132" s="110">
        <v>153.70500000000001</v>
      </c>
      <c r="V1132" s="110">
        <v>113.831</v>
      </c>
      <c r="W1132" s="110">
        <v>84.361000000000004</v>
      </c>
      <c r="X1132" s="110">
        <v>50.307000000000002</v>
      </c>
      <c r="Y1132" s="110">
        <v>18.59</v>
      </c>
      <c r="Z1132" s="110">
        <v>4.2320000000000002</v>
      </c>
      <c r="AA1132" s="110">
        <v>0.54400000000000004</v>
      </c>
      <c r="AB1132" s="110">
        <v>1.7999999999999999E-2</v>
      </c>
      <c r="AC1132" s="115">
        <f t="shared" si="51"/>
        <v>6233.37</v>
      </c>
      <c r="AD1132">
        <f t="shared" si="52"/>
        <v>1.0300242594072746</v>
      </c>
    </row>
    <row r="1133" spans="1:30" x14ac:dyDescent="0.25">
      <c r="A1133" s="104" t="str">
        <f t="shared" si="50"/>
        <v>Malawi2028</v>
      </c>
      <c r="C1133" s="107" t="s">
        <v>257</v>
      </c>
      <c r="D1133" s="108" t="s">
        <v>142</v>
      </c>
      <c r="E1133" s="109"/>
      <c r="F1133" s="109">
        <v>454</v>
      </c>
      <c r="G1133" s="109">
        <v>2028</v>
      </c>
      <c r="H1133" s="110">
        <v>1830.4870000000001</v>
      </c>
      <c r="I1133" s="110">
        <v>1673.4649999999999</v>
      </c>
      <c r="J1133" s="110">
        <v>1499.635</v>
      </c>
      <c r="K1133" s="110">
        <v>1368.07</v>
      </c>
      <c r="L1133" s="110">
        <v>1242.402</v>
      </c>
      <c r="M1133" s="110">
        <v>1047.732</v>
      </c>
      <c r="N1133" s="110">
        <v>903.48599999999999</v>
      </c>
      <c r="O1133" s="110">
        <v>768.47199999999998</v>
      </c>
      <c r="P1133" s="110">
        <v>617.82100000000003</v>
      </c>
      <c r="Q1133" s="110">
        <v>466.06299999999999</v>
      </c>
      <c r="R1133" s="110">
        <v>360.959</v>
      </c>
      <c r="S1133" s="110">
        <v>268.63</v>
      </c>
      <c r="T1133" s="110">
        <v>205.239</v>
      </c>
      <c r="U1133" s="110">
        <v>158.702</v>
      </c>
      <c r="V1133" s="110">
        <v>118.286</v>
      </c>
      <c r="W1133" s="110">
        <v>83.975999999999999</v>
      </c>
      <c r="X1133" s="110">
        <v>52.918999999999997</v>
      </c>
      <c r="Y1133" s="110">
        <v>19.463999999999999</v>
      </c>
      <c r="Z1133" s="110">
        <v>4.5890000000000004</v>
      </c>
      <c r="AA1133" s="110">
        <v>0.65700000000000003</v>
      </c>
      <c r="AB1133" s="110">
        <v>1.9E-2</v>
      </c>
      <c r="AC1133" s="115">
        <f t="shared" si="51"/>
        <v>6414.0459999999994</v>
      </c>
      <c r="AD1133">
        <f t="shared" si="52"/>
        <v>1.0289852840437836</v>
      </c>
    </row>
    <row r="1134" spans="1:30" x14ac:dyDescent="0.25">
      <c r="A1134" s="104" t="str">
        <f t="shared" si="50"/>
        <v>Malawi2029</v>
      </c>
      <c r="C1134" s="107" t="s">
        <v>257</v>
      </c>
      <c r="D1134" s="108" t="s">
        <v>142</v>
      </c>
      <c r="E1134" s="109"/>
      <c r="F1134" s="109">
        <v>454</v>
      </c>
      <c r="G1134" s="109">
        <v>2029</v>
      </c>
      <c r="H1134" s="110">
        <v>1860.125</v>
      </c>
      <c r="I1134" s="110">
        <v>1702.346</v>
      </c>
      <c r="J1134" s="110">
        <v>1536.203</v>
      </c>
      <c r="K1134" s="110">
        <v>1382.0650000000001</v>
      </c>
      <c r="L1134" s="110">
        <v>1280.2560000000001</v>
      </c>
      <c r="M1134" s="110">
        <v>1077.7760000000001</v>
      </c>
      <c r="N1134" s="110">
        <v>929.726</v>
      </c>
      <c r="O1134" s="110">
        <v>791.32799999999997</v>
      </c>
      <c r="P1134" s="110">
        <v>649.93200000000002</v>
      </c>
      <c r="Q1134" s="110">
        <v>486.95100000000002</v>
      </c>
      <c r="R1134" s="110">
        <v>379.56799999999998</v>
      </c>
      <c r="S1134" s="110">
        <v>281.65499999999997</v>
      </c>
      <c r="T1134" s="110">
        <v>213.82300000000001</v>
      </c>
      <c r="U1134" s="110">
        <v>164.26400000000001</v>
      </c>
      <c r="V1134" s="110">
        <v>123.145</v>
      </c>
      <c r="W1134" s="110">
        <v>84.686000000000007</v>
      </c>
      <c r="X1134" s="110">
        <v>54.887999999999998</v>
      </c>
      <c r="Y1134" s="110">
        <v>20.201000000000001</v>
      </c>
      <c r="Z1134" s="110">
        <v>4.6360000000000001</v>
      </c>
      <c r="AA1134" s="110">
        <v>0.64500000000000002</v>
      </c>
      <c r="AB1134" s="110">
        <v>0.02</v>
      </c>
      <c r="AC1134" s="115">
        <f t="shared" si="51"/>
        <v>6598.0339999999997</v>
      </c>
      <c r="AD1134">
        <f t="shared" si="52"/>
        <v>1.0286851700159307</v>
      </c>
    </row>
    <row r="1135" spans="1:30" x14ac:dyDescent="0.25">
      <c r="A1135" s="104" t="str">
        <f t="shared" si="50"/>
        <v>Malawi2030</v>
      </c>
      <c r="C1135" s="107" t="s">
        <v>257</v>
      </c>
      <c r="D1135" s="108" t="s">
        <v>142</v>
      </c>
      <c r="E1135" s="109"/>
      <c r="F1135" s="109">
        <v>454</v>
      </c>
      <c r="G1135" s="109">
        <v>2030</v>
      </c>
      <c r="H1135" s="110">
        <v>1887.8489999999999</v>
      </c>
      <c r="I1135" s="110">
        <v>1730.877</v>
      </c>
      <c r="J1135" s="110">
        <v>1570.923</v>
      </c>
      <c r="K1135" s="110">
        <v>1402.6780000000001</v>
      </c>
      <c r="L1135" s="110">
        <v>1310.777</v>
      </c>
      <c r="M1135" s="110">
        <v>1111.68</v>
      </c>
      <c r="N1135" s="110">
        <v>956.31</v>
      </c>
      <c r="O1135" s="110">
        <v>815.28499999999997</v>
      </c>
      <c r="P1135" s="110">
        <v>679.43700000000001</v>
      </c>
      <c r="Q1135" s="110">
        <v>511.48099999999999</v>
      </c>
      <c r="R1135" s="110">
        <v>397.971</v>
      </c>
      <c r="S1135" s="110">
        <v>296.02100000000002</v>
      </c>
      <c r="T1135" s="110">
        <v>223.19499999999999</v>
      </c>
      <c r="U1135" s="110">
        <v>170.501</v>
      </c>
      <c r="V1135" s="110">
        <v>128.12700000000001</v>
      </c>
      <c r="W1135" s="110">
        <v>86.878</v>
      </c>
      <c r="X1135" s="110">
        <v>56.113999999999997</v>
      </c>
      <c r="Y1135" s="110">
        <v>20.975000000000001</v>
      </c>
      <c r="Z1135" s="110">
        <v>4.3209999999999997</v>
      </c>
      <c r="AA1135" s="110">
        <v>0.437</v>
      </c>
      <c r="AB1135" s="110">
        <v>2.1999999999999999E-2</v>
      </c>
      <c r="AC1135" s="115">
        <f t="shared" si="51"/>
        <v>6787.6479999999992</v>
      </c>
      <c r="AD1135">
        <f t="shared" si="52"/>
        <v>1.0287379543664066</v>
      </c>
    </row>
    <row r="1136" spans="1:30" x14ac:dyDescent="0.25">
      <c r="A1136" s="104" t="str">
        <f t="shared" si="50"/>
        <v>Malawi2031</v>
      </c>
      <c r="C1136" s="107" t="s">
        <v>257</v>
      </c>
      <c r="D1136" s="108" t="s">
        <v>142</v>
      </c>
      <c r="E1136" s="109"/>
      <c r="F1136" s="109">
        <v>454</v>
      </c>
      <c r="G1136" s="109">
        <v>2031</v>
      </c>
      <c r="H1136" s="110">
        <v>1915.527</v>
      </c>
      <c r="I1136" s="110">
        <v>1761.3589999999999</v>
      </c>
      <c r="J1136" s="110">
        <v>1603.7370000000001</v>
      </c>
      <c r="K1136" s="110">
        <v>1428.271</v>
      </c>
      <c r="L1136" s="110">
        <v>1333.7139999999999</v>
      </c>
      <c r="M1136" s="110">
        <v>1148.7940000000001</v>
      </c>
      <c r="N1136" s="110">
        <v>982.86400000000003</v>
      </c>
      <c r="O1136" s="110">
        <v>839.84900000000005</v>
      </c>
      <c r="P1136" s="110">
        <v>706.88199999999995</v>
      </c>
      <c r="Q1136" s="110">
        <v>539.39400000000001</v>
      </c>
      <c r="R1136" s="110">
        <v>416.12599999999998</v>
      </c>
      <c r="S1136" s="110">
        <v>311.548</v>
      </c>
      <c r="T1136" s="110">
        <v>232.82300000000001</v>
      </c>
      <c r="U1136" s="110">
        <v>176.36099999999999</v>
      </c>
      <c r="V1136" s="110">
        <v>131.83500000000001</v>
      </c>
      <c r="W1136" s="110">
        <v>88.817999999999998</v>
      </c>
      <c r="X1136" s="110">
        <v>56.591999999999999</v>
      </c>
      <c r="Y1136" s="110">
        <v>23.375</v>
      </c>
      <c r="Z1136" s="110">
        <v>5.2750000000000004</v>
      </c>
      <c r="AA1136" s="110">
        <v>0.56100000000000005</v>
      </c>
      <c r="AB1136" s="110">
        <v>2.4E-2</v>
      </c>
      <c r="AC1136" s="115">
        <f t="shared" si="51"/>
        <v>6979.768</v>
      </c>
      <c r="AD1136">
        <f t="shared" si="52"/>
        <v>1.02830435520522</v>
      </c>
    </row>
    <row r="1137" spans="1:30" x14ac:dyDescent="0.25">
      <c r="A1137" s="104" t="str">
        <f t="shared" si="50"/>
        <v>Malawi2032</v>
      </c>
      <c r="C1137" s="107" t="s">
        <v>257</v>
      </c>
      <c r="D1137" s="108" t="s">
        <v>142</v>
      </c>
      <c r="E1137" s="109"/>
      <c r="F1137" s="109">
        <v>454</v>
      </c>
      <c r="G1137" s="109">
        <v>2032</v>
      </c>
      <c r="H1137" s="110">
        <v>1940.923</v>
      </c>
      <c r="I1137" s="110">
        <v>1791.2829999999999</v>
      </c>
      <c r="J1137" s="110">
        <v>1635.5989999999999</v>
      </c>
      <c r="K1137" s="110">
        <v>1460.0329999999999</v>
      </c>
      <c r="L1137" s="110">
        <v>1349.1420000000001</v>
      </c>
      <c r="M1137" s="110">
        <v>1190.2329999999999</v>
      </c>
      <c r="N1137" s="110">
        <v>1009.287</v>
      </c>
      <c r="O1137" s="110">
        <v>865.25900000000001</v>
      </c>
      <c r="P1137" s="110">
        <v>731.87099999999998</v>
      </c>
      <c r="Q1137" s="110">
        <v>570.904</v>
      </c>
      <c r="R1137" s="110">
        <v>433.90899999999999</v>
      </c>
      <c r="S1137" s="110">
        <v>328.709</v>
      </c>
      <c r="T1137" s="110">
        <v>243.33699999999999</v>
      </c>
      <c r="U1137" s="110">
        <v>183.02600000000001</v>
      </c>
      <c r="V1137" s="110">
        <v>135.93299999999999</v>
      </c>
      <c r="W1137" s="110">
        <v>91.756</v>
      </c>
      <c r="X1137" s="110">
        <v>56.426000000000002</v>
      </c>
      <c r="Y1137" s="110">
        <v>25.434000000000001</v>
      </c>
      <c r="Z1137" s="110">
        <v>5.9340000000000002</v>
      </c>
      <c r="AA1137" s="110">
        <v>0.77900000000000003</v>
      </c>
      <c r="AB1137" s="110">
        <v>2.5999999999999999E-2</v>
      </c>
      <c r="AC1137" s="115">
        <f t="shared" si="51"/>
        <v>7176.7290000000012</v>
      </c>
      <c r="AD1137">
        <f t="shared" si="52"/>
        <v>1.028218846242454</v>
      </c>
    </row>
    <row r="1138" spans="1:30" x14ac:dyDescent="0.25">
      <c r="A1138" s="104" t="str">
        <f t="shared" si="50"/>
        <v>Malawi2033</v>
      </c>
      <c r="C1138" s="107" t="s">
        <v>257</v>
      </c>
      <c r="D1138" s="108" t="s">
        <v>142</v>
      </c>
      <c r="E1138" s="109"/>
      <c r="F1138" s="109">
        <v>454</v>
      </c>
      <c r="G1138" s="109">
        <v>2033</v>
      </c>
      <c r="H1138" s="110">
        <v>1964.4680000000001</v>
      </c>
      <c r="I1138" s="110">
        <v>1820.3409999999999</v>
      </c>
      <c r="J1138" s="110">
        <v>1666.712</v>
      </c>
      <c r="K1138" s="110">
        <v>1495.9559999999999</v>
      </c>
      <c r="L1138" s="110">
        <v>1360.9110000000001</v>
      </c>
      <c r="M1138" s="110">
        <v>1232.6099999999999</v>
      </c>
      <c r="N1138" s="110">
        <v>1036.7249999999999</v>
      </c>
      <c r="O1138" s="110">
        <v>891.41499999999996</v>
      </c>
      <c r="P1138" s="110">
        <v>755.23299999999995</v>
      </c>
      <c r="Q1138" s="110">
        <v>604.279</v>
      </c>
      <c r="R1138" s="110">
        <v>452.5</v>
      </c>
      <c r="S1138" s="110">
        <v>346.98200000000003</v>
      </c>
      <c r="T1138" s="110">
        <v>254.88399999999999</v>
      </c>
      <c r="U1138" s="110">
        <v>190.511</v>
      </c>
      <c r="V1138" s="110">
        <v>140.56200000000001</v>
      </c>
      <c r="W1138" s="110">
        <v>95.459000000000003</v>
      </c>
      <c r="X1138" s="110">
        <v>56.353999999999999</v>
      </c>
      <c r="Y1138" s="110">
        <v>26.760999999999999</v>
      </c>
      <c r="Z1138" s="110">
        <v>6.3860000000000001</v>
      </c>
      <c r="AA1138" s="110">
        <v>0.94399999999999995</v>
      </c>
      <c r="AB1138" s="110">
        <v>2.8000000000000001E-2</v>
      </c>
      <c r="AC1138" s="115">
        <f t="shared" si="51"/>
        <v>7377.128999999999</v>
      </c>
      <c r="AD1138">
        <f t="shared" si="52"/>
        <v>1.0279235846860035</v>
      </c>
    </row>
    <row r="1139" spans="1:30" x14ac:dyDescent="0.25">
      <c r="A1139" s="104" t="str">
        <f t="shared" si="50"/>
        <v>Malawi2034</v>
      </c>
      <c r="C1139" s="107" t="s">
        <v>257</v>
      </c>
      <c r="D1139" s="108" t="s">
        <v>142</v>
      </c>
      <c r="E1139" s="109"/>
      <c r="F1139" s="109">
        <v>454</v>
      </c>
      <c r="G1139" s="109">
        <v>2034</v>
      </c>
      <c r="H1139" s="110">
        <v>1987.367</v>
      </c>
      <c r="I1139" s="110">
        <v>1848.1780000000001</v>
      </c>
      <c r="J1139" s="110">
        <v>1697.4760000000001</v>
      </c>
      <c r="K1139" s="110">
        <v>1532.4179999999999</v>
      </c>
      <c r="L1139" s="110">
        <v>1375.231</v>
      </c>
      <c r="M1139" s="110">
        <v>1270.5809999999999</v>
      </c>
      <c r="N1139" s="110">
        <v>1066.9480000000001</v>
      </c>
      <c r="O1139" s="110">
        <v>917.93600000000004</v>
      </c>
      <c r="P1139" s="110">
        <v>778.46600000000001</v>
      </c>
      <c r="Q1139" s="110">
        <v>636.76099999999997</v>
      </c>
      <c r="R1139" s="110">
        <v>473.70400000000001</v>
      </c>
      <c r="S1139" s="110">
        <v>365.53800000000001</v>
      </c>
      <c r="T1139" s="110">
        <v>267.69299999999998</v>
      </c>
      <c r="U1139" s="110">
        <v>198.83099999999999</v>
      </c>
      <c r="V1139" s="110">
        <v>145.881</v>
      </c>
      <c r="W1139" s="110">
        <v>99.59</v>
      </c>
      <c r="X1139" s="110">
        <v>57.048000000000002</v>
      </c>
      <c r="Y1139" s="110">
        <v>27.326000000000001</v>
      </c>
      <c r="Z1139" s="110">
        <v>6.4539999999999997</v>
      </c>
      <c r="AA1139" s="110">
        <v>0.93700000000000006</v>
      </c>
      <c r="AB1139" s="110">
        <v>0.03</v>
      </c>
      <c r="AC1139" s="115">
        <f t="shared" si="51"/>
        <v>7578.3410000000003</v>
      </c>
      <c r="AD1139">
        <f t="shared" si="52"/>
        <v>1.0272751093277617</v>
      </c>
    </row>
    <row r="1140" spans="1:30" x14ac:dyDescent="0.25">
      <c r="A1140" s="104" t="str">
        <f t="shared" si="50"/>
        <v>Malawi2035</v>
      </c>
      <c r="C1140" s="107" t="s">
        <v>257</v>
      </c>
      <c r="D1140" s="108" t="s">
        <v>142</v>
      </c>
      <c r="E1140" s="109"/>
      <c r="F1140" s="109">
        <v>454</v>
      </c>
      <c r="G1140" s="109">
        <v>2035</v>
      </c>
      <c r="H1140" s="110">
        <v>2010.508</v>
      </c>
      <c r="I1140" s="110">
        <v>1874.5039999999999</v>
      </c>
      <c r="J1140" s="110">
        <v>1727.954</v>
      </c>
      <c r="K1140" s="110">
        <v>1567.127</v>
      </c>
      <c r="L1140" s="110">
        <v>1395.9659999999999</v>
      </c>
      <c r="M1140" s="110">
        <v>1301.038</v>
      </c>
      <c r="N1140" s="110">
        <v>1100.837</v>
      </c>
      <c r="O1140" s="110">
        <v>944.63900000000001</v>
      </c>
      <c r="P1140" s="110">
        <v>802.56600000000003</v>
      </c>
      <c r="Q1140" s="110">
        <v>666.62300000000005</v>
      </c>
      <c r="R1140" s="110">
        <v>498.49900000000002</v>
      </c>
      <c r="S1140" s="110">
        <v>383.95699999999999</v>
      </c>
      <c r="T1140" s="110">
        <v>281.887</v>
      </c>
      <c r="U1140" s="110">
        <v>208.01599999999999</v>
      </c>
      <c r="V1140" s="110">
        <v>151.959</v>
      </c>
      <c r="W1140" s="110">
        <v>104</v>
      </c>
      <c r="X1140" s="110">
        <v>58.756999999999998</v>
      </c>
      <c r="Y1140" s="110">
        <v>27.2</v>
      </c>
      <c r="Z1140" s="110">
        <v>6.1529999999999996</v>
      </c>
      <c r="AA1140" s="110">
        <v>0.66</v>
      </c>
      <c r="AB1140" s="110">
        <v>3.3000000000000002E-2</v>
      </c>
      <c r="AC1140" s="115">
        <f t="shared" si="51"/>
        <v>7778.7959999999985</v>
      </c>
      <c r="AD1140">
        <f t="shared" si="52"/>
        <v>1.0264510398779889</v>
      </c>
    </row>
    <row r="1141" spans="1:30" x14ac:dyDescent="0.25">
      <c r="A1141" s="104" t="str">
        <f t="shared" si="50"/>
        <v>Malawi2036</v>
      </c>
      <c r="C1141" s="107" t="s">
        <v>257</v>
      </c>
      <c r="D1141" s="108" t="s">
        <v>142</v>
      </c>
      <c r="E1141" s="109"/>
      <c r="F1141" s="109">
        <v>454</v>
      </c>
      <c r="G1141" s="109">
        <v>2036</v>
      </c>
      <c r="H1141" s="110">
        <v>2034.0050000000001</v>
      </c>
      <c r="I1141" s="110">
        <v>1901.645</v>
      </c>
      <c r="J1141" s="110">
        <v>1757.828</v>
      </c>
      <c r="K1141" s="110">
        <v>1600.191</v>
      </c>
      <c r="L1141" s="110">
        <v>1421.9169999999999</v>
      </c>
      <c r="M1141" s="110">
        <v>1324.402</v>
      </c>
      <c r="N1141" s="110">
        <v>1138.1949999999999</v>
      </c>
      <c r="O1141" s="110">
        <v>971.45699999999999</v>
      </c>
      <c r="P1141" s="110">
        <v>827.56299999999999</v>
      </c>
      <c r="Q1141" s="110">
        <v>694.17200000000003</v>
      </c>
      <c r="R1141" s="110">
        <v>526.41700000000003</v>
      </c>
      <c r="S1141" s="110">
        <v>402.005</v>
      </c>
      <c r="T1141" s="110">
        <v>296.875</v>
      </c>
      <c r="U1141" s="110">
        <v>216.90100000000001</v>
      </c>
      <c r="V1141" s="110">
        <v>157.053</v>
      </c>
      <c r="W1141" s="110">
        <v>107.062</v>
      </c>
      <c r="X1141" s="110">
        <v>60.795999999999999</v>
      </c>
      <c r="Y1141" s="110">
        <v>28.39</v>
      </c>
      <c r="Z1141" s="110">
        <v>7.5880000000000001</v>
      </c>
      <c r="AA1141" s="110">
        <v>0.83399999999999996</v>
      </c>
      <c r="AB1141" s="110">
        <v>3.5999999999999997E-2</v>
      </c>
      <c r="AC1141" s="115">
        <f t="shared" si="51"/>
        <v>7977.8970000000008</v>
      </c>
      <c r="AD1141">
        <f t="shared" si="52"/>
        <v>1.0255953492031418</v>
      </c>
    </row>
    <row r="1142" spans="1:30" x14ac:dyDescent="0.25">
      <c r="A1142" s="104" t="str">
        <f t="shared" si="50"/>
        <v>Malawi2037</v>
      </c>
      <c r="C1142" s="107" t="s">
        <v>257</v>
      </c>
      <c r="D1142" s="108" t="s">
        <v>142</v>
      </c>
      <c r="E1142" s="109"/>
      <c r="F1142" s="109">
        <v>454</v>
      </c>
      <c r="G1142" s="109">
        <v>2037</v>
      </c>
      <c r="H1142" s="110">
        <v>2057.0329999999999</v>
      </c>
      <c r="I1142" s="110">
        <v>1927.5830000000001</v>
      </c>
      <c r="J1142" s="110">
        <v>1787.279</v>
      </c>
      <c r="K1142" s="110">
        <v>1632.117</v>
      </c>
      <c r="L1142" s="110">
        <v>1453.7809999999999</v>
      </c>
      <c r="M1142" s="110">
        <v>1340.1110000000001</v>
      </c>
      <c r="N1142" s="110">
        <v>1179.7190000000001</v>
      </c>
      <c r="O1142" s="110">
        <v>998.01499999999999</v>
      </c>
      <c r="P1142" s="110">
        <v>853.28800000000001</v>
      </c>
      <c r="Q1142" s="110">
        <v>719.30799999999999</v>
      </c>
      <c r="R1142" s="110">
        <v>557.88099999999997</v>
      </c>
      <c r="S1142" s="110">
        <v>419.779</v>
      </c>
      <c r="T1142" s="110">
        <v>313.58600000000001</v>
      </c>
      <c r="U1142" s="110">
        <v>226.785</v>
      </c>
      <c r="V1142" s="110">
        <v>162.99199999999999</v>
      </c>
      <c r="W1142" s="110">
        <v>110.455</v>
      </c>
      <c r="X1142" s="110">
        <v>63.148000000000003</v>
      </c>
      <c r="Y1142" s="110">
        <v>28.875</v>
      </c>
      <c r="Z1142" s="110">
        <v>8.6470000000000002</v>
      </c>
      <c r="AA1142" s="110">
        <v>1.1399999999999999</v>
      </c>
      <c r="AB1142" s="110">
        <v>3.9E-2</v>
      </c>
      <c r="AC1142" s="115">
        <f t="shared" si="51"/>
        <v>8176.3390000000009</v>
      </c>
      <c r="AD1142">
        <f t="shared" si="52"/>
        <v>1.0248739736800312</v>
      </c>
    </row>
    <row r="1143" spans="1:30" x14ac:dyDescent="0.25">
      <c r="A1143" s="104" t="str">
        <f t="shared" si="50"/>
        <v>Malawi2038</v>
      </c>
      <c r="C1143" s="107" t="s">
        <v>257</v>
      </c>
      <c r="D1143" s="108" t="s">
        <v>142</v>
      </c>
      <c r="E1143" s="109"/>
      <c r="F1143" s="109">
        <v>454</v>
      </c>
      <c r="G1143" s="109">
        <v>2038</v>
      </c>
      <c r="H1143" s="110">
        <v>2079.7060000000001</v>
      </c>
      <c r="I1143" s="110">
        <v>1952.146</v>
      </c>
      <c r="J1143" s="110">
        <v>1816.271</v>
      </c>
      <c r="K1143" s="110">
        <v>1663.107</v>
      </c>
      <c r="L1143" s="110">
        <v>1489.635</v>
      </c>
      <c r="M1143" s="110">
        <v>1352.002</v>
      </c>
      <c r="N1143" s="110">
        <v>1222.059</v>
      </c>
      <c r="O1143" s="110">
        <v>1025.511</v>
      </c>
      <c r="P1143" s="110">
        <v>879.57500000000005</v>
      </c>
      <c r="Q1143" s="110">
        <v>742.88800000000003</v>
      </c>
      <c r="R1143" s="110">
        <v>591.18399999999997</v>
      </c>
      <c r="S1143" s="110">
        <v>438.40199999999999</v>
      </c>
      <c r="T1143" s="110">
        <v>331.505</v>
      </c>
      <c r="U1143" s="110">
        <v>237.81800000000001</v>
      </c>
      <c r="V1143" s="110">
        <v>169.84299999999999</v>
      </c>
      <c r="W1143" s="110">
        <v>114.40600000000001</v>
      </c>
      <c r="X1143" s="110">
        <v>65.802999999999997</v>
      </c>
      <c r="Y1143" s="110">
        <v>28.919</v>
      </c>
      <c r="Z1143" s="110">
        <v>9.2560000000000002</v>
      </c>
      <c r="AA1143" s="110">
        <v>1.3720000000000001</v>
      </c>
      <c r="AB1143" s="110">
        <v>4.2999999999999997E-2</v>
      </c>
      <c r="AC1143" s="115">
        <f t="shared" si="51"/>
        <v>8374.777</v>
      </c>
      <c r="AD1143">
        <f t="shared" si="52"/>
        <v>1.0242697862698695</v>
      </c>
    </row>
    <row r="1144" spans="1:30" x14ac:dyDescent="0.25">
      <c r="A1144" s="104" t="str">
        <f t="shared" si="50"/>
        <v>Malawi2039</v>
      </c>
      <c r="C1144" s="107" t="s">
        <v>257</v>
      </c>
      <c r="D1144" s="108" t="s">
        <v>142</v>
      </c>
      <c r="E1144" s="109"/>
      <c r="F1144" s="109">
        <v>454</v>
      </c>
      <c r="G1144" s="109">
        <v>2039</v>
      </c>
      <c r="H1144" s="110">
        <v>2101.9459999999999</v>
      </c>
      <c r="I1144" s="110">
        <v>1975.4559999999999</v>
      </c>
      <c r="J1144" s="110">
        <v>1844.56</v>
      </c>
      <c r="K1144" s="110">
        <v>1693.7570000000001</v>
      </c>
      <c r="L1144" s="110">
        <v>1526.0260000000001</v>
      </c>
      <c r="M1144" s="110">
        <v>1366.3589999999999</v>
      </c>
      <c r="N1144" s="110">
        <v>1259.989</v>
      </c>
      <c r="O1144" s="110">
        <v>1055.79</v>
      </c>
      <c r="P1144" s="110">
        <v>906.11400000000003</v>
      </c>
      <c r="Q1144" s="110">
        <v>766.41800000000001</v>
      </c>
      <c r="R1144" s="110">
        <v>623.66200000000003</v>
      </c>
      <c r="S1144" s="110">
        <v>459.65199999999999</v>
      </c>
      <c r="T1144" s="110">
        <v>349.84800000000001</v>
      </c>
      <c r="U1144" s="110">
        <v>250.249</v>
      </c>
      <c r="V1144" s="110">
        <v>177.67699999999999</v>
      </c>
      <c r="W1144" s="110">
        <v>119.098</v>
      </c>
      <c r="X1144" s="110">
        <v>68.655000000000001</v>
      </c>
      <c r="Y1144" s="110">
        <v>29.027999999999999</v>
      </c>
      <c r="Z1144" s="110">
        <v>9.18</v>
      </c>
      <c r="AA1144" s="110">
        <v>1.369</v>
      </c>
      <c r="AB1144" s="110">
        <v>4.7E-2</v>
      </c>
      <c r="AC1144" s="115">
        <f t="shared" si="51"/>
        <v>8574.4529999999995</v>
      </c>
      <c r="AD1144">
        <f t="shared" si="52"/>
        <v>1.0238425453000122</v>
      </c>
    </row>
    <row r="1145" spans="1:30" x14ac:dyDescent="0.25">
      <c r="A1145" s="104" t="str">
        <f t="shared" si="50"/>
        <v>Malawi2040</v>
      </c>
      <c r="C1145" s="107" t="s">
        <v>257</v>
      </c>
      <c r="D1145" s="108" t="s">
        <v>142</v>
      </c>
      <c r="E1145" s="109"/>
      <c r="F1145" s="109">
        <v>454</v>
      </c>
      <c r="G1145" s="109">
        <v>2040</v>
      </c>
      <c r="H1145" s="110">
        <v>2123.8539999999998</v>
      </c>
      <c r="I1145" s="110">
        <v>1997.7950000000001</v>
      </c>
      <c r="J1145" s="110">
        <v>1871.7190000000001</v>
      </c>
      <c r="K1145" s="110">
        <v>1724.3989999999999</v>
      </c>
      <c r="L1145" s="110">
        <v>1560.7280000000001</v>
      </c>
      <c r="M1145" s="110">
        <v>1387.0840000000001</v>
      </c>
      <c r="N1145" s="110">
        <v>1290.444</v>
      </c>
      <c r="O1145" s="110">
        <v>1089.7270000000001</v>
      </c>
      <c r="P1145" s="110">
        <v>932.80600000000004</v>
      </c>
      <c r="Q1145" s="110">
        <v>790.82100000000003</v>
      </c>
      <c r="R1145" s="110">
        <v>653.64499999999998</v>
      </c>
      <c r="S1145" s="110">
        <v>484.49599999999998</v>
      </c>
      <c r="T1145" s="110">
        <v>368.19600000000003</v>
      </c>
      <c r="U1145" s="110">
        <v>264.20299999999997</v>
      </c>
      <c r="V1145" s="110">
        <v>186.53399999999999</v>
      </c>
      <c r="W1145" s="110">
        <v>124.608</v>
      </c>
      <c r="X1145" s="110">
        <v>71.727999999999994</v>
      </c>
      <c r="Y1145" s="110">
        <v>29.474</v>
      </c>
      <c r="Z1145" s="110">
        <v>8.3889999999999993</v>
      </c>
      <c r="AA1145" s="110">
        <v>1.0029999999999999</v>
      </c>
      <c r="AB1145" s="110">
        <v>5.1999999999999998E-2</v>
      </c>
      <c r="AC1145" s="115">
        <f t="shared" si="51"/>
        <v>8776.009</v>
      </c>
      <c r="AD1145">
        <f t="shared" si="52"/>
        <v>1.0235065723726051</v>
      </c>
    </row>
    <row r="1146" spans="1:30" x14ac:dyDescent="0.25">
      <c r="A1146" s="104" t="str">
        <f t="shared" si="50"/>
        <v>Malawi2041</v>
      </c>
      <c r="C1146" s="107" t="s">
        <v>257</v>
      </c>
      <c r="D1146" s="108" t="s">
        <v>142</v>
      </c>
      <c r="E1146" s="109"/>
      <c r="F1146" s="109">
        <v>454</v>
      </c>
      <c r="G1146" s="109">
        <v>2041</v>
      </c>
      <c r="H1146" s="110">
        <v>2147.1660000000002</v>
      </c>
      <c r="I1146" s="110">
        <v>2021.6420000000001</v>
      </c>
      <c r="J1146" s="110">
        <v>1897.701</v>
      </c>
      <c r="K1146" s="110">
        <v>1754.259</v>
      </c>
      <c r="L1146" s="110">
        <v>1593.866</v>
      </c>
      <c r="M1146" s="110">
        <v>1413.2470000000001</v>
      </c>
      <c r="N1146" s="110">
        <v>1313.9580000000001</v>
      </c>
      <c r="O1146" s="110">
        <v>1127.0809999999999</v>
      </c>
      <c r="P1146" s="110">
        <v>959.76199999999994</v>
      </c>
      <c r="Q1146" s="110">
        <v>815.75</v>
      </c>
      <c r="R1146" s="110">
        <v>681.06399999999996</v>
      </c>
      <c r="S1146" s="110">
        <v>512.14700000000005</v>
      </c>
      <c r="T1146" s="110">
        <v>385.71600000000001</v>
      </c>
      <c r="U1146" s="110">
        <v>278.22500000000002</v>
      </c>
      <c r="V1146" s="110">
        <v>194.33699999999999</v>
      </c>
      <c r="W1146" s="110">
        <v>128.87799999999999</v>
      </c>
      <c r="X1146" s="110">
        <v>74.418000000000006</v>
      </c>
      <c r="Y1146" s="110">
        <v>31.745000000000001</v>
      </c>
      <c r="Z1146" s="110">
        <v>9.5020000000000007</v>
      </c>
      <c r="AA1146" s="110">
        <v>1.2769999999999999</v>
      </c>
      <c r="AB1146" s="110">
        <v>5.7000000000000002E-2</v>
      </c>
      <c r="AC1146" s="115">
        <f t="shared" si="51"/>
        <v>8977.9229999999989</v>
      </c>
      <c r="AD1146">
        <f t="shared" si="52"/>
        <v>1.0230074969157392</v>
      </c>
    </row>
    <row r="1147" spans="1:30" x14ac:dyDescent="0.25">
      <c r="A1147" s="104" t="str">
        <f t="shared" si="50"/>
        <v>Malawi2042</v>
      </c>
      <c r="C1147" s="107" t="s">
        <v>257</v>
      </c>
      <c r="D1147" s="108" t="s">
        <v>142</v>
      </c>
      <c r="E1147" s="109"/>
      <c r="F1147" s="109">
        <v>454</v>
      </c>
      <c r="G1147" s="109">
        <v>2042</v>
      </c>
      <c r="H1147" s="110">
        <v>2168.8890000000001</v>
      </c>
      <c r="I1147" s="110">
        <v>2045.1859999999999</v>
      </c>
      <c r="J1147" s="110">
        <v>1922.9110000000001</v>
      </c>
      <c r="K1147" s="110">
        <v>1783.7840000000001</v>
      </c>
      <c r="L1147" s="110">
        <v>1625.8510000000001</v>
      </c>
      <c r="M1147" s="110">
        <v>1445.2809999999999</v>
      </c>
      <c r="N1147" s="110">
        <v>1329.9079999999999</v>
      </c>
      <c r="O1147" s="110">
        <v>1168.6189999999999</v>
      </c>
      <c r="P1147" s="110">
        <v>986.49599999999998</v>
      </c>
      <c r="Q1147" s="110">
        <v>841.47699999999998</v>
      </c>
      <c r="R1147" s="110">
        <v>706.21799999999996</v>
      </c>
      <c r="S1147" s="110">
        <v>543.37</v>
      </c>
      <c r="T1147" s="110">
        <v>403.19200000000001</v>
      </c>
      <c r="U1147" s="110">
        <v>294.14</v>
      </c>
      <c r="V1147" s="110">
        <v>203.22900000000001</v>
      </c>
      <c r="W1147" s="110">
        <v>133.83600000000001</v>
      </c>
      <c r="X1147" s="110">
        <v>77.094999999999999</v>
      </c>
      <c r="Y1147" s="110">
        <v>33.630000000000003</v>
      </c>
      <c r="Z1147" s="110">
        <v>10.083</v>
      </c>
      <c r="AA1147" s="110">
        <v>1.728</v>
      </c>
      <c r="AB1147" s="110">
        <v>6.3E-2</v>
      </c>
      <c r="AC1147" s="115">
        <f t="shared" si="51"/>
        <v>9181.4160000000011</v>
      </c>
      <c r="AD1147">
        <f t="shared" si="52"/>
        <v>1.0226659328666554</v>
      </c>
    </row>
    <row r="1148" spans="1:30" x14ac:dyDescent="0.25">
      <c r="A1148" s="104" t="str">
        <f t="shared" si="50"/>
        <v>Malawi2043</v>
      </c>
      <c r="C1148" s="107" t="s">
        <v>257</v>
      </c>
      <c r="D1148" s="108" t="s">
        <v>142</v>
      </c>
      <c r="E1148" s="109"/>
      <c r="F1148" s="109">
        <v>454</v>
      </c>
      <c r="G1148" s="109">
        <v>2043</v>
      </c>
      <c r="H1148" s="110">
        <v>2189.366</v>
      </c>
      <c r="I1148" s="110">
        <v>2068.212</v>
      </c>
      <c r="J1148" s="110">
        <v>1947.46</v>
      </c>
      <c r="K1148" s="110">
        <v>1812.7739999999999</v>
      </c>
      <c r="L1148" s="110">
        <v>1656.883</v>
      </c>
      <c r="M1148" s="110">
        <v>1481.2159999999999</v>
      </c>
      <c r="N1148" s="110">
        <v>1342.0630000000001</v>
      </c>
      <c r="O1148" s="110">
        <v>1211.0119999999999</v>
      </c>
      <c r="P1148" s="110">
        <v>1014.105</v>
      </c>
      <c r="Q1148" s="110">
        <v>867.85500000000002</v>
      </c>
      <c r="R1148" s="110">
        <v>729.92399999999998</v>
      </c>
      <c r="S1148" s="110">
        <v>576.447</v>
      </c>
      <c r="T1148" s="110">
        <v>421.69600000000003</v>
      </c>
      <c r="U1148" s="110">
        <v>311.44400000000002</v>
      </c>
      <c r="V1148" s="110">
        <v>213.40799999999999</v>
      </c>
      <c r="W1148" s="110">
        <v>139.67099999999999</v>
      </c>
      <c r="X1148" s="110">
        <v>80.064999999999998</v>
      </c>
      <c r="Y1148" s="110">
        <v>35.012999999999998</v>
      </c>
      <c r="Z1148" s="110">
        <v>10.324</v>
      </c>
      <c r="AA1148" s="110">
        <v>2.0499999999999998</v>
      </c>
      <c r="AB1148" s="110">
        <v>7.0000000000000007E-2</v>
      </c>
      <c r="AC1148" s="115">
        <f t="shared" si="51"/>
        <v>9385.9079999999994</v>
      </c>
      <c r="AD1148">
        <f t="shared" si="52"/>
        <v>1.0222723815150079</v>
      </c>
    </row>
    <row r="1149" spans="1:30" x14ac:dyDescent="0.25">
      <c r="A1149" s="104" t="str">
        <f t="shared" si="50"/>
        <v>Malawi2044</v>
      </c>
      <c r="C1149" s="107" t="s">
        <v>257</v>
      </c>
      <c r="D1149" s="108" t="s">
        <v>142</v>
      </c>
      <c r="E1149" s="109"/>
      <c r="F1149" s="109">
        <v>454</v>
      </c>
      <c r="G1149" s="109">
        <v>2044</v>
      </c>
      <c r="H1149" s="110">
        <v>2209.0639999999999</v>
      </c>
      <c r="I1149" s="110">
        <v>2090.4259999999999</v>
      </c>
      <c r="J1149" s="110">
        <v>1971.5029999999999</v>
      </c>
      <c r="K1149" s="110">
        <v>1840.9549999999999</v>
      </c>
      <c r="L1149" s="110">
        <v>1687.527</v>
      </c>
      <c r="M1149" s="110">
        <v>1517.566</v>
      </c>
      <c r="N1149" s="110">
        <v>1356.6020000000001</v>
      </c>
      <c r="O1149" s="110">
        <v>1249.0170000000001</v>
      </c>
      <c r="P1149" s="110">
        <v>1044.3779999999999</v>
      </c>
      <c r="Q1149" s="110">
        <v>894.53800000000001</v>
      </c>
      <c r="R1149" s="110">
        <v>753.61400000000003</v>
      </c>
      <c r="S1149" s="110">
        <v>608.73599999999999</v>
      </c>
      <c r="T1149" s="110">
        <v>442.90699999999998</v>
      </c>
      <c r="U1149" s="110">
        <v>329.36700000000002</v>
      </c>
      <c r="V1149" s="110">
        <v>225.154</v>
      </c>
      <c r="W1149" s="110">
        <v>146.53</v>
      </c>
      <c r="X1149" s="110">
        <v>83.519000000000005</v>
      </c>
      <c r="Y1149" s="110">
        <v>36.155000000000001</v>
      </c>
      <c r="Z1149" s="110">
        <v>10.119999999999999</v>
      </c>
      <c r="AA1149" s="110">
        <v>2.0129999999999999</v>
      </c>
      <c r="AB1149" s="110">
        <v>7.6999999999999999E-2</v>
      </c>
      <c r="AC1149" s="115">
        <f t="shared" si="51"/>
        <v>9590.5830000000005</v>
      </c>
      <c r="AD1149">
        <f t="shared" si="52"/>
        <v>1.02180662755271</v>
      </c>
    </row>
    <row r="1150" spans="1:30" x14ac:dyDescent="0.25">
      <c r="A1150" s="104" t="str">
        <f t="shared" si="50"/>
        <v>Malawi2045</v>
      </c>
      <c r="C1150" s="107" t="s">
        <v>257</v>
      </c>
      <c r="D1150" s="108" t="s">
        <v>142</v>
      </c>
      <c r="E1150" s="109"/>
      <c r="F1150" s="109">
        <v>454</v>
      </c>
      <c r="G1150" s="109">
        <v>2045</v>
      </c>
      <c r="H1150" s="110">
        <v>2228.4780000000001</v>
      </c>
      <c r="I1150" s="110">
        <v>2111.4740000000002</v>
      </c>
      <c r="J1150" s="110">
        <v>1995.046</v>
      </c>
      <c r="K1150" s="110">
        <v>1868.1790000000001</v>
      </c>
      <c r="L1150" s="110">
        <v>1718.0989999999999</v>
      </c>
      <c r="M1150" s="110">
        <v>1552.117</v>
      </c>
      <c r="N1150" s="110">
        <v>1377.373</v>
      </c>
      <c r="O1150" s="110">
        <v>1279.538</v>
      </c>
      <c r="P1150" s="110">
        <v>1078.2190000000001</v>
      </c>
      <c r="Q1150" s="110">
        <v>921.36599999999999</v>
      </c>
      <c r="R1150" s="110">
        <v>778.17499999999995</v>
      </c>
      <c r="S1150" s="110">
        <v>638.62300000000005</v>
      </c>
      <c r="T1150" s="110">
        <v>467.71600000000001</v>
      </c>
      <c r="U1150" s="110">
        <v>347.50700000000001</v>
      </c>
      <c r="V1150" s="110">
        <v>238.59899999999999</v>
      </c>
      <c r="W1150" s="110">
        <v>154.501</v>
      </c>
      <c r="X1150" s="110">
        <v>87.57</v>
      </c>
      <c r="Y1150" s="110">
        <v>37.215000000000003</v>
      </c>
      <c r="Z1150" s="110">
        <v>9.5630000000000006</v>
      </c>
      <c r="AA1150" s="110">
        <v>1.462</v>
      </c>
      <c r="AB1150" s="110">
        <v>8.5000000000000006E-2</v>
      </c>
      <c r="AC1150" s="115">
        <f t="shared" si="51"/>
        <v>9794.8910000000014</v>
      </c>
      <c r="AD1150">
        <f t="shared" si="52"/>
        <v>1.0213029802254985</v>
      </c>
    </row>
    <row r="1151" spans="1:30" x14ac:dyDescent="0.25">
      <c r="A1151" s="104" t="str">
        <f t="shared" si="50"/>
        <v>Malawi2046</v>
      </c>
      <c r="C1151" s="107" t="s">
        <v>257</v>
      </c>
      <c r="D1151" s="108" t="s">
        <v>142</v>
      </c>
      <c r="E1151" s="109"/>
      <c r="F1151" s="109">
        <v>454</v>
      </c>
      <c r="G1151" s="109">
        <v>2046</v>
      </c>
      <c r="H1151" s="110">
        <v>2249.3339999999998</v>
      </c>
      <c r="I1151" s="110">
        <v>2133.8989999999999</v>
      </c>
      <c r="J1151" s="110">
        <v>2018.317</v>
      </c>
      <c r="K1151" s="110">
        <v>1894.223</v>
      </c>
      <c r="L1151" s="110">
        <v>1748.1420000000001</v>
      </c>
      <c r="M1151" s="110">
        <v>1585.5</v>
      </c>
      <c r="N1151" s="110">
        <v>1403.7750000000001</v>
      </c>
      <c r="O1151" s="110">
        <v>1303.2170000000001</v>
      </c>
      <c r="P1151" s="110">
        <v>1115.6959999999999</v>
      </c>
      <c r="Q1151" s="110">
        <v>948.22799999999995</v>
      </c>
      <c r="R1151" s="110">
        <v>803.02300000000002</v>
      </c>
      <c r="S1151" s="110">
        <v>665.77700000000004</v>
      </c>
      <c r="T1151" s="110">
        <v>494.714</v>
      </c>
      <c r="U1151" s="110">
        <v>364.02300000000002</v>
      </c>
      <c r="V1151" s="110">
        <v>251.2</v>
      </c>
      <c r="W1151" s="110">
        <v>161.078</v>
      </c>
      <c r="X1151" s="110">
        <v>91.218999999999994</v>
      </c>
      <c r="Y1151" s="110">
        <v>39.924999999999997</v>
      </c>
      <c r="Z1151" s="110">
        <v>11.188000000000001</v>
      </c>
      <c r="AA1151" s="110">
        <v>1.6839999999999999</v>
      </c>
      <c r="AB1151" s="110">
        <v>9.4E-2</v>
      </c>
      <c r="AC1151" s="115">
        <f t="shared" si="51"/>
        <v>9998.780999999999</v>
      </c>
      <c r="AD1151">
        <f t="shared" si="52"/>
        <v>1.0208159539498702</v>
      </c>
    </row>
    <row r="1152" spans="1:30" x14ac:dyDescent="0.25">
      <c r="A1152" s="104" t="str">
        <f t="shared" si="50"/>
        <v>Malawi2047</v>
      </c>
      <c r="C1152" s="107" t="s">
        <v>257</v>
      </c>
      <c r="D1152" s="108" t="s">
        <v>142</v>
      </c>
      <c r="E1152" s="109"/>
      <c r="F1152" s="109">
        <v>454</v>
      </c>
      <c r="G1152" s="109">
        <v>2047</v>
      </c>
      <c r="H1152" s="110">
        <v>2268.317</v>
      </c>
      <c r="I1152" s="110">
        <v>2155.895</v>
      </c>
      <c r="J1152" s="110">
        <v>2041.433</v>
      </c>
      <c r="K1152" s="110">
        <v>1919.4159999999999</v>
      </c>
      <c r="L1152" s="110">
        <v>1777.722</v>
      </c>
      <c r="M1152" s="110">
        <v>1617.6410000000001</v>
      </c>
      <c r="N1152" s="110">
        <v>1435.963</v>
      </c>
      <c r="O1152" s="110">
        <v>1319.3630000000001</v>
      </c>
      <c r="P1152" s="110">
        <v>1157.3150000000001</v>
      </c>
      <c r="Q1152" s="110">
        <v>974.92100000000005</v>
      </c>
      <c r="R1152" s="110">
        <v>828.69500000000005</v>
      </c>
      <c r="S1152" s="110">
        <v>690.82600000000002</v>
      </c>
      <c r="T1152" s="110">
        <v>525.36800000000005</v>
      </c>
      <c r="U1152" s="110">
        <v>380.80399999999997</v>
      </c>
      <c r="V1152" s="110">
        <v>265.779</v>
      </c>
      <c r="W1152" s="110">
        <v>168.57</v>
      </c>
      <c r="X1152" s="110">
        <v>95.048000000000002</v>
      </c>
      <c r="Y1152" s="110">
        <v>42.082000000000001</v>
      </c>
      <c r="Z1152" s="110">
        <v>12.33</v>
      </c>
      <c r="AA1152" s="110">
        <v>2.0739999999999998</v>
      </c>
      <c r="AB1152" s="110">
        <v>0.104</v>
      </c>
      <c r="AC1152" s="115">
        <f t="shared" si="51"/>
        <v>10202.341</v>
      </c>
      <c r="AD1152">
        <f t="shared" si="52"/>
        <v>1.0203584816989193</v>
      </c>
    </row>
    <row r="1153" spans="1:30" x14ac:dyDescent="0.25">
      <c r="A1153" s="104" t="str">
        <f t="shared" si="50"/>
        <v>Malawi2048</v>
      </c>
      <c r="C1153" s="107" t="s">
        <v>257</v>
      </c>
      <c r="D1153" s="108" t="s">
        <v>142</v>
      </c>
      <c r="E1153" s="109"/>
      <c r="F1153" s="109">
        <v>454</v>
      </c>
      <c r="G1153" s="109">
        <v>2048</v>
      </c>
      <c r="H1153" s="110">
        <v>2285.9720000000002</v>
      </c>
      <c r="I1153" s="110">
        <v>2177.19</v>
      </c>
      <c r="J1153" s="110">
        <v>2064.3359999999998</v>
      </c>
      <c r="K1153" s="110">
        <v>1943.884</v>
      </c>
      <c r="L1153" s="110">
        <v>1806.6780000000001</v>
      </c>
      <c r="M1153" s="110">
        <v>1648.713</v>
      </c>
      <c r="N1153" s="110">
        <v>1471.962</v>
      </c>
      <c r="O1153" s="110">
        <v>1331.758</v>
      </c>
      <c r="P1153" s="110">
        <v>1199.6969999999999</v>
      </c>
      <c r="Q1153" s="110">
        <v>1002.564</v>
      </c>
      <c r="R1153" s="110">
        <v>855.04899999999998</v>
      </c>
      <c r="S1153" s="110">
        <v>714.52599999999995</v>
      </c>
      <c r="T1153" s="110">
        <v>557.96600000000001</v>
      </c>
      <c r="U1153" s="110">
        <v>398.87900000000002</v>
      </c>
      <c r="V1153" s="110">
        <v>281.91800000000001</v>
      </c>
      <c r="W1153" s="110">
        <v>177.31299999999999</v>
      </c>
      <c r="X1153" s="110">
        <v>99.405000000000001</v>
      </c>
      <c r="Y1153" s="110">
        <v>43.703000000000003</v>
      </c>
      <c r="Z1153" s="110">
        <v>13.058999999999999</v>
      </c>
      <c r="AA1153" s="110">
        <v>2.3660000000000001</v>
      </c>
      <c r="AB1153" s="110">
        <v>0.115</v>
      </c>
      <c r="AC1153" s="115">
        <f t="shared" si="51"/>
        <v>10405.255999999999</v>
      </c>
      <c r="AD1153">
        <f t="shared" si="52"/>
        <v>1.0198890627160961</v>
      </c>
    </row>
    <row r="1154" spans="1:30" x14ac:dyDescent="0.25">
      <c r="A1154" s="104" t="str">
        <f t="shared" si="50"/>
        <v>Malawi2049</v>
      </c>
      <c r="C1154" s="107" t="s">
        <v>257</v>
      </c>
      <c r="D1154" s="108" t="s">
        <v>142</v>
      </c>
      <c r="E1154" s="109"/>
      <c r="F1154" s="109">
        <v>454</v>
      </c>
      <c r="G1154" s="109">
        <v>2049</v>
      </c>
      <c r="H1154" s="110">
        <v>2302.9540000000002</v>
      </c>
      <c r="I1154" s="110">
        <v>2197.5</v>
      </c>
      <c r="J1154" s="110">
        <v>2086.857</v>
      </c>
      <c r="K1154" s="110">
        <v>1967.873</v>
      </c>
      <c r="L1154" s="110">
        <v>1834.78</v>
      </c>
      <c r="M1154" s="110">
        <v>1679.287</v>
      </c>
      <c r="N1154" s="110">
        <v>1508.3040000000001</v>
      </c>
      <c r="O1154" s="110">
        <v>1346.538</v>
      </c>
      <c r="P1154" s="110">
        <v>1237.625</v>
      </c>
      <c r="Q1154" s="110">
        <v>1032.925</v>
      </c>
      <c r="R1154" s="110">
        <v>881.74900000000002</v>
      </c>
      <c r="S1154" s="110">
        <v>738.24599999999998</v>
      </c>
      <c r="T1154" s="110">
        <v>589.92700000000002</v>
      </c>
      <c r="U1154" s="110">
        <v>419.84899999999999</v>
      </c>
      <c r="V1154" s="110">
        <v>298.94600000000003</v>
      </c>
      <c r="W1154" s="110">
        <v>187.67099999999999</v>
      </c>
      <c r="X1154" s="110">
        <v>104.503</v>
      </c>
      <c r="Y1154" s="110">
        <v>45.212000000000003</v>
      </c>
      <c r="Z1154" s="110">
        <v>13.14</v>
      </c>
      <c r="AA1154" s="110">
        <v>2.331</v>
      </c>
      <c r="AB1154" s="110">
        <v>0.124</v>
      </c>
      <c r="AC1154" s="115">
        <f t="shared" si="51"/>
        <v>10607.332</v>
      </c>
      <c r="AD1154">
        <f t="shared" si="52"/>
        <v>1.0194205697582068</v>
      </c>
    </row>
    <row r="1155" spans="1:30" x14ac:dyDescent="0.25">
      <c r="A1155" s="104" t="str">
        <f t="shared" si="50"/>
        <v>Malawi2050</v>
      </c>
      <c r="C1155" s="107" t="s">
        <v>257</v>
      </c>
      <c r="D1155" s="108" t="s">
        <v>142</v>
      </c>
      <c r="E1155" s="109"/>
      <c r="F1155" s="109">
        <v>454</v>
      </c>
      <c r="G1155" s="109">
        <v>2050</v>
      </c>
      <c r="H1155" s="110">
        <v>2319.8789999999999</v>
      </c>
      <c r="I1155" s="110">
        <v>2216.5169999999998</v>
      </c>
      <c r="J1155" s="110">
        <v>2108.7750000000001</v>
      </c>
      <c r="K1155" s="110">
        <v>1991.547</v>
      </c>
      <c r="L1155" s="110">
        <v>1861.905</v>
      </c>
      <c r="M1155" s="110">
        <v>1709.694</v>
      </c>
      <c r="N1155" s="110">
        <v>1542.7819999999999</v>
      </c>
      <c r="O1155" s="110">
        <v>1367.4739999999999</v>
      </c>
      <c r="P1155" s="110">
        <v>1268.088</v>
      </c>
      <c r="Q1155" s="110">
        <v>1066.8409999999999</v>
      </c>
      <c r="R1155" s="110">
        <v>908.64400000000001</v>
      </c>
      <c r="S1155" s="110">
        <v>762.85400000000004</v>
      </c>
      <c r="T1155" s="110">
        <v>619.66300000000001</v>
      </c>
      <c r="U1155" s="110">
        <v>444.524</v>
      </c>
      <c r="V1155" s="110">
        <v>316.50799999999998</v>
      </c>
      <c r="W1155" s="110">
        <v>199.83699999999999</v>
      </c>
      <c r="X1155" s="110">
        <v>110.504</v>
      </c>
      <c r="Y1155" s="110">
        <v>46.847000000000001</v>
      </c>
      <c r="Z1155" s="110">
        <v>12.646000000000001</v>
      </c>
      <c r="AA1155" s="110">
        <v>1.7709999999999999</v>
      </c>
      <c r="AB1155" s="110">
        <v>0.13200000000000001</v>
      </c>
      <c r="AC1155" s="115">
        <f t="shared" si="51"/>
        <v>10808.331</v>
      </c>
      <c r="AD1155">
        <f t="shared" si="52"/>
        <v>1.0189490627803486</v>
      </c>
    </row>
    <row r="1156" spans="1:30" x14ac:dyDescent="0.25">
      <c r="A1156" s="104" t="str">
        <f t="shared" si="50"/>
        <v>Malawi2051</v>
      </c>
      <c r="C1156" s="107" t="s">
        <v>257</v>
      </c>
      <c r="D1156" s="108" t="s">
        <v>142</v>
      </c>
      <c r="E1156" s="109"/>
      <c r="F1156" s="109">
        <v>454</v>
      </c>
      <c r="G1156" s="109">
        <v>2051</v>
      </c>
      <c r="H1156" s="110">
        <v>2337.9749999999999</v>
      </c>
      <c r="I1156" s="110">
        <v>2236.9389999999999</v>
      </c>
      <c r="J1156" s="110">
        <v>2130.6480000000001</v>
      </c>
      <c r="K1156" s="110">
        <v>2014.9649999999999</v>
      </c>
      <c r="L1156" s="110">
        <v>1888.223</v>
      </c>
      <c r="M1156" s="110">
        <v>1740.0350000000001</v>
      </c>
      <c r="N1156" s="110">
        <v>1576.3789999999999</v>
      </c>
      <c r="O1156" s="110">
        <v>1394.0540000000001</v>
      </c>
      <c r="P1156" s="110">
        <v>1292.0229999999999</v>
      </c>
      <c r="Q1156" s="110">
        <v>1104.1669999999999</v>
      </c>
      <c r="R1156" s="110">
        <v>935.37400000000002</v>
      </c>
      <c r="S1156" s="110">
        <v>787.524</v>
      </c>
      <c r="T1156" s="110">
        <v>646.11199999999997</v>
      </c>
      <c r="U1156" s="110">
        <v>470.29500000000002</v>
      </c>
      <c r="V1156" s="110">
        <v>331.43700000000001</v>
      </c>
      <c r="W1156" s="110">
        <v>210.697</v>
      </c>
      <c r="X1156" s="110">
        <v>116.023</v>
      </c>
      <c r="Y1156" s="110">
        <v>50.372</v>
      </c>
      <c r="Z1156" s="110">
        <v>14.657</v>
      </c>
      <c r="AA1156" s="110">
        <v>2.1230000000000002</v>
      </c>
      <c r="AB1156" s="110">
        <v>0.13800000000000001</v>
      </c>
      <c r="AC1156" s="115">
        <f t="shared" si="51"/>
        <v>11009.845999999998</v>
      </c>
      <c r="AD1156">
        <f t="shared" si="52"/>
        <v>1.0186444142023405</v>
      </c>
    </row>
    <row r="1157" spans="1:30" x14ac:dyDescent="0.25">
      <c r="A1157" s="104" t="str">
        <f t="shared" si="50"/>
        <v>Malawi2052</v>
      </c>
      <c r="C1157" s="107" t="s">
        <v>257</v>
      </c>
      <c r="D1157" s="108" t="s">
        <v>142</v>
      </c>
      <c r="E1157" s="109"/>
      <c r="F1157" s="109">
        <v>454</v>
      </c>
      <c r="G1157" s="109">
        <v>2052</v>
      </c>
      <c r="H1157" s="110">
        <v>2355.1689999999999</v>
      </c>
      <c r="I1157" s="110">
        <v>2256.4760000000001</v>
      </c>
      <c r="J1157" s="110">
        <v>2152.2280000000001</v>
      </c>
      <c r="K1157" s="110">
        <v>2038.088</v>
      </c>
      <c r="L1157" s="110">
        <v>1913.5119999999999</v>
      </c>
      <c r="M1157" s="110">
        <v>1769.7729999999999</v>
      </c>
      <c r="N1157" s="110">
        <v>1608.654</v>
      </c>
      <c r="O1157" s="110">
        <v>1426.317</v>
      </c>
      <c r="P1157" s="110">
        <v>1308.441</v>
      </c>
      <c r="Q1157" s="110">
        <v>1145.6300000000001</v>
      </c>
      <c r="R1157" s="110">
        <v>961.96400000000006</v>
      </c>
      <c r="S1157" s="110">
        <v>813.06700000000001</v>
      </c>
      <c r="T1157" s="110">
        <v>670.76199999999994</v>
      </c>
      <c r="U1157" s="110">
        <v>499.85700000000003</v>
      </c>
      <c r="V1157" s="110">
        <v>346.92099999999999</v>
      </c>
      <c r="W1157" s="110">
        <v>223.30500000000001</v>
      </c>
      <c r="X1157" s="110">
        <v>121.852</v>
      </c>
      <c r="Y1157" s="110">
        <v>53.344000000000001</v>
      </c>
      <c r="Z1157" s="110">
        <v>16.038</v>
      </c>
      <c r="AA1157" s="110">
        <v>2.73</v>
      </c>
      <c r="AB1157" s="110">
        <v>0.14299999999999999</v>
      </c>
      <c r="AC1157" s="115">
        <f t="shared" si="51"/>
        <v>11210.415000000001</v>
      </c>
      <c r="AD1157">
        <f t="shared" si="52"/>
        <v>1.0182172393691977</v>
      </c>
    </row>
    <row r="1158" spans="1:30" x14ac:dyDescent="0.25">
      <c r="A1158" s="104" t="str">
        <f t="shared" si="50"/>
        <v>Malawi2053</v>
      </c>
      <c r="C1158" s="107" t="s">
        <v>257</v>
      </c>
      <c r="D1158" s="108" t="s">
        <v>142</v>
      </c>
      <c r="E1158" s="109"/>
      <c r="F1158" s="109">
        <v>454</v>
      </c>
      <c r="G1158" s="109">
        <v>2053</v>
      </c>
      <c r="H1158" s="110">
        <v>2371.5540000000001</v>
      </c>
      <c r="I1158" s="110">
        <v>2274.9340000000002</v>
      </c>
      <c r="J1158" s="110">
        <v>2173.4589999999998</v>
      </c>
      <c r="K1158" s="110">
        <v>2060.8969999999999</v>
      </c>
      <c r="L1158" s="110">
        <v>1937.9680000000001</v>
      </c>
      <c r="M1158" s="110">
        <v>1798.759</v>
      </c>
      <c r="N1158" s="110">
        <v>1639.796</v>
      </c>
      <c r="O1158" s="110">
        <v>1462.3679999999999</v>
      </c>
      <c r="P1158" s="110">
        <v>1321.0530000000001</v>
      </c>
      <c r="Q1158" s="110">
        <v>1187.9190000000001</v>
      </c>
      <c r="R1158" s="110">
        <v>989.54700000000003</v>
      </c>
      <c r="S1158" s="110">
        <v>839.29899999999998</v>
      </c>
      <c r="T1158" s="110">
        <v>694.33399999999995</v>
      </c>
      <c r="U1158" s="110">
        <v>531.54600000000005</v>
      </c>
      <c r="V1158" s="110">
        <v>364.03500000000003</v>
      </c>
      <c r="W1158" s="110">
        <v>237.43700000000001</v>
      </c>
      <c r="X1158" s="110">
        <v>128.50200000000001</v>
      </c>
      <c r="Y1158" s="110">
        <v>55.816000000000003</v>
      </c>
      <c r="Z1158" s="110">
        <v>16.948</v>
      </c>
      <c r="AA1158" s="110">
        <v>3.19</v>
      </c>
      <c r="AB1158" s="110">
        <v>0.14699999999999999</v>
      </c>
      <c r="AC1158" s="115">
        <f t="shared" si="51"/>
        <v>11408.76</v>
      </c>
      <c r="AD1158">
        <f t="shared" si="52"/>
        <v>1.0176929221621143</v>
      </c>
    </row>
    <row r="1159" spans="1:30" x14ac:dyDescent="0.25">
      <c r="A1159" s="104" t="str">
        <f t="shared" si="50"/>
        <v>Malawi2054</v>
      </c>
      <c r="C1159" s="107" t="s">
        <v>257</v>
      </c>
      <c r="D1159" s="108" t="s">
        <v>142</v>
      </c>
      <c r="E1159" s="109"/>
      <c r="F1159" s="109">
        <v>454</v>
      </c>
      <c r="G1159" s="109">
        <v>2054</v>
      </c>
      <c r="H1159" s="110">
        <v>2387.0709999999999</v>
      </c>
      <c r="I1159" s="110">
        <v>2292.268</v>
      </c>
      <c r="J1159" s="110">
        <v>2194.1280000000002</v>
      </c>
      <c r="K1159" s="110">
        <v>2083.3470000000002</v>
      </c>
      <c r="L1159" s="110">
        <v>1961.904</v>
      </c>
      <c r="M1159" s="110">
        <v>1826.807</v>
      </c>
      <c r="N1159" s="110">
        <v>1670.3889999999999</v>
      </c>
      <c r="O1159" s="110">
        <v>1498.7850000000001</v>
      </c>
      <c r="P1159" s="110">
        <v>1335.9570000000001</v>
      </c>
      <c r="Q1159" s="110">
        <v>1225.876</v>
      </c>
      <c r="R1159" s="110">
        <v>1019.885</v>
      </c>
      <c r="S1159" s="110">
        <v>865.90300000000002</v>
      </c>
      <c r="T1159" s="110">
        <v>718.11199999999997</v>
      </c>
      <c r="U1159" s="110">
        <v>562.89300000000003</v>
      </c>
      <c r="V1159" s="110">
        <v>384.31900000000002</v>
      </c>
      <c r="W1159" s="110">
        <v>252.61500000000001</v>
      </c>
      <c r="X1159" s="110">
        <v>136.435</v>
      </c>
      <c r="Y1159" s="110">
        <v>58.344000000000001</v>
      </c>
      <c r="Z1159" s="110">
        <v>17.157</v>
      </c>
      <c r="AA1159" s="110">
        <v>3.1890000000000001</v>
      </c>
      <c r="AB1159" s="110">
        <v>0.153</v>
      </c>
      <c r="AC1159" s="115">
        <f t="shared" si="51"/>
        <v>11603.065000000001</v>
      </c>
      <c r="AD1159">
        <f t="shared" si="52"/>
        <v>1.0170312111044495</v>
      </c>
    </row>
    <row r="1160" spans="1:30" x14ac:dyDescent="0.25">
      <c r="A1160" s="104" t="str">
        <f t="shared" si="50"/>
        <v>Malawi2055</v>
      </c>
      <c r="C1160" s="107" t="s">
        <v>257</v>
      </c>
      <c r="D1160" s="108" t="s">
        <v>142</v>
      </c>
      <c r="E1160" s="109"/>
      <c r="F1160" s="109">
        <v>454</v>
      </c>
      <c r="G1160" s="109">
        <v>2055</v>
      </c>
      <c r="H1160" s="110">
        <v>2401.8290000000002</v>
      </c>
      <c r="I1160" s="110">
        <v>2308.5219999999999</v>
      </c>
      <c r="J1160" s="110">
        <v>2213.913</v>
      </c>
      <c r="K1160" s="110">
        <v>2105.3960000000002</v>
      </c>
      <c r="L1160" s="110">
        <v>1985.5170000000001</v>
      </c>
      <c r="M1160" s="110">
        <v>1853.8150000000001</v>
      </c>
      <c r="N1160" s="110">
        <v>1700.7650000000001</v>
      </c>
      <c r="O1160" s="110">
        <v>1533.347</v>
      </c>
      <c r="P1160" s="110">
        <v>1356.9580000000001</v>
      </c>
      <c r="Q1160" s="110">
        <v>1256.4580000000001</v>
      </c>
      <c r="R1160" s="110">
        <v>1053.8209999999999</v>
      </c>
      <c r="S1160" s="110">
        <v>892.76800000000003</v>
      </c>
      <c r="T1160" s="110">
        <v>742.87300000000005</v>
      </c>
      <c r="U1160" s="110">
        <v>592.37900000000002</v>
      </c>
      <c r="V1160" s="110">
        <v>408.50099999999998</v>
      </c>
      <c r="W1160" s="110">
        <v>268.63</v>
      </c>
      <c r="X1160" s="110">
        <v>145.928</v>
      </c>
      <c r="Y1160" s="110">
        <v>61.22</v>
      </c>
      <c r="Z1160" s="110">
        <v>16.795000000000002</v>
      </c>
      <c r="AA1160" s="110">
        <v>2.4950000000000001</v>
      </c>
      <c r="AB1160" s="110">
        <v>0.161</v>
      </c>
      <c r="AC1160" s="115">
        <f t="shared" si="51"/>
        <v>11792.256000000003</v>
      </c>
      <c r="AD1160">
        <f t="shared" si="52"/>
        <v>1.0163052607220595</v>
      </c>
    </row>
    <row r="1161" spans="1:30" x14ac:dyDescent="0.25">
      <c r="A1161" s="104" t="str">
        <f t="shared" si="50"/>
        <v>Malawi2056</v>
      </c>
      <c r="C1161" s="107" t="s">
        <v>257</v>
      </c>
      <c r="D1161" s="108" t="s">
        <v>142</v>
      </c>
      <c r="E1161" s="109"/>
      <c r="F1161" s="109">
        <v>454</v>
      </c>
      <c r="G1161" s="109">
        <v>2056</v>
      </c>
      <c r="H1161" s="110">
        <v>2418.3000000000002</v>
      </c>
      <c r="I1161" s="110">
        <v>2326.596</v>
      </c>
      <c r="J1161" s="110">
        <v>2233.5</v>
      </c>
      <c r="K1161" s="110">
        <v>2127.3249999999998</v>
      </c>
      <c r="L1161" s="110">
        <v>2009.097</v>
      </c>
      <c r="M1161" s="110">
        <v>1880.3150000000001</v>
      </c>
      <c r="N1161" s="110">
        <v>1731.193</v>
      </c>
      <c r="O1161" s="110">
        <v>1566.925</v>
      </c>
      <c r="P1161" s="110">
        <v>1383.6769999999999</v>
      </c>
      <c r="Q1161" s="110">
        <v>1280.2719999999999</v>
      </c>
      <c r="R1161" s="110">
        <v>1090.8530000000001</v>
      </c>
      <c r="S1161" s="110">
        <v>919.202</v>
      </c>
      <c r="T1161" s="110">
        <v>766.928</v>
      </c>
      <c r="U1161" s="110">
        <v>617.40700000000004</v>
      </c>
      <c r="V1161" s="110">
        <v>432.25099999999998</v>
      </c>
      <c r="W1161" s="110">
        <v>281.44299999999998</v>
      </c>
      <c r="X1161" s="110">
        <v>154.94399999999999</v>
      </c>
      <c r="Y1161" s="110">
        <v>66.177000000000007</v>
      </c>
      <c r="Z1161" s="110">
        <v>19.376999999999999</v>
      </c>
      <c r="AA1161" s="110">
        <v>2.9590000000000001</v>
      </c>
      <c r="AB1161" s="110">
        <v>0.17199999999999999</v>
      </c>
      <c r="AC1161" s="115">
        <f t="shared" si="51"/>
        <v>11978.804</v>
      </c>
      <c r="AD1161">
        <f t="shared" si="52"/>
        <v>1.0158195344470131</v>
      </c>
    </row>
    <row r="1162" spans="1:30" x14ac:dyDescent="0.25">
      <c r="A1162" s="104" t="str">
        <f t="shared" si="50"/>
        <v>Malawi2057</v>
      </c>
      <c r="C1162" s="107" t="s">
        <v>257</v>
      </c>
      <c r="D1162" s="108" t="s">
        <v>142</v>
      </c>
      <c r="E1162" s="109"/>
      <c r="F1162" s="109">
        <v>454</v>
      </c>
      <c r="G1162" s="109">
        <v>2057</v>
      </c>
      <c r="H1162" s="110">
        <v>2432.5349999999999</v>
      </c>
      <c r="I1162" s="110">
        <v>2344.2060000000001</v>
      </c>
      <c r="J1162" s="110">
        <v>2252.498</v>
      </c>
      <c r="K1162" s="110">
        <v>2148.9899999999998</v>
      </c>
      <c r="L1162" s="110">
        <v>2032.3420000000001</v>
      </c>
      <c r="M1162" s="110">
        <v>1905.7760000000001</v>
      </c>
      <c r="N1162" s="110">
        <v>1761.0530000000001</v>
      </c>
      <c r="O1162" s="110">
        <v>1599.2329999999999</v>
      </c>
      <c r="P1162" s="110">
        <v>1416.076</v>
      </c>
      <c r="Q1162" s="110">
        <v>1296.741</v>
      </c>
      <c r="R1162" s="110">
        <v>1132.086</v>
      </c>
      <c r="S1162" s="110">
        <v>945.63599999999997</v>
      </c>
      <c r="T1162" s="110">
        <v>792.09699999999998</v>
      </c>
      <c r="U1162" s="110">
        <v>641.20699999999999</v>
      </c>
      <c r="V1162" s="110">
        <v>459.87</v>
      </c>
      <c r="W1162" s="110">
        <v>294.892</v>
      </c>
      <c r="X1162" s="110">
        <v>164.93299999999999</v>
      </c>
      <c r="Y1162" s="110">
        <v>70.474000000000004</v>
      </c>
      <c r="Z1162" s="110">
        <v>21.22</v>
      </c>
      <c r="AA1162" s="110">
        <v>3.73</v>
      </c>
      <c r="AB1162" s="110">
        <v>0.186</v>
      </c>
      <c r="AC1162" s="115">
        <f t="shared" si="51"/>
        <v>12160.211000000001</v>
      </c>
      <c r="AD1162">
        <f t="shared" si="52"/>
        <v>1.0151439993508535</v>
      </c>
    </row>
    <row r="1163" spans="1:30" x14ac:dyDescent="0.25">
      <c r="A1163" s="104" t="str">
        <f t="shared" si="50"/>
        <v>Malawi2058</v>
      </c>
      <c r="C1163" s="107" t="s">
        <v>257</v>
      </c>
      <c r="D1163" s="108" t="s">
        <v>142</v>
      </c>
      <c r="E1163" s="109"/>
      <c r="F1163" s="109">
        <v>454</v>
      </c>
      <c r="G1163" s="109">
        <v>2058</v>
      </c>
      <c r="H1163" s="110">
        <v>2445.0279999999998</v>
      </c>
      <c r="I1163" s="110">
        <v>2361.098</v>
      </c>
      <c r="J1163" s="110">
        <v>2270.9180000000001</v>
      </c>
      <c r="K1163" s="110">
        <v>2170.2359999999999</v>
      </c>
      <c r="L1163" s="110">
        <v>2055.221</v>
      </c>
      <c r="M1163" s="110">
        <v>1930.3440000000001</v>
      </c>
      <c r="N1163" s="110">
        <v>1790.145</v>
      </c>
      <c r="O1163" s="110">
        <v>1630.4690000000001</v>
      </c>
      <c r="P1163" s="110">
        <v>1452.1759999999999</v>
      </c>
      <c r="Q1163" s="110">
        <v>1309.549</v>
      </c>
      <c r="R1163" s="110">
        <v>1174.2139999999999</v>
      </c>
      <c r="S1163" s="110">
        <v>973.11</v>
      </c>
      <c r="T1163" s="110">
        <v>818.13499999999999</v>
      </c>
      <c r="U1163" s="110">
        <v>664.45799999999997</v>
      </c>
      <c r="V1163" s="110">
        <v>489.84</v>
      </c>
      <c r="W1163" s="110">
        <v>310.17399999999998</v>
      </c>
      <c r="X1163" s="110">
        <v>175.947</v>
      </c>
      <c r="Y1163" s="110">
        <v>74.308999999999997</v>
      </c>
      <c r="Z1163" s="110">
        <v>22.574000000000002</v>
      </c>
      <c r="AA1163" s="110">
        <v>4.32</v>
      </c>
      <c r="AB1163" s="110">
        <v>0.20200000000000001</v>
      </c>
      <c r="AC1163" s="115">
        <f t="shared" si="51"/>
        <v>12338.14</v>
      </c>
      <c r="AD1163">
        <f t="shared" si="52"/>
        <v>1.0146320651837373</v>
      </c>
    </row>
    <row r="1164" spans="1:30" x14ac:dyDescent="0.25">
      <c r="A1164" s="104" t="str">
        <f t="shared" si="50"/>
        <v>Malawi2059</v>
      </c>
      <c r="C1164" s="107" t="s">
        <v>257</v>
      </c>
      <c r="D1164" s="108" t="s">
        <v>142</v>
      </c>
      <c r="E1164" s="109"/>
      <c r="F1164" s="109">
        <v>454</v>
      </c>
      <c r="G1164" s="109">
        <v>2059</v>
      </c>
      <c r="H1164" s="110">
        <v>2456.48</v>
      </c>
      <c r="I1164" s="110">
        <v>2376.9079999999999</v>
      </c>
      <c r="J1164" s="110">
        <v>2288.7840000000001</v>
      </c>
      <c r="K1164" s="110">
        <v>2190.846</v>
      </c>
      <c r="L1164" s="110">
        <v>2077.6619999999998</v>
      </c>
      <c r="M1164" s="110">
        <v>1954.2719999999999</v>
      </c>
      <c r="N1164" s="110">
        <v>1818.2249999999999</v>
      </c>
      <c r="O1164" s="110">
        <v>1661.162</v>
      </c>
      <c r="P1164" s="110">
        <v>1488.538</v>
      </c>
      <c r="Q1164" s="110">
        <v>1324.693</v>
      </c>
      <c r="R1164" s="110">
        <v>1212.087</v>
      </c>
      <c r="S1164" s="110">
        <v>1003.335</v>
      </c>
      <c r="T1164" s="110">
        <v>844.69500000000005</v>
      </c>
      <c r="U1164" s="110">
        <v>688.298</v>
      </c>
      <c r="V1164" s="110">
        <v>519.89099999999996</v>
      </c>
      <c r="W1164" s="110">
        <v>328.77499999999998</v>
      </c>
      <c r="X1164" s="110">
        <v>187.76300000000001</v>
      </c>
      <c r="Y1164" s="110">
        <v>78.588999999999999</v>
      </c>
      <c r="Z1164" s="110">
        <v>23.166</v>
      </c>
      <c r="AA1164" s="110">
        <v>4.3250000000000002</v>
      </c>
      <c r="AB1164" s="110">
        <v>0.22</v>
      </c>
      <c r="AC1164" s="115">
        <f t="shared" si="51"/>
        <v>12515.397999999999</v>
      </c>
      <c r="AD1164">
        <f t="shared" si="52"/>
        <v>1.0143666711514052</v>
      </c>
    </row>
    <row r="1165" spans="1:30" x14ac:dyDescent="0.25">
      <c r="A1165" s="104" t="str">
        <f t="shared" si="50"/>
        <v>Malawi2060</v>
      </c>
      <c r="C1165" s="107" t="s">
        <v>257</v>
      </c>
      <c r="D1165" s="108" t="s">
        <v>142</v>
      </c>
      <c r="E1165" s="109"/>
      <c r="F1165" s="109">
        <v>454</v>
      </c>
      <c r="G1165" s="109">
        <v>2060</v>
      </c>
      <c r="H1165" s="110">
        <v>2467.5059999999999</v>
      </c>
      <c r="I1165" s="110">
        <v>2391.2159999999999</v>
      </c>
      <c r="J1165" s="110">
        <v>2306.0430000000001</v>
      </c>
      <c r="K1165" s="110">
        <v>2210.6889999999999</v>
      </c>
      <c r="L1165" s="110">
        <v>2099.6210000000001</v>
      </c>
      <c r="M1165" s="110">
        <v>1977.748</v>
      </c>
      <c r="N1165" s="110">
        <v>1845.16</v>
      </c>
      <c r="O1165" s="110">
        <v>1691.5820000000001</v>
      </c>
      <c r="P1165" s="110">
        <v>1522.9880000000001</v>
      </c>
      <c r="Q1165" s="110">
        <v>1345.8689999999999</v>
      </c>
      <c r="R1165" s="110">
        <v>1242.674</v>
      </c>
      <c r="S1165" s="110">
        <v>1037.1400000000001</v>
      </c>
      <c r="T1165" s="110">
        <v>871.62900000000002</v>
      </c>
      <c r="U1165" s="110">
        <v>713.35</v>
      </c>
      <c r="V1165" s="110">
        <v>548.66300000000001</v>
      </c>
      <c r="W1165" s="110">
        <v>351.36799999999999</v>
      </c>
      <c r="X1165" s="110">
        <v>200.40100000000001</v>
      </c>
      <c r="Y1165" s="110">
        <v>83.756</v>
      </c>
      <c r="Z1165" s="110">
        <v>23.192</v>
      </c>
      <c r="AA1165" s="110">
        <v>3.4390000000000001</v>
      </c>
      <c r="AB1165" s="110">
        <v>0.23799999999999999</v>
      </c>
      <c r="AC1165" s="115">
        <f t="shared" si="51"/>
        <v>12693.656999999999</v>
      </c>
      <c r="AD1165">
        <f t="shared" si="52"/>
        <v>1.0142431746876928</v>
      </c>
    </row>
    <row r="1166" spans="1:30" x14ac:dyDescent="0.25">
      <c r="A1166" s="104" t="str">
        <f t="shared" si="50"/>
        <v>Malawi2061</v>
      </c>
      <c r="C1166" s="107" t="s">
        <v>257</v>
      </c>
      <c r="D1166" s="108" t="s">
        <v>142</v>
      </c>
      <c r="E1166" s="109"/>
      <c r="F1166" s="109">
        <v>454</v>
      </c>
      <c r="G1166" s="109">
        <v>2061</v>
      </c>
      <c r="H1166" s="110">
        <v>2479.8429999999998</v>
      </c>
      <c r="I1166" s="110">
        <v>2407.0230000000001</v>
      </c>
      <c r="J1166" s="110">
        <v>2323.777</v>
      </c>
      <c r="K1166" s="110">
        <v>2230.4459999999999</v>
      </c>
      <c r="L1166" s="110">
        <v>2121.848</v>
      </c>
      <c r="M1166" s="110">
        <v>2001.6420000000001</v>
      </c>
      <c r="N1166" s="110">
        <v>1871.873</v>
      </c>
      <c r="O1166" s="110">
        <v>1722.1079999999999</v>
      </c>
      <c r="P1166" s="110">
        <v>1556.7349999999999</v>
      </c>
      <c r="Q1166" s="110">
        <v>1372.59</v>
      </c>
      <c r="R1166" s="110">
        <v>1266.4079999999999</v>
      </c>
      <c r="S1166" s="110">
        <v>1073.856</v>
      </c>
      <c r="T1166" s="110">
        <v>897.42</v>
      </c>
      <c r="U1166" s="110">
        <v>736.26</v>
      </c>
      <c r="V1166" s="110">
        <v>571.43100000000004</v>
      </c>
      <c r="W1166" s="110">
        <v>372.23</v>
      </c>
      <c r="X1166" s="110">
        <v>210.87700000000001</v>
      </c>
      <c r="Y1166" s="110">
        <v>91.414000000000001</v>
      </c>
      <c r="Z1166" s="110">
        <v>26.736000000000001</v>
      </c>
      <c r="AA1166" s="110">
        <v>4.1109999999999998</v>
      </c>
      <c r="AB1166" s="110">
        <v>0.25700000000000001</v>
      </c>
      <c r="AC1166" s="115">
        <f t="shared" si="51"/>
        <v>12877.242</v>
      </c>
      <c r="AD1166">
        <f t="shared" si="52"/>
        <v>1.0144627352070408</v>
      </c>
    </row>
    <row r="1167" spans="1:30" x14ac:dyDescent="0.25">
      <c r="A1167" s="104" t="str">
        <f t="shared" si="50"/>
        <v>Malawi2062</v>
      </c>
      <c r="C1167" s="107" t="s">
        <v>257</v>
      </c>
      <c r="D1167" s="108" t="s">
        <v>142</v>
      </c>
      <c r="E1167" s="109"/>
      <c r="F1167" s="109">
        <v>454</v>
      </c>
      <c r="G1167" s="109">
        <v>2062</v>
      </c>
      <c r="H1167" s="110">
        <v>2490.8490000000002</v>
      </c>
      <c r="I1167" s="110">
        <v>2421.7069999999999</v>
      </c>
      <c r="J1167" s="110">
        <v>2341.105</v>
      </c>
      <c r="K1167" s="110">
        <v>2249.4479999999999</v>
      </c>
      <c r="L1167" s="110">
        <v>2143.6260000000002</v>
      </c>
      <c r="M1167" s="110">
        <v>2025.0509999999999</v>
      </c>
      <c r="N1167" s="110">
        <v>1897.4559999999999</v>
      </c>
      <c r="O1167" s="110">
        <v>1751.99</v>
      </c>
      <c r="P1167" s="110">
        <v>1589.163</v>
      </c>
      <c r="Q1167" s="110">
        <v>1404.941</v>
      </c>
      <c r="R1167" s="110">
        <v>1282.9079999999999</v>
      </c>
      <c r="S1167" s="110">
        <v>1114.8019999999999</v>
      </c>
      <c r="T1167" s="110">
        <v>923.46100000000001</v>
      </c>
      <c r="U1167" s="110">
        <v>760.64800000000002</v>
      </c>
      <c r="V1167" s="110">
        <v>593.66300000000001</v>
      </c>
      <c r="W1167" s="110">
        <v>396.63600000000002</v>
      </c>
      <c r="X1167" s="110">
        <v>221.459</v>
      </c>
      <c r="Y1167" s="110">
        <v>98.602000000000004</v>
      </c>
      <c r="Z1167" s="110">
        <v>29.279</v>
      </c>
      <c r="AA1167" s="110">
        <v>5.2220000000000004</v>
      </c>
      <c r="AB1167" s="110">
        <v>0.27800000000000002</v>
      </c>
      <c r="AC1167" s="115">
        <f t="shared" si="51"/>
        <v>13061.675000000001</v>
      </c>
      <c r="AD1167">
        <f t="shared" si="52"/>
        <v>1.0143223991596959</v>
      </c>
    </row>
    <row r="1168" spans="1:30" x14ac:dyDescent="0.25">
      <c r="A1168" s="104" t="str">
        <f t="shared" si="50"/>
        <v>Malawi2063</v>
      </c>
      <c r="C1168" s="107" t="s">
        <v>257</v>
      </c>
      <c r="D1168" s="108" t="s">
        <v>142</v>
      </c>
      <c r="E1168" s="109"/>
      <c r="F1168" s="109">
        <v>454</v>
      </c>
      <c r="G1168" s="109">
        <v>2063</v>
      </c>
      <c r="H1168" s="110">
        <v>2500.7150000000001</v>
      </c>
      <c r="I1168" s="110">
        <v>2435.069</v>
      </c>
      <c r="J1168" s="110">
        <v>2357.9209999999998</v>
      </c>
      <c r="K1168" s="110">
        <v>2267.7739999999999</v>
      </c>
      <c r="L1168" s="110">
        <v>2164.8620000000001</v>
      </c>
      <c r="M1168" s="110">
        <v>2047.9659999999999</v>
      </c>
      <c r="N1168" s="110">
        <v>1922.0709999999999</v>
      </c>
      <c r="O1168" s="110">
        <v>1781.096</v>
      </c>
      <c r="P1168" s="110">
        <v>1620.421</v>
      </c>
      <c r="Q1168" s="110">
        <v>1440.9970000000001</v>
      </c>
      <c r="R1168" s="110">
        <v>1295.846</v>
      </c>
      <c r="S1168" s="110">
        <v>1156.653</v>
      </c>
      <c r="T1168" s="110">
        <v>950.73599999999999</v>
      </c>
      <c r="U1168" s="110">
        <v>786.25599999999997</v>
      </c>
      <c r="V1168" s="110">
        <v>616.08799999999997</v>
      </c>
      <c r="W1168" s="110">
        <v>423.423</v>
      </c>
      <c r="X1168" s="110">
        <v>233.542</v>
      </c>
      <c r="Y1168" s="110">
        <v>105.10599999999999</v>
      </c>
      <c r="Z1168" s="110">
        <v>31.305</v>
      </c>
      <c r="AA1168" s="110">
        <v>6.0869999999999997</v>
      </c>
      <c r="AB1168" s="110">
        <v>0.3</v>
      </c>
      <c r="AC1168" s="115">
        <f t="shared" si="51"/>
        <v>13245.187</v>
      </c>
      <c r="AD1168">
        <f t="shared" si="52"/>
        <v>1.014049652896738</v>
      </c>
    </row>
    <row r="1169" spans="1:30" x14ac:dyDescent="0.25">
      <c r="A1169" s="104" t="str">
        <f t="shared" si="50"/>
        <v>Malawi2064</v>
      </c>
      <c r="C1169" s="107" t="s">
        <v>257</v>
      </c>
      <c r="D1169" s="108" t="s">
        <v>142</v>
      </c>
      <c r="E1169" s="109"/>
      <c r="F1169" s="109">
        <v>454</v>
      </c>
      <c r="G1169" s="109">
        <v>2064</v>
      </c>
      <c r="H1169" s="110">
        <v>2509.518</v>
      </c>
      <c r="I1169" s="110">
        <v>2447.0450000000001</v>
      </c>
      <c r="J1169" s="110">
        <v>2373.9639999999999</v>
      </c>
      <c r="K1169" s="110">
        <v>2285.587</v>
      </c>
      <c r="L1169" s="110">
        <v>2185.41</v>
      </c>
      <c r="M1169" s="110">
        <v>2070.357</v>
      </c>
      <c r="N1169" s="110">
        <v>1946.001</v>
      </c>
      <c r="O1169" s="110">
        <v>1809.2249999999999</v>
      </c>
      <c r="P1169" s="110">
        <v>1651.0640000000001</v>
      </c>
      <c r="Q1169" s="110">
        <v>1477.375</v>
      </c>
      <c r="R1169" s="110">
        <v>1311.1759999999999</v>
      </c>
      <c r="S1169" s="110">
        <v>1194.3140000000001</v>
      </c>
      <c r="T1169" s="110">
        <v>980.91</v>
      </c>
      <c r="U1169" s="110">
        <v>812.76</v>
      </c>
      <c r="V1169" s="110">
        <v>639.72299999999996</v>
      </c>
      <c r="W1169" s="110">
        <v>450.74400000000003</v>
      </c>
      <c r="X1169" s="110">
        <v>248.578</v>
      </c>
      <c r="Y1169" s="110">
        <v>111.687</v>
      </c>
      <c r="Z1169" s="110">
        <v>32.503999999999998</v>
      </c>
      <c r="AA1169" s="110">
        <v>6.1630000000000003</v>
      </c>
      <c r="AB1169" s="110">
        <v>0.32600000000000001</v>
      </c>
      <c r="AC1169" s="115">
        <f t="shared" si="51"/>
        <v>13425.019</v>
      </c>
      <c r="AD1169">
        <f t="shared" si="52"/>
        <v>1.0135771582537869</v>
      </c>
    </row>
    <row r="1170" spans="1:30" x14ac:dyDescent="0.25">
      <c r="A1170" s="104" t="str">
        <f t="shared" si="50"/>
        <v>Malawi2065</v>
      </c>
      <c r="C1170" s="107" t="s">
        <v>257</v>
      </c>
      <c r="D1170" s="108" t="s">
        <v>142</v>
      </c>
      <c r="E1170" s="109"/>
      <c r="F1170" s="109">
        <v>454</v>
      </c>
      <c r="G1170" s="109">
        <v>2065</v>
      </c>
      <c r="H1170" s="110">
        <v>2517.433</v>
      </c>
      <c r="I1170" s="110">
        <v>2457.6550000000002</v>
      </c>
      <c r="J1170" s="110">
        <v>2388.8879999999999</v>
      </c>
      <c r="K1170" s="110">
        <v>2302.9650000000001</v>
      </c>
      <c r="L1170" s="110">
        <v>2205.1819999999998</v>
      </c>
      <c r="M1170" s="110">
        <v>2092.2069999999999</v>
      </c>
      <c r="N1170" s="110">
        <v>1969.442</v>
      </c>
      <c r="O1170" s="110">
        <v>1836.22</v>
      </c>
      <c r="P1170" s="110">
        <v>1681.414</v>
      </c>
      <c r="Q1170" s="110">
        <v>1511.884</v>
      </c>
      <c r="R1170" s="110">
        <v>1332.5429999999999</v>
      </c>
      <c r="S1170" s="110">
        <v>1224.829</v>
      </c>
      <c r="T1170" s="110">
        <v>1014.768</v>
      </c>
      <c r="U1170" s="110">
        <v>839.99699999999996</v>
      </c>
      <c r="V1170" s="110">
        <v>665.02099999999996</v>
      </c>
      <c r="W1170" s="110">
        <v>477.541</v>
      </c>
      <c r="X1170" s="110">
        <v>267.24</v>
      </c>
      <c r="Y1170" s="110">
        <v>118.685</v>
      </c>
      <c r="Z1170" s="110">
        <v>33.290999999999997</v>
      </c>
      <c r="AA1170" s="110">
        <v>5.0510000000000002</v>
      </c>
      <c r="AB1170" s="110">
        <v>0.35399999999999998</v>
      </c>
      <c r="AC1170" s="115">
        <f t="shared" si="51"/>
        <v>13599.313999999998</v>
      </c>
      <c r="AD1170">
        <f t="shared" si="52"/>
        <v>1.0129828494097475</v>
      </c>
    </row>
    <row r="1171" spans="1:30" x14ac:dyDescent="0.25">
      <c r="A1171" s="104" t="str">
        <f t="shared" si="50"/>
        <v>Malawi2066</v>
      </c>
      <c r="C1171" s="107" t="s">
        <v>257</v>
      </c>
      <c r="D1171" s="108" t="s">
        <v>142</v>
      </c>
      <c r="E1171" s="109"/>
      <c r="F1171" s="109">
        <v>454</v>
      </c>
      <c r="G1171" s="109">
        <v>2066</v>
      </c>
      <c r="H1171" s="110">
        <v>2526.9749999999999</v>
      </c>
      <c r="I1171" s="110">
        <v>2470.096</v>
      </c>
      <c r="J1171" s="110">
        <v>2404.009</v>
      </c>
      <c r="K1171" s="110">
        <v>2320.7869999999998</v>
      </c>
      <c r="L1171" s="110">
        <v>2225.1280000000002</v>
      </c>
      <c r="M1171" s="110">
        <v>2114.643</v>
      </c>
      <c r="N1171" s="110">
        <v>1993.462</v>
      </c>
      <c r="O1171" s="110">
        <v>1862.9549999999999</v>
      </c>
      <c r="P1171" s="110">
        <v>1712.0309999999999</v>
      </c>
      <c r="Q1171" s="110">
        <v>1545.4870000000001</v>
      </c>
      <c r="R1171" s="110">
        <v>1359.1780000000001</v>
      </c>
      <c r="S1171" s="110">
        <v>1248.3440000000001</v>
      </c>
      <c r="T1171" s="110">
        <v>1050.625</v>
      </c>
      <c r="U1171" s="110">
        <v>864.43</v>
      </c>
      <c r="V1171" s="110">
        <v>685.99</v>
      </c>
      <c r="W1171" s="110">
        <v>496.97800000000001</v>
      </c>
      <c r="X1171" s="110">
        <v>284.61599999999999</v>
      </c>
      <c r="Y1171" s="110">
        <v>127.705</v>
      </c>
      <c r="Z1171" s="110">
        <v>38.68</v>
      </c>
      <c r="AA1171" s="110">
        <v>6.04</v>
      </c>
      <c r="AB1171" s="110">
        <v>0.38600000000000001</v>
      </c>
      <c r="AC1171" s="115">
        <f t="shared" si="51"/>
        <v>13774.493000000002</v>
      </c>
      <c r="AD1171">
        <f t="shared" si="52"/>
        <v>1.012881458579455</v>
      </c>
    </row>
    <row r="1172" spans="1:30" x14ac:dyDescent="0.25">
      <c r="A1172" s="104" t="str">
        <f t="shared" si="50"/>
        <v>Malawi2067</v>
      </c>
      <c r="C1172" s="107" t="s">
        <v>257</v>
      </c>
      <c r="D1172" s="108" t="s">
        <v>142</v>
      </c>
      <c r="E1172" s="109"/>
      <c r="F1172" s="109">
        <v>454</v>
      </c>
      <c r="G1172" s="109">
        <v>2067</v>
      </c>
      <c r="H1172" s="110">
        <v>2534.6819999999998</v>
      </c>
      <c r="I1172" s="110">
        <v>2481.576</v>
      </c>
      <c r="J1172" s="110">
        <v>2418.248</v>
      </c>
      <c r="K1172" s="110">
        <v>2338.1950000000002</v>
      </c>
      <c r="L1172" s="110">
        <v>2244.2510000000002</v>
      </c>
      <c r="M1172" s="110">
        <v>2136.5889999999999</v>
      </c>
      <c r="N1172" s="110">
        <v>2017.0070000000001</v>
      </c>
      <c r="O1172" s="110">
        <v>1888.5889999999999</v>
      </c>
      <c r="P1172" s="110">
        <v>1742.027</v>
      </c>
      <c r="Q1172" s="110">
        <v>1577.857</v>
      </c>
      <c r="R1172" s="110">
        <v>1391.4559999999999</v>
      </c>
      <c r="S1172" s="110">
        <v>1264.8979999999999</v>
      </c>
      <c r="T1172" s="110">
        <v>1090.9860000000001</v>
      </c>
      <c r="U1172" s="110">
        <v>889.63599999999997</v>
      </c>
      <c r="V1172" s="110">
        <v>708.91300000000001</v>
      </c>
      <c r="W1172" s="110">
        <v>516.53700000000003</v>
      </c>
      <c r="X1172" s="110">
        <v>304.25599999999997</v>
      </c>
      <c r="Y1172" s="110">
        <v>135.429</v>
      </c>
      <c r="Z1172" s="110">
        <v>42.771999999999998</v>
      </c>
      <c r="AA1172" s="110">
        <v>7.6390000000000002</v>
      </c>
      <c r="AB1172" s="110">
        <v>0.42299999999999999</v>
      </c>
      <c r="AC1172" s="115">
        <f t="shared" si="51"/>
        <v>13944.514999999999</v>
      </c>
      <c r="AD1172">
        <f t="shared" si="52"/>
        <v>1.0123432492215865</v>
      </c>
    </row>
    <row r="1173" spans="1:30" x14ac:dyDescent="0.25">
      <c r="A1173" s="104" t="str">
        <f t="shared" si="50"/>
        <v>Malawi2068</v>
      </c>
      <c r="C1173" s="107" t="s">
        <v>257</v>
      </c>
      <c r="D1173" s="108" t="s">
        <v>142</v>
      </c>
      <c r="E1173" s="109"/>
      <c r="F1173" s="109">
        <v>454</v>
      </c>
      <c r="G1173" s="109">
        <v>2068</v>
      </c>
      <c r="H1173" s="110">
        <v>2540.8389999999999</v>
      </c>
      <c r="I1173" s="110">
        <v>2491.9009999999998</v>
      </c>
      <c r="J1173" s="110">
        <v>2431.6039999999998</v>
      </c>
      <c r="K1173" s="110">
        <v>2355.0219999999999</v>
      </c>
      <c r="L1173" s="110">
        <v>2262.636</v>
      </c>
      <c r="M1173" s="110">
        <v>2157.9209999999998</v>
      </c>
      <c r="N1173" s="110">
        <v>2040.028</v>
      </c>
      <c r="O1173" s="110">
        <v>1913.297</v>
      </c>
      <c r="P1173" s="110">
        <v>1771.203</v>
      </c>
      <c r="Q1173" s="110">
        <v>1609.155</v>
      </c>
      <c r="R1173" s="110">
        <v>1427.454</v>
      </c>
      <c r="S1173" s="110">
        <v>1278.038</v>
      </c>
      <c r="T1173" s="110">
        <v>1132.482</v>
      </c>
      <c r="U1173" s="110">
        <v>916.53099999999995</v>
      </c>
      <c r="V1173" s="110">
        <v>733.58</v>
      </c>
      <c r="W1173" s="110">
        <v>537.18499999999995</v>
      </c>
      <c r="X1173" s="110">
        <v>325.61700000000002</v>
      </c>
      <c r="Y1173" s="110">
        <v>142.619</v>
      </c>
      <c r="Z1173" s="110">
        <v>46.064</v>
      </c>
      <c r="AA1173" s="110">
        <v>8.9109999999999996</v>
      </c>
      <c r="AB1173" s="110">
        <v>0.46300000000000002</v>
      </c>
      <c r="AC1173" s="115">
        <f t="shared" si="51"/>
        <v>14109.262000000001</v>
      </c>
      <c r="AD1173">
        <f t="shared" si="52"/>
        <v>1.0118144661180402</v>
      </c>
    </row>
    <row r="1174" spans="1:30" x14ac:dyDescent="0.25">
      <c r="A1174" s="104" t="str">
        <f t="shared" si="50"/>
        <v>Malawi2069</v>
      </c>
      <c r="C1174" s="107" t="s">
        <v>257</v>
      </c>
      <c r="D1174" s="108" t="s">
        <v>142</v>
      </c>
      <c r="E1174" s="109"/>
      <c r="F1174" s="109">
        <v>454</v>
      </c>
      <c r="G1174" s="109">
        <v>2069</v>
      </c>
      <c r="H1174" s="110">
        <v>2545.8049999999998</v>
      </c>
      <c r="I1174" s="110">
        <v>2500.8719999999998</v>
      </c>
      <c r="J1174" s="110">
        <v>2444.0459999999998</v>
      </c>
      <c r="K1174" s="110">
        <v>2371.0079999999998</v>
      </c>
      <c r="L1174" s="110">
        <v>2280.4349999999999</v>
      </c>
      <c r="M1174" s="110">
        <v>2178.4630000000002</v>
      </c>
      <c r="N1174" s="110">
        <v>2062.4589999999998</v>
      </c>
      <c r="O1174" s="110">
        <v>1937.3309999999999</v>
      </c>
      <c r="P1174" s="110">
        <v>1799.317</v>
      </c>
      <c r="Q1174" s="110">
        <v>1639.8869999999999</v>
      </c>
      <c r="R1174" s="110">
        <v>1463.798</v>
      </c>
      <c r="S1174" s="110">
        <v>1293.585</v>
      </c>
      <c r="T1174" s="110">
        <v>1170.029</v>
      </c>
      <c r="U1174" s="110">
        <v>946.702</v>
      </c>
      <c r="V1174" s="110">
        <v>759.73800000000006</v>
      </c>
      <c r="W1174" s="110">
        <v>559.79</v>
      </c>
      <c r="X1174" s="110">
        <v>347.5</v>
      </c>
      <c r="Y1174" s="110">
        <v>151.42099999999999</v>
      </c>
      <c r="Z1174" s="110">
        <v>48.106999999999999</v>
      </c>
      <c r="AA1174" s="110">
        <v>9.1159999999999997</v>
      </c>
      <c r="AB1174" s="110">
        <v>0.50900000000000001</v>
      </c>
      <c r="AC1174" s="115">
        <f t="shared" si="51"/>
        <v>14268.9</v>
      </c>
      <c r="AD1174">
        <f t="shared" si="52"/>
        <v>1.011314411767249</v>
      </c>
    </row>
    <row r="1175" spans="1:30" x14ac:dyDescent="0.25">
      <c r="A1175" s="104" t="str">
        <f t="shared" si="50"/>
        <v>Malawi2070</v>
      </c>
      <c r="C1175" s="107" t="s">
        <v>257</v>
      </c>
      <c r="D1175" s="108" t="s">
        <v>142</v>
      </c>
      <c r="E1175" s="109"/>
      <c r="F1175" s="109">
        <v>454</v>
      </c>
      <c r="G1175" s="109">
        <v>2070</v>
      </c>
      <c r="H1175" s="110">
        <v>2549.9319999999998</v>
      </c>
      <c r="I1175" s="110">
        <v>2508.2979999999998</v>
      </c>
      <c r="J1175" s="110">
        <v>2455.4540000000002</v>
      </c>
      <c r="K1175" s="110">
        <v>2385.982</v>
      </c>
      <c r="L1175" s="110">
        <v>2297.7339999999999</v>
      </c>
      <c r="M1175" s="110">
        <v>2198.1170000000002</v>
      </c>
      <c r="N1175" s="110">
        <v>2084.259</v>
      </c>
      <c r="O1175" s="110">
        <v>1960.83</v>
      </c>
      <c r="P1175" s="110">
        <v>1826.248</v>
      </c>
      <c r="Q1175" s="110">
        <v>1670.3119999999999</v>
      </c>
      <c r="R1175" s="110">
        <v>1498.3150000000001</v>
      </c>
      <c r="S1175" s="110">
        <v>1315.115</v>
      </c>
      <c r="T1175" s="110">
        <v>1200.6690000000001</v>
      </c>
      <c r="U1175" s="110">
        <v>980.851</v>
      </c>
      <c r="V1175" s="110">
        <v>787.24099999999999</v>
      </c>
      <c r="W1175" s="110">
        <v>584.58399999999995</v>
      </c>
      <c r="X1175" s="110">
        <v>369.41</v>
      </c>
      <c r="Y1175" s="110">
        <v>162.79300000000001</v>
      </c>
      <c r="Z1175" s="110">
        <v>49.343000000000004</v>
      </c>
      <c r="AA1175" s="110">
        <v>7.7149999999999999</v>
      </c>
      <c r="AB1175" s="110">
        <v>0.55900000000000005</v>
      </c>
      <c r="AC1175" s="115">
        <f t="shared" si="51"/>
        <v>14423.482</v>
      </c>
      <c r="AD1175">
        <f t="shared" si="52"/>
        <v>1.0108334910189294</v>
      </c>
    </row>
    <row r="1176" spans="1:30" x14ac:dyDescent="0.25">
      <c r="A1176" s="104" t="str">
        <f t="shared" si="50"/>
        <v>Malawi2071</v>
      </c>
      <c r="C1176" s="107" t="s">
        <v>257</v>
      </c>
      <c r="D1176" s="108" t="s">
        <v>142</v>
      </c>
      <c r="E1176" s="109"/>
      <c r="F1176" s="109">
        <v>454</v>
      </c>
      <c r="G1176" s="109">
        <v>2071</v>
      </c>
      <c r="H1176" s="110">
        <v>2555.712</v>
      </c>
      <c r="I1176" s="110">
        <v>2517.4940000000001</v>
      </c>
      <c r="J1176" s="110">
        <v>2467.4349999999999</v>
      </c>
      <c r="K1176" s="110">
        <v>2401.1990000000001</v>
      </c>
      <c r="L1176" s="110">
        <v>2315.7649999999999</v>
      </c>
      <c r="M1176" s="110">
        <v>2218.2890000000002</v>
      </c>
      <c r="N1176" s="110">
        <v>2106.835</v>
      </c>
      <c r="O1176" s="110">
        <v>1984.893</v>
      </c>
      <c r="P1176" s="110">
        <v>1853.0909999999999</v>
      </c>
      <c r="Q1176" s="110">
        <v>1700.8050000000001</v>
      </c>
      <c r="R1176" s="110">
        <v>1531.712</v>
      </c>
      <c r="S1176" s="110">
        <v>1341.575</v>
      </c>
      <c r="T1176" s="110">
        <v>1223.4059999999999</v>
      </c>
      <c r="U1176" s="110">
        <v>1014.973</v>
      </c>
      <c r="V1176" s="110">
        <v>809.34699999999998</v>
      </c>
      <c r="W1176" s="110">
        <v>602.59400000000005</v>
      </c>
      <c r="X1176" s="110">
        <v>385.22</v>
      </c>
      <c r="Y1176" s="110">
        <v>177.49299999999999</v>
      </c>
      <c r="Z1176" s="110">
        <v>56.081000000000003</v>
      </c>
      <c r="AA1176" s="110">
        <v>9.3059999999999992</v>
      </c>
      <c r="AB1176" s="110">
        <v>0.61499999999999999</v>
      </c>
      <c r="AC1176" s="115">
        <f t="shared" si="51"/>
        <v>14580.877</v>
      </c>
      <c r="AD1176">
        <f t="shared" si="52"/>
        <v>1.0109124135212288</v>
      </c>
    </row>
    <row r="1177" spans="1:30" x14ac:dyDescent="0.25">
      <c r="A1177" s="104" t="str">
        <f t="shared" ref="A1177:A1240" si="53">D1177&amp;G1177</f>
        <v>Malawi2072</v>
      </c>
      <c r="C1177" s="107" t="s">
        <v>257</v>
      </c>
      <c r="D1177" s="108" t="s">
        <v>142</v>
      </c>
      <c r="E1177" s="109"/>
      <c r="F1177" s="109">
        <v>454</v>
      </c>
      <c r="G1177" s="109">
        <v>2072</v>
      </c>
      <c r="H1177" s="110">
        <v>2559.806</v>
      </c>
      <c r="I1177" s="110">
        <v>2525.5369999999998</v>
      </c>
      <c r="J1177" s="110">
        <v>2478.585</v>
      </c>
      <c r="K1177" s="110">
        <v>2415.4560000000001</v>
      </c>
      <c r="L1177" s="110">
        <v>2333.2710000000002</v>
      </c>
      <c r="M1177" s="110">
        <v>2237.549</v>
      </c>
      <c r="N1177" s="110">
        <v>2128.89</v>
      </c>
      <c r="O1177" s="110">
        <v>2008.4590000000001</v>
      </c>
      <c r="P1177" s="110">
        <v>1878.8230000000001</v>
      </c>
      <c r="Q1177" s="110">
        <v>1730.7249999999999</v>
      </c>
      <c r="R1177" s="110">
        <v>1563.9490000000001</v>
      </c>
      <c r="S1177" s="110">
        <v>1373.7180000000001</v>
      </c>
      <c r="T1177" s="110">
        <v>1239.7270000000001</v>
      </c>
      <c r="U1177" s="110">
        <v>1054.0840000000001</v>
      </c>
      <c r="V1177" s="110">
        <v>832.86900000000003</v>
      </c>
      <c r="W1177" s="110">
        <v>622.75300000000004</v>
      </c>
      <c r="X1177" s="110">
        <v>400.95</v>
      </c>
      <c r="Y1177" s="110">
        <v>191.71199999999999</v>
      </c>
      <c r="Z1177" s="110">
        <v>60.654000000000003</v>
      </c>
      <c r="AA1177" s="110">
        <v>11.776999999999999</v>
      </c>
      <c r="AB1177" s="110">
        <v>0.67700000000000005</v>
      </c>
      <c r="AC1177" s="115">
        <f t="shared" si="51"/>
        <v>14733.173000000003</v>
      </c>
      <c r="AD1177">
        <f t="shared" si="52"/>
        <v>1.0104449135672704</v>
      </c>
    </row>
    <row r="1178" spans="1:30" x14ac:dyDescent="0.25">
      <c r="A1178" s="104" t="str">
        <f t="shared" si="53"/>
        <v>Malawi2073</v>
      </c>
      <c r="C1178" s="107" t="s">
        <v>257</v>
      </c>
      <c r="D1178" s="108" t="s">
        <v>142</v>
      </c>
      <c r="E1178" s="109"/>
      <c r="F1178" s="109">
        <v>454</v>
      </c>
      <c r="G1178" s="109">
        <v>2073</v>
      </c>
      <c r="H1178" s="110">
        <v>2562.5100000000002</v>
      </c>
      <c r="I1178" s="110">
        <v>2532.2600000000002</v>
      </c>
      <c r="J1178" s="110">
        <v>2488.8609999999999</v>
      </c>
      <c r="K1178" s="110">
        <v>2428.7629999999999</v>
      </c>
      <c r="L1178" s="110">
        <v>2350.1129999999998</v>
      </c>
      <c r="M1178" s="110">
        <v>2255.9879999999998</v>
      </c>
      <c r="N1178" s="110">
        <v>2150.2890000000002</v>
      </c>
      <c r="O1178" s="110">
        <v>2031.528</v>
      </c>
      <c r="P1178" s="110">
        <v>1903.57</v>
      </c>
      <c r="Q1178" s="110">
        <v>1759.8969999999999</v>
      </c>
      <c r="R1178" s="110">
        <v>1595.1969999999999</v>
      </c>
      <c r="S1178" s="110">
        <v>1409.5550000000001</v>
      </c>
      <c r="T1178" s="110">
        <v>1253.0540000000001</v>
      </c>
      <c r="U1178" s="110">
        <v>1094.82</v>
      </c>
      <c r="V1178" s="110">
        <v>858.72</v>
      </c>
      <c r="W1178" s="110">
        <v>645.26</v>
      </c>
      <c r="X1178" s="110">
        <v>417.988</v>
      </c>
      <c r="Y1178" s="110">
        <v>204.69300000000001</v>
      </c>
      <c r="Z1178" s="110">
        <v>64.460999999999999</v>
      </c>
      <c r="AA1178" s="110">
        <v>13.711</v>
      </c>
      <c r="AB1178" s="110">
        <v>0.747</v>
      </c>
      <c r="AC1178" s="115">
        <f t="shared" ref="AC1178:AC1241" si="54">SUM(K1178:Q1178)</f>
        <v>14880.148000000001</v>
      </c>
      <c r="AD1178">
        <f t="shared" ref="AD1178:AD1241" si="55">IF(D1178=D1177,AC1178/AC1177,"")</f>
        <v>1.0099757872930697</v>
      </c>
    </row>
    <row r="1179" spans="1:30" x14ac:dyDescent="0.25">
      <c r="A1179" s="104" t="str">
        <f t="shared" si="53"/>
        <v>Malawi2074</v>
      </c>
      <c r="C1179" s="107" t="s">
        <v>257</v>
      </c>
      <c r="D1179" s="108" t="s">
        <v>142</v>
      </c>
      <c r="E1179" s="109"/>
      <c r="F1179" s="109">
        <v>454</v>
      </c>
      <c r="G1179" s="109">
        <v>2074</v>
      </c>
      <c r="H1179" s="110">
        <v>2564.1529999999998</v>
      </c>
      <c r="I1179" s="110">
        <v>2537.5500000000002</v>
      </c>
      <c r="J1179" s="110">
        <v>2498.134</v>
      </c>
      <c r="K1179" s="110">
        <v>2441.1640000000002</v>
      </c>
      <c r="L1179" s="110">
        <v>2366.0720000000001</v>
      </c>
      <c r="M1179" s="110">
        <v>2273.7669999999998</v>
      </c>
      <c r="N1179" s="110">
        <v>2170.857</v>
      </c>
      <c r="O1179" s="110">
        <v>2054.04</v>
      </c>
      <c r="P1179" s="110">
        <v>1927.588</v>
      </c>
      <c r="Q1179" s="110">
        <v>1788.08</v>
      </c>
      <c r="R1179" s="110">
        <v>1625.9480000000001</v>
      </c>
      <c r="S1179" s="110">
        <v>1445.748</v>
      </c>
      <c r="T1179" s="110">
        <v>1269.0250000000001</v>
      </c>
      <c r="U1179" s="110">
        <v>1132.1610000000001</v>
      </c>
      <c r="V1179" s="110">
        <v>888.48900000000003</v>
      </c>
      <c r="W1179" s="110">
        <v>670.08900000000006</v>
      </c>
      <c r="X1179" s="110">
        <v>437.11799999999999</v>
      </c>
      <c r="Y1179" s="110">
        <v>217.61600000000001</v>
      </c>
      <c r="Z1179" s="110">
        <v>67.269000000000005</v>
      </c>
      <c r="AA1179" s="110">
        <v>14.036</v>
      </c>
      <c r="AB1179" s="110">
        <v>0.82399999999999995</v>
      </c>
      <c r="AC1179" s="115">
        <f t="shared" si="54"/>
        <v>15021.568000000001</v>
      </c>
      <c r="AD1179">
        <f t="shared" si="55"/>
        <v>1.0095039377296515</v>
      </c>
    </row>
    <row r="1180" spans="1:30" x14ac:dyDescent="0.25">
      <c r="A1180" s="104" t="str">
        <f t="shared" si="53"/>
        <v>Malawi2075</v>
      </c>
      <c r="C1180" s="107" t="s">
        <v>257</v>
      </c>
      <c r="D1180" s="108" t="s">
        <v>142</v>
      </c>
      <c r="E1180" s="109"/>
      <c r="F1180" s="109">
        <v>454</v>
      </c>
      <c r="G1180" s="109">
        <v>2075</v>
      </c>
      <c r="H1180" s="110">
        <v>2565.058</v>
      </c>
      <c r="I1180" s="110">
        <v>2541.3229999999999</v>
      </c>
      <c r="J1180" s="110">
        <v>2506.1990000000001</v>
      </c>
      <c r="K1180" s="110">
        <v>2452.6750000000002</v>
      </c>
      <c r="L1180" s="110">
        <v>2380.9989999999998</v>
      </c>
      <c r="M1180" s="110">
        <v>2290.9830000000002</v>
      </c>
      <c r="N1180" s="110">
        <v>2190.491</v>
      </c>
      <c r="O1180" s="110">
        <v>2075.924</v>
      </c>
      <c r="P1180" s="110">
        <v>1951.06</v>
      </c>
      <c r="Q1180" s="110">
        <v>1815.114</v>
      </c>
      <c r="R1180" s="110">
        <v>1656.44</v>
      </c>
      <c r="S1180" s="110">
        <v>1480.19</v>
      </c>
      <c r="T1180" s="110">
        <v>1291.0409999999999</v>
      </c>
      <c r="U1180" s="110">
        <v>1163.173</v>
      </c>
      <c r="V1180" s="110">
        <v>922.84900000000005</v>
      </c>
      <c r="W1180" s="110">
        <v>697.10599999999999</v>
      </c>
      <c r="X1180" s="110">
        <v>458.52100000000002</v>
      </c>
      <c r="Y1180" s="110">
        <v>230.66399999999999</v>
      </c>
      <c r="Z1180" s="110">
        <v>70.317999999999998</v>
      </c>
      <c r="AA1180" s="110">
        <v>12.036</v>
      </c>
      <c r="AB1180" s="110">
        <v>0.91100000000000003</v>
      </c>
      <c r="AC1180" s="115">
        <f t="shared" si="54"/>
        <v>15157.245999999999</v>
      </c>
      <c r="AD1180">
        <f t="shared" si="55"/>
        <v>1.0090322128821703</v>
      </c>
    </row>
    <row r="1181" spans="1:30" x14ac:dyDescent="0.25">
      <c r="A1181" s="104" t="str">
        <f t="shared" si="53"/>
        <v>Malawi2076</v>
      </c>
      <c r="C1181" s="107" t="s">
        <v>257</v>
      </c>
      <c r="D1181" s="108" t="s">
        <v>142</v>
      </c>
      <c r="E1181" s="109"/>
      <c r="F1181" s="109">
        <v>454</v>
      </c>
      <c r="G1181" s="109">
        <v>2076</v>
      </c>
      <c r="H1181" s="110">
        <v>2567.703</v>
      </c>
      <c r="I1181" s="110">
        <v>2546.973</v>
      </c>
      <c r="J1181" s="110">
        <v>2514.8530000000001</v>
      </c>
      <c r="K1181" s="110">
        <v>2464.7089999999998</v>
      </c>
      <c r="L1181" s="110">
        <v>2396.373</v>
      </c>
      <c r="M1181" s="110">
        <v>2309.1840000000002</v>
      </c>
      <c r="N1181" s="110">
        <v>2210.7539999999999</v>
      </c>
      <c r="O1181" s="110">
        <v>2098.5059999999999</v>
      </c>
      <c r="P1181" s="110">
        <v>1975.202</v>
      </c>
      <c r="Q1181" s="110">
        <v>1841.8240000000001</v>
      </c>
      <c r="R1181" s="110">
        <v>1686.7360000000001</v>
      </c>
      <c r="S1181" s="110">
        <v>1513.231</v>
      </c>
      <c r="T1181" s="110">
        <v>1316.8330000000001</v>
      </c>
      <c r="U1181" s="110">
        <v>1184.258</v>
      </c>
      <c r="V1181" s="110">
        <v>954.14400000000001</v>
      </c>
      <c r="W1181" s="110">
        <v>715.93600000000004</v>
      </c>
      <c r="X1181" s="110">
        <v>473.67700000000002</v>
      </c>
      <c r="Y1181" s="110">
        <v>244.84</v>
      </c>
      <c r="Z1181" s="110">
        <v>81.03</v>
      </c>
      <c r="AA1181" s="110">
        <v>14.074999999999999</v>
      </c>
      <c r="AB1181" s="110">
        <v>1.0089999999999999</v>
      </c>
      <c r="AC1181" s="115">
        <f t="shared" si="54"/>
        <v>15296.552</v>
      </c>
      <c r="AD1181">
        <f t="shared" si="55"/>
        <v>1.0091907197389289</v>
      </c>
    </row>
    <row r="1182" spans="1:30" x14ac:dyDescent="0.25">
      <c r="A1182" s="104" t="str">
        <f t="shared" si="53"/>
        <v>Malawi2077</v>
      </c>
      <c r="C1182" s="107" t="s">
        <v>257</v>
      </c>
      <c r="D1182" s="108" t="s">
        <v>142</v>
      </c>
      <c r="E1182" s="109"/>
      <c r="F1182" s="109">
        <v>454</v>
      </c>
      <c r="G1182" s="109">
        <v>2077</v>
      </c>
      <c r="H1182" s="110">
        <v>2569.0189999999998</v>
      </c>
      <c r="I1182" s="110">
        <v>2551.4499999999998</v>
      </c>
      <c r="J1182" s="110">
        <v>2522.5360000000001</v>
      </c>
      <c r="K1182" s="110">
        <v>2475.877</v>
      </c>
      <c r="L1182" s="110">
        <v>2410.7089999999998</v>
      </c>
      <c r="M1182" s="110">
        <v>2326.8110000000001</v>
      </c>
      <c r="N1182" s="110">
        <v>2230.1010000000001</v>
      </c>
      <c r="O1182" s="110">
        <v>2120.5720000000001</v>
      </c>
      <c r="P1182" s="110">
        <v>1998.86</v>
      </c>
      <c r="Q1182" s="110">
        <v>1867.498</v>
      </c>
      <c r="R1182" s="110">
        <v>1716.54</v>
      </c>
      <c r="S1182" s="110">
        <v>1545.3030000000001</v>
      </c>
      <c r="T1182" s="110">
        <v>1348.569</v>
      </c>
      <c r="U1182" s="110">
        <v>1199.913</v>
      </c>
      <c r="V1182" s="110">
        <v>991.03200000000004</v>
      </c>
      <c r="W1182" s="110">
        <v>736.53700000000003</v>
      </c>
      <c r="X1182" s="110">
        <v>490.05900000000003</v>
      </c>
      <c r="Y1182" s="110">
        <v>257.125</v>
      </c>
      <c r="Z1182" s="110">
        <v>88.980999999999995</v>
      </c>
      <c r="AA1182" s="110">
        <v>17.263000000000002</v>
      </c>
      <c r="AB1182" s="110">
        <v>1.1180000000000001</v>
      </c>
      <c r="AC1182" s="115">
        <f t="shared" si="54"/>
        <v>15430.428</v>
      </c>
      <c r="AD1182">
        <f t="shared" si="55"/>
        <v>1.0087520377141201</v>
      </c>
    </row>
    <row r="1183" spans="1:30" x14ac:dyDescent="0.25">
      <c r="A1183" s="104" t="str">
        <f t="shared" si="53"/>
        <v>Malawi2078</v>
      </c>
      <c r="C1183" s="107" t="s">
        <v>257</v>
      </c>
      <c r="D1183" s="108" t="s">
        <v>142</v>
      </c>
      <c r="E1183" s="109"/>
      <c r="F1183" s="109">
        <v>454</v>
      </c>
      <c r="G1183" s="109">
        <v>2078</v>
      </c>
      <c r="H1183" s="110">
        <v>2569.1799999999998</v>
      </c>
      <c r="I1183" s="110">
        <v>2554.6280000000002</v>
      </c>
      <c r="J1183" s="110">
        <v>2529.2469999999998</v>
      </c>
      <c r="K1183" s="110">
        <v>2486.1239999999998</v>
      </c>
      <c r="L1183" s="110">
        <v>2424.0410000000002</v>
      </c>
      <c r="M1183" s="110">
        <v>2343.7179999999998</v>
      </c>
      <c r="N1183" s="110">
        <v>2248.6060000000002</v>
      </c>
      <c r="O1183" s="110">
        <v>2142.0239999999999</v>
      </c>
      <c r="P1183" s="110">
        <v>2021.9839999999999</v>
      </c>
      <c r="Q1183" s="110">
        <v>1892.278</v>
      </c>
      <c r="R1183" s="110">
        <v>1745.683</v>
      </c>
      <c r="S1183" s="110">
        <v>1576.499</v>
      </c>
      <c r="T1183" s="110">
        <v>1384.173</v>
      </c>
      <c r="U1183" s="110">
        <v>1213.433</v>
      </c>
      <c r="V1183" s="110">
        <v>1030.211</v>
      </c>
      <c r="W1183" s="110">
        <v>760.19600000000003</v>
      </c>
      <c r="X1183" s="110">
        <v>508.697</v>
      </c>
      <c r="Y1183" s="110">
        <v>267.89699999999999</v>
      </c>
      <c r="Z1183" s="110">
        <v>95.367999999999995</v>
      </c>
      <c r="AA1183" s="110">
        <v>19.832000000000001</v>
      </c>
      <c r="AB1183" s="110">
        <v>1.238</v>
      </c>
      <c r="AC1183" s="115">
        <f t="shared" si="54"/>
        <v>15558.775</v>
      </c>
      <c r="AD1183">
        <f t="shared" si="55"/>
        <v>1.008317786130106</v>
      </c>
    </row>
    <row r="1184" spans="1:30" x14ac:dyDescent="0.25">
      <c r="A1184" s="104" t="str">
        <f t="shared" si="53"/>
        <v>Malawi2079</v>
      </c>
      <c r="C1184" s="107" t="s">
        <v>257</v>
      </c>
      <c r="D1184" s="108" t="s">
        <v>142</v>
      </c>
      <c r="E1184" s="109"/>
      <c r="F1184" s="109">
        <v>454</v>
      </c>
      <c r="G1184" s="109">
        <v>2079</v>
      </c>
      <c r="H1184" s="110">
        <v>2568.37</v>
      </c>
      <c r="I1184" s="110">
        <v>2556.4609999999998</v>
      </c>
      <c r="J1184" s="110">
        <v>2534.9059999999999</v>
      </c>
      <c r="K1184" s="110">
        <v>2495.373</v>
      </c>
      <c r="L1184" s="110">
        <v>2436.4459999999999</v>
      </c>
      <c r="M1184" s="110">
        <v>2359.69</v>
      </c>
      <c r="N1184" s="110">
        <v>2266.433</v>
      </c>
      <c r="O1184" s="110">
        <v>2162.6930000000002</v>
      </c>
      <c r="P1184" s="110">
        <v>2044.511</v>
      </c>
      <c r="Q1184" s="110">
        <v>1916.414</v>
      </c>
      <c r="R1184" s="110">
        <v>1773.921</v>
      </c>
      <c r="S1184" s="110">
        <v>1607.252</v>
      </c>
      <c r="T1184" s="110">
        <v>1420.335</v>
      </c>
      <c r="U1184" s="110">
        <v>1230.184</v>
      </c>
      <c r="V1184" s="110">
        <v>1066.8869999999999</v>
      </c>
      <c r="W1184" s="110">
        <v>788.64700000000005</v>
      </c>
      <c r="X1184" s="110">
        <v>529.90099999999995</v>
      </c>
      <c r="Y1184" s="110">
        <v>279.54199999999997</v>
      </c>
      <c r="Z1184" s="110">
        <v>99.628</v>
      </c>
      <c r="AA1184" s="110">
        <v>20.37</v>
      </c>
      <c r="AB1184" s="110">
        <v>1.365</v>
      </c>
      <c r="AC1184" s="115">
        <f t="shared" si="54"/>
        <v>15681.56</v>
      </c>
      <c r="AD1184">
        <f t="shared" si="55"/>
        <v>1.0078916881309743</v>
      </c>
    </row>
    <row r="1185" spans="1:30" x14ac:dyDescent="0.25">
      <c r="A1185" s="104" t="str">
        <f t="shared" si="53"/>
        <v>Malawi2080</v>
      </c>
      <c r="C1185" s="107" t="s">
        <v>257</v>
      </c>
      <c r="D1185" s="108" t="s">
        <v>142</v>
      </c>
      <c r="E1185" s="109"/>
      <c r="F1185" s="109">
        <v>454</v>
      </c>
      <c r="G1185" s="109">
        <v>2080</v>
      </c>
      <c r="H1185" s="110">
        <v>2566.8150000000001</v>
      </c>
      <c r="I1185" s="110">
        <v>2556.9409999999998</v>
      </c>
      <c r="J1185" s="110">
        <v>2539.3409999999999</v>
      </c>
      <c r="K1185" s="110">
        <v>2503.5659999999998</v>
      </c>
      <c r="L1185" s="110">
        <v>2447.9580000000001</v>
      </c>
      <c r="M1185" s="110">
        <v>2374.587</v>
      </c>
      <c r="N1185" s="110">
        <v>2283.672</v>
      </c>
      <c r="O1185" s="110">
        <v>2182.442</v>
      </c>
      <c r="P1185" s="110">
        <v>2066.4110000000001</v>
      </c>
      <c r="Q1185" s="110">
        <v>1940.0429999999999</v>
      </c>
      <c r="R1185" s="110">
        <v>1801.08</v>
      </c>
      <c r="S1185" s="110">
        <v>1637.7909999999999</v>
      </c>
      <c r="T1185" s="110">
        <v>1454.9690000000001</v>
      </c>
      <c r="U1185" s="110">
        <v>1253.2909999999999</v>
      </c>
      <c r="V1185" s="110">
        <v>1098.298</v>
      </c>
      <c r="W1185" s="110">
        <v>822.51800000000003</v>
      </c>
      <c r="X1185" s="110">
        <v>553.649</v>
      </c>
      <c r="Y1185" s="110">
        <v>292.89999999999998</v>
      </c>
      <c r="Z1185" s="110">
        <v>102.968</v>
      </c>
      <c r="AA1185" s="110">
        <v>17.856000000000002</v>
      </c>
      <c r="AB1185" s="110">
        <v>1.5</v>
      </c>
      <c r="AC1185" s="115">
        <f t="shared" si="54"/>
        <v>15798.678999999998</v>
      </c>
      <c r="AD1185">
        <f t="shared" si="55"/>
        <v>1.007468580931999</v>
      </c>
    </row>
    <row r="1186" spans="1:30" x14ac:dyDescent="0.25">
      <c r="A1186" s="104" t="str">
        <f t="shared" si="53"/>
        <v>Malawi2081</v>
      </c>
      <c r="C1186" s="107" t="s">
        <v>257</v>
      </c>
      <c r="D1186" s="108" t="s">
        <v>142</v>
      </c>
      <c r="E1186" s="109"/>
      <c r="F1186" s="109">
        <v>454</v>
      </c>
      <c r="G1186" s="109">
        <v>2081</v>
      </c>
      <c r="H1186" s="110">
        <v>2567.3029999999999</v>
      </c>
      <c r="I1186" s="110">
        <v>2559.4609999999998</v>
      </c>
      <c r="J1186" s="110">
        <v>2544.393</v>
      </c>
      <c r="K1186" s="110">
        <v>2512.2249999999999</v>
      </c>
      <c r="L1186" s="110">
        <v>2460.0920000000001</v>
      </c>
      <c r="M1186" s="110">
        <v>2390.0830000000001</v>
      </c>
      <c r="N1186" s="110">
        <v>2301.9290000000001</v>
      </c>
      <c r="O1186" s="110">
        <v>2202.67</v>
      </c>
      <c r="P1186" s="110">
        <v>2089.0329999999999</v>
      </c>
      <c r="Q1186" s="110">
        <v>1964.0429999999999</v>
      </c>
      <c r="R1186" s="110">
        <v>1827.6010000000001</v>
      </c>
      <c r="S1186" s="110">
        <v>1667.7729999999999</v>
      </c>
      <c r="T1186" s="110">
        <v>1487.059</v>
      </c>
      <c r="U1186" s="110">
        <v>1277.7049999999999</v>
      </c>
      <c r="V1186" s="110">
        <v>1116.713</v>
      </c>
      <c r="W1186" s="110">
        <v>849.83</v>
      </c>
      <c r="X1186" s="110">
        <v>569.40499999999997</v>
      </c>
      <c r="Y1186" s="110">
        <v>307.55099999999999</v>
      </c>
      <c r="Z1186" s="110">
        <v>115.02800000000001</v>
      </c>
      <c r="AA1186" s="110">
        <v>21.231000000000002</v>
      </c>
      <c r="AB1186" s="110">
        <v>1.6419999999999999</v>
      </c>
      <c r="AC1186" s="115">
        <f t="shared" si="54"/>
        <v>15920.074999999999</v>
      </c>
      <c r="AD1186">
        <f t="shared" si="55"/>
        <v>1.0076839335744463</v>
      </c>
    </row>
    <row r="1187" spans="1:30" x14ac:dyDescent="0.25">
      <c r="A1187" s="104" t="str">
        <f t="shared" si="53"/>
        <v>Malawi2082</v>
      </c>
      <c r="C1187" s="107" t="s">
        <v>257</v>
      </c>
      <c r="D1187" s="108" t="s">
        <v>142</v>
      </c>
      <c r="E1187" s="109"/>
      <c r="F1187" s="109">
        <v>454</v>
      </c>
      <c r="G1187" s="109">
        <v>2082</v>
      </c>
      <c r="H1187" s="110">
        <v>2566.3240000000001</v>
      </c>
      <c r="I1187" s="110">
        <v>2561.0970000000002</v>
      </c>
      <c r="J1187" s="110">
        <v>2548.4920000000002</v>
      </c>
      <c r="K1187" s="110">
        <v>2519.9349999999999</v>
      </c>
      <c r="L1187" s="110">
        <v>2471.337</v>
      </c>
      <c r="M1187" s="110">
        <v>2404.5390000000002</v>
      </c>
      <c r="N1187" s="110">
        <v>2319.6529999999998</v>
      </c>
      <c r="O1187" s="110">
        <v>2222.0329999999999</v>
      </c>
      <c r="P1187" s="110">
        <v>2111.1889999999999</v>
      </c>
      <c r="Q1187" s="110">
        <v>1987.665</v>
      </c>
      <c r="R1187" s="110">
        <v>1853.2070000000001</v>
      </c>
      <c r="S1187" s="110">
        <v>1697.4739999999999</v>
      </c>
      <c r="T1187" s="110">
        <v>1518.7</v>
      </c>
      <c r="U1187" s="110">
        <v>1308.58</v>
      </c>
      <c r="V1187" s="110">
        <v>1131.1500000000001</v>
      </c>
      <c r="W1187" s="110">
        <v>882.90700000000004</v>
      </c>
      <c r="X1187" s="110">
        <v>586.03200000000004</v>
      </c>
      <c r="Y1187" s="110">
        <v>320.68599999999998</v>
      </c>
      <c r="Z1187" s="110">
        <v>122.566</v>
      </c>
      <c r="AA1187" s="110">
        <v>26.349</v>
      </c>
      <c r="AB1187" s="110">
        <v>1.7929999999999999</v>
      </c>
      <c r="AC1187" s="115">
        <f t="shared" si="54"/>
        <v>16036.350999999999</v>
      </c>
      <c r="AD1187">
        <f t="shared" si="55"/>
        <v>1.0073037344359244</v>
      </c>
    </row>
    <row r="1188" spans="1:30" x14ac:dyDescent="0.25">
      <c r="A1188" s="104" t="str">
        <f t="shared" si="53"/>
        <v>Malawi2083</v>
      </c>
      <c r="C1188" s="107" t="s">
        <v>257</v>
      </c>
      <c r="D1188" s="108" t="s">
        <v>142</v>
      </c>
      <c r="E1188" s="109"/>
      <c r="F1188" s="109">
        <v>454</v>
      </c>
      <c r="G1188" s="109">
        <v>2083</v>
      </c>
      <c r="H1188" s="110">
        <v>2564.0659999999998</v>
      </c>
      <c r="I1188" s="110">
        <v>2561.7170000000001</v>
      </c>
      <c r="J1188" s="110">
        <v>2551.6590000000001</v>
      </c>
      <c r="K1188" s="110">
        <v>2526.6469999999999</v>
      </c>
      <c r="L1188" s="110">
        <v>2481.6419999999998</v>
      </c>
      <c r="M1188" s="110">
        <v>2417.9639999999999</v>
      </c>
      <c r="N1188" s="110">
        <v>2336.665</v>
      </c>
      <c r="O1188" s="110">
        <v>2240.63</v>
      </c>
      <c r="P1188" s="110">
        <v>2132.723</v>
      </c>
      <c r="Q1188" s="110">
        <v>2010.86</v>
      </c>
      <c r="R1188" s="110">
        <v>1878.0319999999999</v>
      </c>
      <c r="S1188" s="110">
        <v>1726.6220000000001</v>
      </c>
      <c r="T1188" s="110">
        <v>1549.8630000000001</v>
      </c>
      <c r="U1188" s="110">
        <v>1343.7429999999999</v>
      </c>
      <c r="V1188" s="110">
        <v>1144.789</v>
      </c>
      <c r="W1188" s="110">
        <v>918.98699999999997</v>
      </c>
      <c r="X1188" s="110">
        <v>605.73099999999999</v>
      </c>
      <c r="Y1188" s="110">
        <v>332.61799999999999</v>
      </c>
      <c r="Z1188" s="110">
        <v>128.01300000000001</v>
      </c>
      <c r="AA1188" s="110">
        <v>30.289000000000001</v>
      </c>
      <c r="AB1188" s="110">
        <v>1.958</v>
      </c>
      <c r="AC1188" s="115">
        <f t="shared" si="54"/>
        <v>16147.130999999999</v>
      </c>
      <c r="AD1188">
        <f t="shared" si="55"/>
        <v>1.0069080553300436</v>
      </c>
    </row>
    <row r="1189" spans="1:30" x14ac:dyDescent="0.25">
      <c r="A1189" s="104" t="str">
        <f t="shared" si="53"/>
        <v>Malawi2084</v>
      </c>
      <c r="C1189" s="107" t="s">
        <v>257</v>
      </c>
      <c r="D1189" s="108" t="s">
        <v>142</v>
      </c>
      <c r="E1189" s="109"/>
      <c r="F1189" s="109">
        <v>454</v>
      </c>
      <c r="G1189" s="109">
        <v>2084</v>
      </c>
      <c r="H1189" s="110">
        <v>2560.6849999999999</v>
      </c>
      <c r="I1189" s="110">
        <v>2561.1619999999998</v>
      </c>
      <c r="J1189" s="110">
        <v>2553.8870000000002</v>
      </c>
      <c r="K1189" s="110">
        <v>2532.3000000000002</v>
      </c>
      <c r="L1189" s="110">
        <v>2490.9279999999999</v>
      </c>
      <c r="M1189" s="110">
        <v>2430.4090000000001</v>
      </c>
      <c r="N1189" s="110">
        <v>2352.7240000000002</v>
      </c>
      <c r="O1189" s="110">
        <v>2258.5929999999998</v>
      </c>
      <c r="P1189" s="110">
        <v>2153.44</v>
      </c>
      <c r="Q1189" s="110">
        <v>2033.537</v>
      </c>
      <c r="R1189" s="110">
        <v>1902.2929999999999</v>
      </c>
      <c r="S1189" s="110">
        <v>1754.9179999999999</v>
      </c>
      <c r="T1189" s="110">
        <v>1580.8589999999999</v>
      </c>
      <c r="U1189" s="110">
        <v>1379.9559999999999</v>
      </c>
      <c r="V1189" s="110">
        <v>1162.633</v>
      </c>
      <c r="W1189" s="110">
        <v>953.83299999999997</v>
      </c>
      <c r="X1189" s="110">
        <v>630.49099999999999</v>
      </c>
      <c r="Y1189" s="110">
        <v>345.839</v>
      </c>
      <c r="Z1189" s="110">
        <v>131.482</v>
      </c>
      <c r="AA1189" s="110">
        <v>30.969000000000001</v>
      </c>
      <c r="AB1189" s="110">
        <v>2.1429999999999998</v>
      </c>
      <c r="AC1189" s="115">
        <f t="shared" si="54"/>
        <v>16251.931000000002</v>
      </c>
      <c r="AD1189">
        <f t="shared" si="55"/>
        <v>1.0064903170724262</v>
      </c>
    </row>
    <row r="1190" spans="1:30" x14ac:dyDescent="0.25">
      <c r="A1190" s="104" t="str">
        <f t="shared" si="53"/>
        <v>Malawi2085</v>
      </c>
      <c r="C1190" s="107" t="s">
        <v>257</v>
      </c>
      <c r="D1190" s="108" t="s">
        <v>142</v>
      </c>
      <c r="E1190" s="109"/>
      <c r="F1190" s="109">
        <v>454</v>
      </c>
      <c r="G1190" s="109">
        <v>2085</v>
      </c>
      <c r="H1190" s="110">
        <v>2556.3739999999998</v>
      </c>
      <c r="I1190" s="110">
        <v>2559.259</v>
      </c>
      <c r="J1190" s="110">
        <v>2555.0880000000002</v>
      </c>
      <c r="K1190" s="110">
        <v>2536.848</v>
      </c>
      <c r="L1190" s="110">
        <v>2499.125</v>
      </c>
      <c r="M1190" s="110">
        <v>2441.893</v>
      </c>
      <c r="N1190" s="110">
        <v>2367.6550000000002</v>
      </c>
      <c r="O1190" s="110">
        <v>2275.9609999999998</v>
      </c>
      <c r="P1190" s="110">
        <v>2173.2170000000001</v>
      </c>
      <c r="Q1190" s="110">
        <v>2055.6010000000001</v>
      </c>
      <c r="R1190" s="110">
        <v>1926.087</v>
      </c>
      <c r="S1190" s="110">
        <v>1782.18</v>
      </c>
      <c r="T1190" s="110">
        <v>1611.7860000000001</v>
      </c>
      <c r="U1190" s="110">
        <v>1415.1880000000001</v>
      </c>
      <c r="V1190" s="110">
        <v>1187.431</v>
      </c>
      <c r="W1190" s="110">
        <v>985.00599999999997</v>
      </c>
      <c r="X1190" s="110">
        <v>660.923</v>
      </c>
      <c r="Y1190" s="110">
        <v>361.18</v>
      </c>
      <c r="Z1190" s="110">
        <v>134.822</v>
      </c>
      <c r="AA1190" s="110">
        <v>27.152000000000001</v>
      </c>
      <c r="AB1190" s="110">
        <v>2.3540000000000001</v>
      </c>
      <c r="AC1190" s="115">
        <f t="shared" si="54"/>
        <v>16350.300000000001</v>
      </c>
      <c r="AD1190">
        <f t="shared" si="55"/>
        <v>1.0060527576692271</v>
      </c>
    </row>
    <row r="1191" spans="1:30" x14ac:dyDescent="0.25">
      <c r="A1191" s="104" t="str">
        <f t="shared" si="53"/>
        <v>Malawi2086</v>
      </c>
      <c r="C1191" s="107" t="s">
        <v>257</v>
      </c>
      <c r="D1191" s="108" t="s">
        <v>142</v>
      </c>
      <c r="E1191" s="109"/>
      <c r="F1191" s="109">
        <v>454</v>
      </c>
      <c r="G1191" s="109">
        <v>2086</v>
      </c>
      <c r="H1191" s="110">
        <v>2554.08</v>
      </c>
      <c r="I1191" s="110">
        <v>2559.3409999999999</v>
      </c>
      <c r="J1191" s="110">
        <v>2557.201</v>
      </c>
      <c r="K1191" s="110">
        <v>2541.9499999999998</v>
      </c>
      <c r="L1191" s="110">
        <v>2507.9259999999999</v>
      </c>
      <c r="M1191" s="110">
        <v>2454.1909999999998</v>
      </c>
      <c r="N1191" s="110">
        <v>2383.2489999999998</v>
      </c>
      <c r="O1191" s="110">
        <v>2294.2379999999998</v>
      </c>
      <c r="P1191" s="110">
        <v>2193.5279999999998</v>
      </c>
      <c r="Q1191" s="110">
        <v>2078.127</v>
      </c>
      <c r="R1191" s="110">
        <v>1949.9659999999999</v>
      </c>
      <c r="S1191" s="110">
        <v>1808.4649999999999</v>
      </c>
      <c r="T1191" s="110">
        <v>1640.9359999999999</v>
      </c>
      <c r="U1191" s="110">
        <v>1445.442</v>
      </c>
      <c r="V1191" s="110">
        <v>1209.7</v>
      </c>
      <c r="W1191" s="110">
        <v>999.82399999999996</v>
      </c>
      <c r="X1191" s="110">
        <v>684.13900000000001</v>
      </c>
      <c r="Y1191" s="110">
        <v>376.71800000000002</v>
      </c>
      <c r="Z1191" s="110">
        <v>148.55699999999999</v>
      </c>
      <c r="AA1191" s="110">
        <v>31.067</v>
      </c>
      <c r="AB1191" s="110">
        <v>2.5950000000000002</v>
      </c>
      <c r="AC1191" s="115">
        <f t="shared" si="54"/>
        <v>16453.208999999999</v>
      </c>
      <c r="AD1191">
        <f t="shared" si="55"/>
        <v>1.0062940129538906</v>
      </c>
    </row>
    <row r="1192" spans="1:30" x14ac:dyDescent="0.25">
      <c r="A1192" s="104" t="str">
        <f t="shared" si="53"/>
        <v>Malawi2087</v>
      </c>
      <c r="C1192" s="107" t="s">
        <v>257</v>
      </c>
      <c r="D1192" s="108" t="s">
        <v>142</v>
      </c>
      <c r="E1192" s="109"/>
      <c r="F1192" s="109">
        <v>454</v>
      </c>
      <c r="G1192" s="109">
        <v>2087</v>
      </c>
      <c r="H1192" s="110">
        <v>2549.9630000000002</v>
      </c>
      <c r="I1192" s="110">
        <v>2558.5770000000002</v>
      </c>
      <c r="J1192" s="110">
        <v>2558.5770000000002</v>
      </c>
      <c r="K1192" s="110">
        <v>2546.0880000000002</v>
      </c>
      <c r="L1192" s="110">
        <v>2515.741</v>
      </c>
      <c r="M1192" s="110">
        <v>2465.585</v>
      </c>
      <c r="N1192" s="110">
        <v>2397.8290000000002</v>
      </c>
      <c r="O1192" s="110">
        <v>2312.02</v>
      </c>
      <c r="P1192" s="110">
        <v>2213.02</v>
      </c>
      <c r="Q1192" s="110">
        <v>2100.2809999999999</v>
      </c>
      <c r="R1192" s="110">
        <v>1973.567</v>
      </c>
      <c r="S1192" s="110">
        <v>1834.0509999999999</v>
      </c>
      <c r="T1192" s="110">
        <v>1670.3019999999999</v>
      </c>
      <c r="U1192" s="110">
        <v>1476.16</v>
      </c>
      <c r="V1192" s="110">
        <v>1239.001</v>
      </c>
      <c r="W1192" s="110">
        <v>1012.2140000000001</v>
      </c>
      <c r="X1192" s="110">
        <v>711.673</v>
      </c>
      <c r="Y1192" s="110">
        <v>390.05500000000001</v>
      </c>
      <c r="Z1192" s="110">
        <v>156.94399999999999</v>
      </c>
      <c r="AA1192" s="110">
        <v>36.872999999999998</v>
      </c>
      <c r="AB1192" s="110">
        <v>2.863</v>
      </c>
      <c r="AC1192" s="115">
        <f t="shared" si="54"/>
        <v>16550.564000000002</v>
      </c>
      <c r="AD1192">
        <f t="shared" si="55"/>
        <v>1.0059170828012944</v>
      </c>
    </row>
    <row r="1193" spans="1:30" x14ac:dyDescent="0.25">
      <c r="A1193" s="104" t="str">
        <f t="shared" si="53"/>
        <v>Malawi2088</v>
      </c>
      <c r="C1193" s="107" t="s">
        <v>257</v>
      </c>
      <c r="D1193" s="108" t="s">
        <v>142</v>
      </c>
      <c r="E1193" s="109"/>
      <c r="F1193" s="109">
        <v>454</v>
      </c>
      <c r="G1193" s="109">
        <v>2088</v>
      </c>
      <c r="H1193" s="110">
        <v>2544.4769999999999</v>
      </c>
      <c r="I1193" s="110">
        <v>2556.7910000000002</v>
      </c>
      <c r="J1193" s="110">
        <v>2559.1669999999999</v>
      </c>
      <c r="K1193" s="110">
        <v>2549.2570000000001</v>
      </c>
      <c r="L1193" s="110">
        <v>2522.5120000000002</v>
      </c>
      <c r="M1193" s="110">
        <v>2475.989</v>
      </c>
      <c r="N1193" s="110">
        <v>2411.3580000000002</v>
      </c>
      <c r="O1193" s="110">
        <v>2329.1350000000002</v>
      </c>
      <c r="P1193" s="110">
        <v>2231.7150000000001</v>
      </c>
      <c r="Q1193" s="110">
        <v>2121.895</v>
      </c>
      <c r="R1193" s="110">
        <v>1996.8240000000001</v>
      </c>
      <c r="S1193" s="110">
        <v>1858.953</v>
      </c>
      <c r="T1193" s="110">
        <v>1699.4670000000001</v>
      </c>
      <c r="U1193" s="110">
        <v>1507.1880000000001</v>
      </c>
      <c r="V1193" s="110">
        <v>1273.1220000000001</v>
      </c>
      <c r="W1193" s="110">
        <v>1025.579</v>
      </c>
      <c r="X1193" s="110">
        <v>742.09699999999998</v>
      </c>
      <c r="Y1193" s="110">
        <v>402.62900000000002</v>
      </c>
      <c r="Z1193" s="110">
        <v>162.96700000000001</v>
      </c>
      <c r="AA1193" s="110">
        <v>41.271000000000001</v>
      </c>
      <c r="AB1193" s="110">
        <v>3.1509999999999998</v>
      </c>
      <c r="AC1193" s="115">
        <f t="shared" si="54"/>
        <v>16641.861000000001</v>
      </c>
      <c r="AD1193">
        <f t="shared" si="55"/>
        <v>1.0055162470596168</v>
      </c>
    </row>
    <row r="1194" spans="1:30" x14ac:dyDescent="0.25">
      <c r="A1194" s="104" t="str">
        <f t="shared" si="53"/>
        <v>Malawi2089</v>
      </c>
      <c r="C1194" s="107" t="s">
        <v>257</v>
      </c>
      <c r="D1194" s="108" t="s">
        <v>142</v>
      </c>
      <c r="E1194" s="109"/>
      <c r="F1194" s="109">
        <v>454</v>
      </c>
      <c r="G1194" s="109">
        <v>2089</v>
      </c>
      <c r="H1194" s="110">
        <v>2538.2469999999998</v>
      </c>
      <c r="I1194" s="110">
        <v>2553.7860000000001</v>
      </c>
      <c r="J1194" s="110">
        <v>2558.8609999999999</v>
      </c>
      <c r="K1194" s="110">
        <v>2551.4780000000001</v>
      </c>
      <c r="L1194" s="110">
        <v>2528.1770000000001</v>
      </c>
      <c r="M1194" s="110">
        <v>2485.2950000000001</v>
      </c>
      <c r="N1194" s="110">
        <v>2423.8580000000002</v>
      </c>
      <c r="O1194" s="110">
        <v>2345.3090000000002</v>
      </c>
      <c r="P1194" s="110">
        <v>2249.7190000000001</v>
      </c>
      <c r="Q1194" s="110">
        <v>2142.7440000000001</v>
      </c>
      <c r="R1194" s="110">
        <v>2019.614</v>
      </c>
      <c r="S1194" s="110">
        <v>1883.3130000000001</v>
      </c>
      <c r="T1194" s="110">
        <v>1728.0340000000001</v>
      </c>
      <c r="U1194" s="110">
        <v>1538.664</v>
      </c>
      <c r="V1194" s="110">
        <v>1309.096</v>
      </c>
      <c r="W1194" s="110">
        <v>1044.5250000000001</v>
      </c>
      <c r="X1194" s="110">
        <v>772.20399999999995</v>
      </c>
      <c r="Y1194" s="110">
        <v>418.68200000000002</v>
      </c>
      <c r="Z1194" s="110">
        <v>166.93700000000001</v>
      </c>
      <c r="AA1194" s="110">
        <v>41.792000000000002</v>
      </c>
      <c r="AB1194" s="110">
        <v>3.45</v>
      </c>
      <c r="AC1194" s="115">
        <f t="shared" si="54"/>
        <v>16726.580000000002</v>
      </c>
      <c r="AD1194">
        <f t="shared" si="55"/>
        <v>1.0050907167173191</v>
      </c>
    </row>
    <row r="1195" spans="1:30" x14ac:dyDescent="0.25">
      <c r="A1195" s="104" t="str">
        <f t="shared" si="53"/>
        <v>Malawi2090</v>
      </c>
      <c r="C1195" s="107" t="s">
        <v>257</v>
      </c>
      <c r="D1195" s="108" t="s">
        <v>142</v>
      </c>
      <c r="E1195" s="109"/>
      <c r="F1195" s="109">
        <v>454</v>
      </c>
      <c r="G1195" s="109">
        <v>2090</v>
      </c>
      <c r="H1195" s="110">
        <v>2531.7860000000001</v>
      </c>
      <c r="I1195" s="110">
        <v>2549.3589999999999</v>
      </c>
      <c r="J1195" s="110">
        <v>2557.5210000000002</v>
      </c>
      <c r="K1195" s="110">
        <v>2552.7539999999999</v>
      </c>
      <c r="L1195" s="110">
        <v>2532.6889999999999</v>
      </c>
      <c r="M1195" s="110">
        <v>2493.4299999999998</v>
      </c>
      <c r="N1195" s="110">
        <v>2435.337</v>
      </c>
      <c r="O1195" s="110">
        <v>2360.328</v>
      </c>
      <c r="P1195" s="110">
        <v>2267.0920000000001</v>
      </c>
      <c r="Q1195" s="110">
        <v>2162.6570000000002</v>
      </c>
      <c r="R1195" s="110">
        <v>2041.8150000000001</v>
      </c>
      <c r="S1195" s="110">
        <v>1907.2260000000001</v>
      </c>
      <c r="T1195" s="110">
        <v>1755.732</v>
      </c>
      <c r="U1195" s="110">
        <v>1570.5170000000001</v>
      </c>
      <c r="V1195" s="110">
        <v>1345.13</v>
      </c>
      <c r="W1195" s="110">
        <v>1071.23</v>
      </c>
      <c r="X1195" s="110">
        <v>800.17700000000002</v>
      </c>
      <c r="Y1195" s="110">
        <v>439.70800000000003</v>
      </c>
      <c r="Z1195" s="110">
        <v>171.059</v>
      </c>
      <c r="AA1195" s="110">
        <v>36.817</v>
      </c>
      <c r="AB1195" s="110">
        <v>3.754</v>
      </c>
      <c r="AC1195" s="115">
        <f t="shared" si="54"/>
        <v>16804.287</v>
      </c>
      <c r="AD1195">
        <f t="shared" si="55"/>
        <v>1.0046457195672993</v>
      </c>
    </row>
    <row r="1196" spans="1:30" x14ac:dyDescent="0.25">
      <c r="A1196" s="104" t="str">
        <f t="shared" si="53"/>
        <v>Malawi2091</v>
      </c>
      <c r="C1196" s="107" t="s">
        <v>257</v>
      </c>
      <c r="D1196" s="108" t="s">
        <v>142</v>
      </c>
      <c r="E1196" s="109"/>
      <c r="F1196" s="109">
        <v>454</v>
      </c>
      <c r="G1196" s="109">
        <v>2091</v>
      </c>
      <c r="H1196" s="110">
        <v>2527.096</v>
      </c>
      <c r="I1196" s="110">
        <v>2546.866</v>
      </c>
      <c r="J1196" s="110">
        <v>2557.3130000000001</v>
      </c>
      <c r="K1196" s="110">
        <v>2554.9839999999999</v>
      </c>
      <c r="L1196" s="110">
        <v>2537.9969999999998</v>
      </c>
      <c r="M1196" s="110">
        <v>2502.4609999999998</v>
      </c>
      <c r="N1196" s="110">
        <v>2447.8029999999999</v>
      </c>
      <c r="O1196" s="110">
        <v>2376.0100000000002</v>
      </c>
      <c r="P1196" s="110">
        <v>2285.5259999999998</v>
      </c>
      <c r="Q1196" s="110">
        <v>2182.9630000000002</v>
      </c>
      <c r="R1196" s="110">
        <v>2064.3009999999999</v>
      </c>
      <c r="S1196" s="110">
        <v>1930.9770000000001</v>
      </c>
      <c r="T1196" s="110">
        <v>1781.3109999999999</v>
      </c>
      <c r="U1196" s="110">
        <v>1598.0219999999999</v>
      </c>
      <c r="V1196" s="110">
        <v>1372.4829999999999</v>
      </c>
      <c r="W1196" s="110">
        <v>1090.636</v>
      </c>
      <c r="X1196" s="110">
        <v>811.89499999999998</v>
      </c>
      <c r="Y1196" s="110">
        <v>461.73599999999999</v>
      </c>
      <c r="Z1196" s="110">
        <v>186.608</v>
      </c>
      <c r="AA1196" s="110">
        <v>41.475000000000001</v>
      </c>
      <c r="AB1196" s="110">
        <v>4.0640000000000001</v>
      </c>
      <c r="AC1196" s="115">
        <f t="shared" si="54"/>
        <v>16887.743999999999</v>
      </c>
      <c r="AD1196">
        <f t="shared" si="55"/>
        <v>1.0049664112497008</v>
      </c>
    </row>
    <row r="1197" spans="1:30" x14ac:dyDescent="0.25">
      <c r="A1197" s="104" t="str">
        <f t="shared" si="53"/>
        <v>Malawi2092</v>
      </c>
      <c r="C1197" s="107" t="s">
        <v>257</v>
      </c>
      <c r="D1197" s="108" t="s">
        <v>142</v>
      </c>
      <c r="E1197" s="109"/>
      <c r="F1197" s="109">
        <v>454</v>
      </c>
      <c r="G1197" s="109">
        <v>2092</v>
      </c>
      <c r="H1197" s="110">
        <v>2522.152</v>
      </c>
      <c r="I1197" s="110">
        <v>2543.2049999999999</v>
      </c>
      <c r="J1197" s="110">
        <v>2556.34</v>
      </c>
      <c r="K1197" s="110">
        <v>2556.3780000000002</v>
      </c>
      <c r="L1197" s="110">
        <v>2542.2190000000001</v>
      </c>
      <c r="M1197" s="110">
        <v>2510.4059999999999</v>
      </c>
      <c r="N1197" s="110">
        <v>2459.306</v>
      </c>
      <c r="O1197" s="110">
        <v>2390.6289999999999</v>
      </c>
      <c r="P1197" s="110">
        <v>2303.4270000000001</v>
      </c>
      <c r="Q1197" s="110">
        <v>2202.4589999999998</v>
      </c>
      <c r="R1197" s="110">
        <v>2086.444</v>
      </c>
      <c r="S1197" s="110">
        <v>1954.5889999999999</v>
      </c>
      <c r="T1197" s="110">
        <v>1806.652</v>
      </c>
      <c r="U1197" s="110">
        <v>1626.58</v>
      </c>
      <c r="V1197" s="110">
        <v>1401.5329999999999</v>
      </c>
      <c r="W1197" s="110">
        <v>1117.098</v>
      </c>
      <c r="X1197" s="110">
        <v>821.66700000000003</v>
      </c>
      <c r="Y1197" s="110">
        <v>483.53800000000001</v>
      </c>
      <c r="Z1197" s="110">
        <v>195.374</v>
      </c>
      <c r="AA1197" s="110">
        <v>48.569000000000003</v>
      </c>
      <c r="AB1197" s="110">
        <v>4.38</v>
      </c>
      <c r="AC1197" s="115">
        <f t="shared" si="54"/>
        <v>16964.823999999997</v>
      </c>
      <c r="AD1197">
        <f t="shared" si="55"/>
        <v>1.0045642567769857</v>
      </c>
    </row>
    <row r="1198" spans="1:30" x14ac:dyDescent="0.25">
      <c r="A1198" s="104" t="str">
        <f t="shared" si="53"/>
        <v>Malawi2093</v>
      </c>
      <c r="C1198" s="107" t="s">
        <v>257</v>
      </c>
      <c r="D1198" s="108" t="s">
        <v>142</v>
      </c>
      <c r="E1198" s="109"/>
      <c r="F1198" s="109">
        <v>454</v>
      </c>
      <c r="G1198" s="109">
        <v>2093</v>
      </c>
      <c r="H1198" s="110">
        <v>2516.8870000000002</v>
      </c>
      <c r="I1198" s="110">
        <v>2538.2959999999998</v>
      </c>
      <c r="J1198" s="110">
        <v>2554.5590000000002</v>
      </c>
      <c r="K1198" s="110">
        <v>2556.9189999999999</v>
      </c>
      <c r="L1198" s="110">
        <v>2545.3960000000002</v>
      </c>
      <c r="M1198" s="110">
        <v>2517.2260000000001</v>
      </c>
      <c r="N1198" s="110">
        <v>2469.7689999999998</v>
      </c>
      <c r="O1198" s="110">
        <v>2404.2069999999999</v>
      </c>
      <c r="P1198" s="110">
        <v>2320.6</v>
      </c>
      <c r="Q1198" s="110">
        <v>2221.21</v>
      </c>
      <c r="R1198" s="110">
        <v>2108.1080000000002</v>
      </c>
      <c r="S1198" s="110">
        <v>1977.9169999999999</v>
      </c>
      <c r="T1198" s="110">
        <v>1831.6510000000001</v>
      </c>
      <c r="U1198" s="110">
        <v>1655.6759999999999</v>
      </c>
      <c r="V1198" s="110">
        <v>1432.0360000000001</v>
      </c>
      <c r="W1198" s="110">
        <v>1148.915</v>
      </c>
      <c r="X1198" s="110">
        <v>833.83</v>
      </c>
      <c r="Y1198" s="110">
        <v>503.565</v>
      </c>
      <c r="Z1198" s="110">
        <v>201.87200000000001</v>
      </c>
      <c r="AA1198" s="110">
        <v>53.939</v>
      </c>
      <c r="AB1198" s="110">
        <v>4.7060000000000004</v>
      </c>
      <c r="AC1198" s="115">
        <f t="shared" si="54"/>
        <v>17035.327000000001</v>
      </c>
      <c r="AD1198">
        <f t="shared" si="55"/>
        <v>1.0041558344489754</v>
      </c>
    </row>
    <row r="1199" spans="1:30" x14ac:dyDescent="0.25">
      <c r="A1199" s="104" t="str">
        <f t="shared" si="53"/>
        <v>Malawi2094</v>
      </c>
      <c r="C1199" s="107" t="s">
        <v>257</v>
      </c>
      <c r="D1199" s="108" t="s">
        <v>142</v>
      </c>
      <c r="E1199" s="109"/>
      <c r="F1199" s="109">
        <v>454</v>
      </c>
      <c r="G1199" s="109">
        <v>2094</v>
      </c>
      <c r="H1199" s="110">
        <v>2511.0369999999998</v>
      </c>
      <c r="I1199" s="110">
        <v>2532.2539999999999</v>
      </c>
      <c r="J1199" s="110">
        <v>2551.7849999999999</v>
      </c>
      <c r="K1199" s="110">
        <v>2556.5889999999999</v>
      </c>
      <c r="L1199" s="110">
        <v>2547.6010000000001</v>
      </c>
      <c r="M1199" s="110">
        <v>2522.8939999999998</v>
      </c>
      <c r="N1199" s="110">
        <v>2479.114</v>
      </c>
      <c r="O1199" s="110">
        <v>2416.8040000000001</v>
      </c>
      <c r="P1199" s="110">
        <v>2336.797</v>
      </c>
      <c r="Q1199" s="110">
        <v>2239.3429999999998</v>
      </c>
      <c r="R1199" s="110">
        <v>2129.076</v>
      </c>
      <c r="S1199" s="110">
        <v>2000.817</v>
      </c>
      <c r="T1199" s="110">
        <v>1856.377</v>
      </c>
      <c r="U1199" s="110">
        <v>1684.8230000000001</v>
      </c>
      <c r="V1199" s="110">
        <v>1464.0319999999999</v>
      </c>
      <c r="W1199" s="110">
        <v>1183.8320000000001</v>
      </c>
      <c r="X1199" s="110">
        <v>852.53700000000003</v>
      </c>
      <c r="Y1199" s="110">
        <v>523.21699999999998</v>
      </c>
      <c r="Z1199" s="110">
        <v>206.94</v>
      </c>
      <c r="AA1199" s="110">
        <v>54.548000000000002</v>
      </c>
      <c r="AB1199" s="110">
        <v>5.0460000000000003</v>
      </c>
      <c r="AC1199" s="115">
        <f t="shared" si="54"/>
        <v>17099.142</v>
      </c>
      <c r="AD1199">
        <f t="shared" si="55"/>
        <v>1.0037460390399315</v>
      </c>
    </row>
    <row r="1200" spans="1:30" x14ac:dyDescent="0.25">
      <c r="A1200" s="104" t="str">
        <f t="shared" si="53"/>
        <v>Malawi2095</v>
      </c>
      <c r="C1200" s="107" t="s">
        <v>257</v>
      </c>
      <c r="D1200" s="108" t="s">
        <v>142</v>
      </c>
      <c r="E1200" s="109"/>
      <c r="F1200" s="109">
        <v>454</v>
      </c>
      <c r="G1200" s="109">
        <v>2095</v>
      </c>
      <c r="H1200" s="110">
        <v>2504.366</v>
      </c>
      <c r="I1200" s="110">
        <v>2525.317</v>
      </c>
      <c r="J1200" s="110">
        <v>2547.7460000000001</v>
      </c>
      <c r="K1200" s="110">
        <v>2555.355</v>
      </c>
      <c r="L1200" s="110">
        <v>2548.8739999999998</v>
      </c>
      <c r="M1200" s="110">
        <v>2527.3820000000001</v>
      </c>
      <c r="N1200" s="110">
        <v>2487.2820000000002</v>
      </c>
      <c r="O1200" s="110">
        <v>2428.4029999999998</v>
      </c>
      <c r="P1200" s="110">
        <v>2351.8560000000002</v>
      </c>
      <c r="Q1200" s="110">
        <v>2256.8890000000001</v>
      </c>
      <c r="R1200" s="110">
        <v>2149.1759999999999</v>
      </c>
      <c r="S1200" s="110">
        <v>2023.1880000000001</v>
      </c>
      <c r="T1200" s="110">
        <v>1880.845</v>
      </c>
      <c r="U1200" s="110">
        <v>1713.6479999999999</v>
      </c>
      <c r="V1200" s="110">
        <v>1497.345</v>
      </c>
      <c r="W1200" s="110">
        <v>1220.4559999999999</v>
      </c>
      <c r="X1200" s="110">
        <v>879.21199999999999</v>
      </c>
      <c r="Y1200" s="110">
        <v>542.03099999999995</v>
      </c>
      <c r="Z1200" s="110">
        <v>214.178</v>
      </c>
      <c r="AA1200" s="110">
        <v>48.482999999999997</v>
      </c>
      <c r="AB1200" s="110">
        <v>5.4050000000000002</v>
      </c>
      <c r="AC1200" s="115">
        <f t="shared" si="54"/>
        <v>17156.041000000001</v>
      </c>
      <c r="AD1200">
        <f t="shared" si="55"/>
        <v>1.0033275938640664</v>
      </c>
    </row>
    <row r="1201" spans="1:30" x14ac:dyDescent="0.25">
      <c r="A1201" s="104" t="str">
        <f t="shared" si="53"/>
        <v>Malawi2096</v>
      </c>
      <c r="C1201" s="107" t="s">
        <v>257</v>
      </c>
      <c r="D1201" s="108" t="s">
        <v>142</v>
      </c>
      <c r="E1201" s="109"/>
      <c r="F1201" s="109">
        <v>454</v>
      </c>
      <c r="G1201" s="109">
        <v>2096</v>
      </c>
      <c r="H1201" s="110">
        <v>2500.444</v>
      </c>
      <c r="I1201" s="110">
        <v>2520.9279999999999</v>
      </c>
      <c r="J1201" s="110">
        <v>2544.5729999999999</v>
      </c>
      <c r="K1201" s="110">
        <v>2555.1219999999998</v>
      </c>
      <c r="L1201" s="110">
        <v>2551.1480000000001</v>
      </c>
      <c r="M1201" s="110">
        <v>2532.752</v>
      </c>
      <c r="N1201" s="110">
        <v>2496.3249999999998</v>
      </c>
      <c r="O1201" s="110">
        <v>2440.81</v>
      </c>
      <c r="P1201" s="110">
        <v>2367.549</v>
      </c>
      <c r="Q1201" s="110">
        <v>2275.1869999999999</v>
      </c>
      <c r="R1201" s="110">
        <v>2169.3240000000001</v>
      </c>
      <c r="S1201" s="110">
        <v>2045.4480000000001</v>
      </c>
      <c r="T1201" s="110">
        <v>1903.826</v>
      </c>
      <c r="U1201" s="110">
        <v>1737.5509999999999</v>
      </c>
      <c r="V1201" s="110">
        <v>1522.075</v>
      </c>
      <c r="W1201" s="110">
        <v>1243.558</v>
      </c>
      <c r="X1201" s="110">
        <v>896.06</v>
      </c>
      <c r="Y1201" s="110">
        <v>555.46900000000005</v>
      </c>
      <c r="Z1201" s="110">
        <v>235.25</v>
      </c>
      <c r="AA1201" s="110">
        <v>53.957999999999998</v>
      </c>
      <c r="AB1201" s="110">
        <v>5.79</v>
      </c>
      <c r="AC1201" s="115">
        <f t="shared" si="54"/>
        <v>17218.893000000004</v>
      </c>
      <c r="AD1201">
        <f t="shared" si="55"/>
        <v>1.0036635491836376</v>
      </c>
    </row>
    <row r="1202" spans="1:30" x14ac:dyDescent="0.25">
      <c r="A1202" s="104" t="str">
        <f t="shared" si="53"/>
        <v>Malawi2097</v>
      </c>
      <c r="C1202" s="107" t="s">
        <v>257</v>
      </c>
      <c r="D1202" s="108" t="s">
        <v>142</v>
      </c>
      <c r="E1202" s="109"/>
      <c r="F1202" s="109">
        <v>454</v>
      </c>
      <c r="G1202" s="109">
        <v>2097</v>
      </c>
      <c r="H1202" s="110">
        <v>2494.875</v>
      </c>
      <c r="I1202" s="110">
        <v>2516.2510000000002</v>
      </c>
      <c r="J1202" s="110">
        <v>2540.4749999999999</v>
      </c>
      <c r="K1202" s="110">
        <v>2554.21</v>
      </c>
      <c r="L1202" s="110">
        <v>2552.614</v>
      </c>
      <c r="M1202" s="110">
        <v>2537.0810000000001</v>
      </c>
      <c r="N1202" s="110">
        <v>2504.3609999999999</v>
      </c>
      <c r="O1202" s="110">
        <v>2452.346</v>
      </c>
      <c r="P1202" s="110">
        <v>2382.2730000000001</v>
      </c>
      <c r="Q1202" s="110">
        <v>2293.087</v>
      </c>
      <c r="R1202" s="110">
        <v>2188.8150000000001</v>
      </c>
      <c r="S1202" s="110">
        <v>2067.6190000000001</v>
      </c>
      <c r="T1202" s="110">
        <v>1927.2380000000001</v>
      </c>
      <c r="U1202" s="110">
        <v>1762.21</v>
      </c>
      <c r="V1202" s="110">
        <v>1549.1610000000001</v>
      </c>
      <c r="W1202" s="110">
        <v>1269.6120000000001</v>
      </c>
      <c r="X1202" s="110">
        <v>918.12</v>
      </c>
      <c r="Y1202" s="110">
        <v>564.81700000000001</v>
      </c>
      <c r="Z1202" s="110">
        <v>248.874</v>
      </c>
      <c r="AA1202" s="110">
        <v>62.375</v>
      </c>
      <c r="AB1202" s="110">
        <v>6.1970000000000001</v>
      </c>
      <c r="AC1202" s="115">
        <f t="shared" si="54"/>
        <v>17275.971999999998</v>
      </c>
      <c r="AD1202">
        <f t="shared" si="55"/>
        <v>1.0033149053194066</v>
      </c>
    </row>
    <row r="1203" spans="1:30" x14ac:dyDescent="0.25">
      <c r="A1203" s="104" t="str">
        <f t="shared" si="53"/>
        <v>Malawi2098</v>
      </c>
      <c r="C1203" s="107" t="s">
        <v>257</v>
      </c>
      <c r="D1203" s="108" t="s">
        <v>142</v>
      </c>
      <c r="E1203" s="109"/>
      <c r="F1203" s="109">
        <v>454</v>
      </c>
      <c r="G1203" s="109">
        <v>2098</v>
      </c>
      <c r="H1203" s="110">
        <v>2487.6990000000001</v>
      </c>
      <c r="I1203" s="110">
        <v>2511.1709999999998</v>
      </c>
      <c r="J1203" s="110">
        <v>2535.5479999999998</v>
      </c>
      <c r="K1203" s="110">
        <v>2552.482</v>
      </c>
      <c r="L1203" s="110">
        <v>2553.252</v>
      </c>
      <c r="M1203" s="110">
        <v>2540.384</v>
      </c>
      <c r="N1203" s="110">
        <v>2511.3240000000001</v>
      </c>
      <c r="O1203" s="110">
        <v>2462.942</v>
      </c>
      <c r="P1203" s="110">
        <v>2395.9940000000001</v>
      </c>
      <c r="Q1203" s="110">
        <v>2310.3960000000002</v>
      </c>
      <c r="R1203" s="110">
        <v>2207.6959999999999</v>
      </c>
      <c r="S1203" s="110">
        <v>2089.4470000000001</v>
      </c>
      <c r="T1203" s="110">
        <v>1950.7760000000001</v>
      </c>
      <c r="U1203" s="110">
        <v>1787.3610000000001</v>
      </c>
      <c r="V1203" s="110">
        <v>1577.9449999999999</v>
      </c>
      <c r="W1203" s="110">
        <v>1298.701</v>
      </c>
      <c r="X1203" s="110">
        <v>945.39099999999996</v>
      </c>
      <c r="Y1203" s="110">
        <v>572.95299999999997</v>
      </c>
      <c r="Z1203" s="110">
        <v>258.87200000000001</v>
      </c>
      <c r="AA1203" s="110">
        <v>68.884</v>
      </c>
      <c r="AB1203" s="110">
        <v>6.625</v>
      </c>
      <c r="AC1203" s="115">
        <f t="shared" si="54"/>
        <v>17326.774000000001</v>
      </c>
      <c r="AD1203">
        <f t="shared" si="55"/>
        <v>1.0029406160185952</v>
      </c>
    </row>
    <row r="1204" spans="1:30" x14ac:dyDescent="0.25">
      <c r="A1204" s="104" t="str">
        <f t="shared" si="53"/>
        <v>Malawi2099</v>
      </c>
      <c r="C1204" s="107" t="s">
        <v>257</v>
      </c>
      <c r="D1204" s="108" t="s">
        <v>142</v>
      </c>
      <c r="E1204" s="109"/>
      <c r="F1204" s="109">
        <v>454</v>
      </c>
      <c r="G1204" s="109">
        <v>2099</v>
      </c>
      <c r="H1204" s="110">
        <v>2479.4589999999998</v>
      </c>
      <c r="I1204" s="110">
        <v>2505.3789999999999</v>
      </c>
      <c r="J1204" s="110">
        <v>2529.9740000000002</v>
      </c>
      <c r="K1204" s="110">
        <v>2549.7190000000001</v>
      </c>
      <c r="L1204" s="110">
        <v>2553.0070000000001</v>
      </c>
      <c r="M1204" s="110">
        <v>2542.6860000000001</v>
      </c>
      <c r="N1204" s="110">
        <v>2517.1219999999998</v>
      </c>
      <c r="O1204" s="110">
        <v>2472.4720000000002</v>
      </c>
      <c r="P1204" s="110">
        <v>2408.7069999999999</v>
      </c>
      <c r="Q1204" s="110">
        <v>2326.8090000000002</v>
      </c>
      <c r="R1204" s="110">
        <v>2226.0369999999998</v>
      </c>
      <c r="S1204" s="110">
        <v>2110.6210000000001</v>
      </c>
      <c r="T1204" s="110">
        <v>1974.153</v>
      </c>
      <c r="U1204" s="110">
        <v>1812.9079999999999</v>
      </c>
      <c r="V1204" s="110">
        <v>1607.8720000000001</v>
      </c>
      <c r="W1204" s="110">
        <v>1330.9159999999999</v>
      </c>
      <c r="X1204" s="110">
        <v>976.81600000000003</v>
      </c>
      <c r="Y1204" s="110">
        <v>585.70799999999997</v>
      </c>
      <c r="Z1204" s="110">
        <v>265.59100000000001</v>
      </c>
      <c r="AA1204" s="110">
        <v>69.891999999999996</v>
      </c>
      <c r="AB1204" s="110">
        <v>7.07</v>
      </c>
      <c r="AC1204" s="115">
        <f t="shared" si="54"/>
        <v>17370.522000000001</v>
      </c>
      <c r="AD1204">
        <f t="shared" si="55"/>
        <v>1.0025248785492324</v>
      </c>
    </row>
    <row r="1205" spans="1:30" x14ac:dyDescent="0.25">
      <c r="A1205" s="104" t="str">
        <f t="shared" si="53"/>
        <v>Malawi2100</v>
      </c>
      <c r="C1205" s="107" t="s">
        <v>257</v>
      </c>
      <c r="D1205" s="108" t="s">
        <v>142</v>
      </c>
      <c r="E1205" s="109"/>
      <c r="F1205" s="109">
        <v>454</v>
      </c>
      <c r="G1205" s="109">
        <v>2100</v>
      </c>
      <c r="H1205" s="110">
        <v>2471.056</v>
      </c>
      <c r="I1205" s="110">
        <v>2498.4160000000002</v>
      </c>
      <c r="J1205" s="110">
        <v>2523.8319999999999</v>
      </c>
      <c r="K1205" s="110">
        <v>2545.752</v>
      </c>
      <c r="L1205" s="110">
        <v>2551.7959999999998</v>
      </c>
      <c r="M1205" s="110">
        <v>2543.9630000000002</v>
      </c>
      <c r="N1205" s="110">
        <v>2521.6640000000002</v>
      </c>
      <c r="O1205" s="110">
        <v>2480.7800000000002</v>
      </c>
      <c r="P1205" s="110">
        <v>2420.377</v>
      </c>
      <c r="Q1205" s="110">
        <v>2342.0659999999998</v>
      </c>
      <c r="R1205" s="110">
        <v>2243.7979999999998</v>
      </c>
      <c r="S1205" s="110">
        <v>2130.9209999999998</v>
      </c>
      <c r="T1205" s="110">
        <v>1997.136</v>
      </c>
      <c r="U1205" s="110">
        <v>1838.6859999999999</v>
      </c>
      <c r="V1205" s="110">
        <v>1638.492</v>
      </c>
      <c r="W1205" s="110">
        <v>1365.9190000000001</v>
      </c>
      <c r="X1205" s="110">
        <v>1011.48</v>
      </c>
      <c r="Y1205" s="110">
        <v>605.76599999999996</v>
      </c>
      <c r="Z1205" s="110">
        <v>271.38799999999998</v>
      </c>
      <c r="AA1205" s="110">
        <v>63.116999999999997</v>
      </c>
      <c r="AB1205" s="110">
        <v>7.5259999999999998</v>
      </c>
      <c r="AC1205" s="115">
        <f t="shared" si="54"/>
        <v>17406.398000000001</v>
      </c>
      <c r="AD1205">
        <f t="shared" si="55"/>
        <v>1.0020653380479874</v>
      </c>
    </row>
    <row r="1206" spans="1:30" x14ac:dyDescent="0.25">
      <c r="A1206" s="104" t="str">
        <f t="shared" si="53"/>
        <v>Bangladesh2015</v>
      </c>
      <c r="C1206" s="107" t="s">
        <v>257</v>
      </c>
      <c r="D1206" s="108" t="s">
        <v>195</v>
      </c>
      <c r="E1206" s="109"/>
      <c r="F1206" s="109">
        <v>50</v>
      </c>
      <c r="G1206" s="109">
        <v>2015</v>
      </c>
      <c r="H1206" s="110">
        <v>7462.9</v>
      </c>
      <c r="I1206" s="110">
        <v>7692.74</v>
      </c>
      <c r="J1206" s="110">
        <v>8051.56</v>
      </c>
      <c r="K1206" s="110">
        <v>7871.1379999999999</v>
      </c>
      <c r="L1206" s="110">
        <v>7508.2629999999999</v>
      </c>
      <c r="M1206" s="110">
        <v>7314.23</v>
      </c>
      <c r="N1206" s="110">
        <v>6870.2139999999999</v>
      </c>
      <c r="O1206" s="110">
        <v>6031.5439999999999</v>
      </c>
      <c r="P1206" s="110">
        <v>4956.07</v>
      </c>
      <c r="Q1206" s="110">
        <v>4447.2610000000004</v>
      </c>
      <c r="R1206" s="110">
        <v>3568.8359999999998</v>
      </c>
      <c r="S1206" s="110">
        <v>2448.0039999999999</v>
      </c>
      <c r="T1206" s="110">
        <v>1574.5640000000001</v>
      </c>
      <c r="U1206" s="110">
        <v>1411.345</v>
      </c>
      <c r="V1206" s="110">
        <v>1103.1099999999999</v>
      </c>
      <c r="W1206" s="110">
        <v>737.11500000000001</v>
      </c>
      <c r="X1206" s="110">
        <v>461.72300000000001</v>
      </c>
      <c r="Y1206" s="110">
        <v>238.39099999999999</v>
      </c>
      <c r="Z1206" s="110">
        <v>85.367999999999995</v>
      </c>
      <c r="AA1206" s="110">
        <v>19.606999999999999</v>
      </c>
      <c r="AB1206" s="110">
        <v>3.9319999999999999</v>
      </c>
      <c r="AC1206" s="115">
        <f t="shared" si="54"/>
        <v>44998.720000000001</v>
      </c>
      <c r="AD1206" t="str">
        <f t="shared" si="55"/>
        <v/>
      </c>
    </row>
    <row r="1207" spans="1:30" x14ac:dyDescent="0.25">
      <c r="A1207" s="104" t="str">
        <f t="shared" si="53"/>
        <v>Bangladesh2016</v>
      </c>
      <c r="C1207" s="107" t="s">
        <v>257</v>
      </c>
      <c r="D1207" s="108" t="s">
        <v>195</v>
      </c>
      <c r="E1207" s="109"/>
      <c r="F1207" s="109">
        <v>50</v>
      </c>
      <c r="G1207" s="109">
        <v>2016</v>
      </c>
      <c r="H1207" s="110">
        <v>7452.8329999999996</v>
      </c>
      <c r="I1207" s="110">
        <v>7606.0230000000001</v>
      </c>
      <c r="J1207" s="110">
        <v>7980.9690000000001</v>
      </c>
      <c r="K1207" s="110">
        <v>7895.723</v>
      </c>
      <c r="L1207" s="110">
        <v>7548.6289999999999</v>
      </c>
      <c r="M1207" s="110">
        <v>7337.1419999999998</v>
      </c>
      <c r="N1207" s="110">
        <v>6956.857</v>
      </c>
      <c r="O1207" s="110">
        <v>6199.4759999999997</v>
      </c>
      <c r="P1207" s="110">
        <v>5094.027</v>
      </c>
      <c r="Q1207" s="110">
        <v>4523.527</v>
      </c>
      <c r="R1207" s="110">
        <v>3740.2649999999999</v>
      </c>
      <c r="S1207" s="110">
        <v>2626.913</v>
      </c>
      <c r="T1207" s="110">
        <v>1647.3779999999999</v>
      </c>
      <c r="U1207" s="110">
        <v>1388</v>
      </c>
      <c r="V1207" s="110">
        <v>1126.701</v>
      </c>
      <c r="W1207" s="110">
        <v>766.94100000000003</v>
      </c>
      <c r="X1207" s="110">
        <v>478.69299999999998</v>
      </c>
      <c r="Y1207" s="110">
        <v>255.602</v>
      </c>
      <c r="Z1207" s="110">
        <v>98.454999999999998</v>
      </c>
      <c r="AA1207" s="110">
        <v>23.939</v>
      </c>
      <c r="AB1207" s="110">
        <v>4.5570000000000004</v>
      </c>
      <c r="AC1207" s="115">
        <f t="shared" si="54"/>
        <v>45555.381000000001</v>
      </c>
      <c r="AD1207">
        <f t="shared" si="55"/>
        <v>1.0123705963191842</v>
      </c>
    </row>
    <row r="1208" spans="1:30" x14ac:dyDescent="0.25">
      <c r="A1208" s="104" t="str">
        <f t="shared" si="53"/>
        <v>Bangladesh2017</v>
      </c>
      <c r="C1208" s="107" t="s">
        <v>257</v>
      </c>
      <c r="D1208" s="108" t="s">
        <v>195</v>
      </c>
      <c r="E1208" s="109"/>
      <c r="F1208" s="109">
        <v>50</v>
      </c>
      <c r="G1208" s="109">
        <v>2017</v>
      </c>
      <c r="H1208" s="110">
        <v>7418.9650000000001</v>
      </c>
      <c r="I1208" s="110">
        <v>7540.0870000000004</v>
      </c>
      <c r="J1208" s="110">
        <v>7892.6809999999996</v>
      </c>
      <c r="K1208" s="110">
        <v>7914.4459999999999</v>
      </c>
      <c r="L1208" s="110">
        <v>7595.5240000000003</v>
      </c>
      <c r="M1208" s="110">
        <v>7354.2269999999999</v>
      </c>
      <c r="N1208" s="110">
        <v>7030.4290000000001</v>
      </c>
      <c r="O1208" s="110">
        <v>6351.4369999999999</v>
      </c>
      <c r="P1208" s="110">
        <v>5274.1469999999999</v>
      </c>
      <c r="Q1208" s="110">
        <v>4572.2740000000003</v>
      </c>
      <c r="R1208" s="110">
        <v>3903</v>
      </c>
      <c r="S1208" s="110">
        <v>2818.1149999999998</v>
      </c>
      <c r="T1208" s="110">
        <v>1759.989</v>
      </c>
      <c r="U1208" s="110">
        <v>1352.354</v>
      </c>
      <c r="V1208" s="110">
        <v>1148.432</v>
      </c>
      <c r="W1208" s="110">
        <v>798.13099999999997</v>
      </c>
      <c r="X1208" s="110">
        <v>494.70800000000003</v>
      </c>
      <c r="Y1208" s="110">
        <v>270.51900000000001</v>
      </c>
      <c r="Z1208" s="110">
        <v>109.667</v>
      </c>
      <c r="AA1208" s="110">
        <v>29.565000000000001</v>
      </c>
      <c r="AB1208" s="110">
        <v>5.2770000000000001</v>
      </c>
      <c r="AC1208" s="115">
        <f t="shared" si="54"/>
        <v>46092.483999999997</v>
      </c>
      <c r="AD1208">
        <f t="shared" si="55"/>
        <v>1.0117901110299132</v>
      </c>
    </row>
    <row r="1209" spans="1:30" x14ac:dyDescent="0.25">
      <c r="A1209" s="104" t="str">
        <f t="shared" si="53"/>
        <v>Bangladesh2018</v>
      </c>
      <c r="C1209" s="107" t="s">
        <v>257</v>
      </c>
      <c r="D1209" s="108" t="s">
        <v>195</v>
      </c>
      <c r="E1209" s="109"/>
      <c r="F1209" s="109">
        <v>50</v>
      </c>
      <c r="G1209" s="109">
        <v>2018</v>
      </c>
      <c r="H1209" s="110">
        <v>7367.393</v>
      </c>
      <c r="I1209" s="110">
        <v>7493.4080000000004</v>
      </c>
      <c r="J1209" s="110">
        <v>7796.7889999999998</v>
      </c>
      <c r="K1209" s="110">
        <v>7922.6570000000002</v>
      </c>
      <c r="L1209" s="110">
        <v>7640.4679999999998</v>
      </c>
      <c r="M1209" s="110">
        <v>7372.5439999999999</v>
      </c>
      <c r="N1209" s="110">
        <v>7092.6859999999997</v>
      </c>
      <c r="O1209" s="110">
        <v>6485.9870000000001</v>
      </c>
      <c r="P1209" s="110">
        <v>5481.82</v>
      </c>
      <c r="Q1209" s="110">
        <v>4612.87</v>
      </c>
      <c r="R1209" s="110">
        <v>4050.7950000000001</v>
      </c>
      <c r="S1209" s="110">
        <v>3016.6469999999999</v>
      </c>
      <c r="T1209" s="110">
        <v>1903.741</v>
      </c>
      <c r="U1209" s="110">
        <v>1321.7260000000001</v>
      </c>
      <c r="V1209" s="110">
        <v>1164.145</v>
      </c>
      <c r="W1209" s="110">
        <v>828.09799999999996</v>
      </c>
      <c r="X1209" s="110">
        <v>511.79399999999998</v>
      </c>
      <c r="Y1209" s="110">
        <v>282.66500000000002</v>
      </c>
      <c r="Z1209" s="110">
        <v>120.139</v>
      </c>
      <c r="AA1209" s="110">
        <v>34.945999999999998</v>
      </c>
      <c r="AB1209" s="110">
        <v>6.14</v>
      </c>
      <c r="AC1209" s="115">
        <f t="shared" si="54"/>
        <v>46609.032000000007</v>
      </c>
      <c r="AD1209">
        <f t="shared" si="55"/>
        <v>1.0112067728873109</v>
      </c>
    </row>
    <row r="1210" spans="1:30" x14ac:dyDescent="0.25">
      <c r="A1210" s="104" t="str">
        <f t="shared" si="53"/>
        <v>Bangladesh2019</v>
      </c>
      <c r="C1210" s="107" t="s">
        <v>257</v>
      </c>
      <c r="D1210" s="108" t="s">
        <v>195</v>
      </c>
      <c r="E1210" s="109"/>
      <c r="F1210" s="109">
        <v>50</v>
      </c>
      <c r="G1210" s="109">
        <v>2019</v>
      </c>
      <c r="H1210" s="110">
        <v>7311.2510000000002</v>
      </c>
      <c r="I1210" s="110">
        <v>7457.5829999999996</v>
      </c>
      <c r="J1210" s="110">
        <v>7707.9459999999999</v>
      </c>
      <c r="K1210" s="110">
        <v>7912.576</v>
      </c>
      <c r="L1210" s="110">
        <v>7676.43</v>
      </c>
      <c r="M1210" s="110">
        <v>7398.585</v>
      </c>
      <c r="N1210" s="110">
        <v>7145.7659999999996</v>
      </c>
      <c r="O1210" s="110">
        <v>6605.5540000000001</v>
      </c>
      <c r="P1210" s="110">
        <v>5690.143</v>
      </c>
      <c r="Q1210" s="110">
        <v>4675.9970000000003</v>
      </c>
      <c r="R1210" s="110">
        <v>4176.6899999999996</v>
      </c>
      <c r="S1210" s="110">
        <v>3213.9879999999998</v>
      </c>
      <c r="T1210" s="110">
        <v>2066.067</v>
      </c>
      <c r="U1210" s="110">
        <v>1319.73</v>
      </c>
      <c r="V1210" s="110">
        <v>1168.0129999999999</v>
      </c>
      <c r="W1210" s="110">
        <v>853.97799999999995</v>
      </c>
      <c r="X1210" s="110">
        <v>531.42200000000003</v>
      </c>
      <c r="Y1210" s="110">
        <v>293.34699999999998</v>
      </c>
      <c r="Z1210" s="110">
        <v>129.42699999999999</v>
      </c>
      <c r="AA1210" s="110">
        <v>39.131</v>
      </c>
      <c r="AB1210" s="110">
        <v>7.2009999999999996</v>
      </c>
      <c r="AC1210" s="115">
        <f t="shared" si="54"/>
        <v>47105.051000000007</v>
      </c>
      <c r="AD1210">
        <f t="shared" si="55"/>
        <v>1.0106421218960309</v>
      </c>
    </row>
    <row r="1211" spans="1:30" x14ac:dyDescent="0.25">
      <c r="A1211" s="104" t="str">
        <f t="shared" si="53"/>
        <v>Bangladesh2020</v>
      </c>
      <c r="C1211" s="107" t="s">
        <v>257</v>
      </c>
      <c r="D1211" s="108" t="s">
        <v>195</v>
      </c>
      <c r="E1211" s="109"/>
      <c r="F1211" s="109">
        <v>50</v>
      </c>
      <c r="G1211" s="109">
        <v>2020</v>
      </c>
      <c r="H1211" s="110">
        <v>7260.7669999999998</v>
      </c>
      <c r="I1211" s="110">
        <v>7419.2420000000002</v>
      </c>
      <c r="J1211" s="110">
        <v>7636.5439999999999</v>
      </c>
      <c r="K1211" s="110">
        <v>7881.6629999999996</v>
      </c>
      <c r="L1211" s="110">
        <v>7702.308</v>
      </c>
      <c r="M1211" s="110">
        <v>7432.75</v>
      </c>
      <c r="N1211" s="110">
        <v>7192.2669999999998</v>
      </c>
      <c r="O1211" s="110">
        <v>6713.3379999999997</v>
      </c>
      <c r="P1211" s="110">
        <v>5880.29</v>
      </c>
      <c r="Q1211" s="110">
        <v>4781.2340000000004</v>
      </c>
      <c r="R1211" s="110">
        <v>4278.5320000000002</v>
      </c>
      <c r="S1211" s="110">
        <v>3402.4349999999999</v>
      </c>
      <c r="T1211" s="110">
        <v>2239.7530000000002</v>
      </c>
      <c r="U1211" s="110">
        <v>1359.501</v>
      </c>
      <c r="V1211" s="110">
        <v>1159.048</v>
      </c>
      <c r="W1211" s="110">
        <v>874.38800000000003</v>
      </c>
      <c r="X1211" s="110">
        <v>553.30999999999995</v>
      </c>
      <c r="Y1211" s="110">
        <v>303.911</v>
      </c>
      <c r="Z1211" s="110">
        <v>137.4</v>
      </c>
      <c r="AA1211" s="110">
        <v>41.741</v>
      </c>
      <c r="AB1211" s="110">
        <v>8.5020000000000007</v>
      </c>
      <c r="AC1211" s="115">
        <f t="shared" si="54"/>
        <v>47583.850000000006</v>
      </c>
      <c r="AD1211">
        <f t="shared" si="55"/>
        <v>1.0101644938246643</v>
      </c>
    </row>
    <row r="1212" spans="1:30" x14ac:dyDescent="0.25">
      <c r="A1212" s="104" t="str">
        <f t="shared" si="53"/>
        <v>Bangladesh2021</v>
      </c>
      <c r="C1212" s="107" t="s">
        <v>257</v>
      </c>
      <c r="D1212" s="108" t="s">
        <v>195</v>
      </c>
      <c r="E1212" s="109"/>
      <c r="F1212" s="109">
        <v>50</v>
      </c>
      <c r="G1212" s="109">
        <v>2021</v>
      </c>
      <c r="H1212" s="110">
        <v>7217.51</v>
      </c>
      <c r="I1212" s="110">
        <v>7374.9520000000002</v>
      </c>
      <c r="J1212" s="110">
        <v>7561.0739999999996</v>
      </c>
      <c r="K1212" s="110">
        <v>7833.6109999999999</v>
      </c>
      <c r="L1212" s="110">
        <v>7741.7340000000004</v>
      </c>
      <c r="M1212" s="110">
        <v>7464.9089999999997</v>
      </c>
      <c r="N1212" s="110">
        <v>7227.1610000000001</v>
      </c>
      <c r="O1212" s="110">
        <v>6812.5110000000004</v>
      </c>
      <c r="P1212" s="110">
        <v>6052.393</v>
      </c>
      <c r="Q1212" s="110">
        <v>4930.2960000000003</v>
      </c>
      <c r="R1212" s="110">
        <v>4358.8010000000004</v>
      </c>
      <c r="S1212" s="110">
        <v>3568.404</v>
      </c>
      <c r="T1212" s="110">
        <v>2418.1840000000002</v>
      </c>
      <c r="U1212" s="110">
        <v>1434.7449999999999</v>
      </c>
      <c r="V1212" s="110">
        <v>1145.9269999999999</v>
      </c>
      <c r="W1212" s="110">
        <v>896.23299999999995</v>
      </c>
      <c r="X1212" s="110">
        <v>576.827</v>
      </c>
      <c r="Y1212" s="110">
        <v>320.27100000000002</v>
      </c>
      <c r="Z1212" s="110">
        <v>149.92500000000001</v>
      </c>
      <c r="AA1212" s="110">
        <v>48.125</v>
      </c>
      <c r="AB1212" s="110">
        <v>10.048999999999999</v>
      </c>
      <c r="AC1212" s="115">
        <f t="shared" si="54"/>
        <v>48062.615000000005</v>
      </c>
      <c r="AD1212">
        <f t="shared" si="55"/>
        <v>1.0100615019591732</v>
      </c>
    </row>
    <row r="1213" spans="1:30" x14ac:dyDescent="0.25">
      <c r="A1213" s="104" t="str">
        <f t="shared" si="53"/>
        <v>Bangladesh2022</v>
      </c>
      <c r="C1213" s="107" t="s">
        <v>257</v>
      </c>
      <c r="D1213" s="108" t="s">
        <v>195</v>
      </c>
      <c r="E1213" s="109"/>
      <c r="F1213" s="109">
        <v>50</v>
      </c>
      <c r="G1213" s="109">
        <v>2022</v>
      </c>
      <c r="H1213" s="110">
        <v>7161.4380000000001</v>
      </c>
      <c r="I1213" s="110">
        <v>7338.0249999999996</v>
      </c>
      <c r="J1213" s="110">
        <v>7501.009</v>
      </c>
      <c r="K1213" s="110">
        <v>7761.8879999999999</v>
      </c>
      <c r="L1213" s="110">
        <v>7777.268</v>
      </c>
      <c r="M1213" s="110">
        <v>7508.1260000000002</v>
      </c>
      <c r="N1213" s="110">
        <v>7254.71</v>
      </c>
      <c r="O1213" s="110">
        <v>6898.2740000000003</v>
      </c>
      <c r="P1213" s="110">
        <v>6209.7960000000003</v>
      </c>
      <c r="Q1213" s="110">
        <v>5121.1059999999998</v>
      </c>
      <c r="R1213" s="110">
        <v>4414.5789999999997</v>
      </c>
      <c r="S1213" s="110">
        <v>3728.9679999999998</v>
      </c>
      <c r="T1213" s="110">
        <v>2608.4499999999998</v>
      </c>
      <c r="U1213" s="110">
        <v>1544.5719999999999</v>
      </c>
      <c r="V1213" s="110">
        <v>1121.8969999999999</v>
      </c>
      <c r="W1213" s="110">
        <v>918.09500000000003</v>
      </c>
      <c r="X1213" s="110">
        <v>601.69000000000005</v>
      </c>
      <c r="Y1213" s="110">
        <v>334.65899999999999</v>
      </c>
      <c r="Z1213" s="110">
        <v>159.095</v>
      </c>
      <c r="AA1213" s="110">
        <v>55.612000000000002</v>
      </c>
      <c r="AB1213" s="110">
        <v>11.842000000000001</v>
      </c>
      <c r="AC1213" s="115">
        <f t="shared" si="54"/>
        <v>48531.167999999998</v>
      </c>
      <c r="AD1213">
        <f t="shared" si="55"/>
        <v>1.0097488037219779</v>
      </c>
    </row>
    <row r="1214" spans="1:30" x14ac:dyDescent="0.25">
      <c r="A1214" s="104" t="str">
        <f t="shared" si="53"/>
        <v>Bangladesh2023</v>
      </c>
      <c r="C1214" s="107" t="s">
        <v>257</v>
      </c>
      <c r="D1214" s="108" t="s">
        <v>195</v>
      </c>
      <c r="E1214" s="109"/>
      <c r="F1214" s="109">
        <v>50</v>
      </c>
      <c r="G1214" s="109">
        <v>2023</v>
      </c>
      <c r="H1214" s="110">
        <v>7097.5119999999997</v>
      </c>
      <c r="I1214" s="110">
        <v>7304.0479999999998</v>
      </c>
      <c r="J1214" s="110">
        <v>7455.1689999999999</v>
      </c>
      <c r="K1214" s="110">
        <v>7675.9949999999999</v>
      </c>
      <c r="L1214" s="110">
        <v>7797.8909999999996</v>
      </c>
      <c r="M1214" s="110">
        <v>7559.6559999999999</v>
      </c>
      <c r="N1214" s="110">
        <v>7279.1689999999999</v>
      </c>
      <c r="O1214" s="110">
        <v>6969.5569999999998</v>
      </c>
      <c r="P1214" s="110">
        <v>6353.0590000000002</v>
      </c>
      <c r="Q1214" s="110">
        <v>5336.3329999999996</v>
      </c>
      <c r="R1214" s="110">
        <v>4463.4250000000002</v>
      </c>
      <c r="S1214" s="110">
        <v>3880.2359999999999</v>
      </c>
      <c r="T1214" s="110">
        <v>2804.1149999999998</v>
      </c>
      <c r="U1214" s="110">
        <v>1682.193</v>
      </c>
      <c r="V1214" s="110">
        <v>1101.33</v>
      </c>
      <c r="W1214" s="110">
        <v>935.9</v>
      </c>
      <c r="X1214" s="110">
        <v>627.12699999999995</v>
      </c>
      <c r="Y1214" s="110">
        <v>347.21899999999999</v>
      </c>
      <c r="Z1214" s="110">
        <v>167.02500000000001</v>
      </c>
      <c r="AA1214" s="110">
        <v>62.334000000000003</v>
      </c>
      <c r="AB1214" s="110">
        <v>13.871</v>
      </c>
      <c r="AC1214" s="115">
        <f t="shared" si="54"/>
        <v>48971.659999999996</v>
      </c>
      <c r="AD1214">
        <f t="shared" si="55"/>
        <v>1.0090764763790561</v>
      </c>
    </row>
    <row r="1215" spans="1:30" x14ac:dyDescent="0.25">
      <c r="A1215" s="104" t="str">
        <f t="shared" si="53"/>
        <v>Bangladesh2024</v>
      </c>
      <c r="C1215" s="107" t="s">
        <v>257</v>
      </c>
      <c r="D1215" s="108" t="s">
        <v>195</v>
      </c>
      <c r="E1215" s="109"/>
      <c r="F1215" s="109">
        <v>50</v>
      </c>
      <c r="G1215" s="109">
        <v>2024</v>
      </c>
      <c r="H1215" s="110">
        <v>7029.2870000000003</v>
      </c>
      <c r="I1215" s="110">
        <v>7268.2430000000004</v>
      </c>
      <c r="J1215" s="110">
        <v>7417.8320000000003</v>
      </c>
      <c r="K1215" s="110">
        <v>7590.6369999999997</v>
      </c>
      <c r="L1215" s="110">
        <v>7793.4709999999995</v>
      </c>
      <c r="M1215" s="110">
        <v>7611.8270000000002</v>
      </c>
      <c r="N1215" s="110">
        <v>7306.8890000000001</v>
      </c>
      <c r="O1215" s="110">
        <v>7027.4690000000001</v>
      </c>
      <c r="P1215" s="110">
        <v>6483.6670000000004</v>
      </c>
      <c r="Q1215" s="110">
        <v>5548.4859999999999</v>
      </c>
      <c r="R1215" s="110">
        <v>4534.7380000000003</v>
      </c>
      <c r="S1215" s="110">
        <v>4014.7469999999998</v>
      </c>
      <c r="T1215" s="110">
        <v>2996.8319999999999</v>
      </c>
      <c r="U1215" s="110">
        <v>1837.134</v>
      </c>
      <c r="V1215" s="110">
        <v>1104.8879999999999</v>
      </c>
      <c r="W1215" s="110">
        <v>943.88800000000003</v>
      </c>
      <c r="X1215" s="110">
        <v>651.00599999999997</v>
      </c>
      <c r="Y1215" s="110">
        <v>360.15899999999999</v>
      </c>
      <c r="Z1215" s="110">
        <v>174.113</v>
      </c>
      <c r="AA1215" s="110">
        <v>67.122</v>
      </c>
      <c r="AB1215" s="110">
        <v>16.117999999999999</v>
      </c>
      <c r="AC1215" s="115">
        <f t="shared" si="54"/>
        <v>49362.445999999996</v>
      </c>
      <c r="AD1215">
        <f t="shared" si="55"/>
        <v>1.0079798397685518</v>
      </c>
    </row>
    <row r="1216" spans="1:30" x14ac:dyDescent="0.25">
      <c r="A1216" s="104" t="str">
        <f t="shared" si="53"/>
        <v>Bangladesh2025</v>
      </c>
      <c r="C1216" s="107" t="s">
        <v>257</v>
      </c>
      <c r="D1216" s="108" t="s">
        <v>195</v>
      </c>
      <c r="E1216" s="109"/>
      <c r="F1216" s="109">
        <v>50</v>
      </c>
      <c r="G1216" s="109">
        <v>2025</v>
      </c>
      <c r="H1216" s="110">
        <v>6960.3549999999996</v>
      </c>
      <c r="I1216" s="110">
        <v>7225.6970000000001</v>
      </c>
      <c r="J1216" s="110">
        <v>7383.3249999999998</v>
      </c>
      <c r="K1216" s="110">
        <v>7516.241</v>
      </c>
      <c r="L1216" s="110">
        <v>7761.335</v>
      </c>
      <c r="M1216" s="110">
        <v>7655.7910000000002</v>
      </c>
      <c r="N1216" s="110">
        <v>7342.1030000000001</v>
      </c>
      <c r="O1216" s="110">
        <v>7074.5159999999996</v>
      </c>
      <c r="P1216" s="110">
        <v>6600.8739999999998</v>
      </c>
      <c r="Q1216" s="110">
        <v>5740.44</v>
      </c>
      <c r="R1216" s="110">
        <v>4646.5739999999996</v>
      </c>
      <c r="S1216" s="110">
        <v>4127.4059999999999</v>
      </c>
      <c r="T1216" s="110">
        <v>3181.3020000000001</v>
      </c>
      <c r="U1216" s="110">
        <v>2002.6559999999999</v>
      </c>
      <c r="V1216" s="110">
        <v>1144.4780000000001</v>
      </c>
      <c r="W1216" s="110">
        <v>940.30700000000002</v>
      </c>
      <c r="X1216" s="110">
        <v>671.452</v>
      </c>
      <c r="Y1216" s="110">
        <v>374.97199999999998</v>
      </c>
      <c r="Z1216" s="110">
        <v>180.875</v>
      </c>
      <c r="AA1216" s="110">
        <v>69.423000000000002</v>
      </c>
      <c r="AB1216" s="110">
        <v>18.564</v>
      </c>
      <c r="AC1216" s="115">
        <f t="shared" si="54"/>
        <v>49691.3</v>
      </c>
      <c r="AD1216">
        <f t="shared" si="55"/>
        <v>1.0066620280526619</v>
      </c>
    </row>
    <row r="1217" spans="1:30" x14ac:dyDescent="0.25">
      <c r="A1217" s="104" t="str">
        <f t="shared" si="53"/>
        <v>Bangladesh2026</v>
      </c>
      <c r="C1217" s="107" t="s">
        <v>257</v>
      </c>
      <c r="D1217" s="108" t="s">
        <v>195</v>
      </c>
      <c r="E1217" s="109"/>
      <c r="F1217" s="109">
        <v>50</v>
      </c>
      <c r="G1217" s="109">
        <v>2026</v>
      </c>
      <c r="H1217" s="110">
        <v>6888.5640000000003</v>
      </c>
      <c r="I1217" s="110">
        <v>7180.6149999999998</v>
      </c>
      <c r="J1217" s="110">
        <v>7338.6719999999996</v>
      </c>
      <c r="K1217" s="110">
        <v>7454.6850000000004</v>
      </c>
      <c r="L1217" s="110">
        <v>7724.2420000000002</v>
      </c>
      <c r="M1217" s="110">
        <v>7687.1819999999998</v>
      </c>
      <c r="N1217" s="110">
        <v>7382.5770000000002</v>
      </c>
      <c r="O1217" s="110">
        <v>7116.7160000000003</v>
      </c>
      <c r="P1217" s="110">
        <v>6699.7650000000003</v>
      </c>
      <c r="Q1217" s="110">
        <v>5918.0410000000002</v>
      </c>
      <c r="R1217" s="110">
        <v>4795.933</v>
      </c>
      <c r="S1217" s="110">
        <v>4202.2889999999998</v>
      </c>
      <c r="T1217" s="110">
        <v>3344.9830000000002</v>
      </c>
      <c r="U1217" s="110">
        <v>2169.8069999999998</v>
      </c>
      <c r="V1217" s="110">
        <v>1218.454</v>
      </c>
      <c r="W1217" s="110">
        <v>931.38800000000003</v>
      </c>
      <c r="X1217" s="110">
        <v>689.35199999999998</v>
      </c>
      <c r="Y1217" s="110">
        <v>397.11500000000001</v>
      </c>
      <c r="Z1217" s="110">
        <v>193.44900000000001</v>
      </c>
      <c r="AA1217" s="110">
        <v>75.41</v>
      </c>
      <c r="AB1217" s="110">
        <v>21.222999999999999</v>
      </c>
      <c r="AC1217" s="115">
        <f t="shared" si="54"/>
        <v>49983.207999999999</v>
      </c>
      <c r="AD1217">
        <f t="shared" si="55"/>
        <v>1.0058744287229353</v>
      </c>
    </row>
    <row r="1218" spans="1:30" x14ac:dyDescent="0.25">
      <c r="A1218" s="104" t="str">
        <f t="shared" si="53"/>
        <v>Bangladesh2027</v>
      </c>
      <c r="C1218" s="107" t="s">
        <v>257</v>
      </c>
      <c r="D1218" s="108" t="s">
        <v>195</v>
      </c>
      <c r="E1218" s="109"/>
      <c r="F1218" s="109">
        <v>50</v>
      </c>
      <c r="G1218" s="109">
        <v>2027</v>
      </c>
      <c r="H1218" s="110">
        <v>6818.9459999999999</v>
      </c>
      <c r="I1218" s="110">
        <v>7129.1149999999998</v>
      </c>
      <c r="J1218" s="110">
        <v>7298.152</v>
      </c>
      <c r="K1218" s="110">
        <v>7400.201</v>
      </c>
      <c r="L1218" s="110">
        <v>7659.7839999999997</v>
      </c>
      <c r="M1218" s="110">
        <v>7714.5780000000004</v>
      </c>
      <c r="N1218" s="110">
        <v>7429.0969999999998</v>
      </c>
      <c r="O1218" s="110">
        <v>7147.634</v>
      </c>
      <c r="P1218" s="110">
        <v>6782.8469999999998</v>
      </c>
      <c r="Q1218" s="110">
        <v>6077.8760000000002</v>
      </c>
      <c r="R1218" s="110">
        <v>4985.7120000000004</v>
      </c>
      <c r="S1218" s="110">
        <v>4253.4679999999998</v>
      </c>
      <c r="T1218" s="110">
        <v>3502.2689999999998</v>
      </c>
      <c r="U1218" s="110">
        <v>2347.1390000000001</v>
      </c>
      <c r="V1218" s="110">
        <v>1319.261</v>
      </c>
      <c r="W1218" s="110">
        <v>913.68399999999997</v>
      </c>
      <c r="X1218" s="110">
        <v>707.78300000000002</v>
      </c>
      <c r="Y1218" s="110">
        <v>418.33600000000001</v>
      </c>
      <c r="Z1218" s="110">
        <v>202.685</v>
      </c>
      <c r="AA1218" s="110">
        <v>82.132999999999996</v>
      </c>
      <c r="AB1218" s="110">
        <v>24.073</v>
      </c>
      <c r="AC1218" s="115">
        <f t="shared" si="54"/>
        <v>50212.017000000007</v>
      </c>
      <c r="AD1218">
        <f t="shared" si="55"/>
        <v>1.0045777173806052</v>
      </c>
    </row>
    <row r="1219" spans="1:30" x14ac:dyDescent="0.25">
      <c r="A1219" s="104" t="str">
        <f t="shared" si="53"/>
        <v>Bangladesh2028</v>
      </c>
      <c r="C1219" s="107" t="s">
        <v>257</v>
      </c>
      <c r="D1219" s="108" t="s">
        <v>195</v>
      </c>
      <c r="E1219" s="109"/>
      <c r="F1219" s="109">
        <v>50</v>
      </c>
      <c r="G1219" s="109">
        <v>2028</v>
      </c>
      <c r="H1219" s="110">
        <v>6750.1189999999997</v>
      </c>
      <c r="I1219" s="110">
        <v>7069.0330000000004</v>
      </c>
      <c r="J1219" s="110">
        <v>7262.8059999999996</v>
      </c>
      <c r="K1219" s="110">
        <v>7352.4160000000002</v>
      </c>
      <c r="L1219" s="110">
        <v>7574.2039999999997</v>
      </c>
      <c r="M1219" s="110">
        <v>7734.1989999999996</v>
      </c>
      <c r="N1219" s="110">
        <v>7478.6239999999998</v>
      </c>
      <c r="O1219" s="110">
        <v>7171.3040000000001</v>
      </c>
      <c r="P1219" s="110">
        <v>6852.9970000000003</v>
      </c>
      <c r="Q1219" s="110">
        <v>6219.6379999999999</v>
      </c>
      <c r="R1219" s="110">
        <v>5198.3829999999998</v>
      </c>
      <c r="S1219" s="110">
        <v>4301.7349999999997</v>
      </c>
      <c r="T1219" s="110">
        <v>3648.37</v>
      </c>
      <c r="U1219" s="110">
        <v>2530.2959999999998</v>
      </c>
      <c r="V1219" s="110">
        <v>1440.127</v>
      </c>
      <c r="W1219" s="110">
        <v>899.81500000000005</v>
      </c>
      <c r="X1219" s="110">
        <v>724.58199999999999</v>
      </c>
      <c r="Y1219" s="110">
        <v>436.70699999999999</v>
      </c>
      <c r="Z1219" s="110">
        <v>211.292</v>
      </c>
      <c r="AA1219" s="110">
        <v>88.225999999999999</v>
      </c>
      <c r="AB1219" s="110">
        <v>27.059000000000001</v>
      </c>
      <c r="AC1219" s="115">
        <f t="shared" si="54"/>
        <v>50383.382000000005</v>
      </c>
      <c r="AD1219">
        <f t="shared" si="55"/>
        <v>1.003412828447023</v>
      </c>
    </row>
    <row r="1220" spans="1:30" x14ac:dyDescent="0.25">
      <c r="A1220" s="104" t="str">
        <f t="shared" si="53"/>
        <v>Bangladesh2029</v>
      </c>
      <c r="C1220" s="107" t="s">
        <v>257</v>
      </c>
      <c r="D1220" s="108" t="s">
        <v>195</v>
      </c>
      <c r="E1220" s="109"/>
      <c r="F1220" s="109">
        <v>50</v>
      </c>
      <c r="G1220" s="109">
        <v>2029</v>
      </c>
      <c r="H1220" s="110">
        <v>6679.24</v>
      </c>
      <c r="I1220" s="110">
        <v>7002.0479999999998</v>
      </c>
      <c r="J1220" s="110">
        <v>7229.5720000000001</v>
      </c>
      <c r="K1220" s="110">
        <v>7308.2060000000001</v>
      </c>
      <c r="L1220" s="110">
        <v>7483.1229999999996</v>
      </c>
      <c r="M1220" s="110">
        <v>7737.4269999999997</v>
      </c>
      <c r="N1220" s="110">
        <v>7525.7290000000003</v>
      </c>
      <c r="O1220" s="110">
        <v>7195.6549999999997</v>
      </c>
      <c r="P1220" s="110">
        <v>6912.8119999999999</v>
      </c>
      <c r="Q1220" s="110">
        <v>6345.933</v>
      </c>
      <c r="R1220" s="110">
        <v>5407.7190000000001</v>
      </c>
      <c r="S1220" s="110">
        <v>4376.973</v>
      </c>
      <c r="T1220" s="110">
        <v>3776.8150000000001</v>
      </c>
      <c r="U1220" s="110">
        <v>2711.7310000000002</v>
      </c>
      <c r="V1220" s="110">
        <v>1573.751</v>
      </c>
      <c r="W1220" s="110">
        <v>906.97699999999998</v>
      </c>
      <c r="X1220" s="110">
        <v>734.74800000000005</v>
      </c>
      <c r="Y1220" s="110">
        <v>452.72699999999998</v>
      </c>
      <c r="Z1220" s="110">
        <v>219.761</v>
      </c>
      <c r="AA1220" s="110">
        <v>92.528999999999996</v>
      </c>
      <c r="AB1220" s="110">
        <v>30.109000000000002</v>
      </c>
      <c r="AC1220" s="115">
        <f t="shared" si="54"/>
        <v>50508.884999999995</v>
      </c>
      <c r="AD1220">
        <f t="shared" si="55"/>
        <v>1.0024909602138259</v>
      </c>
    </row>
    <row r="1221" spans="1:30" x14ac:dyDescent="0.25">
      <c r="A1221" s="104" t="str">
        <f t="shared" si="53"/>
        <v>Bangladesh2030</v>
      </c>
      <c r="C1221" s="107" t="s">
        <v>257</v>
      </c>
      <c r="D1221" s="108" t="s">
        <v>195</v>
      </c>
      <c r="E1221" s="109"/>
      <c r="F1221" s="109">
        <v>50</v>
      </c>
      <c r="G1221" s="109">
        <v>2030</v>
      </c>
      <c r="H1221" s="110">
        <v>6604.6989999999996</v>
      </c>
      <c r="I1221" s="110">
        <v>6932.0959999999995</v>
      </c>
      <c r="J1221" s="110">
        <v>7192.7749999999996</v>
      </c>
      <c r="K1221" s="110">
        <v>7266.2049999999999</v>
      </c>
      <c r="L1221" s="110">
        <v>7399.5950000000003</v>
      </c>
      <c r="M1221" s="110">
        <v>7716.2129999999997</v>
      </c>
      <c r="N1221" s="110">
        <v>7566.7730000000001</v>
      </c>
      <c r="O1221" s="110">
        <v>7226.6859999999997</v>
      </c>
      <c r="P1221" s="110">
        <v>6963.0259999999998</v>
      </c>
      <c r="Q1221" s="110">
        <v>6458.9880000000003</v>
      </c>
      <c r="R1221" s="110">
        <v>5597.4629999999997</v>
      </c>
      <c r="S1221" s="110">
        <v>4495.0439999999999</v>
      </c>
      <c r="T1221" s="110">
        <v>3885.569</v>
      </c>
      <c r="U1221" s="110">
        <v>2885.6880000000001</v>
      </c>
      <c r="V1221" s="110">
        <v>1717.2380000000001</v>
      </c>
      <c r="W1221" s="110">
        <v>943.75</v>
      </c>
      <c r="X1221" s="110">
        <v>735.904</v>
      </c>
      <c r="Y1221" s="110">
        <v>466.49700000000001</v>
      </c>
      <c r="Z1221" s="110">
        <v>229.43100000000001</v>
      </c>
      <c r="AA1221" s="110">
        <v>94.05</v>
      </c>
      <c r="AB1221" s="110">
        <v>33.171999999999997</v>
      </c>
      <c r="AC1221" s="115">
        <f t="shared" si="54"/>
        <v>50597.485999999997</v>
      </c>
      <c r="AD1221">
        <f t="shared" si="55"/>
        <v>1.0017541666184078</v>
      </c>
    </row>
    <row r="1222" spans="1:30" x14ac:dyDescent="0.25">
      <c r="A1222" s="104" t="str">
        <f t="shared" si="53"/>
        <v>Bangladesh2031</v>
      </c>
      <c r="C1222" s="107" t="s">
        <v>257</v>
      </c>
      <c r="D1222" s="108" t="s">
        <v>195</v>
      </c>
      <c r="E1222" s="109"/>
      <c r="F1222" s="109">
        <v>50</v>
      </c>
      <c r="G1222" s="109">
        <v>2031</v>
      </c>
      <c r="H1222" s="110">
        <v>6535.7259999999997</v>
      </c>
      <c r="I1222" s="110">
        <v>6865.45</v>
      </c>
      <c r="J1222" s="110">
        <v>7137.83</v>
      </c>
      <c r="K1222" s="110">
        <v>7230.8130000000001</v>
      </c>
      <c r="L1222" s="110">
        <v>7343.674</v>
      </c>
      <c r="M1222" s="110">
        <v>7666.4139999999998</v>
      </c>
      <c r="N1222" s="110">
        <v>7601.49</v>
      </c>
      <c r="O1222" s="110">
        <v>7269.6220000000003</v>
      </c>
      <c r="P1222" s="110">
        <v>7000.9539999999997</v>
      </c>
      <c r="Q1222" s="110">
        <v>6560.2089999999998</v>
      </c>
      <c r="R1222" s="110">
        <v>5770.808</v>
      </c>
      <c r="S1222" s="110">
        <v>4635.7219999999998</v>
      </c>
      <c r="T1222" s="110">
        <v>3960.4360000000001</v>
      </c>
      <c r="U1222" s="110">
        <v>3037.6770000000001</v>
      </c>
      <c r="V1222" s="110">
        <v>1872.424</v>
      </c>
      <c r="W1222" s="110">
        <v>1007.693</v>
      </c>
      <c r="X1222" s="110">
        <v>728.26300000000003</v>
      </c>
      <c r="Y1222" s="110">
        <v>485.10300000000001</v>
      </c>
      <c r="Z1222" s="110">
        <v>246.18600000000001</v>
      </c>
      <c r="AA1222" s="110">
        <v>100.295</v>
      </c>
      <c r="AB1222" s="110">
        <v>36.249000000000002</v>
      </c>
      <c r="AC1222" s="115">
        <f t="shared" si="54"/>
        <v>50673.176000000007</v>
      </c>
      <c r="AD1222">
        <f t="shared" si="55"/>
        <v>1.0014959241255585</v>
      </c>
    </row>
    <row r="1223" spans="1:30" x14ac:dyDescent="0.25">
      <c r="A1223" s="104" t="str">
        <f t="shared" si="53"/>
        <v>Bangladesh2032</v>
      </c>
      <c r="C1223" s="107" t="s">
        <v>257</v>
      </c>
      <c r="D1223" s="108" t="s">
        <v>195</v>
      </c>
      <c r="E1223" s="109"/>
      <c r="F1223" s="109">
        <v>50</v>
      </c>
      <c r="G1223" s="109">
        <v>2032</v>
      </c>
      <c r="H1223" s="110">
        <v>6461.6620000000003</v>
      </c>
      <c r="I1223" s="110">
        <v>6798.5079999999998</v>
      </c>
      <c r="J1223" s="110">
        <v>7078.7030000000004</v>
      </c>
      <c r="K1223" s="110">
        <v>7196.4709999999995</v>
      </c>
      <c r="L1223" s="110">
        <v>7295.6880000000001</v>
      </c>
      <c r="M1223" s="110">
        <v>7593.5950000000003</v>
      </c>
      <c r="N1223" s="110">
        <v>7631.6540000000005</v>
      </c>
      <c r="O1223" s="110">
        <v>7318.8220000000001</v>
      </c>
      <c r="P1223" s="110">
        <v>7029.049</v>
      </c>
      <c r="Q1223" s="110">
        <v>6645.9539999999997</v>
      </c>
      <c r="R1223" s="110">
        <v>5929.384</v>
      </c>
      <c r="S1223" s="110">
        <v>4818.0469999999996</v>
      </c>
      <c r="T1223" s="110">
        <v>4012.8820000000001</v>
      </c>
      <c r="U1223" s="110">
        <v>3184.902</v>
      </c>
      <c r="V1223" s="110">
        <v>2035.395</v>
      </c>
      <c r="W1223" s="110">
        <v>1093.837</v>
      </c>
      <c r="X1223" s="110">
        <v>714.07</v>
      </c>
      <c r="Y1223" s="110">
        <v>503.14</v>
      </c>
      <c r="Z1223" s="110">
        <v>259.56799999999998</v>
      </c>
      <c r="AA1223" s="110">
        <v>108.093</v>
      </c>
      <c r="AB1223" s="110">
        <v>39.335999999999999</v>
      </c>
      <c r="AC1223" s="115">
        <f t="shared" si="54"/>
        <v>50711.233</v>
      </c>
      <c r="AD1223">
        <f t="shared" si="55"/>
        <v>1.0007510285126</v>
      </c>
    </row>
    <row r="1224" spans="1:30" x14ac:dyDescent="0.25">
      <c r="A1224" s="104" t="str">
        <f t="shared" si="53"/>
        <v>Bangladesh2033</v>
      </c>
      <c r="C1224" s="107" t="s">
        <v>257</v>
      </c>
      <c r="D1224" s="108" t="s">
        <v>195</v>
      </c>
      <c r="E1224" s="109"/>
      <c r="F1224" s="109">
        <v>50</v>
      </c>
      <c r="G1224" s="109">
        <v>2033</v>
      </c>
      <c r="H1224" s="110">
        <v>6383.7640000000001</v>
      </c>
      <c r="I1224" s="110">
        <v>6729.4970000000003</v>
      </c>
      <c r="J1224" s="110">
        <v>7018.7579999999998</v>
      </c>
      <c r="K1224" s="110">
        <v>7161.55</v>
      </c>
      <c r="L1224" s="110">
        <v>7250.1850000000004</v>
      </c>
      <c r="M1224" s="110">
        <v>7509.22</v>
      </c>
      <c r="N1224" s="110">
        <v>7651.4390000000003</v>
      </c>
      <c r="O1224" s="110">
        <v>7369.3860000000004</v>
      </c>
      <c r="P1224" s="110">
        <v>7053.6350000000002</v>
      </c>
      <c r="Q1224" s="110">
        <v>6716.9080000000004</v>
      </c>
      <c r="R1224" s="110">
        <v>6071.5240000000003</v>
      </c>
      <c r="S1224" s="110">
        <v>5027.2650000000003</v>
      </c>
      <c r="T1224" s="110">
        <v>4061.38</v>
      </c>
      <c r="U1224" s="110">
        <v>3324.8629999999998</v>
      </c>
      <c r="V1224" s="110">
        <v>2199.7420000000002</v>
      </c>
      <c r="W1224" s="110">
        <v>1197.181</v>
      </c>
      <c r="X1224" s="110">
        <v>705.25800000000004</v>
      </c>
      <c r="Y1224" s="110">
        <v>516.76499999999999</v>
      </c>
      <c r="Z1224" s="110">
        <v>271.78100000000001</v>
      </c>
      <c r="AA1224" s="110">
        <v>115.42700000000001</v>
      </c>
      <c r="AB1224" s="110">
        <v>42.445999999999998</v>
      </c>
      <c r="AC1224" s="115">
        <f t="shared" si="54"/>
        <v>50712.323000000004</v>
      </c>
      <c r="AD1224">
        <f t="shared" si="55"/>
        <v>1.0000214942515795</v>
      </c>
    </row>
    <row r="1225" spans="1:30" x14ac:dyDescent="0.25">
      <c r="A1225" s="104" t="str">
        <f t="shared" si="53"/>
        <v>Bangladesh2034</v>
      </c>
      <c r="C1225" s="107" t="s">
        <v>257</v>
      </c>
      <c r="D1225" s="108" t="s">
        <v>195</v>
      </c>
      <c r="E1225" s="109"/>
      <c r="F1225" s="109">
        <v>50</v>
      </c>
      <c r="G1225" s="109">
        <v>2034</v>
      </c>
      <c r="H1225" s="110">
        <v>6305.0050000000001</v>
      </c>
      <c r="I1225" s="110">
        <v>6657.4430000000002</v>
      </c>
      <c r="J1225" s="110">
        <v>6959.9719999999998</v>
      </c>
      <c r="K1225" s="110">
        <v>7122.6970000000001</v>
      </c>
      <c r="L1225" s="110">
        <v>7202.5919999999996</v>
      </c>
      <c r="M1225" s="110">
        <v>7428.0010000000002</v>
      </c>
      <c r="N1225" s="110">
        <v>7652.1</v>
      </c>
      <c r="O1225" s="110">
        <v>7415.2619999999997</v>
      </c>
      <c r="P1225" s="110">
        <v>7082.0050000000001</v>
      </c>
      <c r="Q1225" s="110">
        <v>6774.9579999999996</v>
      </c>
      <c r="R1225" s="110">
        <v>6198.692</v>
      </c>
      <c r="S1225" s="110">
        <v>5237.7759999999998</v>
      </c>
      <c r="T1225" s="110">
        <v>4134.9920000000002</v>
      </c>
      <c r="U1225" s="110">
        <v>3450.4830000000002</v>
      </c>
      <c r="V1225" s="110">
        <v>2358.835</v>
      </c>
      <c r="W1225" s="110">
        <v>1312.2650000000001</v>
      </c>
      <c r="X1225" s="110">
        <v>715.65</v>
      </c>
      <c r="Y1225" s="110">
        <v>523.16099999999994</v>
      </c>
      <c r="Z1225" s="110">
        <v>282.61799999999999</v>
      </c>
      <c r="AA1225" s="110">
        <v>120.61</v>
      </c>
      <c r="AB1225" s="110">
        <v>45.606999999999999</v>
      </c>
      <c r="AC1225" s="115">
        <f t="shared" si="54"/>
        <v>50677.614999999998</v>
      </c>
      <c r="AD1225">
        <f t="shared" si="55"/>
        <v>0.99931559041379336</v>
      </c>
    </row>
    <row r="1226" spans="1:30" x14ac:dyDescent="0.25">
      <c r="A1226" s="104" t="str">
        <f t="shared" si="53"/>
        <v>Bangladesh2035</v>
      </c>
      <c r="C1226" s="107" t="s">
        <v>257</v>
      </c>
      <c r="D1226" s="108" t="s">
        <v>195</v>
      </c>
      <c r="E1226" s="109"/>
      <c r="F1226" s="109">
        <v>50</v>
      </c>
      <c r="G1226" s="109">
        <v>2035</v>
      </c>
      <c r="H1226" s="110">
        <v>6227.9690000000001</v>
      </c>
      <c r="I1226" s="110">
        <v>6581.848</v>
      </c>
      <c r="J1226" s="110">
        <v>6901.415</v>
      </c>
      <c r="K1226" s="110">
        <v>7078.6509999999998</v>
      </c>
      <c r="L1226" s="110">
        <v>7152.7520000000004</v>
      </c>
      <c r="M1226" s="110">
        <v>7356.3630000000003</v>
      </c>
      <c r="N1226" s="110">
        <v>7629.317</v>
      </c>
      <c r="O1226" s="110">
        <v>7453.2690000000002</v>
      </c>
      <c r="P1226" s="110">
        <v>7117.1880000000001</v>
      </c>
      <c r="Q1226" s="110">
        <v>6822.66</v>
      </c>
      <c r="R1226" s="110">
        <v>6312.1949999999997</v>
      </c>
      <c r="S1226" s="110">
        <v>5431.652</v>
      </c>
      <c r="T1226" s="110">
        <v>4251.4160000000002</v>
      </c>
      <c r="U1226" s="110">
        <v>3557.384</v>
      </c>
      <c r="V1226" s="110">
        <v>2510.431</v>
      </c>
      <c r="W1226" s="110">
        <v>1435.749</v>
      </c>
      <c r="X1226" s="110">
        <v>750.76900000000001</v>
      </c>
      <c r="Y1226" s="110">
        <v>522.44000000000005</v>
      </c>
      <c r="Z1226" s="110">
        <v>292.45100000000002</v>
      </c>
      <c r="AA1226" s="110">
        <v>122.376</v>
      </c>
      <c r="AB1226" s="110">
        <v>48.843000000000004</v>
      </c>
      <c r="AC1226" s="115">
        <f t="shared" si="54"/>
        <v>50610.2</v>
      </c>
      <c r="AD1226">
        <f t="shared" si="55"/>
        <v>0.99866972824194666</v>
      </c>
    </row>
    <row r="1227" spans="1:30" x14ac:dyDescent="0.25">
      <c r="A1227" s="104" t="str">
        <f t="shared" si="53"/>
        <v>Bangladesh2036</v>
      </c>
      <c r="C1227" s="107" t="s">
        <v>257</v>
      </c>
      <c r="D1227" s="108" t="s">
        <v>195</v>
      </c>
      <c r="E1227" s="109"/>
      <c r="F1227" s="109">
        <v>50</v>
      </c>
      <c r="G1227" s="109">
        <v>2036</v>
      </c>
      <c r="H1227" s="110">
        <v>6158.674</v>
      </c>
      <c r="I1227" s="110">
        <v>6508.4269999999997</v>
      </c>
      <c r="J1227" s="110">
        <v>6829.4350000000004</v>
      </c>
      <c r="K1227" s="110">
        <v>7033.3670000000002</v>
      </c>
      <c r="L1227" s="110">
        <v>7123.9769999999999</v>
      </c>
      <c r="M1227" s="110">
        <v>7289.2179999999998</v>
      </c>
      <c r="N1227" s="110">
        <v>7583.9409999999998</v>
      </c>
      <c r="O1227" s="110">
        <v>7491.4849999999997</v>
      </c>
      <c r="P1227" s="110">
        <v>7156.9709999999995</v>
      </c>
      <c r="Q1227" s="110">
        <v>6864.2929999999997</v>
      </c>
      <c r="R1227" s="110">
        <v>6411.5370000000003</v>
      </c>
      <c r="S1227" s="110">
        <v>5594.991</v>
      </c>
      <c r="T1227" s="110">
        <v>4391.7910000000002</v>
      </c>
      <c r="U1227" s="110">
        <v>3627.2370000000001</v>
      </c>
      <c r="V1227" s="110">
        <v>2655.6990000000001</v>
      </c>
      <c r="W1227" s="110">
        <v>1569.386</v>
      </c>
      <c r="X1227" s="110">
        <v>803.02700000000004</v>
      </c>
      <c r="Y1227" s="110">
        <v>521.47500000000002</v>
      </c>
      <c r="Z1227" s="110">
        <v>308.25900000000001</v>
      </c>
      <c r="AA1227" s="110">
        <v>131.613</v>
      </c>
      <c r="AB1227" s="110">
        <v>52.171999999999997</v>
      </c>
      <c r="AC1227" s="115">
        <f t="shared" si="54"/>
        <v>50543.251999999993</v>
      </c>
      <c r="AD1227">
        <f t="shared" si="55"/>
        <v>0.99867718365072644</v>
      </c>
    </row>
    <row r="1228" spans="1:30" x14ac:dyDescent="0.25">
      <c r="A1228" s="104" t="str">
        <f t="shared" si="53"/>
        <v>Bangladesh2037</v>
      </c>
      <c r="C1228" s="107" t="s">
        <v>257</v>
      </c>
      <c r="D1228" s="108" t="s">
        <v>195</v>
      </c>
      <c r="E1228" s="109"/>
      <c r="F1228" s="109">
        <v>50</v>
      </c>
      <c r="G1228" s="109">
        <v>2037</v>
      </c>
      <c r="H1228" s="110">
        <v>6088.8389999999999</v>
      </c>
      <c r="I1228" s="110">
        <v>6435.4650000000001</v>
      </c>
      <c r="J1228" s="110">
        <v>6757.2640000000001</v>
      </c>
      <c r="K1228" s="110">
        <v>6979.3559999999998</v>
      </c>
      <c r="L1228" s="110">
        <v>7095.9319999999998</v>
      </c>
      <c r="M1228" s="110">
        <v>7233.223</v>
      </c>
      <c r="N1228" s="110">
        <v>7513.99</v>
      </c>
      <c r="O1228" s="110">
        <v>7524.3440000000001</v>
      </c>
      <c r="P1228" s="110">
        <v>7203.4030000000002</v>
      </c>
      <c r="Q1228" s="110">
        <v>6895.3760000000002</v>
      </c>
      <c r="R1228" s="110">
        <v>6497.3180000000002</v>
      </c>
      <c r="S1228" s="110">
        <v>5746.5870000000004</v>
      </c>
      <c r="T1228" s="110">
        <v>4571.2929999999997</v>
      </c>
      <c r="U1228" s="110">
        <v>3675.8359999999998</v>
      </c>
      <c r="V1228" s="110">
        <v>2795.6709999999998</v>
      </c>
      <c r="W1228" s="110">
        <v>1710.4059999999999</v>
      </c>
      <c r="X1228" s="110">
        <v>872.56500000000005</v>
      </c>
      <c r="Y1228" s="110">
        <v>515.14300000000003</v>
      </c>
      <c r="Z1228" s="110">
        <v>319.548</v>
      </c>
      <c r="AA1228" s="110">
        <v>143.10400000000001</v>
      </c>
      <c r="AB1228" s="110">
        <v>55.564</v>
      </c>
      <c r="AC1228" s="115">
        <f t="shared" si="54"/>
        <v>50445.623999999996</v>
      </c>
      <c r="AD1228">
        <f t="shared" si="55"/>
        <v>0.99806842662201478</v>
      </c>
    </row>
    <row r="1229" spans="1:30" x14ac:dyDescent="0.25">
      <c r="A1229" s="104" t="str">
        <f t="shared" si="53"/>
        <v>Bangladesh2038</v>
      </c>
      <c r="C1229" s="107" t="s">
        <v>257</v>
      </c>
      <c r="D1229" s="108" t="s">
        <v>195</v>
      </c>
      <c r="E1229" s="109"/>
      <c r="F1229" s="109">
        <v>50</v>
      </c>
      <c r="G1229" s="109">
        <v>2038</v>
      </c>
      <c r="H1229" s="110">
        <v>6019.3819999999996</v>
      </c>
      <c r="I1229" s="110">
        <v>6361.3829999999998</v>
      </c>
      <c r="J1229" s="110">
        <v>6687.5680000000002</v>
      </c>
      <c r="K1229" s="110">
        <v>6918.8379999999997</v>
      </c>
      <c r="L1229" s="110">
        <v>7062.3990000000003</v>
      </c>
      <c r="M1229" s="110">
        <v>7188.4639999999999</v>
      </c>
      <c r="N1229" s="110">
        <v>7429.37</v>
      </c>
      <c r="O1229" s="110">
        <v>7544.5609999999997</v>
      </c>
      <c r="P1229" s="110">
        <v>7254.23</v>
      </c>
      <c r="Q1229" s="110">
        <v>6920.4340000000002</v>
      </c>
      <c r="R1229" s="110">
        <v>6569.0230000000001</v>
      </c>
      <c r="S1229" s="110">
        <v>5887.5519999999997</v>
      </c>
      <c r="T1229" s="110">
        <v>4773.6779999999999</v>
      </c>
      <c r="U1229" s="110">
        <v>3724.2489999999998</v>
      </c>
      <c r="V1229" s="110">
        <v>2924.7959999999998</v>
      </c>
      <c r="W1229" s="110">
        <v>1853.4639999999999</v>
      </c>
      <c r="X1229" s="110">
        <v>957.26900000000001</v>
      </c>
      <c r="Y1229" s="110">
        <v>511.23700000000002</v>
      </c>
      <c r="Z1229" s="110">
        <v>327.48200000000003</v>
      </c>
      <c r="AA1229" s="110">
        <v>152.958</v>
      </c>
      <c r="AB1229" s="110">
        <v>59.085999999999999</v>
      </c>
      <c r="AC1229" s="115">
        <f t="shared" si="54"/>
        <v>50318.295999999995</v>
      </c>
      <c r="AD1229">
        <f t="shared" si="55"/>
        <v>0.99747593567283455</v>
      </c>
    </row>
    <row r="1230" spans="1:30" x14ac:dyDescent="0.25">
      <c r="A1230" s="104" t="str">
        <f t="shared" si="53"/>
        <v>Bangladesh2039</v>
      </c>
      <c r="C1230" s="107" t="s">
        <v>257</v>
      </c>
      <c r="D1230" s="108" t="s">
        <v>195</v>
      </c>
      <c r="E1230" s="109"/>
      <c r="F1230" s="109">
        <v>50</v>
      </c>
      <c r="G1230" s="109">
        <v>2039</v>
      </c>
      <c r="H1230" s="110">
        <v>5951.28</v>
      </c>
      <c r="I1230" s="110">
        <v>6285.8879999999999</v>
      </c>
      <c r="J1230" s="110">
        <v>6620.4459999999999</v>
      </c>
      <c r="K1230" s="110">
        <v>6854.6019999999999</v>
      </c>
      <c r="L1230" s="110">
        <v>7019.393</v>
      </c>
      <c r="M1230" s="110">
        <v>7150.1940000000004</v>
      </c>
      <c r="N1230" s="110">
        <v>7345.4380000000001</v>
      </c>
      <c r="O1230" s="110">
        <v>7543.5590000000002</v>
      </c>
      <c r="P1230" s="110">
        <v>7303.5119999999997</v>
      </c>
      <c r="Q1230" s="110">
        <v>6946.7809999999999</v>
      </c>
      <c r="R1230" s="110">
        <v>6628.2349999999997</v>
      </c>
      <c r="S1230" s="110">
        <v>6019.0739999999996</v>
      </c>
      <c r="T1230" s="110">
        <v>4975.4639999999999</v>
      </c>
      <c r="U1230" s="110">
        <v>3800.241</v>
      </c>
      <c r="V1230" s="110">
        <v>3036.0610000000001</v>
      </c>
      <c r="W1230" s="110">
        <v>1992.6849999999999</v>
      </c>
      <c r="X1230" s="110">
        <v>1053.6990000000001</v>
      </c>
      <c r="Y1230" s="110">
        <v>518.952</v>
      </c>
      <c r="Z1230" s="110">
        <v>332.221</v>
      </c>
      <c r="AA1230" s="110">
        <v>158.77199999999999</v>
      </c>
      <c r="AB1230" s="110">
        <v>62.823</v>
      </c>
      <c r="AC1230" s="115">
        <f t="shared" si="54"/>
        <v>50163.479000000007</v>
      </c>
      <c r="AD1230">
        <f t="shared" si="55"/>
        <v>0.99692324636748453</v>
      </c>
    </row>
    <row r="1231" spans="1:30" x14ac:dyDescent="0.25">
      <c r="A1231" s="104" t="str">
        <f t="shared" si="53"/>
        <v>Bangladesh2040</v>
      </c>
      <c r="C1231" s="107" t="s">
        <v>257</v>
      </c>
      <c r="D1231" s="108" t="s">
        <v>195</v>
      </c>
      <c r="E1231" s="109"/>
      <c r="F1231" s="109">
        <v>50</v>
      </c>
      <c r="G1231" s="109">
        <v>2040</v>
      </c>
      <c r="H1231" s="110">
        <v>5885.8649999999998</v>
      </c>
      <c r="I1231" s="110">
        <v>6209.3459999999995</v>
      </c>
      <c r="J1231" s="110">
        <v>6553.5959999999995</v>
      </c>
      <c r="K1231" s="110">
        <v>6789.3029999999999</v>
      </c>
      <c r="L1231" s="110">
        <v>6967.192</v>
      </c>
      <c r="M1231" s="110">
        <v>7111.9740000000002</v>
      </c>
      <c r="N1231" s="110">
        <v>7272.5259999999998</v>
      </c>
      <c r="O1231" s="110">
        <v>7517.7969999999996</v>
      </c>
      <c r="P1231" s="110">
        <v>7345.4440000000004</v>
      </c>
      <c r="Q1231" s="110">
        <v>6979.5150000000003</v>
      </c>
      <c r="R1231" s="110">
        <v>6677.0680000000002</v>
      </c>
      <c r="S1231" s="110">
        <v>6139.6959999999999</v>
      </c>
      <c r="T1231" s="110">
        <v>5163.1450000000004</v>
      </c>
      <c r="U1231" s="110">
        <v>3917.7629999999999</v>
      </c>
      <c r="V1231" s="110">
        <v>3128.4810000000002</v>
      </c>
      <c r="W1231" s="110">
        <v>2124.761</v>
      </c>
      <c r="X1231" s="110">
        <v>1158.6179999999999</v>
      </c>
      <c r="Y1231" s="110">
        <v>543.23199999999997</v>
      </c>
      <c r="Z1231" s="110">
        <v>334.685</v>
      </c>
      <c r="AA1231" s="110">
        <v>159.60900000000001</v>
      </c>
      <c r="AB1231" s="110">
        <v>66.828000000000003</v>
      </c>
      <c r="AC1231" s="115">
        <f t="shared" si="54"/>
        <v>49983.750999999997</v>
      </c>
      <c r="AD1231">
        <f t="shared" si="55"/>
        <v>0.99641715440031564</v>
      </c>
    </row>
    <row r="1232" spans="1:30" x14ac:dyDescent="0.25">
      <c r="A1232" s="104" t="str">
        <f t="shared" si="53"/>
        <v>Bangladesh2041</v>
      </c>
      <c r="C1232" s="107" t="s">
        <v>257</v>
      </c>
      <c r="D1232" s="108" t="s">
        <v>195</v>
      </c>
      <c r="E1232" s="109"/>
      <c r="F1232" s="109">
        <v>50</v>
      </c>
      <c r="G1232" s="109">
        <v>2041</v>
      </c>
      <c r="H1232" s="110">
        <v>5831.0029999999997</v>
      </c>
      <c r="I1232" s="110">
        <v>6137.598</v>
      </c>
      <c r="J1232" s="110">
        <v>6474.1930000000002</v>
      </c>
      <c r="K1232" s="110">
        <v>6726.8980000000001</v>
      </c>
      <c r="L1232" s="110">
        <v>6928.3429999999998</v>
      </c>
      <c r="M1232" s="110">
        <v>7071.6490000000003</v>
      </c>
      <c r="N1232" s="110">
        <v>7209.6819999999998</v>
      </c>
      <c r="O1232" s="110">
        <v>7476.0230000000001</v>
      </c>
      <c r="P1232" s="110">
        <v>7380.2079999999996</v>
      </c>
      <c r="Q1232" s="110">
        <v>7022.7179999999998</v>
      </c>
      <c r="R1232" s="110">
        <v>6717.3029999999999</v>
      </c>
      <c r="S1232" s="110">
        <v>6230.7560000000003</v>
      </c>
      <c r="T1232" s="110">
        <v>5323.5730000000003</v>
      </c>
      <c r="U1232" s="110">
        <v>4051.6089999999999</v>
      </c>
      <c r="V1232" s="110">
        <v>3201.7840000000001</v>
      </c>
      <c r="W1232" s="110">
        <v>2253.3589999999999</v>
      </c>
      <c r="X1232" s="110">
        <v>1266.1969999999999</v>
      </c>
      <c r="Y1232" s="110">
        <v>588.57100000000003</v>
      </c>
      <c r="Z1232" s="110">
        <v>337.666</v>
      </c>
      <c r="AA1232" s="110">
        <v>168.73699999999999</v>
      </c>
      <c r="AB1232" s="110">
        <v>71.173000000000002</v>
      </c>
      <c r="AC1232" s="115">
        <f t="shared" si="54"/>
        <v>49815.521000000001</v>
      </c>
      <c r="AD1232">
        <f t="shared" si="55"/>
        <v>0.99663430621683446</v>
      </c>
    </row>
    <row r="1233" spans="1:30" x14ac:dyDescent="0.25">
      <c r="A1233" s="104" t="str">
        <f t="shared" si="53"/>
        <v>Bangladesh2042</v>
      </c>
      <c r="C1233" s="107" t="s">
        <v>257</v>
      </c>
      <c r="D1233" s="108" t="s">
        <v>195</v>
      </c>
      <c r="E1233" s="109"/>
      <c r="F1233" s="109">
        <v>50</v>
      </c>
      <c r="G1233" s="109">
        <v>2042</v>
      </c>
      <c r="H1233" s="110">
        <v>5776.3519999999999</v>
      </c>
      <c r="I1233" s="110">
        <v>6069.0929999999998</v>
      </c>
      <c r="J1233" s="110">
        <v>6395.5919999999996</v>
      </c>
      <c r="K1233" s="110">
        <v>6660.0169999999998</v>
      </c>
      <c r="L1233" s="110">
        <v>6880.7150000000001</v>
      </c>
      <c r="M1233" s="110">
        <v>7035.53</v>
      </c>
      <c r="N1233" s="110">
        <v>7156.5259999999998</v>
      </c>
      <c r="O1233" s="110">
        <v>7409.1710000000003</v>
      </c>
      <c r="P1233" s="110">
        <v>7410.3429999999998</v>
      </c>
      <c r="Q1233" s="110">
        <v>7071.9319999999998</v>
      </c>
      <c r="R1233" s="110">
        <v>6749</v>
      </c>
      <c r="S1233" s="110">
        <v>6311.0649999999996</v>
      </c>
      <c r="T1233" s="110">
        <v>5473.4409999999998</v>
      </c>
      <c r="U1233" s="110">
        <v>4220.616</v>
      </c>
      <c r="V1233" s="110">
        <v>3253.9409999999998</v>
      </c>
      <c r="W1233" s="110">
        <v>2378.8690000000001</v>
      </c>
      <c r="X1233" s="110">
        <v>1381.51</v>
      </c>
      <c r="Y1233" s="110">
        <v>643.20899999999995</v>
      </c>
      <c r="Z1233" s="110">
        <v>335.21</v>
      </c>
      <c r="AA1233" s="110">
        <v>179.02799999999999</v>
      </c>
      <c r="AB1233" s="110">
        <v>75.765000000000001</v>
      </c>
      <c r="AC1233" s="115">
        <f t="shared" si="54"/>
        <v>49624.234000000004</v>
      </c>
      <c r="AD1233">
        <f t="shared" si="55"/>
        <v>0.99616009235354586</v>
      </c>
    </row>
    <row r="1234" spans="1:30" x14ac:dyDescent="0.25">
      <c r="A1234" s="104" t="str">
        <f t="shared" si="53"/>
        <v>Bangladesh2043</v>
      </c>
      <c r="C1234" s="107" t="s">
        <v>257</v>
      </c>
      <c r="D1234" s="108" t="s">
        <v>195</v>
      </c>
      <c r="E1234" s="109"/>
      <c r="F1234" s="109">
        <v>50</v>
      </c>
      <c r="G1234" s="109">
        <v>2043</v>
      </c>
      <c r="H1234" s="110">
        <v>5721.915</v>
      </c>
      <c r="I1234" s="110">
        <v>6002.2290000000003</v>
      </c>
      <c r="J1234" s="110">
        <v>6320.7359999999999</v>
      </c>
      <c r="K1234" s="110">
        <v>6589.8990000000003</v>
      </c>
      <c r="L1234" s="110">
        <v>6821.8050000000003</v>
      </c>
      <c r="M1234" s="110">
        <v>7002.8360000000002</v>
      </c>
      <c r="N1234" s="110">
        <v>7111.4889999999996</v>
      </c>
      <c r="O1234" s="110">
        <v>7325.5140000000001</v>
      </c>
      <c r="P1234" s="110">
        <v>7431.1289999999999</v>
      </c>
      <c r="Q1234" s="110">
        <v>7123.0420000000004</v>
      </c>
      <c r="R1234" s="110">
        <v>6775.2950000000001</v>
      </c>
      <c r="S1234" s="110">
        <v>6382.884</v>
      </c>
      <c r="T1234" s="110">
        <v>5611.5879999999997</v>
      </c>
      <c r="U1234" s="110">
        <v>4412.9449999999997</v>
      </c>
      <c r="V1234" s="110">
        <v>3301.857</v>
      </c>
      <c r="W1234" s="110">
        <v>2495.5720000000001</v>
      </c>
      <c r="X1234" s="110">
        <v>1502.162</v>
      </c>
      <c r="Y1234" s="110">
        <v>705.09199999999998</v>
      </c>
      <c r="Z1234" s="110">
        <v>334.58699999999999</v>
      </c>
      <c r="AA1234" s="110">
        <v>186.55699999999999</v>
      </c>
      <c r="AB1234" s="110">
        <v>80.515000000000001</v>
      </c>
      <c r="AC1234" s="115">
        <f t="shared" si="54"/>
        <v>49405.714000000007</v>
      </c>
      <c r="AD1234">
        <f t="shared" si="55"/>
        <v>0.99559650633599706</v>
      </c>
    </row>
    <row r="1235" spans="1:30" x14ac:dyDescent="0.25">
      <c r="A1235" s="104" t="str">
        <f t="shared" si="53"/>
        <v>Bangladesh2044</v>
      </c>
      <c r="C1235" s="107" t="s">
        <v>257</v>
      </c>
      <c r="D1235" s="108" t="s">
        <v>195</v>
      </c>
      <c r="E1235" s="109"/>
      <c r="F1235" s="109">
        <v>50</v>
      </c>
      <c r="G1235" s="109">
        <v>2044</v>
      </c>
      <c r="H1235" s="110">
        <v>5667.491</v>
      </c>
      <c r="I1235" s="110">
        <v>5936.134</v>
      </c>
      <c r="J1235" s="110">
        <v>6250.4139999999998</v>
      </c>
      <c r="K1235" s="110">
        <v>6517.2049999999999</v>
      </c>
      <c r="L1235" s="110">
        <v>6753.5420000000004</v>
      </c>
      <c r="M1235" s="110">
        <v>6969.2020000000002</v>
      </c>
      <c r="N1235" s="110">
        <v>7070.34</v>
      </c>
      <c r="O1235" s="110">
        <v>7240.2809999999999</v>
      </c>
      <c r="P1235" s="110">
        <v>7433.8509999999997</v>
      </c>
      <c r="Q1235" s="110">
        <v>7170.0249999999996</v>
      </c>
      <c r="R1235" s="110">
        <v>6802.9939999999997</v>
      </c>
      <c r="S1235" s="110">
        <v>6447.6779999999999</v>
      </c>
      <c r="T1235" s="110">
        <v>5739.1319999999996</v>
      </c>
      <c r="U1235" s="110">
        <v>4607.6170000000002</v>
      </c>
      <c r="V1235" s="110">
        <v>3370.9670000000001</v>
      </c>
      <c r="W1235" s="110">
        <v>2596.317</v>
      </c>
      <c r="X1235" s="110">
        <v>1622.93</v>
      </c>
      <c r="Y1235" s="110">
        <v>775.95500000000004</v>
      </c>
      <c r="Z1235" s="110">
        <v>339.83199999999999</v>
      </c>
      <c r="AA1235" s="110">
        <v>189.36799999999999</v>
      </c>
      <c r="AB1235" s="110">
        <v>85.296000000000006</v>
      </c>
      <c r="AC1235" s="115">
        <f t="shared" si="54"/>
        <v>49154.446000000004</v>
      </c>
      <c r="AD1235">
        <f t="shared" si="55"/>
        <v>0.99491419150424576</v>
      </c>
    </row>
    <row r="1236" spans="1:30" x14ac:dyDescent="0.25">
      <c r="A1236" s="104" t="str">
        <f t="shared" si="53"/>
        <v>Bangladesh2045</v>
      </c>
      <c r="C1236" s="107" t="s">
        <v>257</v>
      </c>
      <c r="D1236" s="108" t="s">
        <v>195</v>
      </c>
      <c r="E1236" s="109"/>
      <c r="F1236" s="109">
        <v>50</v>
      </c>
      <c r="G1236" s="109">
        <v>2045</v>
      </c>
      <c r="H1236" s="110">
        <v>5613.5820000000003</v>
      </c>
      <c r="I1236" s="110">
        <v>5870.2089999999998</v>
      </c>
      <c r="J1236" s="110">
        <v>6183.01</v>
      </c>
      <c r="K1236" s="110">
        <v>6443.3490000000002</v>
      </c>
      <c r="L1236" s="110">
        <v>6680.07</v>
      </c>
      <c r="M1236" s="110">
        <v>6928.58</v>
      </c>
      <c r="N1236" s="110">
        <v>7030.5910000000003</v>
      </c>
      <c r="O1236" s="110">
        <v>7164.5020000000004</v>
      </c>
      <c r="P1236" s="110">
        <v>7412.2650000000003</v>
      </c>
      <c r="Q1236" s="110">
        <v>7209.1989999999996</v>
      </c>
      <c r="R1236" s="110">
        <v>6836.7780000000002</v>
      </c>
      <c r="S1236" s="110">
        <v>6504.9250000000002</v>
      </c>
      <c r="T1236" s="110">
        <v>5857.433</v>
      </c>
      <c r="U1236" s="110">
        <v>4790.3760000000002</v>
      </c>
      <c r="V1236" s="110">
        <v>3476.75</v>
      </c>
      <c r="W1236" s="110">
        <v>2678.88</v>
      </c>
      <c r="X1236" s="110">
        <v>1739.049</v>
      </c>
      <c r="Y1236" s="110">
        <v>854.66700000000003</v>
      </c>
      <c r="Z1236" s="110">
        <v>355.887</v>
      </c>
      <c r="AA1236" s="110">
        <v>187.14099999999999</v>
      </c>
      <c r="AB1236" s="110">
        <v>90.006</v>
      </c>
      <c r="AC1236" s="115">
        <f t="shared" si="54"/>
        <v>48868.556000000004</v>
      </c>
      <c r="AD1236">
        <f t="shared" si="55"/>
        <v>0.9941838424951428</v>
      </c>
    </row>
    <row r="1237" spans="1:30" x14ac:dyDescent="0.25">
      <c r="A1237" s="104" t="str">
        <f t="shared" si="53"/>
        <v>Bangladesh2046</v>
      </c>
      <c r="C1237" s="107" t="s">
        <v>257</v>
      </c>
      <c r="D1237" s="108" t="s">
        <v>195</v>
      </c>
      <c r="E1237" s="109"/>
      <c r="F1237" s="109">
        <v>50</v>
      </c>
      <c r="G1237" s="109">
        <v>2046</v>
      </c>
      <c r="H1237" s="110">
        <v>5571.8050000000003</v>
      </c>
      <c r="I1237" s="110">
        <v>5810.3720000000003</v>
      </c>
      <c r="J1237" s="110">
        <v>6105.982</v>
      </c>
      <c r="K1237" s="110">
        <v>6373.49</v>
      </c>
      <c r="L1237" s="110">
        <v>6624.1059999999998</v>
      </c>
      <c r="M1237" s="110">
        <v>6878.2120000000004</v>
      </c>
      <c r="N1237" s="110">
        <v>6994.4830000000002</v>
      </c>
      <c r="O1237" s="110">
        <v>7105.43</v>
      </c>
      <c r="P1237" s="110">
        <v>7367.4639999999999</v>
      </c>
      <c r="Q1237" s="110">
        <v>7247.4409999999998</v>
      </c>
      <c r="R1237" s="110">
        <v>6878.7330000000002</v>
      </c>
      <c r="S1237" s="110">
        <v>6538.4290000000001</v>
      </c>
      <c r="T1237" s="110">
        <v>5949.2820000000002</v>
      </c>
      <c r="U1237" s="110">
        <v>4940.6469999999999</v>
      </c>
      <c r="V1237" s="110">
        <v>3611.3989999999999</v>
      </c>
      <c r="W1237" s="110">
        <v>2746.654</v>
      </c>
      <c r="X1237" s="110">
        <v>1843.002</v>
      </c>
      <c r="Y1237" s="110">
        <v>944.44500000000005</v>
      </c>
      <c r="Z1237" s="110">
        <v>387.67399999999998</v>
      </c>
      <c r="AA1237" s="110">
        <v>187.68600000000001</v>
      </c>
      <c r="AB1237" s="110">
        <v>94.83</v>
      </c>
      <c r="AC1237" s="115">
        <f t="shared" si="54"/>
        <v>48590.626000000004</v>
      </c>
      <c r="AD1237">
        <f t="shared" si="55"/>
        <v>0.99431270283492723</v>
      </c>
    </row>
    <row r="1238" spans="1:30" x14ac:dyDescent="0.25">
      <c r="A1238" s="104" t="str">
        <f t="shared" si="53"/>
        <v>Bangladesh2047</v>
      </c>
      <c r="C1238" s="107" t="s">
        <v>257</v>
      </c>
      <c r="D1238" s="108" t="s">
        <v>195</v>
      </c>
      <c r="E1238" s="109"/>
      <c r="F1238" s="109">
        <v>50</v>
      </c>
      <c r="G1238" s="109">
        <v>2047</v>
      </c>
      <c r="H1238" s="110">
        <v>5524.2969999999996</v>
      </c>
      <c r="I1238" s="110">
        <v>5755.62</v>
      </c>
      <c r="J1238" s="110">
        <v>6032.1719999999996</v>
      </c>
      <c r="K1238" s="110">
        <v>6300.1149999999998</v>
      </c>
      <c r="L1238" s="110">
        <v>6563.6710000000003</v>
      </c>
      <c r="M1238" s="110">
        <v>6822.6279999999997</v>
      </c>
      <c r="N1238" s="110">
        <v>6961.2179999999998</v>
      </c>
      <c r="O1238" s="110">
        <v>7055.4139999999998</v>
      </c>
      <c r="P1238" s="110">
        <v>7298.4830000000002</v>
      </c>
      <c r="Q1238" s="110">
        <v>7280.6109999999999</v>
      </c>
      <c r="R1238" s="110">
        <v>6928.5469999999996</v>
      </c>
      <c r="S1238" s="110">
        <v>6565.9260000000004</v>
      </c>
      <c r="T1238" s="110">
        <v>6031.2250000000004</v>
      </c>
      <c r="U1238" s="110">
        <v>5081.6049999999996</v>
      </c>
      <c r="V1238" s="110">
        <v>3774.3209999999999</v>
      </c>
      <c r="W1238" s="110">
        <v>2797.1120000000001</v>
      </c>
      <c r="X1238" s="110">
        <v>1947.107</v>
      </c>
      <c r="Y1238" s="110">
        <v>1036.624</v>
      </c>
      <c r="Z1238" s="110">
        <v>424.43</v>
      </c>
      <c r="AA1238" s="110">
        <v>188.899</v>
      </c>
      <c r="AB1238" s="110">
        <v>99.718999999999994</v>
      </c>
      <c r="AC1238" s="115">
        <f t="shared" si="54"/>
        <v>48282.14</v>
      </c>
      <c r="AD1238">
        <f t="shared" si="55"/>
        <v>0.9936513269040822</v>
      </c>
    </row>
    <row r="1239" spans="1:30" x14ac:dyDescent="0.25">
      <c r="A1239" s="104" t="str">
        <f t="shared" si="53"/>
        <v>Bangladesh2048</v>
      </c>
      <c r="C1239" s="107" t="s">
        <v>257</v>
      </c>
      <c r="D1239" s="108" t="s">
        <v>195</v>
      </c>
      <c r="E1239" s="109"/>
      <c r="F1239" s="109">
        <v>50</v>
      </c>
      <c r="G1239" s="109">
        <v>2048</v>
      </c>
      <c r="H1239" s="110">
        <v>5472.7809999999999</v>
      </c>
      <c r="I1239" s="110">
        <v>5703.7</v>
      </c>
      <c r="J1239" s="110">
        <v>5964.0069999999996</v>
      </c>
      <c r="K1239" s="110">
        <v>6224.7079999999996</v>
      </c>
      <c r="L1239" s="110">
        <v>6495.0559999999996</v>
      </c>
      <c r="M1239" s="110">
        <v>6764.518</v>
      </c>
      <c r="N1239" s="110">
        <v>6928.1130000000003</v>
      </c>
      <c r="O1239" s="110">
        <v>7011.02</v>
      </c>
      <c r="P1239" s="110">
        <v>7215.8549999999996</v>
      </c>
      <c r="Q1239" s="110">
        <v>7301.866</v>
      </c>
      <c r="R1239" s="110">
        <v>6980.5219999999999</v>
      </c>
      <c r="S1239" s="110">
        <v>6593.0659999999998</v>
      </c>
      <c r="T1239" s="110">
        <v>6102.8540000000003</v>
      </c>
      <c r="U1239" s="110">
        <v>5215.6319999999996</v>
      </c>
      <c r="V1239" s="110">
        <v>3951.8449999999998</v>
      </c>
      <c r="W1239" s="110">
        <v>2844.5349999999999</v>
      </c>
      <c r="X1239" s="110">
        <v>2049.1390000000001</v>
      </c>
      <c r="Y1239" s="110">
        <v>1126.5989999999999</v>
      </c>
      <c r="Z1239" s="110">
        <v>468.52600000000001</v>
      </c>
      <c r="AA1239" s="110">
        <v>193.21</v>
      </c>
      <c r="AB1239" s="110">
        <v>104.417</v>
      </c>
      <c r="AC1239" s="115">
        <f t="shared" si="54"/>
        <v>47941.136000000006</v>
      </c>
      <c r="AD1239">
        <f t="shared" si="55"/>
        <v>0.99293726417263206</v>
      </c>
    </row>
    <row r="1240" spans="1:30" x14ac:dyDescent="0.25">
      <c r="A1240" s="104" t="str">
        <f t="shared" si="53"/>
        <v>Bangladesh2049</v>
      </c>
      <c r="C1240" s="107" t="s">
        <v>257</v>
      </c>
      <c r="D1240" s="108" t="s">
        <v>195</v>
      </c>
      <c r="E1240" s="109"/>
      <c r="F1240" s="109">
        <v>50</v>
      </c>
      <c r="G1240" s="109">
        <v>2049</v>
      </c>
      <c r="H1240" s="110">
        <v>5419.9849999999997</v>
      </c>
      <c r="I1240" s="110">
        <v>5652.5879999999997</v>
      </c>
      <c r="J1240" s="110">
        <v>5902.1809999999996</v>
      </c>
      <c r="K1240" s="110">
        <v>6148.7430000000004</v>
      </c>
      <c r="L1240" s="110">
        <v>6418.14</v>
      </c>
      <c r="M1240" s="110">
        <v>6705.4830000000002</v>
      </c>
      <c r="N1240" s="110">
        <v>6891.3680000000004</v>
      </c>
      <c r="O1240" s="110">
        <v>6968.0690000000004</v>
      </c>
      <c r="P1240" s="110">
        <v>7134.6440000000002</v>
      </c>
      <c r="Q1240" s="110">
        <v>7302.433</v>
      </c>
      <c r="R1240" s="110">
        <v>7028.3090000000002</v>
      </c>
      <c r="S1240" s="110">
        <v>6626.6580000000004</v>
      </c>
      <c r="T1240" s="110">
        <v>6165.9359999999997</v>
      </c>
      <c r="U1240" s="110">
        <v>5343.56</v>
      </c>
      <c r="V1240" s="110">
        <v>4125.9920000000002</v>
      </c>
      <c r="W1240" s="110">
        <v>2910.9029999999998</v>
      </c>
      <c r="X1240" s="110">
        <v>2142.0120000000002</v>
      </c>
      <c r="Y1240" s="110">
        <v>1216.71</v>
      </c>
      <c r="Z1240" s="110">
        <v>516.83900000000006</v>
      </c>
      <c r="AA1240" s="110">
        <v>199.41300000000001</v>
      </c>
      <c r="AB1240" s="110">
        <v>108.586</v>
      </c>
      <c r="AC1240" s="115">
        <f t="shared" si="54"/>
        <v>47568.880000000005</v>
      </c>
      <c r="AD1240">
        <f t="shared" si="55"/>
        <v>0.99223514436537341</v>
      </c>
    </row>
    <row r="1241" spans="1:30" x14ac:dyDescent="0.25">
      <c r="A1241" s="104" t="str">
        <f t="shared" ref="A1241:A1291" si="56">D1241&amp;G1241</f>
        <v>Bangladesh2050</v>
      </c>
      <c r="C1241" s="107" t="s">
        <v>257</v>
      </c>
      <c r="D1241" s="108" t="s">
        <v>195</v>
      </c>
      <c r="E1241" s="109"/>
      <c r="F1241" s="109">
        <v>50</v>
      </c>
      <c r="G1241" s="109">
        <v>2050</v>
      </c>
      <c r="H1241" s="110">
        <v>5368.5280000000002</v>
      </c>
      <c r="I1241" s="110">
        <v>5600.2219999999998</v>
      </c>
      <c r="J1241" s="110">
        <v>5845.4769999999999</v>
      </c>
      <c r="K1241" s="110">
        <v>6074.4160000000002</v>
      </c>
      <c r="L1241" s="110">
        <v>6336.1440000000002</v>
      </c>
      <c r="M1241" s="110">
        <v>6643.6679999999997</v>
      </c>
      <c r="N1241" s="110">
        <v>6849.2259999999997</v>
      </c>
      <c r="O1241" s="110">
        <v>6925.2240000000002</v>
      </c>
      <c r="P1241" s="110">
        <v>7063.415</v>
      </c>
      <c r="Q1241" s="110">
        <v>7278.527</v>
      </c>
      <c r="R1241" s="110">
        <v>7068.2790000000005</v>
      </c>
      <c r="S1241" s="110">
        <v>6669.1220000000003</v>
      </c>
      <c r="T1241" s="110">
        <v>6223.3670000000002</v>
      </c>
      <c r="U1241" s="110">
        <v>5463.8040000000001</v>
      </c>
      <c r="V1241" s="110">
        <v>4288.5159999999996</v>
      </c>
      <c r="W1241" s="110">
        <v>3008.3980000000001</v>
      </c>
      <c r="X1241" s="110">
        <v>2220.761</v>
      </c>
      <c r="Y1241" s="110">
        <v>1305.521</v>
      </c>
      <c r="Z1241" s="110">
        <v>571.54899999999998</v>
      </c>
      <c r="AA1241" s="110">
        <v>203.517</v>
      </c>
      <c r="AB1241" s="110">
        <v>112.06699999999999</v>
      </c>
      <c r="AC1241" s="115">
        <f t="shared" si="54"/>
        <v>47170.62</v>
      </c>
      <c r="AD1241">
        <f t="shared" si="55"/>
        <v>0.99162771963519003</v>
      </c>
    </row>
    <row r="1242" spans="1:30" x14ac:dyDescent="0.25">
      <c r="A1242" s="104" t="str">
        <f t="shared" si="56"/>
        <v>Bangladesh2051</v>
      </c>
      <c r="C1242" s="107" t="s">
        <v>257</v>
      </c>
      <c r="D1242" s="108" t="s">
        <v>195</v>
      </c>
      <c r="E1242" s="109"/>
      <c r="F1242" s="109">
        <v>50</v>
      </c>
      <c r="G1242" s="109">
        <v>2051</v>
      </c>
      <c r="H1242" s="110">
        <v>5324.1869999999999</v>
      </c>
      <c r="I1242" s="110">
        <v>5550.9960000000001</v>
      </c>
      <c r="J1242" s="110">
        <v>5781.7309999999998</v>
      </c>
      <c r="K1242" s="110">
        <v>6007.4369999999999</v>
      </c>
      <c r="L1242" s="110">
        <v>6272.4939999999997</v>
      </c>
      <c r="M1242" s="110">
        <v>6576.1909999999998</v>
      </c>
      <c r="N1242" s="110">
        <v>6803.402</v>
      </c>
      <c r="O1242" s="110">
        <v>6892.8810000000003</v>
      </c>
      <c r="P1242" s="110">
        <v>7001.634</v>
      </c>
      <c r="Q1242" s="110">
        <v>7237.9480000000003</v>
      </c>
      <c r="R1242" s="110">
        <v>7105.0780000000004</v>
      </c>
      <c r="S1242" s="110">
        <v>6704.5119999999997</v>
      </c>
      <c r="T1242" s="110">
        <v>6259.8490000000002</v>
      </c>
      <c r="U1242" s="110">
        <v>5550.0810000000001</v>
      </c>
      <c r="V1242" s="110">
        <v>4437.5159999999996</v>
      </c>
      <c r="W1242" s="110">
        <v>3132.0610000000001</v>
      </c>
      <c r="X1242" s="110">
        <v>2273.92</v>
      </c>
      <c r="Y1242" s="110">
        <v>1396.4760000000001</v>
      </c>
      <c r="Z1242" s="110">
        <v>636.97900000000004</v>
      </c>
      <c r="AA1242" s="110">
        <v>225.482</v>
      </c>
      <c r="AB1242" s="110">
        <v>114.864</v>
      </c>
      <c r="AC1242" s="115">
        <f t="shared" ref="AC1242:AC1291" si="57">SUM(K1242:Q1242)</f>
        <v>46791.986999999994</v>
      </c>
      <c r="AD1242">
        <f t="shared" ref="AD1242:AD1291" si="58">IF(D1242=D1241,AC1242/AC1241,"")</f>
        <v>0.99197311801286459</v>
      </c>
    </row>
    <row r="1243" spans="1:30" x14ac:dyDescent="0.25">
      <c r="A1243" s="104" t="str">
        <f t="shared" si="56"/>
        <v>Bangladesh2052</v>
      </c>
      <c r="C1243" s="107" t="s">
        <v>257</v>
      </c>
      <c r="D1243" s="108" t="s">
        <v>195</v>
      </c>
      <c r="E1243" s="109"/>
      <c r="F1243" s="109">
        <v>50</v>
      </c>
      <c r="G1243" s="109">
        <v>2052</v>
      </c>
      <c r="H1243" s="110">
        <v>5278.1679999999997</v>
      </c>
      <c r="I1243" s="110">
        <v>5503.4009999999998</v>
      </c>
      <c r="J1243" s="110">
        <v>5722.482</v>
      </c>
      <c r="K1243" s="110">
        <v>5939.2020000000002</v>
      </c>
      <c r="L1243" s="110">
        <v>6205.5150000000003</v>
      </c>
      <c r="M1243" s="110">
        <v>6507.4030000000002</v>
      </c>
      <c r="N1243" s="110">
        <v>6750.817</v>
      </c>
      <c r="O1243" s="110">
        <v>6862.74</v>
      </c>
      <c r="P1243" s="110">
        <v>6949.3270000000002</v>
      </c>
      <c r="Q1243" s="110">
        <v>7172.7709999999997</v>
      </c>
      <c r="R1243" s="110">
        <v>7138.7849999999999</v>
      </c>
      <c r="S1243" s="110">
        <v>6749.6729999999998</v>
      </c>
      <c r="T1243" s="110">
        <v>6290.732</v>
      </c>
      <c r="U1243" s="110">
        <v>5626.9589999999998</v>
      </c>
      <c r="V1243" s="110">
        <v>4576.1509999999998</v>
      </c>
      <c r="W1243" s="110">
        <v>3280.623</v>
      </c>
      <c r="X1243" s="110">
        <v>2314.42</v>
      </c>
      <c r="Y1243" s="110">
        <v>1484.7239999999999</v>
      </c>
      <c r="Z1243" s="110">
        <v>697.20899999999995</v>
      </c>
      <c r="AA1243" s="110">
        <v>258.19200000000001</v>
      </c>
      <c r="AB1243" s="110">
        <v>117.185</v>
      </c>
      <c r="AC1243" s="115">
        <f t="shared" si="57"/>
        <v>46387.775000000001</v>
      </c>
      <c r="AD1243">
        <f t="shared" si="58"/>
        <v>0.99136151238886283</v>
      </c>
    </row>
    <row r="1244" spans="1:30" x14ac:dyDescent="0.25">
      <c r="A1244" s="104" t="str">
        <f t="shared" si="56"/>
        <v>Bangladesh2053</v>
      </c>
      <c r="C1244" s="107" t="s">
        <v>257</v>
      </c>
      <c r="D1244" s="108" t="s">
        <v>195</v>
      </c>
      <c r="E1244" s="109"/>
      <c r="F1244" s="109">
        <v>50</v>
      </c>
      <c r="G1244" s="109">
        <v>2053</v>
      </c>
      <c r="H1244" s="110">
        <v>5231.24</v>
      </c>
      <c r="I1244" s="110">
        <v>5455.5829999999996</v>
      </c>
      <c r="J1244" s="110">
        <v>5669.6930000000002</v>
      </c>
      <c r="K1244" s="110">
        <v>5871.48</v>
      </c>
      <c r="L1244" s="110">
        <v>6132.5780000000004</v>
      </c>
      <c r="M1244" s="110">
        <v>6439.5519999999997</v>
      </c>
      <c r="N1244" s="110">
        <v>6692.9430000000002</v>
      </c>
      <c r="O1244" s="110">
        <v>6831.0349999999999</v>
      </c>
      <c r="P1244" s="110">
        <v>6906.1660000000002</v>
      </c>
      <c r="Q1244" s="110">
        <v>7092.0810000000001</v>
      </c>
      <c r="R1244" s="110">
        <v>7161.8469999999998</v>
      </c>
      <c r="S1244" s="110">
        <v>6802.2160000000003</v>
      </c>
      <c r="T1244" s="110">
        <v>6319.4809999999998</v>
      </c>
      <c r="U1244" s="110">
        <v>5698.7030000000004</v>
      </c>
      <c r="V1244" s="110">
        <v>4703.5870000000004</v>
      </c>
      <c r="W1244" s="110">
        <v>3441.2620000000002</v>
      </c>
      <c r="X1244" s="110">
        <v>2358.9389999999999</v>
      </c>
      <c r="Y1244" s="110">
        <v>1563.6030000000001</v>
      </c>
      <c r="Z1244" s="110">
        <v>759.73099999999999</v>
      </c>
      <c r="AA1244" s="110">
        <v>290.548</v>
      </c>
      <c r="AB1244" s="110">
        <v>119.78700000000001</v>
      </c>
      <c r="AC1244" s="115">
        <f t="shared" si="57"/>
        <v>45965.834999999999</v>
      </c>
      <c r="AD1244">
        <f t="shared" si="58"/>
        <v>0.99090406901387262</v>
      </c>
    </row>
    <row r="1245" spans="1:30" x14ac:dyDescent="0.25">
      <c r="A1245" s="104" t="str">
        <f t="shared" si="56"/>
        <v>Bangladesh2054</v>
      </c>
      <c r="C1245" s="107" t="s">
        <v>257</v>
      </c>
      <c r="D1245" s="108" t="s">
        <v>195</v>
      </c>
      <c r="E1245" s="109"/>
      <c r="F1245" s="109">
        <v>50</v>
      </c>
      <c r="G1245" s="109">
        <v>2054</v>
      </c>
      <c r="H1245" s="110">
        <v>5183.7690000000002</v>
      </c>
      <c r="I1245" s="110">
        <v>5406.8329999999996</v>
      </c>
      <c r="J1245" s="110">
        <v>5622.4250000000002</v>
      </c>
      <c r="K1245" s="110">
        <v>5805.6180000000004</v>
      </c>
      <c r="L1245" s="110">
        <v>6054.2790000000005</v>
      </c>
      <c r="M1245" s="110">
        <v>6372.4009999999998</v>
      </c>
      <c r="N1245" s="110">
        <v>6631.8950000000004</v>
      </c>
      <c r="O1245" s="110">
        <v>6793.9459999999999</v>
      </c>
      <c r="P1245" s="110">
        <v>6868.0290000000005</v>
      </c>
      <c r="Q1245" s="110">
        <v>7010.71</v>
      </c>
      <c r="R1245" s="110">
        <v>7165.1049999999996</v>
      </c>
      <c r="S1245" s="110">
        <v>6856.11</v>
      </c>
      <c r="T1245" s="110">
        <v>6353.2510000000002</v>
      </c>
      <c r="U1245" s="110">
        <v>5767.2830000000004</v>
      </c>
      <c r="V1245" s="110">
        <v>4820.3010000000004</v>
      </c>
      <c r="W1245" s="110">
        <v>3598.596</v>
      </c>
      <c r="X1245" s="110">
        <v>2426.0439999999999</v>
      </c>
      <c r="Y1245" s="110">
        <v>1632.7629999999999</v>
      </c>
      <c r="Z1245" s="110">
        <v>823.35699999999997</v>
      </c>
      <c r="AA1245" s="110">
        <v>316.02199999999999</v>
      </c>
      <c r="AB1245" s="110">
        <v>123.678</v>
      </c>
      <c r="AC1245" s="115">
        <f t="shared" si="57"/>
        <v>45536.878000000004</v>
      </c>
      <c r="AD1245">
        <f t="shared" si="58"/>
        <v>0.990667916725542</v>
      </c>
    </row>
    <row r="1246" spans="1:30" x14ac:dyDescent="0.25">
      <c r="A1246" s="104" t="str">
        <f t="shared" si="56"/>
        <v>Bangladesh2055</v>
      </c>
      <c r="C1246" s="107" t="s">
        <v>257</v>
      </c>
      <c r="D1246" s="108" t="s">
        <v>195</v>
      </c>
      <c r="E1246" s="109"/>
      <c r="F1246" s="109">
        <v>50</v>
      </c>
      <c r="G1246" s="109">
        <v>2055</v>
      </c>
      <c r="H1246" s="110">
        <v>5136.3190000000004</v>
      </c>
      <c r="I1246" s="110">
        <v>5356.9859999999999</v>
      </c>
      <c r="J1246" s="110">
        <v>5577.53</v>
      </c>
      <c r="K1246" s="110">
        <v>5743.12</v>
      </c>
      <c r="L1246" s="110">
        <v>5973.6930000000002</v>
      </c>
      <c r="M1246" s="110">
        <v>6302.7259999999997</v>
      </c>
      <c r="N1246" s="110">
        <v>6569.2939999999999</v>
      </c>
      <c r="O1246" s="110">
        <v>6749.9719999999998</v>
      </c>
      <c r="P1246" s="110">
        <v>6830.5259999999998</v>
      </c>
      <c r="Q1246" s="110">
        <v>6938.7380000000003</v>
      </c>
      <c r="R1246" s="110">
        <v>7143.8789999999999</v>
      </c>
      <c r="S1246" s="110">
        <v>6905.0410000000002</v>
      </c>
      <c r="T1246" s="110">
        <v>6397.2640000000001</v>
      </c>
      <c r="U1246" s="110">
        <v>5831.9049999999997</v>
      </c>
      <c r="V1246" s="110">
        <v>4928.201</v>
      </c>
      <c r="W1246" s="110">
        <v>3744.924</v>
      </c>
      <c r="X1246" s="110">
        <v>2522.027</v>
      </c>
      <c r="Y1246" s="110">
        <v>1693.13</v>
      </c>
      <c r="Z1246" s="110">
        <v>889.18899999999996</v>
      </c>
      <c r="AA1246" s="110">
        <v>333.52499999999998</v>
      </c>
      <c r="AB1246" s="110">
        <v>129.61699999999999</v>
      </c>
      <c r="AC1246" s="115">
        <f t="shared" si="57"/>
        <v>45108.068999999996</v>
      </c>
      <c r="AD1246">
        <f t="shared" si="58"/>
        <v>0.99058325869419483</v>
      </c>
    </row>
    <row r="1247" spans="1:30" x14ac:dyDescent="0.25">
      <c r="A1247" s="104" t="str">
        <f t="shared" si="56"/>
        <v>Bangladesh2056</v>
      </c>
      <c r="C1247" s="107" t="s">
        <v>257</v>
      </c>
      <c r="D1247" s="108" t="s">
        <v>195</v>
      </c>
      <c r="E1247" s="109"/>
      <c r="F1247" s="109">
        <v>50</v>
      </c>
      <c r="G1247" s="109">
        <v>2056</v>
      </c>
      <c r="H1247" s="110">
        <v>5095.1139999999996</v>
      </c>
      <c r="I1247" s="110">
        <v>5310.366</v>
      </c>
      <c r="J1247" s="110">
        <v>5523.0990000000002</v>
      </c>
      <c r="K1247" s="110">
        <v>5689.0829999999996</v>
      </c>
      <c r="L1247" s="110">
        <v>5912.5690000000004</v>
      </c>
      <c r="M1247" s="110">
        <v>6228.1589999999997</v>
      </c>
      <c r="N1247" s="110">
        <v>6506.2259999999997</v>
      </c>
      <c r="O1247" s="110">
        <v>6707.7759999999998</v>
      </c>
      <c r="P1247" s="110">
        <v>6795.4530000000004</v>
      </c>
      <c r="Q1247" s="110">
        <v>6881.28</v>
      </c>
      <c r="R1247" s="110">
        <v>7102.7020000000002</v>
      </c>
      <c r="S1247" s="110">
        <v>6935.3770000000004</v>
      </c>
      <c r="T1247" s="110">
        <v>6435.759</v>
      </c>
      <c r="U1247" s="110">
        <v>5866.2489999999998</v>
      </c>
      <c r="V1247" s="110">
        <v>5020.5280000000002</v>
      </c>
      <c r="W1247" s="110">
        <v>3881.308</v>
      </c>
      <c r="X1247" s="110">
        <v>2625.1390000000001</v>
      </c>
      <c r="Y1247" s="110">
        <v>1746.0509999999999</v>
      </c>
      <c r="Z1247" s="110">
        <v>961.85799999999995</v>
      </c>
      <c r="AA1247" s="110">
        <v>375.81299999999999</v>
      </c>
      <c r="AB1247" s="110">
        <v>137.941</v>
      </c>
      <c r="AC1247" s="115">
        <f t="shared" si="57"/>
        <v>44720.546000000002</v>
      </c>
      <c r="AD1247">
        <f t="shared" si="58"/>
        <v>0.9914090093282425</v>
      </c>
    </row>
    <row r="1248" spans="1:30" x14ac:dyDescent="0.25">
      <c r="A1248" s="104" t="str">
        <f t="shared" si="56"/>
        <v>Bangladesh2057</v>
      </c>
      <c r="C1248" s="107" t="s">
        <v>257</v>
      </c>
      <c r="D1248" s="108" t="s">
        <v>195</v>
      </c>
      <c r="E1248" s="109"/>
      <c r="F1248" s="109">
        <v>50</v>
      </c>
      <c r="G1248" s="109">
        <v>2057</v>
      </c>
      <c r="H1248" s="110">
        <v>5052.6639999999998</v>
      </c>
      <c r="I1248" s="110">
        <v>5265.3370000000004</v>
      </c>
      <c r="J1248" s="110">
        <v>5470.6559999999999</v>
      </c>
      <c r="K1248" s="110">
        <v>5635.9449999999997</v>
      </c>
      <c r="L1248" s="110">
        <v>5850.8180000000002</v>
      </c>
      <c r="M1248" s="110">
        <v>6153.7020000000002</v>
      </c>
      <c r="N1248" s="110">
        <v>6440.8320000000003</v>
      </c>
      <c r="O1248" s="110">
        <v>6658.7290000000003</v>
      </c>
      <c r="P1248" s="110">
        <v>6763.5290000000005</v>
      </c>
      <c r="Q1248" s="110">
        <v>6833.0860000000002</v>
      </c>
      <c r="R1248" s="110">
        <v>7039.5129999999999</v>
      </c>
      <c r="S1248" s="110">
        <v>6965.3940000000002</v>
      </c>
      <c r="T1248" s="110">
        <v>6484.38</v>
      </c>
      <c r="U1248" s="110">
        <v>5895.1880000000001</v>
      </c>
      <c r="V1248" s="110">
        <v>5102.3220000000001</v>
      </c>
      <c r="W1248" s="110">
        <v>4010.6370000000002</v>
      </c>
      <c r="X1248" s="110">
        <v>2750.2510000000002</v>
      </c>
      <c r="Y1248" s="110">
        <v>1786.4079999999999</v>
      </c>
      <c r="Z1248" s="110">
        <v>1020.45</v>
      </c>
      <c r="AA1248" s="110">
        <v>425.12400000000002</v>
      </c>
      <c r="AB1248" s="110">
        <v>148.46199999999999</v>
      </c>
      <c r="AC1248" s="115">
        <f t="shared" si="57"/>
        <v>44336.641000000003</v>
      </c>
      <c r="AD1248">
        <f t="shared" si="58"/>
        <v>0.99141546706518302</v>
      </c>
    </row>
    <row r="1249" spans="1:30" x14ac:dyDescent="0.25">
      <c r="A1249" s="104" t="str">
        <f t="shared" si="56"/>
        <v>Bangladesh2058</v>
      </c>
      <c r="C1249" s="107" t="s">
        <v>257</v>
      </c>
      <c r="D1249" s="108" t="s">
        <v>195</v>
      </c>
      <c r="E1249" s="109"/>
      <c r="F1249" s="109">
        <v>50</v>
      </c>
      <c r="G1249" s="109">
        <v>2058</v>
      </c>
      <c r="H1249" s="110">
        <v>5009.174</v>
      </c>
      <c r="I1249" s="110">
        <v>5220.1180000000004</v>
      </c>
      <c r="J1249" s="110">
        <v>5422.3950000000004</v>
      </c>
      <c r="K1249" s="110">
        <v>5583.93</v>
      </c>
      <c r="L1249" s="110">
        <v>5785.6679999999997</v>
      </c>
      <c r="M1249" s="110">
        <v>6081.7</v>
      </c>
      <c r="N1249" s="110">
        <v>6373.4960000000001</v>
      </c>
      <c r="O1249" s="110">
        <v>6602.5450000000001</v>
      </c>
      <c r="P1249" s="110">
        <v>6733.2380000000003</v>
      </c>
      <c r="Q1249" s="110">
        <v>6791.7470000000003</v>
      </c>
      <c r="R1249" s="110">
        <v>6961.8440000000001</v>
      </c>
      <c r="S1249" s="110">
        <v>6989.9840000000004</v>
      </c>
      <c r="T1249" s="110">
        <v>6537.9589999999998</v>
      </c>
      <c r="U1249" s="110">
        <v>5926.357</v>
      </c>
      <c r="V1249" s="110">
        <v>5174.1409999999996</v>
      </c>
      <c r="W1249" s="110">
        <v>4130.3710000000001</v>
      </c>
      <c r="X1249" s="110">
        <v>2890.9259999999999</v>
      </c>
      <c r="Y1249" s="110">
        <v>1823.164</v>
      </c>
      <c r="Z1249" s="110">
        <v>1074.4680000000001</v>
      </c>
      <c r="AA1249" s="110">
        <v>470.12700000000001</v>
      </c>
      <c r="AB1249" s="110">
        <v>161.214</v>
      </c>
      <c r="AC1249" s="115">
        <f t="shared" si="57"/>
        <v>43952.324000000001</v>
      </c>
      <c r="AD1249">
        <f t="shared" si="58"/>
        <v>0.99133184221150172</v>
      </c>
    </row>
    <row r="1250" spans="1:30" x14ac:dyDescent="0.25">
      <c r="A1250" s="104" t="str">
        <f t="shared" si="56"/>
        <v>Bangladesh2059</v>
      </c>
      <c r="C1250" s="107" t="s">
        <v>257</v>
      </c>
      <c r="D1250" s="108" t="s">
        <v>195</v>
      </c>
      <c r="E1250" s="109"/>
      <c r="F1250" s="109">
        <v>50</v>
      </c>
      <c r="G1250" s="109">
        <v>2059</v>
      </c>
      <c r="H1250" s="110">
        <v>4964.9359999999997</v>
      </c>
      <c r="I1250" s="110">
        <v>5173.8959999999997</v>
      </c>
      <c r="J1250" s="110">
        <v>5378.3149999999996</v>
      </c>
      <c r="K1250" s="110">
        <v>5532.3029999999999</v>
      </c>
      <c r="L1250" s="110">
        <v>5717.3909999999996</v>
      </c>
      <c r="M1250" s="110">
        <v>6012.4070000000002</v>
      </c>
      <c r="N1250" s="110">
        <v>6304.2020000000002</v>
      </c>
      <c r="O1250" s="110">
        <v>6541.018</v>
      </c>
      <c r="P1250" s="110">
        <v>6700.4930000000004</v>
      </c>
      <c r="Q1250" s="110">
        <v>6752.8019999999997</v>
      </c>
      <c r="R1250" s="110">
        <v>6883.6679999999997</v>
      </c>
      <c r="S1250" s="110">
        <v>6999.8</v>
      </c>
      <c r="T1250" s="110">
        <v>6590.8990000000003</v>
      </c>
      <c r="U1250" s="110">
        <v>5967.0240000000003</v>
      </c>
      <c r="V1250" s="110">
        <v>5237.4430000000002</v>
      </c>
      <c r="W1250" s="110">
        <v>4239.9309999999996</v>
      </c>
      <c r="X1250" s="110">
        <v>3034.7869999999998</v>
      </c>
      <c r="Y1250" s="110">
        <v>1873.2190000000001</v>
      </c>
      <c r="Z1250" s="110">
        <v>1125.873</v>
      </c>
      <c r="AA1250" s="110">
        <v>505.024</v>
      </c>
      <c r="AB1250" s="110">
        <v>176.12799999999999</v>
      </c>
      <c r="AC1250" s="115">
        <f t="shared" si="57"/>
        <v>43560.615999999995</v>
      </c>
      <c r="AD1250">
        <f t="shared" si="58"/>
        <v>0.99108788877693921</v>
      </c>
    </row>
    <row r="1251" spans="1:30" x14ac:dyDescent="0.25">
      <c r="A1251" s="104" t="str">
        <f t="shared" si="56"/>
        <v>Bangladesh2060</v>
      </c>
      <c r="C1251" s="107" t="s">
        <v>257</v>
      </c>
      <c r="D1251" s="108" t="s">
        <v>195</v>
      </c>
      <c r="E1251" s="109"/>
      <c r="F1251" s="109">
        <v>50</v>
      </c>
      <c r="G1251" s="109">
        <v>2060</v>
      </c>
      <c r="H1251" s="110">
        <v>4920.4409999999998</v>
      </c>
      <c r="I1251" s="110">
        <v>5126.3559999999998</v>
      </c>
      <c r="J1251" s="110">
        <v>5336.1080000000002</v>
      </c>
      <c r="K1251" s="110">
        <v>5481.223</v>
      </c>
      <c r="L1251" s="110">
        <v>5648.5709999999999</v>
      </c>
      <c r="M1251" s="110">
        <v>5943.06</v>
      </c>
      <c r="N1251" s="110">
        <v>6233.3149999999996</v>
      </c>
      <c r="O1251" s="110">
        <v>6476.2809999999999</v>
      </c>
      <c r="P1251" s="110">
        <v>6661.14</v>
      </c>
      <c r="Q1251" s="110">
        <v>6713.76</v>
      </c>
      <c r="R1251" s="110">
        <v>6814.3609999999999</v>
      </c>
      <c r="S1251" s="110">
        <v>6987.68</v>
      </c>
      <c r="T1251" s="110">
        <v>6640.2690000000002</v>
      </c>
      <c r="U1251" s="110">
        <v>6018.9830000000002</v>
      </c>
      <c r="V1251" s="110">
        <v>5295.067</v>
      </c>
      <c r="W1251" s="110">
        <v>4339.9579999999996</v>
      </c>
      <c r="X1251" s="110">
        <v>3172.2089999999998</v>
      </c>
      <c r="Y1251" s="110">
        <v>1950.711</v>
      </c>
      <c r="Z1251" s="110">
        <v>1173.204</v>
      </c>
      <c r="AA1251" s="110">
        <v>528.93399999999997</v>
      </c>
      <c r="AB1251" s="110">
        <v>193.09399999999999</v>
      </c>
      <c r="AC1251" s="115">
        <f t="shared" si="57"/>
        <v>43157.35</v>
      </c>
      <c r="AD1251">
        <f t="shared" si="58"/>
        <v>0.99074241741668678</v>
      </c>
    </row>
    <row r="1252" spans="1:30" x14ac:dyDescent="0.25">
      <c r="A1252" s="104" t="str">
        <f t="shared" si="56"/>
        <v>Bangladesh2061</v>
      </c>
      <c r="C1252" s="107" t="s">
        <v>257</v>
      </c>
      <c r="D1252" s="108" t="s">
        <v>195</v>
      </c>
      <c r="E1252" s="109"/>
      <c r="F1252" s="109">
        <v>50</v>
      </c>
      <c r="G1252" s="109">
        <v>2061</v>
      </c>
      <c r="H1252" s="110">
        <v>4883.1260000000002</v>
      </c>
      <c r="I1252" s="110">
        <v>5082.2709999999997</v>
      </c>
      <c r="J1252" s="110">
        <v>5284.9629999999997</v>
      </c>
      <c r="K1252" s="110">
        <v>5436.2049999999999</v>
      </c>
      <c r="L1252" s="110">
        <v>5600.2849999999999</v>
      </c>
      <c r="M1252" s="110">
        <v>5871.8320000000003</v>
      </c>
      <c r="N1252" s="110">
        <v>6163.223</v>
      </c>
      <c r="O1252" s="110">
        <v>6416.9960000000001</v>
      </c>
      <c r="P1252" s="110">
        <v>6616.6540000000005</v>
      </c>
      <c r="Q1252" s="110">
        <v>6682.8440000000001</v>
      </c>
      <c r="R1252" s="110">
        <v>6757.0870000000004</v>
      </c>
      <c r="S1252" s="110">
        <v>6941.87</v>
      </c>
      <c r="T1252" s="110">
        <v>6673.7020000000002</v>
      </c>
      <c r="U1252" s="110">
        <v>6055.9129999999996</v>
      </c>
      <c r="V1252" s="110">
        <v>5340.1970000000001</v>
      </c>
      <c r="W1252" s="110">
        <v>4428.3270000000002</v>
      </c>
      <c r="X1252" s="110">
        <v>3283.723</v>
      </c>
      <c r="Y1252" s="110">
        <v>2047.08</v>
      </c>
      <c r="Z1252" s="110">
        <v>1221.1469999999999</v>
      </c>
      <c r="AA1252" s="110">
        <v>574.65700000000004</v>
      </c>
      <c r="AB1252" s="110">
        <v>212.32599999999999</v>
      </c>
      <c r="AC1252" s="115">
        <f t="shared" si="57"/>
        <v>42788.038999999997</v>
      </c>
      <c r="AD1252">
        <f t="shared" si="58"/>
        <v>0.99144268589243778</v>
      </c>
    </row>
    <row r="1253" spans="1:30" x14ac:dyDescent="0.25">
      <c r="A1253" s="104" t="str">
        <f t="shared" si="56"/>
        <v>Bangladesh2062</v>
      </c>
      <c r="C1253" s="107" t="s">
        <v>257</v>
      </c>
      <c r="D1253" s="108" t="s">
        <v>195</v>
      </c>
      <c r="E1253" s="109"/>
      <c r="F1253" s="109">
        <v>50</v>
      </c>
      <c r="G1253" s="109">
        <v>2062</v>
      </c>
      <c r="H1253" s="110">
        <v>4843.4970000000003</v>
      </c>
      <c r="I1253" s="110">
        <v>5040.2470000000003</v>
      </c>
      <c r="J1253" s="110">
        <v>5235.43</v>
      </c>
      <c r="K1253" s="110">
        <v>5389.5709999999999</v>
      </c>
      <c r="L1253" s="110">
        <v>5553.3040000000001</v>
      </c>
      <c r="M1253" s="110">
        <v>5803.0150000000003</v>
      </c>
      <c r="N1253" s="110">
        <v>6092.0529999999999</v>
      </c>
      <c r="O1253" s="110">
        <v>6355.067</v>
      </c>
      <c r="P1253" s="110">
        <v>6566.0320000000002</v>
      </c>
      <c r="Q1253" s="110">
        <v>6654.7470000000003</v>
      </c>
      <c r="R1253" s="110">
        <v>6710.8</v>
      </c>
      <c r="S1253" s="110">
        <v>6876.7020000000002</v>
      </c>
      <c r="T1253" s="110">
        <v>6707.6779999999999</v>
      </c>
      <c r="U1253" s="110">
        <v>6102.0050000000001</v>
      </c>
      <c r="V1253" s="110">
        <v>5377.9260000000004</v>
      </c>
      <c r="W1253" s="110">
        <v>4509.1570000000002</v>
      </c>
      <c r="X1253" s="110">
        <v>3392.5479999999998</v>
      </c>
      <c r="Y1253" s="110">
        <v>2154.9989999999998</v>
      </c>
      <c r="Z1253" s="110">
        <v>1249.212</v>
      </c>
      <c r="AA1253" s="110">
        <v>623.48299999999995</v>
      </c>
      <c r="AB1253" s="110">
        <v>233.59399999999999</v>
      </c>
      <c r="AC1253" s="115">
        <f t="shared" si="57"/>
        <v>42413.789000000004</v>
      </c>
      <c r="AD1253">
        <f t="shared" si="58"/>
        <v>0.99125339677286939</v>
      </c>
    </row>
    <row r="1254" spans="1:30" x14ac:dyDescent="0.25">
      <c r="A1254" s="104" t="str">
        <f t="shared" si="56"/>
        <v>Bangladesh2063</v>
      </c>
      <c r="C1254" s="107" t="s">
        <v>257</v>
      </c>
      <c r="D1254" s="108" t="s">
        <v>195</v>
      </c>
      <c r="E1254" s="109"/>
      <c r="F1254" s="109">
        <v>50</v>
      </c>
      <c r="G1254" s="109">
        <v>2063</v>
      </c>
      <c r="H1254" s="110">
        <v>4802.2420000000002</v>
      </c>
      <c r="I1254" s="110">
        <v>4998.5079999999998</v>
      </c>
      <c r="J1254" s="110">
        <v>5189.5479999999998</v>
      </c>
      <c r="K1254" s="110">
        <v>5341.9709999999995</v>
      </c>
      <c r="L1254" s="110">
        <v>5503.625</v>
      </c>
      <c r="M1254" s="110">
        <v>5738.6329999999998</v>
      </c>
      <c r="N1254" s="110">
        <v>6020.4539999999997</v>
      </c>
      <c r="O1254" s="110">
        <v>6289.2830000000004</v>
      </c>
      <c r="P1254" s="110">
        <v>6511.1859999999997</v>
      </c>
      <c r="Q1254" s="110">
        <v>6626.0609999999997</v>
      </c>
      <c r="R1254" s="110">
        <v>6671.7510000000002</v>
      </c>
      <c r="S1254" s="110">
        <v>6801.9740000000002</v>
      </c>
      <c r="T1254" s="110">
        <v>6734.3829999999998</v>
      </c>
      <c r="U1254" s="110">
        <v>6156.5379999999996</v>
      </c>
      <c r="V1254" s="110">
        <v>5412.4520000000002</v>
      </c>
      <c r="W1254" s="110">
        <v>4580.6390000000001</v>
      </c>
      <c r="X1254" s="110">
        <v>3501.4760000000001</v>
      </c>
      <c r="Y1254" s="110">
        <v>2265.44</v>
      </c>
      <c r="Z1254" s="110">
        <v>1277.2619999999999</v>
      </c>
      <c r="AA1254" s="110">
        <v>665.197</v>
      </c>
      <c r="AB1254" s="110">
        <v>256.52</v>
      </c>
      <c r="AC1254" s="115">
        <f t="shared" si="57"/>
        <v>42031.212999999996</v>
      </c>
      <c r="AD1254">
        <f t="shared" si="58"/>
        <v>0.99097991457447931</v>
      </c>
    </row>
    <row r="1255" spans="1:30" x14ac:dyDescent="0.25">
      <c r="A1255" s="104" t="str">
        <f t="shared" si="56"/>
        <v>Bangladesh2064</v>
      </c>
      <c r="C1255" s="107" t="s">
        <v>257</v>
      </c>
      <c r="D1255" s="108" t="s">
        <v>195</v>
      </c>
      <c r="E1255" s="109"/>
      <c r="F1255" s="109">
        <v>50</v>
      </c>
      <c r="G1255" s="109">
        <v>2064</v>
      </c>
      <c r="H1255" s="110">
        <v>4760.451</v>
      </c>
      <c r="I1255" s="110">
        <v>4955.9549999999999</v>
      </c>
      <c r="J1255" s="110">
        <v>5147.4350000000004</v>
      </c>
      <c r="K1255" s="110">
        <v>5293.7070000000003</v>
      </c>
      <c r="L1255" s="110">
        <v>5449.6030000000001</v>
      </c>
      <c r="M1255" s="110">
        <v>5678.7439999999997</v>
      </c>
      <c r="N1255" s="110">
        <v>5949.01</v>
      </c>
      <c r="O1255" s="110">
        <v>6219.4480000000003</v>
      </c>
      <c r="P1255" s="110">
        <v>6453.76</v>
      </c>
      <c r="Q1255" s="110">
        <v>6592.4380000000001</v>
      </c>
      <c r="R1255" s="110">
        <v>6635.0649999999996</v>
      </c>
      <c r="S1255" s="110">
        <v>6731.3239999999996</v>
      </c>
      <c r="T1255" s="110">
        <v>6744.6859999999997</v>
      </c>
      <c r="U1255" s="110">
        <v>6214.8440000000001</v>
      </c>
      <c r="V1255" s="110">
        <v>5450.5820000000003</v>
      </c>
      <c r="W1255" s="110">
        <v>4643.3549999999996</v>
      </c>
      <c r="X1255" s="110">
        <v>3609.306</v>
      </c>
      <c r="Y1255" s="110">
        <v>2377.2220000000002</v>
      </c>
      <c r="Z1255" s="110">
        <v>1315.0250000000001</v>
      </c>
      <c r="AA1255" s="110">
        <v>694.63</v>
      </c>
      <c r="AB1255" s="110">
        <v>280.59899999999999</v>
      </c>
      <c r="AC1255" s="115">
        <f t="shared" si="57"/>
        <v>41636.71</v>
      </c>
      <c r="AD1255">
        <f t="shared" si="58"/>
        <v>0.99061404675615716</v>
      </c>
    </row>
    <row r="1256" spans="1:30" x14ac:dyDescent="0.25">
      <c r="A1256" s="104" t="str">
        <f t="shared" si="56"/>
        <v>Bangladesh2065</v>
      </c>
      <c r="C1256" s="107" t="s">
        <v>257</v>
      </c>
      <c r="D1256" s="108" t="s">
        <v>195</v>
      </c>
      <c r="E1256" s="109"/>
      <c r="F1256" s="109">
        <v>50</v>
      </c>
      <c r="G1256" s="109">
        <v>2065</v>
      </c>
      <c r="H1256" s="110">
        <v>4719.2280000000001</v>
      </c>
      <c r="I1256" s="110">
        <v>4911.8310000000001</v>
      </c>
      <c r="J1256" s="110">
        <v>5107.1639999999998</v>
      </c>
      <c r="K1256" s="110">
        <v>5245.643</v>
      </c>
      <c r="L1256" s="110">
        <v>5392.5230000000001</v>
      </c>
      <c r="M1256" s="110">
        <v>5620.527</v>
      </c>
      <c r="N1256" s="110">
        <v>5878.4790000000003</v>
      </c>
      <c r="O1256" s="110">
        <v>6146.5460000000003</v>
      </c>
      <c r="P1256" s="110">
        <v>6393.4880000000003</v>
      </c>
      <c r="Q1256" s="110">
        <v>6551.5969999999998</v>
      </c>
      <c r="R1256" s="110">
        <v>6597.9759999999997</v>
      </c>
      <c r="S1256" s="110">
        <v>6671.6490000000003</v>
      </c>
      <c r="T1256" s="110">
        <v>6734.5810000000001</v>
      </c>
      <c r="U1256" s="110">
        <v>6271.3760000000002</v>
      </c>
      <c r="V1256" s="110">
        <v>5497.567</v>
      </c>
      <c r="W1256" s="110">
        <v>4699.4160000000002</v>
      </c>
      <c r="X1256" s="110">
        <v>3711.6579999999999</v>
      </c>
      <c r="Y1256" s="110">
        <v>2486.7260000000001</v>
      </c>
      <c r="Z1256" s="110">
        <v>1373.692</v>
      </c>
      <c r="AA1256" s="110">
        <v>710.69100000000003</v>
      </c>
      <c r="AB1256" s="110">
        <v>305.38900000000001</v>
      </c>
      <c r="AC1256" s="115">
        <f t="shared" si="57"/>
        <v>41228.803</v>
      </c>
      <c r="AD1256">
        <f t="shared" si="58"/>
        <v>0.9902031884843927</v>
      </c>
    </row>
    <row r="1257" spans="1:30" x14ac:dyDescent="0.25">
      <c r="A1257" s="104" t="str">
        <f t="shared" si="56"/>
        <v>Bangladesh2066</v>
      </c>
      <c r="C1257" s="107" t="s">
        <v>257</v>
      </c>
      <c r="D1257" s="108" t="s">
        <v>195</v>
      </c>
      <c r="E1257" s="109"/>
      <c r="F1257" s="109">
        <v>50</v>
      </c>
      <c r="G1257" s="109">
        <v>2066</v>
      </c>
      <c r="H1257" s="110">
        <v>4685.2690000000002</v>
      </c>
      <c r="I1257" s="110">
        <v>4871.3190000000004</v>
      </c>
      <c r="J1257" s="110">
        <v>5059.5889999999999</v>
      </c>
      <c r="K1257" s="110">
        <v>5203.8249999999998</v>
      </c>
      <c r="L1257" s="110">
        <v>5353.34</v>
      </c>
      <c r="M1257" s="110">
        <v>5563.0969999999998</v>
      </c>
      <c r="N1257" s="110">
        <v>5811.9570000000003</v>
      </c>
      <c r="O1257" s="110">
        <v>6080.5569999999998</v>
      </c>
      <c r="P1257" s="110">
        <v>6332.6549999999997</v>
      </c>
      <c r="Q1257" s="110">
        <v>6511.63</v>
      </c>
      <c r="R1257" s="110">
        <v>6567.3490000000002</v>
      </c>
      <c r="S1257" s="110">
        <v>6611.3310000000001</v>
      </c>
      <c r="T1257" s="110">
        <v>6694.076</v>
      </c>
      <c r="U1257" s="110">
        <v>6303.2870000000003</v>
      </c>
      <c r="V1257" s="110">
        <v>5545.3609999999999</v>
      </c>
      <c r="W1257" s="110">
        <v>4746.3019999999997</v>
      </c>
      <c r="X1257" s="110">
        <v>3783.0210000000002</v>
      </c>
      <c r="Y1257" s="110">
        <v>2590.9609999999998</v>
      </c>
      <c r="Z1257" s="110">
        <v>1452.2380000000001</v>
      </c>
      <c r="AA1257" s="110">
        <v>738.88400000000001</v>
      </c>
      <c r="AB1257" s="110">
        <v>331.267</v>
      </c>
      <c r="AC1257" s="115">
        <f t="shared" si="57"/>
        <v>40857.061000000002</v>
      </c>
      <c r="AD1257">
        <f t="shared" si="58"/>
        <v>0.99098343941734135</v>
      </c>
    </row>
    <row r="1258" spans="1:30" x14ac:dyDescent="0.25">
      <c r="A1258" s="104" t="str">
        <f t="shared" si="56"/>
        <v>Bangladesh2067</v>
      </c>
      <c r="C1258" s="107" t="s">
        <v>257</v>
      </c>
      <c r="D1258" s="108" t="s">
        <v>195</v>
      </c>
      <c r="E1258" s="109"/>
      <c r="F1258" s="109">
        <v>50</v>
      </c>
      <c r="G1258" s="109">
        <v>2067</v>
      </c>
      <c r="H1258" s="110">
        <v>4650.585</v>
      </c>
      <c r="I1258" s="110">
        <v>4832.3010000000004</v>
      </c>
      <c r="J1258" s="110">
        <v>5013.68</v>
      </c>
      <c r="K1258" s="110">
        <v>5159.8490000000002</v>
      </c>
      <c r="L1258" s="110">
        <v>5312.6319999999996</v>
      </c>
      <c r="M1258" s="110">
        <v>5509.4870000000001</v>
      </c>
      <c r="N1258" s="110">
        <v>5746.3630000000003</v>
      </c>
      <c r="O1258" s="110">
        <v>6012.808</v>
      </c>
      <c r="P1258" s="110">
        <v>6269.4340000000002</v>
      </c>
      <c r="Q1258" s="110">
        <v>6464.8760000000002</v>
      </c>
      <c r="R1258" s="110">
        <v>6540.933</v>
      </c>
      <c r="S1258" s="110">
        <v>6563.2550000000001</v>
      </c>
      <c r="T1258" s="110">
        <v>6635.23</v>
      </c>
      <c r="U1258" s="110">
        <v>6335.4979999999996</v>
      </c>
      <c r="V1258" s="110">
        <v>5598.76</v>
      </c>
      <c r="W1258" s="110">
        <v>4788.0680000000002</v>
      </c>
      <c r="X1258" s="110">
        <v>3850.5479999999998</v>
      </c>
      <c r="Y1258" s="110">
        <v>2688.87</v>
      </c>
      <c r="Z1258" s="110">
        <v>1526.8620000000001</v>
      </c>
      <c r="AA1258" s="110">
        <v>768.52099999999996</v>
      </c>
      <c r="AB1258" s="110">
        <v>357.86900000000003</v>
      </c>
      <c r="AC1258" s="115">
        <f t="shared" si="57"/>
        <v>40475.449000000008</v>
      </c>
      <c r="AD1258">
        <f t="shared" si="58"/>
        <v>0.99065982744084324</v>
      </c>
    </row>
    <row r="1259" spans="1:30" x14ac:dyDescent="0.25">
      <c r="A1259" s="104" t="str">
        <f t="shared" si="56"/>
        <v>Bangladesh2068</v>
      </c>
      <c r="C1259" s="107" t="s">
        <v>257</v>
      </c>
      <c r="D1259" s="108" t="s">
        <v>195</v>
      </c>
      <c r="E1259" s="109"/>
      <c r="F1259" s="109">
        <v>50</v>
      </c>
      <c r="G1259" s="109">
        <v>2068</v>
      </c>
      <c r="H1259" s="110">
        <v>4614.9880000000003</v>
      </c>
      <c r="I1259" s="110">
        <v>4792.951</v>
      </c>
      <c r="J1259" s="110">
        <v>4971.0519999999997</v>
      </c>
      <c r="K1259" s="110">
        <v>5114.3230000000003</v>
      </c>
      <c r="L1259" s="110">
        <v>5266.9889999999996</v>
      </c>
      <c r="M1259" s="110">
        <v>5460.16</v>
      </c>
      <c r="N1259" s="110">
        <v>5682.0410000000002</v>
      </c>
      <c r="O1259" s="110">
        <v>5942.3639999999996</v>
      </c>
      <c r="P1259" s="110">
        <v>6204.6210000000001</v>
      </c>
      <c r="Q1259" s="110">
        <v>6411.3549999999996</v>
      </c>
      <c r="R1259" s="110">
        <v>6514.0010000000002</v>
      </c>
      <c r="S1259" s="110">
        <v>6525.7910000000002</v>
      </c>
      <c r="T1259" s="110">
        <v>6564.8770000000004</v>
      </c>
      <c r="U1259" s="110">
        <v>6364.335</v>
      </c>
      <c r="V1259" s="110">
        <v>5654.18</v>
      </c>
      <c r="W1259" s="110">
        <v>4825.9350000000004</v>
      </c>
      <c r="X1259" s="110">
        <v>3918.3609999999999</v>
      </c>
      <c r="Y1259" s="110">
        <v>2776.723</v>
      </c>
      <c r="Z1259" s="110">
        <v>1606.7070000000001</v>
      </c>
      <c r="AA1259" s="110">
        <v>799.49900000000002</v>
      </c>
      <c r="AB1259" s="110">
        <v>384.56</v>
      </c>
      <c r="AC1259" s="115">
        <f t="shared" si="57"/>
        <v>40081.853000000003</v>
      </c>
      <c r="AD1259">
        <f t="shared" si="58"/>
        <v>0.99027568539140842</v>
      </c>
    </row>
    <row r="1260" spans="1:30" x14ac:dyDescent="0.25">
      <c r="A1260" s="104" t="str">
        <f t="shared" si="56"/>
        <v>Bangladesh2069</v>
      </c>
      <c r="C1260" s="107" t="s">
        <v>257</v>
      </c>
      <c r="D1260" s="108" t="s">
        <v>195</v>
      </c>
      <c r="E1260" s="109"/>
      <c r="F1260" s="109">
        <v>50</v>
      </c>
      <c r="G1260" s="109">
        <v>2069</v>
      </c>
      <c r="H1260" s="110">
        <v>4578.4740000000002</v>
      </c>
      <c r="I1260" s="110">
        <v>4752.692</v>
      </c>
      <c r="J1260" s="110">
        <v>4931.7359999999999</v>
      </c>
      <c r="K1260" s="110">
        <v>5068.0020000000004</v>
      </c>
      <c r="L1260" s="110">
        <v>5216.1750000000002</v>
      </c>
      <c r="M1260" s="110">
        <v>5413.6379999999999</v>
      </c>
      <c r="N1260" s="110">
        <v>5619.7150000000001</v>
      </c>
      <c r="O1260" s="110">
        <v>5870.0129999999999</v>
      </c>
      <c r="P1260" s="110">
        <v>6138.2870000000003</v>
      </c>
      <c r="Q1260" s="110">
        <v>6352.8370000000004</v>
      </c>
      <c r="R1260" s="110">
        <v>6482.1120000000001</v>
      </c>
      <c r="S1260" s="110">
        <v>6494.6319999999996</v>
      </c>
      <c r="T1260" s="110">
        <v>6496.7460000000001</v>
      </c>
      <c r="U1260" s="110">
        <v>6381.63</v>
      </c>
      <c r="V1260" s="110">
        <v>5707.8280000000004</v>
      </c>
      <c r="W1260" s="110">
        <v>4865.8609999999999</v>
      </c>
      <c r="X1260" s="110">
        <v>3987.0149999999999</v>
      </c>
      <c r="Y1260" s="110">
        <v>2860.7289999999998</v>
      </c>
      <c r="Z1260" s="110">
        <v>1689.759</v>
      </c>
      <c r="AA1260" s="110">
        <v>827.80600000000004</v>
      </c>
      <c r="AB1260" s="110">
        <v>410.58600000000001</v>
      </c>
      <c r="AC1260" s="115">
        <f t="shared" si="57"/>
        <v>39678.667000000001</v>
      </c>
      <c r="AD1260">
        <f t="shared" si="58"/>
        <v>0.989940934117991</v>
      </c>
    </row>
    <row r="1261" spans="1:30" x14ac:dyDescent="0.25">
      <c r="A1261" s="104" t="str">
        <f t="shared" si="56"/>
        <v>Bangladesh2070</v>
      </c>
      <c r="C1261" s="107" t="s">
        <v>257</v>
      </c>
      <c r="D1261" s="108" t="s">
        <v>195</v>
      </c>
      <c r="E1261" s="109"/>
      <c r="F1261" s="109">
        <v>50</v>
      </c>
      <c r="G1261" s="109">
        <v>2070</v>
      </c>
      <c r="H1261" s="110">
        <v>4541.7240000000002</v>
      </c>
      <c r="I1261" s="110">
        <v>4711.6760000000004</v>
      </c>
      <c r="J1261" s="110">
        <v>4894.152</v>
      </c>
      <c r="K1261" s="110">
        <v>5022.3689999999997</v>
      </c>
      <c r="L1261" s="110">
        <v>5162.634</v>
      </c>
      <c r="M1261" s="110">
        <v>5366.6679999999997</v>
      </c>
      <c r="N1261" s="110">
        <v>5560.4660000000003</v>
      </c>
      <c r="O1261" s="110">
        <v>5797.71</v>
      </c>
      <c r="P1261" s="110">
        <v>6069.7870000000003</v>
      </c>
      <c r="Q1261" s="110">
        <v>6291.4560000000001</v>
      </c>
      <c r="R1261" s="110">
        <v>6443.2740000000003</v>
      </c>
      <c r="S1261" s="110">
        <v>6465.7950000000001</v>
      </c>
      <c r="T1261" s="110">
        <v>6440.9049999999997</v>
      </c>
      <c r="U1261" s="110">
        <v>6381.2169999999996</v>
      </c>
      <c r="V1261" s="110">
        <v>5758.8329999999996</v>
      </c>
      <c r="W1261" s="110">
        <v>4912.9549999999999</v>
      </c>
      <c r="X1261" s="110">
        <v>4053.62</v>
      </c>
      <c r="Y1261" s="110">
        <v>2944.7919999999999</v>
      </c>
      <c r="Z1261" s="110">
        <v>1776.914</v>
      </c>
      <c r="AA1261" s="110">
        <v>846.05499999999995</v>
      </c>
      <c r="AB1261" s="110">
        <v>435.51299999999998</v>
      </c>
      <c r="AC1261" s="115">
        <f t="shared" si="57"/>
        <v>39271.090000000004</v>
      </c>
      <c r="AD1261">
        <f t="shared" si="58"/>
        <v>0.98972805714466172</v>
      </c>
    </row>
    <row r="1262" spans="1:30" x14ac:dyDescent="0.25">
      <c r="A1262" s="104" t="str">
        <f t="shared" si="56"/>
        <v>Bangladesh2071</v>
      </c>
      <c r="C1262" s="107" t="s">
        <v>257</v>
      </c>
      <c r="D1262" s="108" t="s">
        <v>195</v>
      </c>
      <c r="E1262" s="109"/>
      <c r="F1262" s="109">
        <v>50</v>
      </c>
      <c r="G1262" s="109">
        <v>2071</v>
      </c>
      <c r="H1262" s="110">
        <v>4512.3940000000002</v>
      </c>
      <c r="I1262" s="110">
        <v>4674.415</v>
      </c>
      <c r="J1262" s="110">
        <v>4849.2089999999998</v>
      </c>
      <c r="K1262" s="110">
        <v>4982.6689999999999</v>
      </c>
      <c r="L1262" s="110">
        <v>5125.2780000000002</v>
      </c>
      <c r="M1262" s="110">
        <v>5317.8320000000003</v>
      </c>
      <c r="N1262" s="110">
        <v>5506.3810000000003</v>
      </c>
      <c r="O1262" s="110">
        <v>5733.9350000000004</v>
      </c>
      <c r="P1262" s="110">
        <v>6001.1689999999999</v>
      </c>
      <c r="Q1262" s="110">
        <v>6233.7879999999996</v>
      </c>
      <c r="R1262" s="110">
        <v>6402.3710000000001</v>
      </c>
      <c r="S1262" s="110">
        <v>6430.4160000000002</v>
      </c>
      <c r="T1262" s="110">
        <v>6385.2790000000005</v>
      </c>
      <c r="U1262" s="110">
        <v>6340.95</v>
      </c>
      <c r="V1262" s="110">
        <v>5800.28</v>
      </c>
      <c r="W1262" s="110">
        <v>4961.7020000000002</v>
      </c>
      <c r="X1262" s="110">
        <v>4089.1039999999998</v>
      </c>
      <c r="Y1262" s="110">
        <v>3018.8820000000001</v>
      </c>
      <c r="Z1262" s="110">
        <v>1864.7829999999999</v>
      </c>
      <c r="AA1262" s="110">
        <v>903.01700000000005</v>
      </c>
      <c r="AB1262" s="110">
        <v>459.38900000000001</v>
      </c>
      <c r="AC1262" s="115">
        <f t="shared" si="57"/>
        <v>38901.052000000003</v>
      </c>
      <c r="AD1262">
        <f t="shared" si="58"/>
        <v>0.99057734328229752</v>
      </c>
    </row>
    <row r="1263" spans="1:30" x14ac:dyDescent="0.25">
      <c r="A1263" s="104" t="str">
        <f t="shared" si="56"/>
        <v>Bangladesh2072</v>
      </c>
      <c r="C1263" s="107" t="s">
        <v>257</v>
      </c>
      <c r="D1263" s="108" t="s">
        <v>195</v>
      </c>
      <c r="E1263" s="109"/>
      <c r="F1263" s="109">
        <v>50</v>
      </c>
      <c r="G1263" s="109">
        <v>2072</v>
      </c>
      <c r="H1263" s="110">
        <v>4480.1419999999998</v>
      </c>
      <c r="I1263" s="110">
        <v>4639.3149999999996</v>
      </c>
      <c r="J1263" s="110">
        <v>4805.6109999999999</v>
      </c>
      <c r="K1263" s="110">
        <v>4941.3810000000003</v>
      </c>
      <c r="L1263" s="110">
        <v>5086.134</v>
      </c>
      <c r="M1263" s="110">
        <v>5270.0959999999995</v>
      </c>
      <c r="N1263" s="110">
        <v>5454.99</v>
      </c>
      <c r="O1263" s="110">
        <v>5670.7439999999997</v>
      </c>
      <c r="P1263" s="110">
        <v>5931.335</v>
      </c>
      <c r="Q1263" s="110">
        <v>6173.3959999999997</v>
      </c>
      <c r="R1263" s="110">
        <v>6356.3739999999998</v>
      </c>
      <c r="S1263" s="110">
        <v>6401.018</v>
      </c>
      <c r="T1263" s="110">
        <v>6341.9319999999998</v>
      </c>
      <c r="U1263" s="110">
        <v>6283.1409999999996</v>
      </c>
      <c r="V1263" s="110">
        <v>5840.098</v>
      </c>
      <c r="W1263" s="110">
        <v>5017.1930000000002</v>
      </c>
      <c r="X1263" s="110">
        <v>4122.4449999999997</v>
      </c>
      <c r="Y1263" s="110">
        <v>3085.7089999999998</v>
      </c>
      <c r="Z1263" s="110">
        <v>1930.6420000000001</v>
      </c>
      <c r="AA1263" s="110">
        <v>977.13499999999999</v>
      </c>
      <c r="AB1263" s="110">
        <v>482.17</v>
      </c>
      <c r="AC1263" s="115">
        <f t="shared" si="57"/>
        <v>38528.075999999994</v>
      </c>
      <c r="AD1263">
        <f t="shared" si="58"/>
        <v>0.99041218731051262</v>
      </c>
    </row>
    <row r="1264" spans="1:30" x14ac:dyDescent="0.25">
      <c r="A1264" s="104" t="str">
        <f t="shared" si="56"/>
        <v>Bangladesh2073</v>
      </c>
      <c r="C1264" s="107" t="s">
        <v>257</v>
      </c>
      <c r="D1264" s="108" t="s">
        <v>195</v>
      </c>
      <c r="E1264" s="109"/>
      <c r="F1264" s="109">
        <v>50</v>
      </c>
      <c r="G1264" s="109">
        <v>2073</v>
      </c>
      <c r="H1264" s="110">
        <v>4446.0349999999999</v>
      </c>
      <c r="I1264" s="110">
        <v>4605.0990000000002</v>
      </c>
      <c r="J1264" s="110">
        <v>4765.5219999999999</v>
      </c>
      <c r="K1264" s="110">
        <v>4899.4089999999997</v>
      </c>
      <c r="L1264" s="110">
        <v>5042.7439999999997</v>
      </c>
      <c r="M1264" s="110">
        <v>5225.0230000000001</v>
      </c>
      <c r="N1264" s="110">
        <v>5405.9790000000003</v>
      </c>
      <c r="O1264" s="110">
        <v>5607.8090000000002</v>
      </c>
      <c r="P1264" s="110">
        <v>5862.1139999999996</v>
      </c>
      <c r="Q1264" s="110">
        <v>6110.1819999999998</v>
      </c>
      <c r="R1264" s="110">
        <v>6304.9989999999998</v>
      </c>
      <c r="S1264" s="110">
        <v>6375.7860000000001</v>
      </c>
      <c r="T1264" s="110">
        <v>6307.558</v>
      </c>
      <c r="U1264" s="110">
        <v>6219.201</v>
      </c>
      <c r="V1264" s="110">
        <v>5872.6139999999996</v>
      </c>
      <c r="W1264" s="110">
        <v>5074.1030000000001</v>
      </c>
      <c r="X1264" s="110">
        <v>4161.5010000000002</v>
      </c>
      <c r="Y1264" s="110">
        <v>3142.788</v>
      </c>
      <c r="Z1264" s="110">
        <v>1994.758</v>
      </c>
      <c r="AA1264" s="110">
        <v>1043.99</v>
      </c>
      <c r="AB1264" s="110">
        <v>505.07600000000002</v>
      </c>
      <c r="AC1264" s="115">
        <f t="shared" si="57"/>
        <v>38153.26</v>
      </c>
      <c r="AD1264">
        <f t="shared" si="58"/>
        <v>0.99027161387451601</v>
      </c>
    </row>
    <row r="1265" spans="1:30" x14ac:dyDescent="0.25">
      <c r="A1265" s="104" t="str">
        <f t="shared" si="56"/>
        <v>Bangladesh2074</v>
      </c>
      <c r="C1265" s="107" t="s">
        <v>257</v>
      </c>
      <c r="D1265" s="108" t="s">
        <v>195</v>
      </c>
      <c r="E1265" s="109"/>
      <c r="F1265" s="109">
        <v>50</v>
      </c>
      <c r="G1265" s="109">
        <v>2074</v>
      </c>
      <c r="H1265" s="110">
        <v>4411.3969999999999</v>
      </c>
      <c r="I1265" s="110">
        <v>4570.7110000000002</v>
      </c>
      <c r="J1265" s="110">
        <v>4729.3040000000001</v>
      </c>
      <c r="K1265" s="110">
        <v>4857.04</v>
      </c>
      <c r="L1265" s="110">
        <v>4995.0309999999999</v>
      </c>
      <c r="M1265" s="110">
        <v>5182.2139999999999</v>
      </c>
      <c r="N1265" s="110">
        <v>5358.1559999999999</v>
      </c>
      <c r="O1265" s="110">
        <v>5545.6840000000002</v>
      </c>
      <c r="P1265" s="110">
        <v>5794.183</v>
      </c>
      <c r="Q1265" s="110">
        <v>6043.9830000000002</v>
      </c>
      <c r="R1265" s="110">
        <v>6249.4989999999998</v>
      </c>
      <c r="S1265" s="110">
        <v>6350.2439999999997</v>
      </c>
      <c r="T1265" s="110">
        <v>6278.2730000000001</v>
      </c>
      <c r="U1265" s="110">
        <v>6162.6090000000004</v>
      </c>
      <c r="V1265" s="110">
        <v>5889.7860000000001</v>
      </c>
      <c r="W1265" s="110">
        <v>5128.6869999999999</v>
      </c>
      <c r="X1265" s="110">
        <v>4211.9080000000004</v>
      </c>
      <c r="Y1265" s="110">
        <v>3196.7950000000001</v>
      </c>
      <c r="Z1265" s="110">
        <v>2062.3110000000001</v>
      </c>
      <c r="AA1265" s="110">
        <v>1089.962</v>
      </c>
      <c r="AB1265" s="110">
        <v>529.78399999999999</v>
      </c>
      <c r="AC1265" s="115">
        <f t="shared" si="57"/>
        <v>37776.290999999997</v>
      </c>
      <c r="AD1265">
        <f t="shared" si="58"/>
        <v>0.99011961232146339</v>
      </c>
    </row>
    <row r="1266" spans="1:30" x14ac:dyDescent="0.25">
      <c r="A1266" s="104" t="str">
        <f t="shared" si="56"/>
        <v>Bangladesh2075</v>
      </c>
      <c r="C1266" s="107" t="s">
        <v>257</v>
      </c>
      <c r="D1266" s="108" t="s">
        <v>195</v>
      </c>
      <c r="E1266" s="109"/>
      <c r="F1266" s="109">
        <v>50</v>
      </c>
      <c r="G1266" s="109">
        <v>2075</v>
      </c>
      <c r="H1266" s="110">
        <v>4377.2950000000001</v>
      </c>
      <c r="I1266" s="110">
        <v>4535.0479999999998</v>
      </c>
      <c r="J1266" s="110">
        <v>4695.3620000000001</v>
      </c>
      <c r="K1266" s="110">
        <v>4814.9219999999996</v>
      </c>
      <c r="L1266" s="110">
        <v>4944.8739999999998</v>
      </c>
      <c r="M1266" s="110">
        <v>5138.7479999999996</v>
      </c>
      <c r="N1266" s="110">
        <v>5310.7830000000004</v>
      </c>
      <c r="O1266" s="110">
        <v>5485.3670000000002</v>
      </c>
      <c r="P1266" s="110">
        <v>5726.6850000000004</v>
      </c>
      <c r="Q1266" s="110">
        <v>5975.1279999999997</v>
      </c>
      <c r="R1266" s="110">
        <v>6190.8829999999998</v>
      </c>
      <c r="S1266" s="110">
        <v>6319.777</v>
      </c>
      <c r="T1266" s="110">
        <v>6252.3609999999999</v>
      </c>
      <c r="U1266" s="110">
        <v>6119.2839999999997</v>
      </c>
      <c r="V1266" s="110">
        <v>5888.4170000000004</v>
      </c>
      <c r="W1266" s="110">
        <v>5179.8429999999998</v>
      </c>
      <c r="X1266" s="110">
        <v>4272.6459999999997</v>
      </c>
      <c r="Y1266" s="110">
        <v>3254.0419999999999</v>
      </c>
      <c r="Z1266" s="110">
        <v>2135.15</v>
      </c>
      <c r="AA1266" s="110">
        <v>1113.2550000000001</v>
      </c>
      <c r="AB1266" s="110">
        <v>557.44399999999996</v>
      </c>
      <c r="AC1266" s="115">
        <f t="shared" si="57"/>
        <v>37396.506999999998</v>
      </c>
      <c r="AD1266">
        <f t="shared" si="58"/>
        <v>0.98994649845322291</v>
      </c>
    </row>
    <row r="1267" spans="1:30" x14ac:dyDescent="0.25">
      <c r="A1267" s="104" t="str">
        <f t="shared" si="56"/>
        <v>Bangladesh2076</v>
      </c>
      <c r="C1267" s="107" t="s">
        <v>257</v>
      </c>
      <c r="D1267" s="108" t="s">
        <v>195</v>
      </c>
      <c r="E1267" s="109"/>
      <c r="F1267" s="109">
        <v>50</v>
      </c>
      <c r="G1267" s="109">
        <v>2076</v>
      </c>
      <c r="H1267" s="110">
        <v>4348.8710000000001</v>
      </c>
      <c r="I1267" s="110">
        <v>4501.8519999999999</v>
      </c>
      <c r="J1267" s="110">
        <v>4655.0469999999996</v>
      </c>
      <c r="K1267" s="110">
        <v>4777.973</v>
      </c>
      <c r="L1267" s="110">
        <v>4909.9740000000002</v>
      </c>
      <c r="M1267" s="110">
        <v>5092.9880000000003</v>
      </c>
      <c r="N1267" s="110">
        <v>5265.7449999999999</v>
      </c>
      <c r="O1267" s="110">
        <v>5434.5370000000003</v>
      </c>
      <c r="P1267" s="110">
        <v>5661.1760000000004</v>
      </c>
      <c r="Q1267" s="110">
        <v>5910.3310000000001</v>
      </c>
      <c r="R1267" s="110">
        <v>6133.3580000000002</v>
      </c>
      <c r="S1267" s="110">
        <v>6275.3209999999999</v>
      </c>
      <c r="T1267" s="110">
        <v>6221.223</v>
      </c>
      <c r="U1267" s="110">
        <v>6066.3649999999998</v>
      </c>
      <c r="V1267" s="110">
        <v>5862.23</v>
      </c>
      <c r="W1267" s="110">
        <v>5223.2960000000003</v>
      </c>
      <c r="X1267" s="110">
        <v>4310.866</v>
      </c>
      <c r="Y1267" s="110">
        <v>3299.902</v>
      </c>
      <c r="Z1267" s="110">
        <v>2204.375</v>
      </c>
      <c r="AA1267" s="110">
        <v>1177.798</v>
      </c>
      <c r="AB1267" s="110">
        <v>588.952</v>
      </c>
      <c r="AC1267" s="115">
        <f t="shared" si="57"/>
        <v>37052.724000000002</v>
      </c>
      <c r="AD1267">
        <f t="shared" si="58"/>
        <v>0.99080708259731332</v>
      </c>
    </row>
    <row r="1268" spans="1:30" x14ac:dyDescent="0.25">
      <c r="A1268" s="104" t="str">
        <f t="shared" si="56"/>
        <v>Bangladesh2077</v>
      </c>
      <c r="C1268" s="107" t="s">
        <v>257</v>
      </c>
      <c r="D1268" s="108" t="s">
        <v>195</v>
      </c>
      <c r="E1268" s="109"/>
      <c r="F1268" s="109">
        <v>50</v>
      </c>
      <c r="G1268" s="109">
        <v>2077</v>
      </c>
      <c r="H1268" s="110">
        <v>4319.6059999999998</v>
      </c>
      <c r="I1268" s="110">
        <v>4469.9719999999998</v>
      </c>
      <c r="J1268" s="110">
        <v>4616.7420000000002</v>
      </c>
      <c r="K1268" s="110">
        <v>4739.3639999999996</v>
      </c>
      <c r="L1268" s="110">
        <v>4873.9589999999998</v>
      </c>
      <c r="M1268" s="110">
        <v>5048.0010000000002</v>
      </c>
      <c r="N1268" s="110">
        <v>5220.8710000000001</v>
      </c>
      <c r="O1268" s="110">
        <v>5386.1980000000003</v>
      </c>
      <c r="P1268" s="110">
        <v>5596.8620000000001</v>
      </c>
      <c r="Q1268" s="110">
        <v>5844.1049999999996</v>
      </c>
      <c r="R1268" s="110">
        <v>6074.7489999999998</v>
      </c>
      <c r="S1268" s="110">
        <v>6227.71</v>
      </c>
      <c r="T1268" s="110">
        <v>6196.6559999999999</v>
      </c>
      <c r="U1268" s="110">
        <v>6024.6549999999997</v>
      </c>
      <c r="V1268" s="110">
        <v>5818.1670000000004</v>
      </c>
      <c r="W1268" s="110">
        <v>5267.777</v>
      </c>
      <c r="X1268" s="110">
        <v>4357.2370000000001</v>
      </c>
      <c r="Y1268" s="110">
        <v>3339.8440000000001</v>
      </c>
      <c r="Z1268" s="110">
        <v>2248.5659999999998</v>
      </c>
      <c r="AA1268" s="110">
        <v>1248.4290000000001</v>
      </c>
      <c r="AB1268" s="110">
        <v>623.42399999999998</v>
      </c>
      <c r="AC1268" s="115">
        <f t="shared" si="57"/>
        <v>36709.360000000001</v>
      </c>
      <c r="AD1268">
        <f t="shared" si="58"/>
        <v>0.99073309697824097</v>
      </c>
    </row>
    <row r="1269" spans="1:30" x14ac:dyDescent="0.25">
      <c r="A1269" s="104" t="str">
        <f t="shared" si="56"/>
        <v>Bangladesh2078</v>
      </c>
      <c r="C1269" s="107" t="s">
        <v>257</v>
      </c>
      <c r="D1269" s="108" t="s">
        <v>195</v>
      </c>
      <c r="E1269" s="109"/>
      <c r="F1269" s="109">
        <v>50</v>
      </c>
      <c r="G1269" s="109">
        <v>2078</v>
      </c>
      <c r="H1269" s="110">
        <v>4289.6459999999997</v>
      </c>
      <c r="I1269" s="110">
        <v>4437.933</v>
      </c>
      <c r="J1269" s="110">
        <v>4581.9179999999997</v>
      </c>
      <c r="K1269" s="110">
        <v>4699.9189999999999</v>
      </c>
      <c r="L1269" s="110">
        <v>4834.0349999999999</v>
      </c>
      <c r="M1269" s="110">
        <v>5005.1319999999996</v>
      </c>
      <c r="N1269" s="110">
        <v>5176.1049999999996</v>
      </c>
      <c r="O1269" s="110">
        <v>5338.4740000000002</v>
      </c>
      <c r="P1269" s="110">
        <v>5535.0519999999997</v>
      </c>
      <c r="Q1269" s="110">
        <v>5776.4409999999998</v>
      </c>
      <c r="R1269" s="110">
        <v>6013.643</v>
      </c>
      <c r="S1269" s="110">
        <v>6178.2889999999998</v>
      </c>
      <c r="T1269" s="110">
        <v>6174.2020000000002</v>
      </c>
      <c r="U1269" s="110">
        <v>5994.4089999999997</v>
      </c>
      <c r="V1269" s="110">
        <v>5764.1970000000001</v>
      </c>
      <c r="W1269" s="110">
        <v>5304.6880000000001</v>
      </c>
      <c r="X1269" s="110">
        <v>4413.0450000000001</v>
      </c>
      <c r="Y1269" s="110">
        <v>3374.6019999999999</v>
      </c>
      <c r="Z1269" s="110">
        <v>2290.5030000000002</v>
      </c>
      <c r="AA1269" s="110">
        <v>1307.7860000000001</v>
      </c>
      <c r="AB1269" s="110">
        <v>660.24</v>
      </c>
      <c r="AC1269" s="115">
        <f t="shared" si="57"/>
        <v>36365.158000000003</v>
      </c>
      <c r="AD1269">
        <f t="shared" si="58"/>
        <v>0.99062359027779301</v>
      </c>
    </row>
    <row r="1270" spans="1:30" x14ac:dyDescent="0.25">
      <c r="A1270" s="104" t="str">
        <f t="shared" si="56"/>
        <v>Bangladesh2079</v>
      </c>
      <c r="C1270" s="107" t="s">
        <v>257</v>
      </c>
      <c r="D1270" s="108" t="s">
        <v>195</v>
      </c>
      <c r="E1270" s="109"/>
      <c r="F1270" s="109">
        <v>50</v>
      </c>
      <c r="G1270" s="109">
        <v>2079</v>
      </c>
      <c r="H1270" s="110">
        <v>4259.0879999999997</v>
      </c>
      <c r="I1270" s="110">
        <v>4405.1180000000004</v>
      </c>
      <c r="J1270" s="110">
        <v>4550.2960000000003</v>
      </c>
      <c r="K1270" s="110">
        <v>4660.3239999999996</v>
      </c>
      <c r="L1270" s="110">
        <v>4789.7529999999997</v>
      </c>
      <c r="M1270" s="110">
        <v>4964.2110000000002</v>
      </c>
      <c r="N1270" s="110">
        <v>5131.3580000000002</v>
      </c>
      <c r="O1270" s="110">
        <v>5290.0739999999996</v>
      </c>
      <c r="P1270" s="110">
        <v>5476.2619999999997</v>
      </c>
      <c r="Q1270" s="110">
        <v>5707.8440000000001</v>
      </c>
      <c r="R1270" s="110">
        <v>5949.4870000000001</v>
      </c>
      <c r="S1270" s="110">
        <v>6128.2470000000003</v>
      </c>
      <c r="T1270" s="110">
        <v>6149.5829999999996</v>
      </c>
      <c r="U1270" s="110">
        <v>5972.6949999999997</v>
      </c>
      <c r="V1270" s="110">
        <v>5712.6090000000004</v>
      </c>
      <c r="W1270" s="110">
        <v>5325.8310000000001</v>
      </c>
      <c r="X1270" s="110">
        <v>4475.6660000000002</v>
      </c>
      <c r="Y1270" s="110">
        <v>3414.3209999999999</v>
      </c>
      <c r="Z1270" s="110">
        <v>2337.9250000000002</v>
      </c>
      <c r="AA1270" s="110">
        <v>1346.0350000000001</v>
      </c>
      <c r="AB1270" s="110">
        <v>698.43100000000004</v>
      </c>
      <c r="AC1270" s="115">
        <f t="shared" si="57"/>
        <v>36019.826000000001</v>
      </c>
      <c r="AD1270">
        <f t="shared" si="58"/>
        <v>0.99050376736985435</v>
      </c>
    </row>
    <row r="1271" spans="1:30" x14ac:dyDescent="0.25">
      <c r="A1271" s="104" t="str">
        <f t="shared" si="56"/>
        <v>Bangladesh2080</v>
      </c>
      <c r="C1271" s="107" t="s">
        <v>257</v>
      </c>
      <c r="D1271" s="108" t="s">
        <v>195</v>
      </c>
      <c r="E1271" s="109"/>
      <c r="F1271" s="109">
        <v>50</v>
      </c>
      <c r="G1271" s="109">
        <v>2080</v>
      </c>
      <c r="H1271" s="110">
        <v>4228.366</v>
      </c>
      <c r="I1271" s="110">
        <v>4371.3869999999997</v>
      </c>
      <c r="J1271" s="110">
        <v>4520.0389999999998</v>
      </c>
      <c r="K1271" s="110">
        <v>4621.6490000000003</v>
      </c>
      <c r="L1271" s="110">
        <v>4742.8779999999997</v>
      </c>
      <c r="M1271" s="110">
        <v>4922.8890000000001</v>
      </c>
      <c r="N1271" s="110">
        <v>5086.8729999999996</v>
      </c>
      <c r="O1271" s="110">
        <v>5241.0259999999998</v>
      </c>
      <c r="P1271" s="110">
        <v>5419.7389999999996</v>
      </c>
      <c r="Q1271" s="110">
        <v>5639.2939999999999</v>
      </c>
      <c r="R1271" s="110">
        <v>5882.5349999999999</v>
      </c>
      <c r="S1271" s="110">
        <v>6077.0169999999998</v>
      </c>
      <c r="T1271" s="110">
        <v>6121.0680000000002</v>
      </c>
      <c r="U1271" s="110">
        <v>5955.8459999999995</v>
      </c>
      <c r="V1271" s="110">
        <v>5671.8130000000001</v>
      </c>
      <c r="W1271" s="110">
        <v>5328.732</v>
      </c>
      <c r="X1271" s="110">
        <v>4539.6139999999996</v>
      </c>
      <c r="Y1271" s="110">
        <v>3468.1480000000001</v>
      </c>
      <c r="Z1271" s="110">
        <v>2392.4699999999998</v>
      </c>
      <c r="AA1271" s="110">
        <v>1359.836</v>
      </c>
      <c r="AB1271" s="110">
        <v>737.21299999999997</v>
      </c>
      <c r="AC1271" s="115">
        <f t="shared" si="57"/>
        <v>35674.348000000005</v>
      </c>
      <c r="AD1271">
        <f t="shared" si="58"/>
        <v>0.99040867104688413</v>
      </c>
    </row>
    <row r="1272" spans="1:30" x14ac:dyDescent="0.25">
      <c r="A1272" s="104" t="str">
        <f t="shared" si="56"/>
        <v>Bangladesh2081</v>
      </c>
      <c r="C1272" s="107" t="s">
        <v>257</v>
      </c>
      <c r="D1272" s="108" t="s">
        <v>195</v>
      </c>
      <c r="E1272" s="109"/>
      <c r="F1272" s="109">
        <v>50</v>
      </c>
      <c r="G1272" s="109">
        <v>2081</v>
      </c>
      <c r="H1272" s="110">
        <v>4203.7179999999998</v>
      </c>
      <c r="I1272" s="110">
        <v>4340.8100000000004</v>
      </c>
      <c r="J1272" s="110">
        <v>4483.53</v>
      </c>
      <c r="K1272" s="110">
        <v>4588.8590000000004</v>
      </c>
      <c r="L1272" s="110">
        <v>4710.3739999999998</v>
      </c>
      <c r="M1272" s="110">
        <v>4880.1220000000003</v>
      </c>
      <c r="N1272" s="110">
        <v>5044.674</v>
      </c>
      <c r="O1272" s="110">
        <v>5199.0129999999999</v>
      </c>
      <c r="P1272" s="110">
        <v>5367.2489999999998</v>
      </c>
      <c r="Q1272" s="110">
        <v>5577.3639999999996</v>
      </c>
      <c r="R1272" s="110">
        <v>5817.9440000000004</v>
      </c>
      <c r="S1272" s="110">
        <v>6016.56</v>
      </c>
      <c r="T1272" s="110">
        <v>6080.6809999999996</v>
      </c>
      <c r="U1272" s="110">
        <v>5925.8609999999999</v>
      </c>
      <c r="V1272" s="110">
        <v>5633.3010000000004</v>
      </c>
      <c r="W1272" s="110">
        <v>5310.02</v>
      </c>
      <c r="X1272" s="110">
        <v>4572.5169999999998</v>
      </c>
      <c r="Y1272" s="110">
        <v>3516.645</v>
      </c>
      <c r="Z1272" s="110">
        <v>2440.3310000000001</v>
      </c>
      <c r="AA1272" s="110">
        <v>1414.0319999999999</v>
      </c>
      <c r="AB1272" s="110">
        <v>777.16700000000003</v>
      </c>
      <c r="AC1272" s="115">
        <f t="shared" si="57"/>
        <v>35367.654999999999</v>
      </c>
      <c r="AD1272">
        <f t="shared" si="58"/>
        <v>0.99140298233341206</v>
      </c>
    </row>
    <row r="1273" spans="1:30" x14ac:dyDescent="0.25">
      <c r="A1273" s="104" t="str">
        <f t="shared" si="56"/>
        <v>Bangladesh2082</v>
      </c>
      <c r="C1273" s="107" t="s">
        <v>257</v>
      </c>
      <c r="D1273" s="108" t="s">
        <v>195</v>
      </c>
      <c r="E1273" s="109"/>
      <c r="F1273" s="109">
        <v>50</v>
      </c>
      <c r="G1273" s="109">
        <v>2082</v>
      </c>
      <c r="H1273" s="110">
        <v>4177.3689999999997</v>
      </c>
      <c r="I1273" s="110">
        <v>4311.76</v>
      </c>
      <c r="J1273" s="110">
        <v>4448.1220000000003</v>
      </c>
      <c r="K1273" s="110">
        <v>4555.1629999999996</v>
      </c>
      <c r="L1273" s="110">
        <v>4676.4880000000003</v>
      </c>
      <c r="M1273" s="110">
        <v>4838.4229999999998</v>
      </c>
      <c r="N1273" s="110">
        <v>5002.1589999999997</v>
      </c>
      <c r="O1273" s="110">
        <v>5156.7780000000002</v>
      </c>
      <c r="P1273" s="110">
        <v>5317.5860000000002</v>
      </c>
      <c r="Q1273" s="110">
        <v>5516.1819999999998</v>
      </c>
      <c r="R1273" s="110">
        <v>5753.1890000000003</v>
      </c>
      <c r="S1273" s="110">
        <v>5956.4359999999997</v>
      </c>
      <c r="T1273" s="110">
        <v>6037.7049999999999</v>
      </c>
      <c r="U1273" s="110">
        <v>5901.848</v>
      </c>
      <c r="V1273" s="110">
        <v>5603.1059999999998</v>
      </c>
      <c r="W1273" s="110">
        <v>5277.424</v>
      </c>
      <c r="X1273" s="110">
        <v>4609.2669999999998</v>
      </c>
      <c r="Y1273" s="110">
        <v>3567.067</v>
      </c>
      <c r="Z1273" s="110">
        <v>2464.6570000000002</v>
      </c>
      <c r="AA1273" s="110">
        <v>1474.4670000000001</v>
      </c>
      <c r="AB1273" s="110">
        <v>817.66099999999994</v>
      </c>
      <c r="AC1273" s="115">
        <f t="shared" si="57"/>
        <v>35062.778999999995</v>
      </c>
      <c r="AD1273">
        <f t="shared" si="58"/>
        <v>0.99137980734091635</v>
      </c>
    </row>
    <row r="1274" spans="1:30" x14ac:dyDescent="0.25">
      <c r="A1274" s="104" t="str">
        <f t="shared" si="56"/>
        <v>Bangladesh2083</v>
      </c>
      <c r="C1274" s="107" t="s">
        <v>257</v>
      </c>
      <c r="D1274" s="108" t="s">
        <v>195</v>
      </c>
      <c r="E1274" s="109"/>
      <c r="F1274" s="109">
        <v>50</v>
      </c>
      <c r="G1274" s="109">
        <v>2083</v>
      </c>
      <c r="H1274" s="110">
        <v>4149.5870000000004</v>
      </c>
      <c r="I1274" s="110">
        <v>4282.8909999999996</v>
      </c>
      <c r="J1274" s="110">
        <v>4415.3990000000003</v>
      </c>
      <c r="K1274" s="110">
        <v>4520.9350000000004</v>
      </c>
      <c r="L1274" s="110">
        <v>4638.9080000000004</v>
      </c>
      <c r="M1274" s="110">
        <v>4798.866</v>
      </c>
      <c r="N1274" s="110">
        <v>4959.4960000000001</v>
      </c>
      <c r="O1274" s="110">
        <v>5113.1509999999998</v>
      </c>
      <c r="P1274" s="110">
        <v>5270.7809999999999</v>
      </c>
      <c r="Q1274" s="110">
        <v>5455.7190000000001</v>
      </c>
      <c r="R1274" s="110">
        <v>5687.4359999999997</v>
      </c>
      <c r="S1274" s="110">
        <v>5897.1480000000001</v>
      </c>
      <c r="T1274" s="110">
        <v>5991.3909999999996</v>
      </c>
      <c r="U1274" s="110">
        <v>5882.8990000000003</v>
      </c>
      <c r="V1274" s="110">
        <v>5579.4340000000002</v>
      </c>
      <c r="W1274" s="110">
        <v>5235.2780000000002</v>
      </c>
      <c r="X1274" s="110">
        <v>4648.1729999999998</v>
      </c>
      <c r="Y1274" s="110">
        <v>3615.2730000000001</v>
      </c>
      <c r="Z1274" s="110">
        <v>2491.3310000000001</v>
      </c>
      <c r="AA1274" s="110">
        <v>1523.077</v>
      </c>
      <c r="AB1274" s="110">
        <v>858.28200000000004</v>
      </c>
      <c r="AC1274" s="115">
        <f t="shared" si="57"/>
        <v>34757.856</v>
      </c>
      <c r="AD1274">
        <f t="shared" si="58"/>
        <v>0.99130351305012088</v>
      </c>
    </row>
    <row r="1275" spans="1:30" x14ac:dyDescent="0.25">
      <c r="A1275" s="104" t="str">
        <f t="shared" si="56"/>
        <v>Bangladesh2084</v>
      </c>
      <c r="C1275" s="107" t="s">
        <v>257</v>
      </c>
      <c r="D1275" s="108" t="s">
        <v>195</v>
      </c>
      <c r="E1275" s="109"/>
      <c r="F1275" s="109">
        <v>50</v>
      </c>
      <c r="G1275" s="109">
        <v>2084</v>
      </c>
      <c r="H1275" s="110">
        <v>4120.9030000000002</v>
      </c>
      <c r="I1275" s="110">
        <v>4253.4740000000002</v>
      </c>
      <c r="J1275" s="110">
        <v>4385.6220000000003</v>
      </c>
      <c r="K1275" s="110">
        <v>4486.2209999999995</v>
      </c>
      <c r="L1275" s="110">
        <v>4597.723</v>
      </c>
      <c r="M1275" s="110">
        <v>4761.03</v>
      </c>
      <c r="N1275" s="110">
        <v>4916.9040000000005</v>
      </c>
      <c r="O1275" s="110">
        <v>5068.0460000000003</v>
      </c>
      <c r="P1275" s="110">
        <v>5225.6180000000004</v>
      </c>
      <c r="Q1275" s="110">
        <v>5396.4380000000001</v>
      </c>
      <c r="R1275" s="110">
        <v>5620.9359999999997</v>
      </c>
      <c r="S1275" s="110">
        <v>5838.268</v>
      </c>
      <c r="T1275" s="110">
        <v>5943.0640000000003</v>
      </c>
      <c r="U1275" s="110">
        <v>5865.433</v>
      </c>
      <c r="V1275" s="110">
        <v>5559.7839999999997</v>
      </c>
      <c r="W1275" s="110">
        <v>5194.1369999999997</v>
      </c>
      <c r="X1275" s="110">
        <v>4682.1000000000004</v>
      </c>
      <c r="Y1275" s="110">
        <v>3666.2379999999998</v>
      </c>
      <c r="Z1275" s="110">
        <v>2529.84</v>
      </c>
      <c r="AA1275" s="110">
        <v>1548.95</v>
      </c>
      <c r="AB1275" s="110">
        <v>898.59400000000005</v>
      </c>
      <c r="AC1275" s="115">
        <f t="shared" si="57"/>
        <v>34451.980000000003</v>
      </c>
      <c r="AD1275">
        <f t="shared" si="58"/>
        <v>0.99119980242739958</v>
      </c>
    </row>
    <row r="1276" spans="1:30" x14ac:dyDescent="0.25">
      <c r="A1276" s="104" t="str">
        <f t="shared" si="56"/>
        <v>Bangladesh2085</v>
      </c>
      <c r="C1276" s="107" t="s">
        <v>257</v>
      </c>
      <c r="D1276" s="108" t="s">
        <v>195</v>
      </c>
      <c r="E1276" s="109"/>
      <c r="F1276" s="109">
        <v>50</v>
      </c>
      <c r="G1276" s="109">
        <v>2085</v>
      </c>
      <c r="H1276" s="110">
        <v>4092.078</v>
      </c>
      <c r="I1276" s="110">
        <v>4223.1239999999998</v>
      </c>
      <c r="J1276" s="110">
        <v>4357.6009999999997</v>
      </c>
      <c r="K1276" s="110">
        <v>4451.7439999999997</v>
      </c>
      <c r="L1276" s="110">
        <v>4554.9480000000003</v>
      </c>
      <c r="M1276" s="110">
        <v>4722.67</v>
      </c>
      <c r="N1276" s="110">
        <v>4874.9030000000002</v>
      </c>
      <c r="O1276" s="110">
        <v>5022.3230000000003</v>
      </c>
      <c r="P1276" s="110">
        <v>5180.4089999999997</v>
      </c>
      <c r="Q1276" s="110">
        <v>5339.2139999999999</v>
      </c>
      <c r="R1276" s="110">
        <v>5554.4949999999999</v>
      </c>
      <c r="S1276" s="110">
        <v>5778.5659999999998</v>
      </c>
      <c r="T1276" s="110">
        <v>5894.5810000000001</v>
      </c>
      <c r="U1276" s="110">
        <v>5845.6629999999996</v>
      </c>
      <c r="V1276" s="110">
        <v>5543.6289999999999</v>
      </c>
      <c r="W1276" s="110">
        <v>5161.9830000000002</v>
      </c>
      <c r="X1276" s="110">
        <v>4703.9350000000004</v>
      </c>
      <c r="Y1276" s="110">
        <v>3723.527</v>
      </c>
      <c r="Z1276" s="110">
        <v>2583.7350000000001</v>
      </c>
      <c r="AA1276" s="110">
        <v>1547.808</v>
      </c>
      <c r="AB1276" s="110">
        <v>938.26099999999997</v>
      </c>
      <c r="AC1276" s="115">
        <f t="shared" si="57"/>
        <v>34146.210999999996</v>
      </c>
      <c r="AD1276">
        <f t="shared" si="58"/>
        <v>0.99112477715359149</v>
      </c>
    </row>
    <row r="1277" spans="1:30" x14ac:dyDescent="0.25">
      <c r="A1277" s="104" t="str">
        <f t="shared" si="56"/>
        <v>Bangladesh2086</v>
      </c>
      <c r="C1277" s="107" t="s">
        <v>257</v>
      </c>
      <c r="D1277" s="108" t="s">
        <v>195</v>
      </c>
      <c r="E1277" s="109"/>
      <c r="F1277" s="109">
        <v>50</v>
      </c>
      <c r="G1277" s="109">
        <v>2086</v>
      </c>
      <c r="H1277" s="110">
        <v>4068.933</v>
      </c>
      <c r="I1277" s="110">
        <v>4195.5969999999998</v>
      </c>
      <c r="J1277" s="110">
        <v>4324.3410000000003</v>
      </c>
      <c r="K1277" s="110">
        <v>4422.326</v>
      </c>
      <c r="L1277" s="110">
        <v>4526.3540000000003</v>
      </c>
      <c r="M1277" s="110">
        <v>4682.9579999999996</v>
      </c>
      <c r="N1277" s="110">
        <v>4835.567</v>
      </c>
      <c r="O1277" s="110">
        <v>4983.027</v>
      </c>
      <c r="P1277" s="110">
        <v>5136.9380000000001</v>
      </c>
      <c r="Q1277" s="110">
        <v>5290.1319999999996</v>
      </c>
      <c r="R1277" s="110">
        <v>5492.88</v>
      </c>
      <c r="S1277" s="110">
        <v>5711.5460000000003</v>
      </c>
      <c r="T1277" s="110">
        <v>5838.5429999999997</v>
      </c>
      <c r="U1277" s="110">
        <v>5806.6329999999998</v>
      </c>
      <c r="V1277" s="110">
        <v>5525.268</v>
      </c>
      <c r="W1277" s="110">
        <v>5132.0320000000002</v>
      </c>
      <c r="X1277" s="110">
        <v>4681.4740000000002</v>
      </c>
      <c r="Y1277" s="110">
        <v>3767.29</v>
      </c>
      <c r="Z1277" s="110">
        <v>2632.3209999999999</v>
      </c>
      <c r="AA1277" s="110">
        <v>1591.588</v>
      </c>
      <c r="AB1277" s="110">
        <v>978.05700000000002</v>
      </c>
      <c r="AC1277" s="115">
        <f t="shared" si="57"/>
        <v>33877.301999999996</v>
      </c>
      <c r="AD1277">
        <f t="shared" si="58"/>
        <v>0.99212477776816876</v>
      </c>
    </row>
    <row r="1278" spans="1:30" x14ac:dyDescent="0.25">
      <c r="A1278" s="104" t="str">
        <f t="shared" si="56"/>
        <v>Bangladesh2087</v>
      </c>
      <c r="C1278" s="107" t="s">
        <v>257</v>
      </c>
      <c r="D1278" s="108" t="s">
        <v>195</v>
      </c>
      <c r="E1278" s="109"/>
      <c r="F1278" s="109">
        <v>50</v>
      </c>
      <c r="G1278" s="109">
        <v>2087</v>
      </c>
      <c r="H1278" s="110">
        <v>4043.6170000000002</v>
      </c>
      <c r="I1278" s="110">
        <v>4169.1930000000002</v>
      </c>
      <c r="J1278" s="110">
        <v>4292.2020000000002</v>
      </c>
      <c r="K1278" s="110">
        <v>4391.1890000000003</v>
      </c>
      <c r="L1278" s="110">
        <v>4497.0469999999996</v>
      </c>
      <c r="M1278" s="110">
        <v>4643.777</v>
      </c>
      <c r="N1278" s="110">
        <v>4796.192</v>
      </c>
      <c r="O1278" s="110">
        <v>4942.9750000000004</v>
      </c>
      <c r="P1278" s="110">
        <v>5093.4610000000002</v>
      </c>
      <c r="Q1278" s="110">
        <v>5243.3519999999999</v>
      </c>
      <c r="R1278" s="110">
        <v>5433.049</v>
      </c>
      <c r="S1278" s="110">
        <v>5645.5159999999996</v>
      </c>
      <c r="T1278" s="110">
        <v>5783.0860000000002</v>
      </c>
      <c r="U1278" s="110">
        <v>5764.8119999999999</v>
      </c>
      <c r="V1278" s="110">
        <v>5510.8119999999999</v>
      </c>
      <c r="W1278" s="110">
        <v>5111.5209999999997</v>
      </c>
      <c r="X1278" s="110">
        <v>4649.4549999999999</v>
      </c>
      <c r="Y1278" s="110">
        <v>3810.3020000000001</v>
      </c>
      <c r="Z1278" s="110">
        <v>2663.136</v>
      </c>
      <c r="AA1278" s="110">
        <v>1644.079</v>
      </c>
      <c r="AB1278" s="110">
        <v>1017.022</v>
      </c>
      <c r="AC1278" s="115">
        <f t="shared" si="57"/>
        <v>33607.993000000002</v>
      </c>
      <c r="AD1278">
        <f t="shared" si="58"/>
        <v>0.99205045903596478</v>
      </c>
    </row>
    <row r="1279" spans="1:30" x14ac:dyDescent="0.25">
      <c r="A1279" s="104" t="str">
        <f t="shared" si="56"/>
        <v>Bangladesh2088</v>
      </c>
      <c r="C1279" s="107" t="s">
        <v>257</v>
      </c>
      <c r="D1279" s="108" t="s">
        <v>195</v>
      </c>
      <c r="E1279" s="109"/>
      <c r="F1279" s="109">
        <v>50</v>
      </c>
      <c r="G1279" s="109">
        <v>2088</v>
      </c>
      <c r="H1279" s="110">
        <v>4016.6680000000001</v>
      </c>
      <c r="I1279" s="110">
        <v>4142.67</v>
      </c>
      <c r="J1279" s="110">
        <v>4262.5929999999998</v>
      </c>
      <c r="K1279" s="110">
        <v>4358.9970000000003</v>
      </c>
      <c r="L1279" s="110">
        <v>4464.5349999999999</v>
      </c>
      <c r="M1279" s="110">
        <v>4606.451</v>
      </c>
      <c r="N1279" s="110">
        <v>4756.7979999999998</v>
      </c>
      <c r="O1279" s="110">
        <v>4901.34</v>
      </c>
      <c r="P1279" s="110">
        <v>5050.6109999999999</v>
      </c>
      <c r="Q1279" s="110">
        <v>5197.6989999999996</v>
      </c>
      <c r="R1279" s="110">
        <v>5374.259</v>
      </c>
      <c r="S1279" s="110">
        <v>5581.44</v>
      </c>
      <c r="T1279" s="110">
        <v>5726.8339999999998</v>
      </c>
      <c r="U1279" s="110">
        <v>5722.6540000000005</v>
      </c>
      <c r="V1279" s="110">
        <v>5497.4390000000003</v>
      </c>
      <c r="W1279" s="110">
        <v>5095.8999999999996</v>
      </c>
      <c r="X1279" s="110">
        <v>4617.8559999999998</v>
      </c>
      <c r="Y1279" s="110">
        <v>3845.3910000000001</v>
      </c>
      <c r="Z1279" s="110">
        <v>2700.212</v>
      </c>
      <c r="AA1279" s="110">
        <v>1686.453</v>
      </c>
      <c r="AB1279" s="110">
        <v>1054.972</v>
      </c>
      <c r="AC1279" s="115">
        <f t="shared" si="57"/>
        <v>33336.430999999997</v>
      </c>
      <c r="AD1279">
        <f t="shared" si="58"/>
        <v>0.99191971981189098</v>
      </c>
    </row>
    <row r="1280" spans="1:30" x14ac:dyDescent="0.25">
      <c r="A1280" s="104" t="str">
        <f t="shared" si="56"/>
        <v>Bangladesh2089</v>
      </c>
      <c r="C1280" s="107" t="s">
        <v>257</v>
      </c>
      <c r="D1280" s="108" t="s">
        <v>195</v>
      </c>
      <c r="E1280" s="109"/>
      <c r="F1280" s="109">
        <v>50</v>
      </c>
      <c r="G1280" s="109">
        <v>2089</v>
      </c>
      <c r="H1280" s="110">
        <v>3989.0039999999999</v>
      </c>
      <c r="I1280" s="110">
        <v>4115.4669999999996</v>
      </c>
      <c r="J1280" s="110">
        <v>4235.7079999999996</v>
      </c>
      <c r="K1280" s="110">
        <v>4326.4210000000003</v>
      </c>
      <c r="L1280" s="110">
        <v>4428.3869999999997</v>
      </c>
      <c r="M1280" s="110">
        <v>4571.1899999999996</v>
      </c>
      <c r="N1280" s="110">
        <v>4717.393</v>
      </c>
      <c r="O1280" s="110">
        <v>4858.4260000000004</v>
      </c>
      <c r="P1280" s="110">
        <v>5008.4759999999997</v>
      </c>
      <c r="Q1280" s="110">
        <v>5152.009</v>
      </c>
      <c r="R1280" s="110">
        <v>5316.8530000000001</v>
      </c>
      <c r="S1280" s="110">
        <v>5519.7920000000004</v>
      </c>
      <c r="T1280" s="110">
        <v>5669.6719999999996</v>
      </c>
      <c r="U1280" s="110">
        <v>5681.97</v>
      </c>
      <c r="V1280" s="110">
        <v>5481.78</v>
      </c>
      <c r="W1280" s="110">
        <v>5082.7049999999999</v>
      </c>
      <c r="X1280" s="110">
        <v>4596.5510000000004</v>
      </c>
      <c r="Y1280" s="110">
        <v>3873.5740000000001</v>
      </c>
      <c r="Z1280" s="110">
        <v>2749.018</v>
      </c>
      <c r="AA1280" s="110">
        <v>1706.145</v>
      </c>
      <c r="AB1280" s="110">
        <v>1091.7909999999999</v>
      </c>
      <c r="AC1280" s="115">
        <f t="shared" si="57"/>
        <v>33062.301999999996</v>
      </c>
      <c r="AD1280">
        <f t="shared" si="58"/>
        <v>0.99177689417322445</v>
      </c>
    </row>
    <row r="1281" spans="1:30" x14ac:dyDescent="0.25">
      <c r="A1281" s="104" t="str">
        <f t="shared" si="56"/>
        <v>Bangladesh2090</v>
      </c>
      <c r="C1281" s="107" t="s">
        <v>257</v>
      </c>
      <c r="D1281" s="108" t="s">
        <v>195</v>
      </c>
      <c r="E1281" s="109"/>
      <c r="F1281" s="109">
        <v>50</v>
      </c>
      <c r="G1281" s="109">
        <v>2090</v>
      </c>
      <c r="H1281" s="110">
        <v>3961.7379999999998</v>
      </c>
      <c r="I1281" s="110">
        <v>4087.4140000000002</v>
      </c>
      <c r="J1281" s="110">
        <v>4210.5290000000005</v>
      </c>
      <c r="K1281" s="110">
        <v>4294.6440000000002</v>
      </c>
      <c r="L1281" s="110">
        <v>4390.28</v>
      </c>
      <c r="M1281" s="110">
        <v>4536.4089999999997</v>
      </c>
      <c r="N1281" s="110">
        <v>4678.5020000000004</v>
      </c>
      <c r="O1281" s="110">
        <v>4815.424</v>
      </c>
      <c r="P1281" s="110">
        <v>4966.4340000000002</v>
      </c>
      <c r="Q1281" s="110">
        <v>5106.2219999999998</v>
      </c>
      <c r="R1281" s="110">
        <v>5261.6419999999998</v>
      </c>
      <c r="S1281" s="110">
        <v>5460.1270000000004</v>
      </c>
      <c r="T1281" s="110">
        <v>5612.7809999999999</v>
      </c>
      <c r="U1281" s="110">
        <v>5642.6120000000001</v>
      </c>
      <c r="V1281" s="110">
        <v>5462.9009999999998</v>
      </c>
      <c r="W1281" s="110">
        <v>5072.3230000000003</v>
      </c>
      <c r="X1281" s="110">
        <v>4587.8130000000001</v>
      </c>
      <c r="Y1281" s="110">
        <v>3896.6469999999999</v>
      </c>
      <c r="Z1281" s="110">
        <v>2809.14</v>
      </c>
      <c r="AA1281" s="110">
        <v>1696.998</v>
      </c>
      <c r="AB1281" s="110">
        <v>1127.482</v>
      </c>
      <c r="AC1281" s="115">
        <f t="shared" si="57"/>
        <v>32787.915000000001</v>
      </c>
      <c r="AD1281">
        <f t="shared" si="58"/>
        <v>0.99170091060205079</v>
      </c>
    </row>
    <row r="1282" spans="1:30" x14ac:dyDescent="0.25">
      <c r="A1282" s="104" t="str">
        <f t="shared" si="56"/>
        <v>Bangladesh2091</v>
      </c>
      <c r="C1282" s="107" t="s">
        <v>257</v>
      </c>
      <c r="D1282" s="108" t="s">
        <v>195</v>
      </c>
      <c r="E1282" s="109"/>
      <c r="F1282" s="109">
        <v>50</v>
      </c>
      <c r="G1282" s="109">
        <v>2091</v>
      </c>
      <c r="H1282" s="110">
        <v>3939.1190000000001</v>
      </c>
      <c r="I1282" s="110">
        <v>4061.5790000000002</v>
      </c>
      <c r="J1282" s="110">
        <v>4180.3670000000002</v>
      </c>
      <c r="K1282" s="110">
        <v>4267.7910000000002</v>
      </c>
      <c r="L1282" s="110">
        <v>4364.5190000000002</v>
      </c>
      <c r="M1282" s="110">
        <v>4500.9629999999997</v>
      </c>
      <c r="N1282" s="110">
        <v>4641.7650000000003</v>
      </c>
      <c r="O1282" s="110">
        <v>4778.5730000000003</v>
      </c>
      <c r="P1282" s="110">
        <v>4925.6030000000001</v>
      </c>
      <c r="Q1282" s="110">
        <v>5065.634</v>
      </c>
      <c r="R1282" s="110">
        <v>5212.5259999999998</v>
      </c>
      <c r="S1282" s="110">
        <v>5396.0590000000002</v>
      </c>
      <c r="T1282" s="110">
        <v>5549.7209999999995</v>
      </c>
      <c r="U1282" s="110">
        <v>5588.2529999999997</v>
      </c>
      <c r="V1282" s="110">
        <v>5434.482</v>
      </c>
      <c r="W1282" s="110">
        <v>5059.2879999999996</v>
      </c>
      <c r="X1282" s="110">
        <v>4556.3119999999999</v>
      </c>
      <c r="Y1282" s="110">
        <v>3892.1060000000002</v>
      </c>
      <c r="Z1282" s="110">
        <v>2853.4589999999998</v>
      </c>
      <c r="AA1282" s="110">
        <v>1748.42</v>
      </c>
      <c r="AB1282" s="110">
        <v>1163.06</v>
      </c>
      <c r="AC1282" s="115">
        <f t="shared" si="57"/>
        <v>32544.847999999998</v>
      </c>
      <c r="AD1282">
        <f t="shared" si="58"/>
        <v>0.99258668933355465</v>
      </c>
    </row>
    <row r="1283" spans="1:30" x14ac:dyDescent="0.25">
      <c r="A1283" s="104" t="str">
        <f t="shared" si="56"/>
        <v>Bangladesh2092</v>
      </c>
      <c r="C1283" s="107" t="s">
        <v>257</v>
      </c>
      <c r="D1283" s="108" t="s">
        <v>195</v>
      </c>
      <c r="E1283" s="109"/>
      <c r="F1283" s="109">
        <v>50</v>
      </c>
      <c r="G1283" s="109">
        <v>2092</v>
      </c>
      <c r="H1283" s="110">
        <v>3915.3620000000001</v>
      </c>
      <c r="I1283" s="110">
        <v>4036.1770000000001</v>
      </c>
      <c r="J1283" s="110">
        <v>4150.9179999999997</v>
      </c>
      <c r="K1283" s="110">
        <v>4239.4309999999996</v>
      </c>
      <c r="L1283" s="110">
        <v>4337.1980000000003</v>
      </c>
      <c r="M1283" s="110">
        <v>4466.5060000000003</v>
      </c>
      <c r="N1283" s="110">
        <v>4604.4970000000003</v>
      </c>
      <c r="O1283" s="110">
        <v>4741.2330000000002</v>
      </c>
      <c r="P1283" s="110">
        <v>4884.1629999999996</v>
      </c>
      <c r="Q1283" s="110">
        <v>5024.5389999999998</v>
      </c>
      <c r="R1283" s="110">
        <v>5166.6000000000004</v>
      </c>
      <c r="S1283" s="110">
        <v>5334.7349999999997</v>
      </c>
      <c r="T1283" s="110">
        <v>5487.8149999999996</v>
      </c>
      <c r="U1283" s="110">
        <v>5534.0410000000002</v>
      </c>
      <c r="V1283" s="110">
        <v>5402.0230000000001</v>
      </c>
      <c r="W1283" s="110">
        <v>5052.0259999999998</v>
      </c>
      <c r="X1283" s="110">
        <v>4535.0129999999999</v>
      </c>
      <c r="Y1283" s="110">
        <v>3876.6149999999998</v>
      </c>
      <c r="Z1283" s="110">
        <v>2875.9810000000002</v>
      </c>
      <c r="AA1283" s="110">
        <v>1815.1179999999999</v>
      </c>
      <c r="AB1283" s="110">
        <v>1197.5920000000001</v>
      </c>
      <c r="AC1283" s="115">
        <f t="shared" si="57"/>
        <v>32297.567000000003</v>
      </c>
      <c r="AD1283">
        <f t="shared" si="58"/>
        <v>0.99240183884097433</v>
      </c>
    </row>
    <row r="1284" spans="1:30" x14ac:dyDescent="0.25">
      <c r="A1284" s="104" t="str">
        <f t="shared" si="56"/>
        <v>Bangladesh2093</v>
      </c>
      <c r="C1284" s="107" t="s">
        <v>257</v>
      </c>
      <c r="D1284" s="108" t="s">
        <v>195</v>
      </c>
      <c r="E1284" s="109"/>
      <c r="F1284" s="109">
        <v>50</v>
      </c>
      <c r="G1284" s="109">
        <v>2093</v>
      </c>
      <c r="H1284" s="110">
        <v>3890.8969999999999</v>
      </c>
      <c r="I1284" s="110">
        <v>4010.4110000000001</v>
      </c>
      <c r="J1284" s="110">
        <v>4123.7529999999997</v>
      </c>
      <c r="K1284" s="110">
        <v>4210.3789999999999</v>
      </c>
      <c r="L1284" s="110">
        <v>4306.6360000000004</v>
      </c>
      <c r="M1284" s="110">
        <v>4434.1909999999998</v>
      </c>
      <c r="N1284" s="110">
        <v>4567.3339999999998</v>
      </c>
      <c r="O1284" s="110">
        <v>4702.808</v>
      </c>
      <c r="P1284" s="110">
        <v>4843.2659999999996</v>
      </c>
      <c r="Q1284" s="110">
        <v>4982.7809999999999</v>
      </c>
      <c r="R1284" s="110">
        <v>5122.3919999999998</v>
      </c>
      <c r="S1284" s="110">
        <v>5277.3990000000003</v>
      </c>
      <c r="T1284" s="110">
        <v>5426.6450000000004</v>
      </c>
      <c r="U1284" s="110">
        <v>5481.8980000000001</v>
      </c>
      <c r="V1284" s="110">
        <v>5366.38</v>
      </c>
      <c r="W1284" s="110">
        <v>5045.4110000000001</v>
      </c>
      <c r="X1284" s="110">
        <v>4525.7280000000001</v>
      </c>
      <c r="Y1284" s="110">
        <v>3853.6350000000002</v>
      </c>
      <c r="Z1284" s="110">
        <v>2902.1579999999999</v>
      </c>
      <c r="AA1284" s="110">
        <v>1867.288</v>
      </c>
      <c r="AB1284" s="110">
        <v>1231.3009999999999</v>
      </c>
      <c r="AC1284" s="115">
        <f t="shared" si="57"/>
        <v>32047.394999999997</v>
      </c>
      <c r="AD1284">
        <f t="shared" si="58"/>
        <v>0.99225415338560929</v>
      </c>
    </row>
    <row r="1285" spans="1:30" x14ac:dyDescent="0.25">
      <c r="A1285" s="104" t="str">
        <f t="shared" si="56"/>
        <v>Bangladesh2094</v>
      </c>
      <c r="C1285" s="107" t="s">
        <v>257</v>
      </c>
      <c r="D1285" s="108" t="s">
        <v>195</v>
      </c>
      <c r="E1285" s="109"/>
      <c r="F1285" s="109">
        <v>50</v>
      </c>
      <c r="G1285" s="109">
        <v>2094</v>
      </c>
      <c r="H1285" s="110">
        <v>3866.123</v>
      </c>
      <c r="I1285" s="110">
        <v>3984.14</v>
      </c>
      <c r="J1285" s="110">
        <v>4099.1090000000004</v>
      </c>
      <c r="K1285" s="110">
        <v>4181.2190000000001</v>
      </c>
      <c r="L1285" s="110">
        <v>4273.08</v>
      </c>
      <c r="M1285" s="110">
        <v>4403.7470000000003</v>
      </c>
      <c r="N1285" s="110">
        <v>4530.9160000000002</v>
      </c>
      <c r="O1285" s="110">
        <v>4663.4290000000001</v>
      </c>
      <c r="P1285" s="110">
        <v>4803.41</v>
      </c>
      <c r="Q1285" s="110">
        <v>4940.5119999999997</v>
      </c>
      <c r="R1285" s="110">
        <v>5078.6629999999996</v>
      </c>
      <c r="S1285" s="110">
        <v>5224.6360000000004</v>
      </c>
      <c r="T1285" s="110">
        <v>5366.98</v>
      </c>
      <c r="U1285" s="110">
        <v>5432.3180000000002</v>
      </c>
      <c r="V1285" s="110">
        <v>5329.2129999999997</v>
      </c>
      <c r="W1285" s="110">
        <v>5035.875</v>
      </c>
      <c r="X1285" s="110">
        <v>4527.3810000000003</v>
      </c>
      <c r="Y1285" s="110">
        <v>3835.672</v>
      </c>
      <c r="Z1285" s="110">
        <v>2937.2289999999998</v>
      </c>
      <c r="AA1285" s="110">
        <v>1887.4490000000001</v>
      </c>
      <c r="AB1285" s="110">
        <v>1264.479</v>
      </c>
      <c r="AC1285" s="115">
        <f t="shared" si="57"/>
        <v>31796.312999999998</v>
      </c>
      <c r="AD1285">
        <f t="shared" si="58"/>
        <v>0.99216529143788446</v>
      </c>
    </row>
    <row r="1286" spans="1:30" x14ac:dyDescent="0.25">
      <c r="A1286" s="104" t="str">
        <f t="shared" si="56"/>
        <v>Bangladesh2095</v>
      </c>
      <c r="C1286" s="107" t="s">
        <v>257</v>
      </c>
      <c r="D1286" s="108" t="s">
        <v>195</v>
      </c>
      <c r="E1286" s="109"/>
      <c r="F1286" s="109">
        <v>50</v>
      </c>
      <c r="G1286" s="109">
        <v>2095</v>
      </c>
      <c r="H1286" s="110">
        <v>3841.556</v>
      </c>
      <c r="I1286" s="110">
        <v>3957.5390000000002</v>
      </c>
      <c r="J1286" s="110">
        <v>4075.8960000000002</v>
      </c>
      <c r="K1286" s="110">
        <v>4152.8789999999999</v>
      </c>
      <c r="L1286" s="110">
        <v>4238.3370000000004</v>
      </c>
      <c r="M1286" s="110">
        <v>4373.3019999999997</v>
      </c>
      <c r="N1286" s="110">
        <v>4495.9480000000003</v>
      </c>
      <c r="O1286" s="110">
        <v>4623.9589999999998</v>
      </c>
      <c r="P1286" s="110">
        <v>4764.1499999999996</v>
      </c>
      <c r="Q1286" s="110">
        <v>4898.3100000000004</v>
      </c>
      <c r="R1286" s="110">
        <v>5035.0119999999997</v>
      </c>
      <c r="S1286" s="110">
        <v>5175.8270000000002</v>
      </c>
      <c r="T1286" s="110">
        <v>5310.2510000000002</v>
      </c>
      <c r="U1286" s="110">
        <v>5384.4120000000003</v>
      </c>
      <c r="V1286" s="110">
        <v>5292.3530000000001</v>
      </c>
      <c r="W1286" s="110">
        <v>5022.88</v>
      </c>
      <c r="X1286" s="110">
        <v>4536.2790000000005</v>
      </c>
      <c r="Y1286" s="110">
        <v>3835.1350000000002</v>
      </c>
      <c r="Z1286" s="110">
        <v>2974.194</v>
      </c>
      <c r="AA1286" s="110">
        <v>1871.2239999999999</v>
      </c>
      <c r="AB1286" s="110">
        <v>1297.453</v>
      </c>
      <c r="AC1286" s="115">
        <f t="shared" si="57"/>
        <v>31546.884999999998</v>
      </c>
      <c r="AD1286">
        <f t="shared" si="58"/>
        <v>0.99215544267663991</v>
      </c>
    </row>
    <row r="1287" spans="1:30" x14ac:dyDescent="0.25">
      <c r="A1287" s="104" t="str">
        <f t="shared" si="56"/>
        <v>Bangladesh2096</v>
      </c>
      <c r="C1287" s="107" t="s">
        <v>257</v>
      </c>
      <c r="D1287" s="108" t="s">
        <v>195</v>
      </c>
      <c r="E1287" s="109"/>
      <c r="F1287" s="109">
        <v>50</v>
      </c>
      <c r="G1287" s="109">
        <v>2096</v>
      </c>
      <c r="H1287" s="110">
        <v>3821.5940000000001</v>
      </c>
      <c r="I1287" s="110">
        <v>3933.0720000000001</v>
      </c>
      <c r="J1287" s="110">
        <v>4047.5210000000002</v>
      </c>
      <c r="K1287" s="110">
        <v>4128.7030000000004</v>
      </c>
      <c r="L1287" s="110">
        <v>4214.8860000000004</v>
      </c>
      <c r="M1287" s="110">
        <v>4341.3180000000002</v>
      </c>
      <c r="N1287" s="110">
        <v>4463.308</v>
      </c>
      <c r="O1287" s="110">
        <v>4589.5680000000002</v>
      </c>
      <c r="P1287" s="110">
        <v>4725.9769999999999</v>
      </c>
      <c r="Q1287" s="110">
        <v>4860.2110000000002</v>
      </c>
      <c r="R1287" s="110">
        <v>4994.4229999999998</v>
      </c>
      <c r="S1287" s="110">
        <v>5124.4660000000003</v>
      </c>
      <c r="T1287" s="110">
        <v>5249.9620000000004</v>
      </c>
      <c r="U1287" s="110">
        <v>5323.4409999999998</v>
      </c>
      <c r="V1287" s="110">
        <v>5248.89</v>
      </c>
      <c r="W1287" s="110">
        <v>5000.1809999999996</v>
      </c>
      <c r="X1287" s="110">
        <v>4519.4719999999998</v>
      </c>
      <c r="Y1287" s="110">
        <v>3822.9740000000002</v>
      </c>
      <c r="Z1287" s="110">
        <v>2980.7890000000002</v>
      </c>
      <c r="AA1287" s="110">
        <v>1925.0709999999999</v>
      </c>
      <c r="AB1287" s="110">
        <v>1331.4269999999999</v>
      </c>
      <c r="AC1287" s="115">
        <f t="shared" si="57"/>
        <v>31323.970999999998</v>
      </c>
      <c r="AD1287">
        <f t="shared" si="58"/>
        <v>0.99293388237856128</v>
      </c>
    </row>
    <row r="1288" spans="1:30" x14ac:dyDescent="0.25">
      <c r="A1288" s="104" t="str">
        <f t="shared" si="56"/>
        <v>Bangladesh2097</v>
      </c>
      <c r="C1288" s="107" t="s">
        <v>257</v>
      </c>
      <c r="D1288" s="108" t="s">
        <v>195</v>
      </c>
      <c r="E1288" s="109"/>
      <c r="F1288" s="109">
        <v>50</v>
      </c>
      <c r="G1288" s="109">
        <v>2097</v>
      </c>
      <c r="H1288" s="110">
        <v>3799.8519999999999</v>
      </c>
      <c r="I1288" s="110">
        <v>3909.46</v>
      </c>
      <c r="J1288" s="110">
        <v>4019.4879999999998</v>
      </c>
      <c r="K1288" s="110">
        <v>4103.1490000000003</v>
      </c>
      <c r="L1288" s="110">
        <v>4190.3789999999999</v>
      </c>
      <c r="M1288" s="110">
        <v>4309.616</v>
      </c>
      <c r="N1288" s="110">
        <v>4430.9809999999998</v>
      </c>
      <c r="O1288" s="110">
        <v>4554.5510000000004</v>
      </c>
      <c r="P1288" s="110">
        <v>4687.7539999999999</v>
      </c>
      <c r="Q1288" s="110">
        <v>4821.375</v>
      </c>
      <c r="R1288" s="110">
        <v>4954.4889999999996</v>
      </c>
      <c r="S1288" s="110">
        <v>5077.4790000000003</v>
      </c>
      <c r="T1288" s="110">
        <v>5192.83</v>
      </c>
      <c r="U1288" s="110">
        <v>5263.5209999999997</v>
      </c>
      <c r="V1288" s="110">
        <v>5204.5820000000003</v>
      </c>
      <c r="W1288" s="110">
        <v>4976.317</v>
      </c>
      <c r="X1288" s="110">
        <v>4510.5730000000003</v>
      </c>
      <c r="Y1288" s="110">
        <v>3816.1089999999999</v>
      </c>
      <c r="Z1288" s="110">
        <v>2958.3249999999998</v>
      </c>
      <c r="AA1288" s="110">
        <v>1990.722</v>
      </c>
      <c r="AB1288" s="110">
        <v>1365.7149999999999</v>
      </c>
      <c r="AC1288" s="115">
        <f t="shared" si="57"/>
        <v>31097.805</v>
      </c>
      <c r="AD1288">
        <f t="shared" si="58"/>
        <v>0.99277977878347556</v>
      </c>
    </row>
    <row r="1289" spans="1:30" x14ac:dyDescent="0.25">
      <c r="A1289" s="104" t="str">
        <f t="shared" si="56"/>
        <v>Bangladesh2098</v>
      </c>
      <c r="C1289" s="107" t="s">
        <v>257</v>
      </c>
      <c r="D1289" s="108" t="s">
        <v>195</v>
      </c>
      <c r="E1289" s="109"/>
      <c r="F1289" s="109">
        <v>50</v>
      </c>
      <c r="G1289" s="109">
        <v>2098</v>
      </c>
      <c r="H1289" s="110">
        <v>3776.741</v>
      </c>
      <c r="I1289" s="110">
        <v>3885.9340000000002</v>
      </c>
      <c r="J1289" s="110">
        <v>3993.2950000000001</v>
      </c>
      <c r="K1289" s="110">
        <v>4076.8009999999999</v>
      </c>
      <c r="L1289" s="110">
        <v>4163.1040000000003</v>
      </c>
      <c r="M1289" s="110">
        <v>4279.4560000000001</v>
      </c>
      <c r="N1289" s="110">
        <v>4399.0770000000002</v>
      </c>
      <c r="O1289" s="110">
        <v>4518.5739999999996</v>
      </c>
      <c r="P1289" s="110">
        <v>4650.268</v>
      </c>
      <c r="Q1289" s="110">
        <v>4781.7860000000001</v>
      </c>
      <c r="R1289" s="110">
        <v>4914.3419999999996</v>
      </c>
      <c r="S1289" s="110">
        <v>5034.75</v>
      </c>
      <c r="T1289" s="110">
        <v>5138.37</v>
      </c>
      <c r="U1289" s="110">
        <v>5206.7120000000004</v>
      </c>
      <c r="V1289" s="110">
        <v>5159.4669999999996</v>
      </c>
      <c r="W1289" s="110">
        <v>4949.2280000000001</v>
      </c>
      <c r="X1289" s="110">
        <v>4509.8559999999998</v>
      </c>
      <c r="Y1289" s="110">
        <v>3811.42</v>
      </c>
      <c r="Z1289" s="110">
        <v>2941.2060000000001</v>
      </c>
      <c r="AA1289" s="110">
        <v>2036.377</v>
      </c>
      <c r="AB1289" s="110">
        <v>1400.7239999999999</v>
      </c>
      <c r="AC1289" s="115">
        <f t="shared" si="57"/>
        <v>30869.066000000003</v>
      </c>
      <c r="AD1289">
        <f t="shared" si="58"/>
        <v>0.99264452909136203</v>
      </c>
    </row>
    <row r="1290" spans="1:30" x14ac:dyDescent="0.25">
      <c r="A1290" s="104" t="str">
        <f t="shared" si="56"/>
        <v>Bangladesh2099</v>
      </c>
      <c r="C1290" s="107" t="s">
        <v>257</v>
      </c>
      <c r="D1290" s="108" t="s">
        <v>195</v>
      </c>
      <c r="E1290" s="109"/>
      <c r="F1290" s="109">
        <v>50</v>
      </c>
      <c r="G1290" s="109">
        <v>2099</v>
      </c>
      <c r="H1290" s="110">
        <v>3753.1179999999999</v>
      </c>
      <c r="I1290" s="110">
        <v>3862.116</v>
      </c>
      <c r="J1290" s="110">
        <v>3969.402</v>
      </c>
      <c r="K1290" s="110">
        <v>4049.998</v>
      </c>
      <c r="L1290" s="110">
        <v>4133.0320000000002</v>
      </c>
      <c r="M1290" s="110">
        <v>4251.0159999999996</v>
      </c>
      <c r="N1290" s="110">
        <v>4367.4870000000001</v>
      </c>
      <c r="O1290" s="110">
        <v>4482.1289999999999</v>
      </c>
      <c r="P1290" s="110">
        <v>4613.585</v>
      </c>
      <c r="Q1290" s="110">
        <v>4741.7479999999996</v>
      </c>
      <c r="R1290" s="110">
        <v>4873.7910000000002</v>
      </c>
      <c r="S1290" s="110">
        <v>4995.01</v>
      </c>
      <c r="T1290" s="110">
        <v>5087.16</v>
      </c>
      <c r="U1290" s="110">
        <v>5154.0320000000002</v>
      </c>
      <c r="V1290" s="110">
        <v>5113.7190000000001</v>
      </c>
      <c r="W1290" s="110">
        <v>4919.6660000000002</v>
      </c>
      <c r="X1290" s="110">
        <v>4514.45</v>
      </c>
      <c r="Y1290" s="110">
        <v>3813.1419999999998</v>
      </c>
      <c r="Z1290" s="110">
        <v>2942.817</v>
      </c>
      <c r="AA1290" s="110">
        <v>2044.1420000000001</v>
      </c>
      <c r="AB1290" s="110">
        <v>1436.9069999999999</v>
      </c>
      <c r="AC1290" s="115">
        <f t="shared" si="57"/>
        <v>30638.994999999999</v>
      </c>
      <c r="AD1290">
        <f t="shared" si="58"/>
        <v>0.99254687524397389</v>
      </c>
    </row>
    <row r="1291" spans="1:30" x14ac:dyDescent="0.25">
      <c r="A1291" s="104" t="str">
        <f t="shared" si="56"/>
        <v>Bangladesh2100</v>
      </c>
      <c r="C1291" s="107" t="s">
        <v>257</v>
      </c>
      <c r="D1291" s="108" t="s">
        <v>195</v>
      </c>
      <c r="E1291" s="109"/>
      <c r="F1291" s="109">
        <v>50</v>
      </c>
      <c r="G1291" s="109">
        <v>2100</v>
      </c>
      <c r="H1291" s="110">
        <v>3730.2089999999998</v>
      </c>
      <c r="I1291" s="110">
        <v>3837.83</v>
      </c>
      <c r="J1291" s="110">
        <v>3947.1190000000001</v>
      </c>
      <c r="K1291" s="110">
        <v>4023.5230000000001</v>
      </c>
      <c r="L1291" s="110">
        <v>4101.6880000000001</v>
      </c>
      <c r="M1291" s="110">
        <v>4222.9120000000003</v>
      </c>
      <c r="N1291" s="110">
        <v>4336.4750000000004</v>
      </c>
      <c r="O1291" s="110">
        <v>4446.2700000000004</v>
      </c>
      <c r="P1291" s="110">
        <v>4577.1329999999998</v>
      </c>
      <c r="Q1291" s="110">
        <v>4701.951</v>
      </c>
      <c r="R1291" s="110">
        <v>4833.1369999999997</v>
      </c>
      <c r="S1291" s="110">
        <v>4956.6220000000003</v>
      </c>
      <c r="T1291" s="110">
        <v>5040.3680000000004</v>
      </c>
      <c r="U1291" s="110">
        <v>5105.0820000000003</v>
      </c>
      <c r="V1291" s="110">
        <v>5068.335</v>
      </c>
      <c r="W1291" s="110">
        <v>4889.62</v>
      </c>
      <c r="X1291" s="110">
        <v>4519.835</v>
      </c>
      <c r="Y1291" s="110">
        <v>3826.5320000000002</v>
      </c>
      <c r="Z1291" s="110">
        <v>2961.6840000000002</v>
      </c>
      <c r="AA1291" s="110">
        <v>2009.634</v>
      </c>
      <c r="AB1291" s="110">
        <v>1474.7660000000001</v>
      </c>
      <c r="AC1291" s="115">
        <f t="shared" si="57"/>
        <v>30409.951999999997</v>
      </c>
      <c r="AD1291">
        <f t="shared" si="58"/>
        <v>0.99252446106668968</v>
      </c>
    </row>
  </sheetData>
  <hyperlinks>
    <hyperlink ref="B1" r:id="rId1" display="https://population.un.org/wpp/DVD/Files/1_Indicators (Standard)/EXCEL_FILES/1_Population/WPP2017_POP_F15_3_ANNUAL_POPULATION_BY_AGE_FEMALE.xlsx"/>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1299"/>
  <sheetViews>
    <sheetView workbookViewId="0">
      <pane ySplit="1" topLeftCell="A752" activePane="bottomLeft" state="frozen"/>
      <selection pane="bottomLeft" activeCell="I448" sqref="I448"/>
    </sheetView>
  </sheetViews>
  <sheetFormatPr defaultRowHeight="15" x14ac:dyDescent="0.25"/>
  <cols>
    <col min="1" max="1" width="41.5703125" style="104" bestFit="1" customWidth="1"/>
  </cols>
  <sheetData>
    <row r="1" spans="1:9" x14ac:dyDescent="0.25">
      <c r="B1" t="s">
        <v>258</v>
      </c>
      <c r="C1" t="s">
        <v>259</v>
      </c>
      <c r="D1" t="s">
        <v>260</v>
      </c>
      <c r="E1" t="s">
        <v>261</v>
      </c>
      <c r="F1" t="s">
        <v>262</v>
      </c>
      <c r="G1" t="s">
        <v>225</v>
      </c>
      <c r="H1" t="s">
        <v>224</v>
      </c>
      <c r="I1" t="s">
        <v>223</v>
      </c>
    </row>
    <row r="2" spans="1:9" x14ac:dyDescent="0.25">
      <c r="A2" s="104" t="str">
        <f>B2&amp;C2&amp;D2&amp;E2&amp;F2</f>
        <v>Ethiopia2011NationalPub_MedPill</v>
      </c>
      <c r="B2" t="s">
        <v>6</v>
      </c>
      <c r="C2">
        <v>2011</v>
      </c>
      <c r="D2" t="s">
        <v>178</v>
      </c>
      <c r="E2" t="s">
        <v>52</v>
      </c>
      <c r="F2" t="s">
        <v>12</v>
      </c>
      <c r="G2">
        <v>4.1425000000000003E-3</v>
      </c>
      <c r="H2">
        <v>1.18701E-2</v>
      </c>
      <c r="I2">
        <v>1.0905700000000001E-2</v>
      </c>
    </row>
    <row r="3" spans="1:9" x14ac:dyDescent="0.25">
      <c r="A3" s="104" t="str">
        <f t="shared" ref="A3:A66" si="0">B3&amp;C3&amp;D3&amp;E3&amp;F3</f>
        <v>Ethiopia2011NationalPub_OutreachPill</v>
      </c>
      <c r="B3" t="s">
        <v>6</v>
      </c>
      <c r="C3">
        <v>2011</v>
      </c>
      <c r="D3" t="s">
        <v>178</v>
      </c>
      <c r="E3" t="s">
        <v>54</v>
      </c>
      <c r="F3" t="s">
        <v>12</v>
      </c>
      <c r="G3">
        <v>2.3528999999999998E-3</v>
      </c>
      <c r="H3">
        <v>3.5263E-3</v>
      </c>
      <c r="I3">
        <v>3.3505000000000002E-3</v>
      </c>
    </row>
    <row r="4" spans="1:9" x14ac:dyDescent="0.25">
      <c r="A4" s="104" t="str">
        <f t="shared" si="0"/>
        <v>Ethiopia2011NationalNGOPill</v>
      </c>
      <c r="B4" t="s">
        <v>6</v>
      </c>
      <c r="C4">
        <v>2011</v>
      </c>
      <c r="D4" t="s">
        <v>178</v>
      </c>
      <c r="E4" t="s">
        <v>170</v>
      </c>
      <c r="F4" t="s">
        <v>12</v>
      </c>
      <c r="G4">
        <v>3.3960000000000001E-4</v>
      </c>
      <c r="H4">
        <v>9.9179999999999993E-4</v>
      </c>
      <c r="I4">
        <v>1.1099E-3</v>
      </c>
    </row>
    <row r="5" spans="1:9" x14ac:dyDescent="0.25">
      <c r="A5" s="104" t="str">
        <f t="shared" si="0"/>
        <v>Ethiopia2011NationalCommercialPill</v>
      </c>
      <c r="B5" t="s">
        <v>6</v>
      </c>
      <c r="C5">
        <v>2011</v>
      </c>
      <c r="D5" t="s">
        <v>178</v>
      </c>
      <c r="E5" t="s">
        <v>59</v>
      </c>
      <c r="F5" t="s">
        <v>12</v>
      </c>
      <c r="G5">
        <v>2.3709E-3</v>
      </c>
      <c r="H5">
        <v>8.1594000000000007E-3</v>
      </c>
      <c r="I5">
        <v>5.0029999999999996E-3</v>
      </c>
    </row>
    <row r="6" spans="1:9" x14ac:dyDescent="0.25">
      <c r="A6" s="104" t="str">
        <f t="shared" si="0"/>
        <v>Ethiopia2011NationalNonTradPill</v>
      </c>
      <c r="B6" t="s">
        <v>6</v>
      </c>
      <c r="C6">
        <v>2011</v>
      </c>
      <c r="D6" t="s">
        <v>178</v>
      </c>
      <c r="E6" t="s">
        <v>171</v>
      </c>
      <c r="F6" t="s">
        <v>12</v>
      </c>
      <c r="H6">
        <v>4.147E-4</v>
      </c>
    </row>
    <row r="7" spans="1:9" x14ac:dyDescent="0.25">
      <c r="A7" s="104" t="str">
        <f t="shared" si="0"/>
        <v>Ethiopia2011NationalOtherPill</v>
      </c>
      <c r="B7" t="s">
        <v>6</v>
      </c>
      <c r="C7">
        <v>2011</v>
      </c>
      <c r="D7" t="s">
        <v>178</v>
      </c>
      <c r="E7" t="s">
        <v>116</v>
      </c>
      <c r="F7" t="s">
        <v>12</v>
      </c>
      <c r="G7">
        <v>1.5E-5</v>
      </c>
      <c r="H7">
        <v>1.817E-4</v>
      </c>
    </row>
    <row r="8" spans="1:9" x14ac:dyDescent="0.25">
      <c r="A8" s="104" t="str">
        <f t="shared" si="0"/>
        <v>Ethiopia2011UrbanPub_MedPill</v>
      </c>
      <c r="B8" t="s">
        <v>6</v>
      </c>
      <c r="C8">
        <v>2011</v>
      </c>
      <c r="D8" t="s">
        <v>20</v>
      </c>
      <c r="E8" t="s">
        <v>52</v>
      </c>
      <c r="F8" t="s">
        <v>12</v>
      </c>
      <c r="G8">
        <v>1.2706200000000001E-2</v>
      </c>
      <c r="H8">
        <v>3.2348799999999997E-2</v>
      </c>
      <c r="I8">
        <v>1.8524700000000002E-2</v>
      </c>
    </row>
    <row r="9" spans="1:9" x14ac:dyDescent="0.25">
      <c r="A9" s="104" t="str">
        <f t="shared" si="0"/>
        <v>Ethiopia2011UrbanPub_OutreachPill</v>
      </c>
      <c r="B9" t="s">
        <v>6</v>
      </c>
      <c r="C9">
        <v>2011</v>
      </c>
      <c r="D9" t="s">
        <v>20</v>
      </c>
      <c r="E9" t="s">
        <v>54</v>
      </c>
      <c r="F9" t="s">
        <v>12</v>
      </c>
      <c r="G9">
        <v>2.0019999999999999E-4</v>
      </c>
    </row>
    <row r="10" spans="1:9" x14ac:dyDescent="0.25">
      <c r="A10" s="104" t="str">
        <f t="shared" si="0"/>
        <v>Ethiopia2011UrbanNGOPill</v>
      </c>
      <c r="B10" t="s">
        <v>6</v>
      </c>
      <c r="C10">
        <v>2011</v>
      </c>
      <c r="D10" t="s">
        <v>20</v>
      </c>
      <c r="E10" t="s">
        <v>170</v>
      </c>
      <c r="F10" t="s">
        <v>12</v>
      </c>
      <c r="G10">
        <v>1.4660999999999999E-3</v>
      </c>
      <c r="H10">
        <v>3.9613000000000001E-3</v>
      </c>
      <c r="I10">
        <v>2.7074E-3</v>
      </c>
    </row>
    <row r="11" spans="1:9" x14ac:dyDescent="0.25">
      <c r="A11" s="104" t="str">
        <f t="shared" si="0"/>
        <v>Ethiopia2011UrbanCommercialPill</v>
      </c>
      <c r="B11" t="s">
        <v>6</v>
      </c>
      <c r="C11">
        <v>2011</v>
      </c>
      <c r="D11" t="s">
        <v>20</v>
      </c>
      <c r="E11" t="s">
        <v>59</v>
      </c>
      <c r="F11" t="s">
        <v>12</v>
      </c>
      <c r="G11">
        <v>9.3285E-3</v>
      </c>
      <c r="H11">
        <v>2.9077599999999999E-2</v>
      </c>
      <c r="I11">
        <v>1.39737E-2</v>
      </c>
    </row>
    <row r="12" spans="1:9" x14ac:dyDescent="0.25">
      <c r="A12" s="104" t="str">
        <f t="shared" si="0"/>
        <v>Ethiopia2011UrbanOtherPill</v>
      </c>
      <c r="B12" t="s">
        <v>6</v>
      </c>
      <c r="C12">
        <v>2011</v>
      </c>
      <c r="D12" t="s">
        <v>20</v>
      </c>
      <c r="E12" t="s">
        <v>116</v>
      </c>
      <c r="F12" t="s">
        <v>12</v>
      </c>
      <c r="H12">
        <v>7.2579999999999997E-4</v>
      </c>
    </row>
    <row r="13" spans="1:9" x14ac:dyDescent="0.25">
      <c r="A13" s="104" t="str">
        <f t="shared" si="0"/>
        <v>Ethiopia2011RuralPub_MedPill</v>
      </c>
      <c r="B13" t="s">
        <v>6</v>
      </c>
      <c r="C13">
        <v>2011</v>
      </c>
      <c r="D13" t="s">
        <v>21</v>
      </c>
      <c r="E13" t="s">
        <v>52</v>
      </c>
      <c r="F13" t="s">
        <v>12</v>
      </c>
      <c r="G13">
        <v>1.5606000000000001E-3</v>
      </c>
      <c r="H13">
        <v>5.0299999999999997E-3</v>
      </c>
      <c r="I13">
        <v>8.3943000000000004E-3</v>
      </c>
    </row>
    <row r="14" spans="1:9" x14ac:dyDescent="0.25">
      <c r="A14" s="104" t="str">
        <f t="shared" si="0"/>
        <v>Ethiopia2011RuralPub_OutreachPill</v>
      </c>
      <c r="B14" t="s">
        <v>6</v>
      </c>
      <c r="C14">
        <v>2011</v>
      </c>
      <c r="D14" t="s">
        <v>21</v>
      </c>
      <c r="E14" t="s">
        <v>54</v>
      </c>
      <c r="F14" t="s">
        <v>12</v>
      </c>
      <c r="G14">
        <v>3.0019999999999999E-3</v>
      </c>
      <c r="H14">
        <v>4.7042000000000004E-3</v>
      </c>
      <c r="I14">
        <v>4.4549000000000004E-3</v>
      </c>
    </row>
    <row r="15" spans="1:9" x14ac:dyDescent="0.25">
      <c r="A15" s="104" t="str">
        <f t="shared" si="0"/>
        <v>Ethiopia2011RuralNGOPill</v>
      </c>
      <c r="B15" t="s">
        <v>6</v>
      </c>
      <c r="C15">
        <v>2011</v>
      </c>
      <c r="D15" t="s">
        <v>21</v>
      </c>
      <c r="E15" t="s">
        <v>170</v>
      </c>
      <c r="F15" t="s">
        <v>12</v>
      </c>
      <c r="I15">
        <v>5.8330000000000003E-4</v>
      </c>
    </row>
    <row r="16" spans="1:9" x14ac:dyDescent="0.25">
      <c r="A16" s="104" t="str">
        <f t="shared" si="0"/>
        <v>Ethiopia2011RuralCommercialPill</v>
      </c>
      <c r="B16" t="s">
        <v>6</v>
      </c>
      <c r="C16">
        <v>2011</v>
      </c>
      <c r="D16" t="s">
        <v>21</v>
      </c>
      <c r="E16" t="s">
        <v>59</v>
      </c>
      <c r="F16" t="s">
        <v>12</v>
      </c>
      <c r="G16">
        <v>2.7320000000000003E-4</v>
      </c>
      <c r="H16">
        <v>1.1724999999999999E-3</v>
      </c>
      <c r="I16">
        <v>2.0460000000000001E-3</v>
      </c>
    </row>
    <row r="17" spans="1:9" x14ac:dyDescent="0.25">
      <c r="A17" s="104" t="str">
        <f t="shared" si="0"/>
        <v>Ethiopia2011RuralNonTradPill</v>
      </c>
      <c r="B17" t="s">
        <v>6</v>
      </c>
      <c r="C17">
        <v>2011</v>
      </c>
      <c r="D17" t="s">
        <v>21</v>
      </c>
      <c r="E17" t="s">
        <v>171</v>
      </c>
      <c r="F17" t="s">
        <v>12</v>
      </c>
      <c r="H17">
        <v>5.532E-4</v>
      </c>
    </row>
    <row r="18" spans="1:9" x14ac:dyDescent="0.25">
      <c r="A18" s="104" t="str">
        <f t="shared" si="0"/>
        <v>Ethiopia2011RuralOtherPill</v>
      </c>
      <c r="B18" t="s">
        <v>6</v>
      </c>
      <c r="C18">
        <v>2011</v>
      </c>
      <c r="D18" t="s">
        <v>21</v>
      </c>
      <c r="E18" t="s">
        <v>116</v>
      </c>
      <c r="F18" t="s">
        <v>12</v>
      </c>
      <c r="G18">
        <v>1.95E-5</v>
      </c>
    </row>
    <row r="19" spans="1:9" x14ac:dyDescent="0.25">
      <c r="A19" s="104" t="str">
        <f t="shared" si="0"/>
        <v>Ethiopia2011NationalPub_MedIUD</v>
      </c>
      <c r="B19" t="s">
        <v>6</v>
      </c>
      <c r="C19">
        <v>2011</v>
      </c>
      <c r="D19" t="s">
        <v>178</v>
      </c>
      <c r="E19" t="s">
        <v>52</v>
      </c>
      <c r="F19" t="s">
        <v>16</v>
      </c>
      <c r="G19">
        <v>1.3621E-3</v>
      </c>
      <c r="H19">
        <v>7.2309999999999996E-4</v>
      </c>
      <c r="I19">
        <v>1.9183E-3</v>
      </c>
    </row>
    <row r="20" spans="1:9" x14ac:dyDescent="0.25">
      <c r="A20" s="104" t="str">
        <f t="shared" si="0"/>
        <v>Ethiopia2011NationalPub_OutreachIUD</v>
      </c>
      <c r="B20" t="s">
        <v>6</v>
      </c>
      <c r="C20">
        <v>2011</v>
      </c>
      <c r="D20" t="s">
        <v>178</v>
      </c>
      <c r="E20" t="s">
        <v>54</v>
      </c>
      <c r="F20" t="s">
        <v>16</v>
      </c>
      <c r="H20">
        <v>4.2729999999999998E-4</v>
      </c>
      <c r="I20">
        <v>4.2089999999999999E-4</v>
      </c>
    </row>
    <row r="21" spans="1:9" x14ac:dyDescent="0.25">
      <c r="A21" s="104" t="str">
        <f t="shared" si="0"/>
        <v>Ethiopia2011NationalNGOIUD</v>
      </c>
      <c r="B21" t="s">
        <v>6</v>
      </c>
      <c r="C21">
        <v>2011</v>
      </c>
      <c r="D21" t="s">
        <v>178</v>
      </c>
      <c r="E21" t="s">
        <v>170</v>
      </c>
      <c r="F21" t="s">
        <v>16</v>
      </c>
      <c r="G21">
        <v>1.3699999999999999E-5</v>
      </c>
      <c r="H21">
        <v>1.1462E-3</v>
      </c>
      <c r="I21">
        <v>2.8689999999999998E-4</v>
      </c>
    </row>
    <row r="22" spans="1:9" x14ac:dyDescent="0.25">
      <c r="A22" s="104" t="str">
        <f t="shared" si="0"/>
        <v>Ethiopia2011NationalCommercialIUD</v>
      </c>
      <c r="B22" t="s">
        <v>6</v>
      </c>
      <c r="C22">
        <v>2011</v>
      </c>
      <c r="D22" t="s">
        <v>178</v>
      </c>
      <c r="E22" t="s">
        <v>59</v>
      </c>
      <c r="F22" t="s">
        <v>16</v>
      </c>
      <c r="G22">
        <v>3.8600000000000003E-5</v>
      </c>
      <c r="H22">
        <v>1.4540000000000001E-4</v>
      </c>
      <c r="I22">
        <v>4.4329999999999999E-4</v>
      </c>
    </row>
    <row r="23" spans="1:9" x14ac:dyDescent="0.25">
      <c r="A23" s="104" t="str">
        <f t="shared" si="0"/>
        <v>Ethiopia2011NationalOtherIUD</v>
      </c>
      <c r="B23" t="s">
        <v>6</v>
      </c>
      <c r="C23">
        <v>2011</v>
      </c>
      <c r="D23" t="s">
        <v>178</v>
      </c>
      <c r="E23" t="s">
        <v>116</v>
      </c>
      <c r="F23" t="s">
        <v>16</v>
      </c>
      <c r="H23">
        <v>1.2229999999999999E-4</v>
      </c>
      <c r="I23">
        <v>1.0552999999999999E-3</v>
      </c>
    </row>
    <row r="24" spans="1:9" x14ac:dyDescent="0.25">
      <c r="A24" s="104" t="str">
        <f t="shared" si="0"/>
        <v>Ethiopia2011UrbanPub_MedIUD</v>
      </c>
      <c r="B24" t="s">
        <v>6</v>
      </c>
      <c r="C24">
        <v>2011</v>
      </c>
      <c r="D24" t="s">
        <v>20</v>
      </c>
      <c r="E24" t="s">
        <v>52</v>
      </c>
      <c r="F24" t="s">
        <v>16</v>
      </c>
      <c r="G24">
        <v>1.6239E-3</v>
      </c>
      <c r="H24">
        <v>6.8340000000000002E-4</v>
      </c>
      <c r="I24">
        <v>1.5196000000000001E-3</v>
      </c>
    </row>
    <row r="25" spans="1:9" x14ac:dyDescent="0.25">
      <c r="A25" s="104" t="str">
        <f t="shared" si="0"/>
        <v>Ethiopia2011UrbanNGOIUD</v>
      </c>
      <c r="B25" t="s">
        <v>6</v>
      </c>
      <c r="C25">
        <v>2011</v>
      </c>
      <c r="D25" t="s">
        <v>20</v>
      </c>
      <c r="E25" t="s">
        <v>170</v>
      </c>
      <c r="F25" t="s">
        <v>16</v>
      </c>
      <c r="G25">
        <v>5.9299999999999998E-5</v>
      </c>
      <c r="H25">
        <v>4.5776999999999997E-3</v>
      </c>
      <c r="I25">
        <v>1.1155E-3</v>
      </c>
    </row>
    <row r="26" spans="1:9" x14ac:dyDescent="0.25">
      <c r="A26" s="104" t="str">
        <f t="shared" si="0"/>
        <v>Ethiopia2011UrbanCommercialIUD</v>
      </c>
      <c r="B26" t="s">
        <v>6</v>
      </c>
      <c r="C26">
        <v>2011</v>
      </c>
      <c r="D26" t="s">
        <v>20</v>
      </c>
      <c r="E26" t="s">
        <v>59</v>
      </c>
      <c r="F26" t="s">
        <v>16</v>
      </c>
      <c r="G26">
        <v>1.6679999999999999E-4</v>
      </c>
      <c r="H26">
        <v>5.8069999999999997E-4</v>
      </c>
      <c r="I26">
        <v>1.4905000000000001E-3</v>
      </c>
    </row>
    <row r="27" spans="1:9" x14ac:dyDescent="0.25">
      <c r="A27" s="104" t="str">
        <f t="shared" si="0"/>
        <v>Ethiopia2011UrbanOtherIUD</v>
      </c>
      <c r="B27" t="s">
        <v>6</v>
      </c>
      <c r="C27">
        <v>2011</v>
      </c>
      <c r="D27" t="s">
        <v>20</v>
      </c>
      <c r="E27" t="s">
        <v>116</v>
      </c>
      <c r="F27" t="s">
        <v>16</v>
      </c>
      <c r="H27">
        <v>4.885E-4</v>
      </c>
      <c r="I27">
        <v>4.2569000000000001E-3</v>
      </c>
    </row>
    <row r="28" spans="1:9" x14ac:dyDescent="0.25">
      <c r="A28" s="104" t="str">
        <f t="shared" si="0"/>
        <v>Ethiopia2011RuralPub_MedIUD</v>
      </c>
      <c r="B28" t="s">
        <v>6</v>
      </c>
      <c r="C28">
        <v>2011</v>
      </c>
      <c r="D28" t="s">
        <v>21</v>
      </c>
      <c r="E28" t="s">
        <v>52</v>
      </c>
      <c r="F28" t="s">
        <v>16</v>
      </c>
      <c r="G28">
        <v>1.2832E-3</v>
      </c>
      <c r="H28">
        <v>7.3640000000000001E-4</v>
      </c>
      <c r="I28">
        <v>2.0496999999999998E-3</v>
      </c>
    </row>
    <row r="29" spans="1:9" x14ac:dyDescent="0.25">
      <c r="A29" s="104" t="str">
        <f t="shared" si="0"/>
        <v>Ethiopia2011RuralPub_OutreachIUD</v>
      </c>
      <c r="B29" t="s">
        <v>6</v>
      </c>
      <c r="C29">
        <v>2011</v>
      </c>
      <c r="D29" t="s">
        <v>21</v>
      </c>
      <c r="E29" t="s">
        <v>54</v>
      </c>
      <c r="F29" t="s">
        <v>16</v>
      </c>
      <c r="H29">
        <v>5.7010000000000003E-4</v>
      </c>
      <c r="I29">
        <v>5.597E-4</v>
      </c>
    </row>
    <row r="30" spans="1:9" x14ac:dyDescent="0.25">
      <c r="A30" s="104" t="str">
        <f t="shared" si="0"/>
        <v>Ethiopia2011RuralNGOIUD</v>
      </c>
      <c r="B30" t="s">
        <v>6</v>
      </c>
      <c r="C30">
        <v>2011</v>
      </c>
      <c r="D30" t="s">
        <v>21</v>
      </c>
      <c r="E30" t="s">
        <v>170</v>
      </c>
      <c r="F30" t="s">
        <v>16</v>
      </c>
      <c r="I30">
        <v>1.38E-5</v>
      </c>
    </row>
    <row r="31" spans="1:9" x14ac:dyDescent="0.25">
      <c r="A31" s="104" t="str">
        <f t="shared" si="0"/>
        <v>Ethiopia2011RuralCommercialIUD</v>
      </c>
      <c r="B31" t="s">
        <v>6</v>
      </c>
      <c r="C31">
        <v>2011</v>
      </c>
      <c r="D31" t="s">
        <v>21</v>
      </c>
      <c r="E31" t="s">
        <v>59</v>
      </c>
      <c r="F31" t="s">
        <v>16</v>
      </c>
      <c r="I31">
        <v>9.8200000000000002E-5</v>
      </c>
    </row>
    <row r="32" spans="1:9" x14ac:dyDescent="0.25">
      <c r="A32" s="104" t="str">
        <f t="shared" si="0"/>
        <v>Ethiopia2011NationalPub_MedInjectable</v>
      </c>
      <c r="B32" t="s">
        <v>6</v>
      </c>
      <c r="C32">
        <v>2011</v>
      </c>
      <c r="D32" t="s">
        <v>178</v>
      </c>
      <c r="E32" t="s">
        <v>52</v>
      </c>
      <c r="F32" t="s">
        <v>22</v>
      </c>
      <c r="G32">
        <v>7.4796899999999999E-2</v>
      </c>
      <c r="H32">
        <v>8.6150299999999999E-2</v>
      </c>
      <c r="I32">
        <v>7.5367500000000004E-2</v>
      </c>
    </row>
    <row r="33" spans="1:9" x14ac:dyDescent="0.25">
      <c r="A33" s="104" t="str">
        <f t="shared" si="0"/>
        <v>Ethiopia2011NationalPub_OutreachInjectable</v>
      </c>
      <c r="B33" t="s">
        <v>6</v>
      </c>
      <c r="C33">
        <v>2011</v>
      </c>
      <c r="D33" t="s">
        <v>178</v>
      </c>
      <c r="E33" t="s">
        <v>54</v>
      </c>
      <c r="F33" t="s">
        <v>22</v>
      </c>
      <c r="G33">
        <v>3.7104199999999997E-2</v>
      </c>
      <c r="H33">
        <v>4.8051299999999998E-2</v>
      </c>
      <c r="I33">
        <v>5.4276999999999999E-2</v>
      </c>
    </row>
    <row r="34" spans="1:9" x14ac:dyDescent="0.25">
      <c r="A34" s="104" t="str">
        <f t="shared" si="0"/>
        <v>Ethiopia2011NationalNGOInjectable</v>
      </c>
      <c r="B34" t="s">
        <v>6</v>
      </c>
      <c r="C34">
        <v>2011</v>
      </c>
      <c r="D34" t="s">
        <v>178</v>
      </c>
      <c r="E34" t="s">
        <v>170</v>
      </c>
      <c r="F34" t="s">
        <v>22</v>
      </c>
      <c r="G34">
        <v>1.8175000000000001E-3</v>
      </c>
      <c r="H34">
        <v>3.8987000000000002E-3</v>
      </c>
      <c r="I34">
        <v>1.0139999999999999E-3</v>
      </c>
    </row>
    <row r="35" spans="1:9" x14ac:dyDescent="0.25">
      <c r="A35" s="104" t="str">
        <f t="shared" si="0"/>
        <v>Ethiopia2011NationalCommercialInjectable</v>
      </c>
      <c r="B35" t="s">
        <v>6</v>
      </c>
      <c r="C35">
        <v>2011</v>
      </c>
      <c r="D35" t="s">
        <v>178</v>
      </c>
      <c r="E35" t="s">
        <v>59</v>
      </c>
      <c r="F35" t="s">
        <v>22</v>
      </c>
      <c r="G35">
        <v>1.1838599999999999E-2</v>
      </c>
      <c r="H35">
        <v>2.4654100000000002E-2</v>
      </c>
      <c r="I35">
        <v>2.1834200000000002E-2</v>
      </c>
    </row>
    <row r="36" spans="1:9" x14ac:dyDescent="0.25">
      <c r="A36" s="104" t="str">
        <f t="shared" si="0"/>
        <v>Ethiopia2011NationalNonTradInjectable</v>
      </c>
      <c r="B36" t="s">
        <v>6</v>
      </c>
      <c r="C36">
        <v>2011</v>
      </c>
      <c r="D36" t="s">
        <v>178</v>
      </c>
      <c r="E36" t="s">
        <v>171</v>
      </c>
      <c r="F36" t="s">
        <v>22</v>
      </c>
      <c r="G36">
        <v>3.0249999999999998E-4</v>
      </c>
    </row>
    <row r="37" spans="1:9" x14ac:dyDescent="0.25">
      <c r="A37" s="104" t="str">
        <f t="shared" si="0"/>
        <v>Ethiopia2011NationalOtherInjectable</v>
      </c>
      <c r="B37" t="s">
        <v>6</v>
      </c>
      <c r="C37">
        <v>2011</v>
      </c>
      <c r="D37" t="s">
        <v>178</v>
      </c>
      <c r="E37" t="s">
        <v>116</v>
      </c>
      <c r="F37" t="s">
        <v>22</v>
      </c>
      <c r="G37">
        <v>1.3942E-3</v>
      </c>
      <c r="H37">
        <v>1.6945E-3</v>
      </c>
      <c r="I37">
        <v>1.0459E-3</v>
      </c>
    </row>
    <row r="38" spans="1:9" x14ac:dyDescent="0.25">
      <c r="A38" s="104" t="str">
        <f t="shared" si="0"/>
        <v>Ethiopia2011UrbanPub_MedInjectable</v>
      </c>
      <c r="B38" t="s">
        <v>6</v>
      </c>
      <c r="C38">
        <v>2011</v>
      </c>
      <c r="D38" t="s">
        <v>20</v>
      </c>
      <c r="E38" t="s">
        <v>52</v>
      </c>
      <c r="F38" t="s">
        <v>22</v>
      </c>
      <c r="G38">
        <v>0.14395440000000001</v>
      </c>
      <c r="H38">
        <v>0.14526240000000001</v>
      </c>
      <c r="I38">
        <v>5.8079899999999997E-2</v>
      </c>
    </row>
    <row r="39" spans="1:9" x14ac:dyDescent="0.25">
      <c r="A39" s="104" t="str">
        <f t="shared" si="0"/>
        <v>Ethiopia2011UrbanPub_OutreachInjectable</v>
      </c>
      <c r="B39" t="s">
        <v>6</v>
      </c>
      <c r="C39">
        <v>2011</v>
      </c>
      <c r="D39" t="s">
        <v>20</v>
      </c>
      <c r="E39" t="s">
        <v>54</v>
      </c>
      <c r="F39" t="s">
        <v>22</v>
      </c>
      <c r="G39">
        <v>8.7881000000000001E-3</v>
      </c>
      <c r="H39">
        <v>5.7616000000000004E-3</v>
      </c>
      <c r="I39">
        <v>3.4413E-3</v>
      </c>
    </row>
    <row r="40" spans="1:9" x14ac:dyDescent="0.25">
      <c r="A40" s="104" t="str">
        <f t="shared" si="0"/>
        <v>Ethiopia2011UrbanNGOInjectable</v>
      </c>
      <c r="B40" t="s">
        <v>6</v>
      </c>
      <c r="C40">
        <v>2011</v>
      </c>
      <c r="D40" t="s">
        <v>20</v>
      </c>
      <c r="E40" t="s">
        <v>170</v>
      </c>
      <c r="F40" t="s">
        <v>22</v>
      </c>
      <c r="G40">
        <v>5.2525000000000002E-3</v>
      </c>
      <c r="H40">
        <v>1.01949E-2</v>
      </c>
      <c r="I40">
        <v>4.0902000000000004E-3</v>
      </c>
    </row>
    <row r="41" spans="1:9" x14ac:dyDescent="0.25">
      <c r="A41" s="104" t="str">
        <f t="shared" si="0"/>
        <v>Ethiopia2011UrbanCommercialInjectable</v>
      </c>
      <c r="B41" t="s">
        <v>6</v>
      </c>
      <c r="C41">
        <v>2011</v>
      </c>
      <c r="D41" t="s">
        <v>20</v>
      </c>
      <c r="E41" t="s">
        <v>59</v>
      </c>
      <c r="F41" t="s">
        <v>22</v>
      </c>
      <c r="G41">
        <v>3.0539500000000001E-2</v>
      </c>
      <c r="H41">
        <v>6.2546500000000005E-2</v>
      </c>
      <c r="I41">
        <v>2.6315700000000001E-2</v>
      </c>
    </row>
    <row r="42" spans="1:9" x14ac:dyDescent="0.25">
      <c r="A42" s="104" t="str">
        <f t="shared" si="0"/>
        <v>Ethiopia2011UrbanNonTradInjectable</v>
      </c>
      <c r="B42" t="s">
        <v>6</v>
      </c>
      <c r="C42">
        <v>2011</v>
      </c>
      <c r="D42" t="s">
        <v>20</v>
      </c>
      <c r="E42" t="s">
        <v>171</v>
      </c>
      <c r="F42" t="s">
        <v>22</v>
      </c>
      <c r="G42">
        <v>1.3058E-3</v>
      </c>
    </row>
    <row r="43" spans="1:9" x14ac:dyDescent="0.25">
      <c r="A43" s="104" t="str">
        <f t="shared" si="0"/>
        <v>Ethiopia2011UrbanOtherInjectable</v>
      </c>
      <c r="B43" t="s">
        <v>6</v>
      </c>
      <c r="C43">
        <v>2011</v>
      </c>
      <c r="D43" t="s">
        <v>20</v>
      </c>
      <c r="E43" t="s">
        <v>116</v>
      </c>
      <c r="F43" t="s">
        <v>22</v>
      </c>
      <c r="G43">
        <v>2.9091999999999998E-3</v>
      </c>
      <c r="H43">
        <v>4.4850000000000003E-3</v>
      </c>
      <c r="I43">
        <v>1.2496E-3</v>
      </c>
    </row>
    <row r="44" spans="1:9" x14ac:dyDescent="0.25">
      <c r="A44" s="104" t="str">
        <f t="shared" si="0"/>
        <v>Ethiopia2011RuralPub_MedInjectable</v>
      </c>
      <c r="B44" t="s">
        <v>6</v>
      </c>
      <c r="C44">
        <v>2011</v>
      </c>
      <c r="D44" t="s">
        <v>21</v>
      </c>
      <c r="E44" t="s">
        <v>52</v>
      </c>
      <c r="F44" t="s">
        <v>22</v>
      </c>
      <c r="G44">
        <v>5.3946500000000001E-2</v>
      </c>
      <c r="H44">
        <v>6.6406199999999999E-2</v>
      </c>
      <c r="I44">
        <v>8.1066100000000002E-2</v>
      </c>
    </row>
    <row r="45" spans="1:9" x14ac:dyDescent="0.25">
      <c r="A45" s="104" t="str">
        <f t="shared" si="0"/>
        <v>Ethiopia2011RuralPub_OutreachInjectable</v>
      </c>
      <c r="B45" t="s">
        <v>6</v>
      </c>
      <c r="C45">
        <v>2011</v>
      </c>
      <c r="D45" t="s">
        <v>21</v>
      </c>
      <c r="E45" t="s">
        <v>54</v>
      </c>
      <c r="F45" t="s">
        <v>22</v>
      </c>
      <c r="G45">
        <v>4.56412E-2</v>
      </c>
      <c r="H45">
        <v>6.2176599999999999E-2</v>
      </c>
      <c r="I45">
        <v>7.1034100000000003E-2</v>
      </c>
    </row>
    <row r="46" spans="1:9" x14ac:dyDescent="0.25">
      <c r="A46" s="104" t="str">
        <f t="shared" si="0"/>
        <v>Ethiopia2011RuralNGOInjectable</v>
      </c>
      <c r="B46" t="s">
        <v>6</v>
      </c>
      <c r="C46">
        <v>2011</v>
      </c>
      <c r="D46" t="s">
        <v>21</v>
      </c>
      <c r="E46" t="s">
        <v>170</v>
      </c>
      <c r="F46" t="s">
        <v>22</v>
      </c>
      <c r="G46">
        <v>7.8180000000000003E-4</v>
      </c>
      <c r="H46">
        <v>1.7956999999999999E-3</v>
      </c>
    </row>
    <row r="47" spans="1:9" x14ac:dyDescent="0.25">
      <c r="A47" s="104" t="str">
        <f t="shared" si="0"/>
        <v>Ethiopia2011RuralCommercialInjectable</v>
      </c>
      <c r="B47" t="s">
        <v>6</v>
      </c>
      <c r="C47">
        <v>2011</v>
      </c>
      <c r="D47" t="s">
        <v>21</v>
      </c>
      <c r="E47" t="s">
        <v>59</v>
      </c>
      <c r="F47" t="s">
        <v>22</v>
      </c>
      <c r="G47">
        <v>6.2005000000000003E-3</v>
      </c>
      <c r="H47">
        <v>1.1997600000000001E-2</v>
      </c>
      <c r="I47">
        <v>2.0357E-2</v>
      </c>
    </row>
    <row r="48" spans="1:9" x14ac:dyDescent="0.25">
      <c r="A48" s="104" t="str">
        <f t="shared" si="0"/>
        <v>Ethiopia2011RuralOtherInjectable</v>
      </c>
      <c r="B48" t="s">
        <v>6</v>
      </c>
      <c r="C48">
        <v>2011</v>
      </c>
      <c r="D48" t="s">
        <v>21</v>
      </c>
      <c r="E48" t="s">
        <v>116</v>
      </c>
      <c r="F48" t="s">
        <v>22</v>
      </c>
      <c r="G48">
        <v>9.3749999999999997E-4</v>
      </c>
      <c r="H48">
        <v>7.6239999999999999E-4</v>
      </c>
      <c r="I48">
        <v>9.7879999999999994E-4</v>
      </c>
    </row>
    <row r="49" spans="1:9" x14ac:dyDescent="0.25">
      <c r="A49" s="104" t="str">
        <f t="shared" si="0"/>
        <v>Ethiopia2011NationalPub_MedCondom</v>
      </c>
      <c r="B49" t="s">
        <v>6</v>
      </c>
      <c r="C49">
        <v>2011</v>
      </c>
      <c r="D49" t="s">
        <v>178</v>
      </c>
      <c r="E49" t="s">
        <v>52</v>
      </c>
      <c r="F49" t="s">
        <v>25</v>
      </c>
      <c r="G49">
        <v>4.2200000000000003E-5</v>
      </c>
      <c r="H49">
        <v>1.0165E-3</v>
      </c>
      <c r="I49">
        <v>3.278E-4</v>
      </c>
    </row>
    <row r="50" spans="1:9" x14ac:dyDescent="0.25">
      <c r="A50" s="104" t="str">
        <f t="shared" si="0"/>
        <v>Ethiopia2011NationalPub_OutreachCondom</v>
      </c>
      <c r="B50" t="s">
        <v>6</v>
      </c>
      <c r="C50">
        <v>2011</v>
      </c>
      <c r="D50" t="s">
        <v>178</v>
      </c>
      <c r="E50" t="s">
        <v>54</v>
      </c>
      <c r="F50" t="s">
        <v>25</v>
      </c>
      <c r="G50">
        <v>1.2300000000000001E-5</v>
      </c>
      <c r="I50">
        <v>1.5440000000000001E-4</v>
      </c>
    </row>
    <row r="51" spans="1:9" x14ac:dyDescent="0.25">
      <c r="A51" s="104" t="str">
        <f t="shared" si="0"/>
        <v>Ethiopia2011NationalCommercialCondom</v>
      </c>
      <c r="B51" t="s">
        <v>6</v>
      </c>
      <c r="C51">
        <v>2011</v>
      </c>
      <c r="D51" t="s">
        <v>178</v>
      </c>
      <c r="E51" t="s">
        <v>59</v>
      </c>
      <c r="F51" t="s">
        <v>25</v>
      </c>
      <c r="G51">
        <v>2.1670000000000001E-4</v>
      </c>
      <c r="H51">
        <v>4.1530000000000001E-4</v>
      </c>
      <c r="I51">
        <v>3.5436E-3</v>
      </c>
    </row>
    <row r="52" spans="1:9" x14ac:dyDescent="0.25">
      <c r="A52" s="104" t="str">
        <f t="shared" si="0"/>
        <v>Ethiopia2011NationalNonTradCondom</v>
      </c>
      <c r="B52" t="s">
        <v>6</v>
      </c>
      <c r="C52">
        <v>2011</v>
      </c>
      <c r="D52" t="s">
        <v>178</v>
      </c>
      <c r="E52" t="s">
        <v>171</v>
      </c>
      <c r="F52" t="s">
        <v>25</v>
      </c>
      <c r="G52">
        <v>1.0101000000000001E-3</v>
      </c>
      <c r="H52">
        <v>1.3626999999999999E-3</v>
      </c>
      <c r="I52">
        <v>2.9142E-3</v>
      </c>
    </row>
    <row r="53" spans="1:9" x14ac:dyDescent="0.25">
      <c r="A53" s="104" t="str">
        <f t="shared" si="0"/>
        <v>Ethiopia2011NationalOtherCondom</v>
      </c>
      <c r="B53" t="s">
        <v>6</v>
      </c>
      <c r="C53">
        <v>2011</v>
      </c>
      <c r="D53" t="s">
        <v>178</v>
      </c>
      <c r="E53" t="s">
        <v>116</v>
      </c>
      <c r="F53" t="s">
        <v>25</v>
      </c>
      <c r="G53">
        <v>1.2300000000000001E-5</v>
      </c>
      <c r="H53">
        <v>6.41E-5</v>
      </c>
      <c r="I53">
        <v>1.148E-4</v>
      </c>
    </row>
    <row r="54" spans="1:9" x14ac:dyDescent="0.25">
      <c r="A54" s="104" t="str">
        <f t="shared" si="0"/>
        <v>Ethiopia2011UrbanPub_MedCondom</v>
      </c>
      <c r="B54" t="s">
        <v>6</v>
      </c>
      <c r="C54">
        <v>2011</v>
      </c>
      <c r="D54" t="s">
        <v>20</v>
      </c>
      <c r="E54" t="s">
        <v>52</v>
      </c>
      <c r="F54" t="s">
        <v>25</v>
      </c>
      <c r="G54">
        <v>1.8220000000000001E-4</v>
      </c>
      <c r="H54">
        <v>3.9874999999999997E-3</v>
      </c>
      <c r="I54">
        <v>1.0242000000000001E-3</v>
      </c>
    </row>
    <row r="55" spans="1:9" x14ac:dyDescent="0.25">
      <c r="A55" s="104" t="str">
        <f t="shared" si="0"/>
        <v>Ethiopia2011UrbanCommercialCondom</v>
      </c>
      <c r="B55" t="s">
        <v>6</v>
      </c>
      <c r="C55">
        <v>2011</v>
      </c>
      <c r="D55" t="s">
        <v>20</v>
      </c>
      <c r="E55" t="s">
        <v>59</v>
      </c>
      <c r="F55" t="s">
        <v>25</v>
      </c>
      <c r="G55">
        <v>8.1740000000000003E-4</v>
      </c>
      <c r="H55">
        <v>1.6588E-3</v>
      </c>
      <c r="I55">
        <v>1.3646699999999999E-2</v>
      </c>
    </row>
    <row r="56" spans="1:9" x14ac:dyDescent="0.25">
      <c r="A56" s="104" t="str">
        <f t="shared" si="0"/>
        <v>Ethiopia2011UrbanNonTradCondom</v>
      </c>
      <c r="B56" t="s">
        <v>6</v>
      </c>
      <c r="C56">
        <v>2011</v>
      </c>
      <c r="D56" t="s">
        <v>20</v>
      </c>
      <c r="E56" t="s">
        <v>171</v>
      </c>
      <c r="F56" t="s">
        <v>25</v>
      </c>
      <c r="G56">
        <v>4.2424000000000003E-3</v>
      </c>
      <c r="H56">
        <v>5.4424E-3</v>
      </c>
      <c r="I56">
        <v>1.04233E-2</v>
      </c>
    </row>
    <row r="57" spans="1:9" x14ac:dyDescent="0.25">
      <c r="A57" s="104" t="str">
        <f t="shared" si="0"/>
        <v>Ethiopia2011UrbanOtherCondom</v>
      </c>
      <c r="B57" t="s">
        <v>6</v>
      </c>
      <c r="C57">
        <v>2011</v>
      </c>
      <c r="D57" t="s">
        <v>20</v>
      </c>
      <c r="E57" t="s">
        <v>116</v>
      </c>
      <c r="F57" t="s">
        <v>25</v>
      </c>
      <c r="H57">
        <v>2.5609999999999999E-4</v>
      </c>
      <c r="I57">
        <v>4.6299999999999998E-4</v>
      </c>
    </row>
    <row r="58" spans="1:9" x14ac:dyDescent="0.25">
      <c r="A58" s="104" t="str">
        <f t="shared" si="0"/>
        <v>Ethiopia2011RuralPub_MedCondom</v>
      </c>
      <c r="B58" t="s">
        <v>6</v>
      </c>
      <c r="C58">
        <v>2011</v>
      </c>
      <c r="D58" t="s">
        <v>21</v>
      </c>
      <c r="E58" t="s">
        <v>52</v>
      </c>
      <c r="F58" t="s">
        <v>25</v>
      </c>
      <c r="H58">
        <v>2.4199999999999999E-5</v>
      </c>
      <c r="I58">
        <v>9.8200000000000002E-5</v>
      </c>
    </row>
    <row r="59" spans="1:9" x14ac:dyDescent="0.25">
      <c r="A59" s="104" t="str">
        <f t="shared" si="0"/>
        <v>Ethiopia2011RuralPub_OutreachCondom</v>
      </c>
      <c r="B59" t="s">
        <v>6</v>
      </c>
      <c r="C59">
        <v>2011</v>
      </c>
      <c r="D59" t="s">
        <v>21</v>
      </c>
      <c r="E59" t="s">
        <v>54</v>
      </c>
      <c r="F59" t="s">
        <v>25</v>
      </c>
      <c r="G59">
        <v>1.5999999999999999E-5</v>
      </c>
      <c r="I59">
        <v>2.052E-4</v>
      </c>
    </row>
    <row r="60" spans="1:9" x14ac:dyDescent="0.25">
      <c r="A60" s="104" t="str">
        <f t="shared" si="0"/>
        <v>Ethiopia2011RuralCommercialCondom</v>
      </c>
      <c r="B60" t="s">
        <v>6</v>
      </c>
      <c r="C60">
        <v>2011</v>
      </c>
      <c r="D60" t="s">
        <v>21</v>
      </c>
      <c r="E60" t="s">
        <v>59</v>
      </c>
      <c r="F60" t="s">
        <v>25</v>
      </c>
      <c r="G60">
        <v>3.5599999999999998E-5</v>
      </c>
      <c r="I60">
        <v>2.1330000000000001E-4</v>
      </c>
    </row>
    <row r="61" spans="1:9" x14ac:dyDescent="0.25">
      <c r="A61" s="104" t="str">
        <f t="shared" si="0"/>
        <v>Ethiopia2011RuralNonTradCondom</v>
      </c>
      <c r="B61" t="s">
        <v>6</v>
      </c>
      <c r="C61">
        <v>2011</v>
      </c>
      <c r="D61" t="s">
        <v>21</v>
      </c>
      <c r="E61" t="s">
        <v>171</v>
      </c>
      <c r="F61" t="s">
        <v>25</v>
      </c>
      <c r="G61">
        <v>3.5599999999999998E-5</v>
      </c>
      <c r="I61">
        <v>4.3899999999999999E-4</v>
      </c>
    </row>
    <row r="62" spans="1:9" x14ac:dyDescent="0.25">
      <c r="A62" s="104" t="str">
        <f t="shared" si="0"/>
        <v>Ethiopia2011RuralOtherCondom</v>
      </c>
      <c r="B62" t="s">
        <v>6</v>
      </c>
      <c r="C62">
        <v>2011</v>
      </c>
      <c r="D62" t="s">
        <v>21</v>
      </c>
      <c r="E62" t="s">
        <v>116</v>
      </c>
      <c r="F62" t="s">
        <v>25</v>
      </c>
      <c r="G62">
        <v>1.5999999999999999E-5</v>
      </c>
    </row>
    <row r="63" spans="1:9" x14ac:dyDescent="0.25">
      <c r="A63" s="104" t="str">
        <f t="shared" si="0"/>
        <v>Ethiopia2011NationalPub_MedImplant</v>
      </c>
      <c r="B63" t="s">
        <v>6</v>
      </c>
      <c r="C63">
        <v>2011</v>
      </c>
      <c r="D63" t="s">
        <v>178</v>
      </c>
      <c r="E63" t="s">
        <v>52</v>
      </c>
      <c r="F63" t="s">
        <v>23</v>
      </c>
      <c r="G63">
        <v>1.60508E-2</v>
      </c>
      <c r="H63">
        <v>9.6977999999999995E-3</v>
      </c>
      <c r="I63">
        <v>1.9574500000000002E-2</v>
      </c>
    </row>
    <row r="64" spans="1:9" x14ac:dyDescent="0.25">
      <c r="A64" s="104" t="str">
        <f t="shared" si="0"/>
        <v>Ethiopia2011NationalPub_OutreachImplant</v>
      </c>
      <c r="B64" t="s">
        <v>6</v>
      </c>
      <c r="C64">
        <v>2011</v>
      </c>
      <c r="D64" t="s">
        <v>178</v>
      </c>
      <c r="E64" t="s">
        <v>54</v>
      </c>
      <c r="F64" t="s">
        <v>23</v>
      </c>
      <c r="G64">
        <v>5.9119000000000003E-3</v>
      </c>
      <c r="H64">
        <v>7.2261000000000001E-3</v>
      </c>
      <c r="I64">
        <v>3.9459999999999999E-3</v>
      </c>
    </row>
    <row r="65" spans="1:9" x14ac:dyDescent="0.25">
      <c r="A65" s="104" t="str">
        <f t="shared" si="0"/>
        <v>Ethiopia2011NationalNGOImplant</v>
      </c>
      <c r="B65" t="s">
        <v>6</v>
      </c>
      <c r="C65">
        <v>2011</v>
      </c>
      <c r="D65" t="s">
        <v>178</v>
      </c>
      <c r="E65" t="s">
        <v>170</v>
      </c>
      <c r="F65" t="s">
        <v>23</v>
      </c>
      <c r="G65">
        <v>1.17E-5</v>
      </c>
      <c r="H65">
        <v>9.9329999999999991E-4</v>
      </c>
      <c r="I65">
        <v>8.9530000000000002E-4</v>
      </c>
    </row>
    <row r="66" spans="1:9" x14ac:dyDescent="0.25">
      <c r="A66" s="104" t="str">
        <f t="shared" si="0"/>
        <v>Ethiopia2011NationalCommercialImplant</v>
      </c>
      <c r="B66" t="s">
        <v>6</v>
      </c>
      <c r="C66">
        <v>2011</v>
      </c>
      <c r="D66" t="s">
        <v>178</v>
      </c>
      <c r="E66" t="s">
        <v>59</v>
      </c>
      <c r="F66" t="s">
        <v>23</v>
      </c>
      <c r="H66">
        <v>1.31E-5</v>
      </c>
      <c r="I66">
        <v>1.8805E-3</v>
      </c>
    </row>
    <row r="67" spans="1:9" x14ac:dyDescent="0.25">
      <c r="A67" s="104" t="str">
        <f t="shared" ref="A67:A130" si="1">B67&amp;C67&amp;D67&amp;E67&amp;F67</f>
        <v>Ethiopia2011NationalOtherImplant</v>
      </c>
      <c r="B67" t="s">
        <v>6</v>
      </c>
      <c r="C67">
        <v>2011</v>
      </c>
      <c r="D67" t="s">
        <v>178</v>
      </c>
      <c r="E67" t="s">
        <v>116</v>
      </c>
      <c r="F67" t="s">
        <v>23</v>
      </c>
      <c r="G67">
        <v>3.0459999999999998E-4</v>
      </c>
      <c r="H67">
        <v>2.8373000000000001E-3</v>
      </c>
      <c r="I67">
        <v>9.8139999999999989E-4</v>
      </c>
    </row>
    <row r="68" spans="1:9" x14ac:dyDescent="0.25">
      <c r="A68" s="104" t="str">
        <f t="shared" si="1"/>
        <v>Ethiopia2011UrbanPub_MedImplant</v>
      </c>
      <c r="B68" t="s">
        <v>6</v>
      </c>
      <c r="C68">
        <v>2011</v>
      </c>
      <c r="D68" t="s">
        <v>20</v>
      </c>
      <c r="E68" t="s">
        <v>52</v>
      </c>
      <c r="F68" t="s">
        <v>23</v>
      </c>
      <c r="G68">
        <v>1.87276E-2</v>
      </c>
      <c r="H68">
        <v>1.1427E-2</v>
      </c>
      <c r="I68">
        <v>1.17225E-2</v>
      </c>
    </row>
    <row r="69" spans="1:9" x14ac:dyDescent="0.25">
      <c r="A69" s="104" t="str">
        <f t="shared" si="1"/>
        <v>Ethiopia2011UrbanPub_OutreachImplant</v>
      </c>
      <c r="B69" t="s">
        <v>6</v>
      </c>
      <c r="C69">
        <v>2011</v>
      </c>
      <c r="D69" t="s">
        <v>20</v>
      </c>
      <c r="E69" t="s">
        <v>54</v>
      </c>
      <c r="F69" t="s">
        <v>23</v>
      </c>
      <c r="G69">
        <v>3.6871E-3</v>
      </c>
    </row>
    <row r="70" spans="1:9" x14ac:dyDescent="0.25">
      <c r="A70" s="104" t="str">
        <f t="shared" si="1"/>
        <v>Ethiopia2011UrbanNGOImplant</v>
      </c>
      <c r="B70" t="s">
        <v>6</v>
      </c>
      <c r="C70">
        <v>2011</v>
      </c>
      <c r="D70" t="s">
        <v>20</v>
      </c>
      <c r="E70" t="s">
        <v>170</v>
      </c>
      <c r="F70" t="s">
        <v>23</v>
      </c>
      <c r="G70">
        <v>5.0500000000000001E-5</v>
      </c>
      <c r="H70">
        <v>3.9673E-3</v>
      </c>
      <c r="I70">
        <v>8.8119999999999995E-4</v>
      </c>
    </row>
    <row r="71" spans="1:9" x14ac:dyDescent="0.25">
      <c r="A71" s="104" t="str">
        <f t="shared" si="1"/>
        <v>Ethiopia2011UrbanCommercialImplant</v>
      </c>
      <c r="B71" t="s">
        <v>6</v>
      </c>
      <c r="C71">
        <v>2011</v>
      </c>
      <c r="D71" t="s">
        <v>20</v>
      </c>
      <c r="E71" t="s">
        <v>59</v>
      </c>
      <c r="F71" t="s">
        <v>23</v>
      </c>
      <c r="H71">
        <v>5.24E-5</v>
      </c>
      <c r="I71">
        <v>1.4038E-3</v>
      </c>
    </row>
    <row r="72" spans="1:9" x14ac:dyDescent="0.25">
      <c r="A72" s="104" t="str">
        <f t="shared" si="1"/>
        <v>Ethiopia2011UrbanOtherImplant</v>
      </c>
      <c r="B72" t="s">
        <v>6</v>
      </c>
      <c r="C72">
        <v>2011</v>
      </c>
      <c r="D72" t="s">
        <v>20</v>
      </c>
      <c r="E72" t="s">
        <v>116</v>
      </c>
      <c r="F72" t="s">
        <v>23</v>
      </c>
      <c r="I72">
        <v>1.1799E-3</v>
      </c>
    </row>
    <row r="73" spans="1:9" x14ac:dyDescent="0.25">
      <c r="A73" s="104" t="str">
        <f t="shared" si="1"/>
        <v>Ethiopia2011RuralPub_MedImplant</v>
      </c>
      <c r="B73" t="s">
        <v>6</v>
      </c>
      <c r="C73">
        <v>2011</v>
      </c>
      <c r="D73" t="s">
        <v>21</v>
      </c>
      <c r="E73" t="s">
        <v>52</v>
      </c>
      <c r="F73" t="s">
        <v>23</v>
      </c>
      <c r="G73">
        <v>1.52438E-2</v>
      </c>
      <c r="H73">
        <v>9.1202999999999996E-3</v>
      </c>
      <c r="I73">
        <v>2.21628E-2</v>
      </c>
    </row>
    <row r="74" spans="1:9" x14ac:dyDescent="0.25">
      <c r="A74" s="104" t="str">
        <f t="shared" si="1"/>
        <v>Ethiopia2011RuralPub_OutreachImplant</v>
      </c>
      <c r="B74" t="s">
        <v>6</v>
      </c>
      <c r="C74">
        <v>2011</v>
      </c>
      <c r="D74" t="s">
        <v>21</v>
      </c>
      <c r="E74" t="s">
        <v>54</v>
      </c>
      <c r="F74" t="s">
        <v>23</v>
      </c>
      <c r="G74">
        <v>6.5826000000000001E-3</v>
      </c>
      <c r="H74">
        <v>9.6395999999999999E-3</v>
      </c>
      <c r="I74">
        <v>5.2467E-3</v>
      </c>
    </row>
    <row r="75" spans="1:9" x14ac:dyDescent="0.25">
      <c r="A75" s="104" t="str">
        <f t="shared" si="1"/>
        <v>Ethiopia2011RuralNGOImplant</v>
      </c>
      <c r="B75" t="s">
        <v>6</v>
      </c>
      <c r="C75">
        <v>2011</v>
      </c>
      <c r="D75" t="s">
        <v>21</v>
      </c>
      <c r="E75" t="s">
        <v>170</v>
      </c>
      <c r="F75" t="s">
        <v>23</v>
      </c>
      <c r="I75">
        <v>8.9999999999999998E-4</v>
      </c>
    </row>
    <row r="76" spans="1:9" x14ac:dyDescent="0.25">
      <c r="A76" s="104" t="str">
        <f t="shared" si="1"/>
        <v>Ethiopia2011RuralCommercialImplant</v>
      </c>
      <c r="B76" t="s">
        <v>6</v>
      </c>
      <c r="C76">
        <v>2011</v>
      </c>
      <c r="D76" t="s">
        <v>21</v>
      </c>
      <c r="E76" t="s">
        <v>59</v>
      </c>
      <c r="F76" t="s">
        <v>23</v>
      </c>
      <c r="I76">
        <v>2.0376000000000001E-3</v>
      </c>
    </row>
    <row r="77" spans="1:9" x14ac:dyDescent="0.25">
      <c r="A77" s="104" t="str">
        <f t="shared" si="1"/>
        <v>Ethiopia2011RuralOtherImplant</v>
      </c>
      <c r="B77" t="s">
        <v>6</v>
      </c>
      <c r="C77">
        <v>2011</v>
      </c>
      <c r="D77" t="s">
        <v>21</v>
      </c>
      <c r="E77" t="s">
        <v>116</v>
      </c>
      <c r="F77" t="s">
        <v>23</v>
      </c>
      <c r="G77">
        <v>3.9639999999999999E-4</v>
      </c>
      <c r="H77">
        <v>3.7850000000000002E-3</v>
      </c>
      <c r="I77">
        <v>9.1600000000000004E-4</v>
      </c>
    </row>
    <row r="78" spans="1:9" x14ac:dyDescent="0.25">
      <c r="A78" s="104" t="str">
        <f t="shared" si="1"/>
        <v>Ethiopia2016NationalPub_MedPill</v>
      </c>
      <c r="B78" t="s">
        <v>6</v>
      </c>
      <c r="C78">
        <v>2016</v>
      </c>
      <c r="D78" t="s">
        <v>178</v>
      </c>
      <c r="E78" t="s">
        <v>52</v>
      </c>
      <c r="F78" t="s">
        <v>12</v>
      </c>
      <c r="G78">
        <v>7.4989000000000002E-3</v>
      </c>
      <c r="H78">
        <v>6.4917999999999998E-3</v>
      </c>
      <c r="I78">
        <v>5.5315E-3</v>
      </c>
    </row>
    <row r="79" spans="1:9" x14ac:dyDescent="0.25">
      <c r="A79" s="104" t="str">
        <f t="shared" si="1"/>
        <v>Ethiopia2016NationalPub_OutreachPill</v>
      </c>
      <c r="B79" t="s">
        <v>6</v>
      </c>
      <c r="C79">
        <v>2016</v>
      </c>
      <c r="D79" t="s">
        <v>178</v>
      </c>
      <c r="E79" t="s">
        <v>54</v>
      </c>
      <c r="F79" t="s">
        <v>12</v>
      </c>
      <c r="G79">
        <v>1.763E-4</v>
      </c>
      <c r="H79">
        <v>2.5447999999999998E-3</v>
      </c>
      <c r="I79">
        <v>3.6430000000000002E-4</v>
      </c>
    </row>
    <row r="80" spans="1:9" x14ac:dyDescent="0.25">
      <c r="A80" s="104" t="str">
        <f t="shared" si="1"/>
        <v>Ethiopia2016NationalNGOPill</v>
      </c>
      <c r="B80" t="s">
        <v>6</v>
      </c>
      <c r="C80">
        <v>2016</v>
      </c>
      <c r="D80" t="s">
        <v>178</v>
      </c>
      <c r="E80" t="s">
        <v>170</v>
      </c>
      <c r="F80" t="s">
        <v>12</v>
      </c>
      <c r="G80">
        <v>7.9200000000000001E-5</v>
      </c>
      <c r="H80">
        <v>2.476E-4</v>
      </c>
    </row>
    <row r="81" spans="1:9" x14ac:dyDescent="0.25">
      <c r="A81" s="104" t="str">
        <f t="shared" si="1"/>
        <v>Ethiopia2016NationalCommercialPill</v>
      </c>
      <c r="B81" t="s">
        <v>6</v>
      </c>
      <c r="C81">
        <v>2016</v>
      </c>
      <c r="D81" t="s">
        <v>178</v>
      </c>
      <c r="E81" t="s">
        <v>59</v>
      </c>
      <c r="F81" t="s">
        <v>12</v>
      </c>
      <c r="G81">
        <v>4.9902999999999996E-3</v>
      </c>
      <c r="H81">
        <v>5.6157999999999998E-3</v>
      </c>
      <c r="I81">
        <v>6.1495999999999999E-3</v>
      </c>
    </row>
    <row r="82" spans="1:9" x14ac:dyDescent="0.25">
      <c r="A82" s="104" t="str">
        <f t="shared" si="1"/>
        <v>Ethiopia2016NationalNonTradPill</v>
      </c>
      <c r="B82" t="s">
        <v>6</v>
      </c>
      <c r="C82">
        <v>2016</v>
      </c>
      <c r="D82" t="s">
        <v>178</v>
      </c>
      <c r="E82" t="s">
        <v>171</v>
      </c>
      <c r="F82" t="s">
        <v>12</v>
      </c>
      <c r="I82">
        <v>1.29E-5</v>
      </c>
    </row>
    <row r="83" spans="1:9" x14ac:dyDescent="0.25">
      <c r="A83" s="104" t="str">
        <f t="shared" si="1"/>
        <v>Ethiopia2016UrbanPub_MedPill</v>
      </c>
      <c r="B83" t="s">
        <v>6</v>
      </c>
      <c r="C83">
        <v>2016</v>
      </c>
      <c r="D83" t="s">
        <v>20</v>
      </c>
      <c r="E83" t="s">
        <v>52</v>
      </c>
      <c r="F83" t="s">
        <v>12</v>
      </c>
      <c r="G83">
        <v>1.1480799999999999E-2</v>
      </c>
      <c r="H83">
        <v>1.3131500000000001E-2</v>
      </c>
      <c r="I83">
        <v>1.2891E-2</v>
      </c>
    </row>
    <row r="84" spans="1:9" x14ac:dyDescent="0.25">
      <c r="A84" s="104" t="str">
        <f t="shared" si="1"/>
        <v>Ethiopia2016UrbanPub_OutreachPill</v>
      </c>
      <c r="B84" t="s">
        <v>6</v>
      </c>
      <c r="C84">
        <v>2016</v>
      </c>
      <c r="D84" t="s">
        <v>20</v>
      </c>
      <c r="E84" t="s">
        <v>54</v>
      </c>
      <c r="F84" t="s">
        <v>12</v>
      </c>
      <c r="G84">
        <v>2.83E-5</v>
      </c>
      <c r="H84">
        <v>6.4412999999999996E-3</v>
      </c>
      <c r="I84">
        <v>1.4932999999999999E-3</v>
      </c>
    </row>
    <row r="85" spans="1:9" x14ac:dyDescent="0.25">
      <c r="A85" s="104" t="str">
        <f t="shared" si="1"/>
        <v>Ethiopia2016UrbanNGOPill</v>
      </c>
      <c r="B85" t="s">
        <v>6</v>
      </c>
      <c r="C85">
        <v>2016</v>
      </c>
      <c r="D85" t="s">
        <v>20</v>
      </c>
      <c r="E85" t="s">
        <v>170</v>
      </c>
      <c r="F85" t="s">
        <v>12</v>
      </c>
      <c r="G85">
        <v>3.6610000000000001E-4</v>
      </c>
      <c r="H85">
        <v>1.0803E-3</v>
      </c>
    </row>
    <row r="86" spans="1:9" x14ac:dyDescent="0.25">
      <c r="A86" s="104" t="str">
        <f t="shared" si="1"/>
        <v>Ethiopia2016UrbanCommercialPill</v>
      </c>
      <c r="B86" t="s">
        <v>6</v>
      </c>
      <c r="C86">
        <v>2016</v>
      </c>
      <c r="D86" t="s">
        <v>20</v>
      </c>
      <c r="E86" t="s">
        <v>59</v>
      </c>
      <c r="F86" t="s">
        <v>12</v>
      </c>
      <c r="G86">
        <v>1.7092099999999999E-2</v>
      </c>
      <c r="H86">
        <v>2.4501599999999998E-2</v>
      </c>
      <c r="I86">
        <v>2.37506E-2</v>
      </c>
    </row>
    <row r="87" spans="1:9" x14ac:dyDescent="0.25">
      <c r="A87" s="104" t="str">
        <f t="shared" si="1"/>
        <v>Ethiopia2016RuralPub_MedPill</v>
      </c>
      <c r="B87" t="s">
        <v>6</v>
      </c>
      <c r="C87">
        <v>2016</v>
      </c>
      <c r="D87" t="s">
        <v>21</v>
      </c>
      <c r="E87" t="s">
        <v>52</v>
      </c>
      <c r="F87" t="s">
        <v>12</v>
      </c>
      <c r="G87">
        <v>6.3997999999999998E-3</v>
      </c>
      <c r="H87">
        <v>4.5174000000000004E-3</v>
      </c>
      <c r="I87">
        <v>3.3631999999999998E-3</v>
      </c>
    </row>
    <row r="88" spans="1:9" x14ac:dyDescent="0.25">
      <c r="A88" s="104" t="str">
        <f t="shared" si="1"/>
        <v>Ethiopia2016RuralPub_OutreachPill</v>
      </c>
      <c r="B88" t="s">
        <v>6</v>
      </c>
      <c r="C88">
        <v>2016</v>
      </c>
      <c r="D88" t="s">
        <v>21</v>
      </c>
      <c r="E88" t="s">
        <v>54</v>
      </c>
      <c r="F88" t="s">
        <v>12</v>
      </c>
      <c r="G88">
        <v>2.1719999999999999E-4</v>
      </c>
      <c r="H88">
        <v>1.3860999999999999E-3</v>
      </c>
      <c r="I88">
        <v>3.1600000000000002E-5</v>
      </c>
    </row>
    <row r="89" spans="1:9" x14ac:dyDescent="0.25">
      <c r="A89" s="104" t="str">
        <f t="shared" si="1"/>
        <v>Ethiopia2016RuralCommercialPill</v>
      </c>
      <c r="B89" t="s">
        <v>6</v>
      </c>
      <c r="C89">
        <v>2016</v>
      </c>
      <c r="D89" t="s">
        <v>21</v>
      </c>
      <c r="E89" t="s">
        <v>59</v>
      </c>
      <c r="F89" t="s">
        <v>12</v>
      </c>
      <c r="G89">
        <v>1.6498999999999999E-3</v>
      </c>
      <c r="I89">
        <v>9.6389999999999996E-4</v>
      </c>
    </row>
    <row r="90" spans="1:9" x14ac:dyDescent="0.25">
      <c r="A90" s="104" t="str">
        <f t="shared" si="1"/>
        <v>Ethiopia2016RuralNonTradPill</v>
      </c>
      <c r="B90" t="s">
        <v>6</v>
      </c>
      <c r="C90">
        <v>2016</v>
      </c>
      <c r="D90" t="s">
        <v>21</v>
      </c>
      <c r="E90" t="s">
        <v>171</v>
      </c>
      <c r="F90" t="s">
        <v>12</v>
      </c>
      <c r="I90">
        <v>1.6699999999999999E-5</v>
      </c>
    </row>
    <row r="91" spans="1:9" x14ac:dyDescent="0.25">
      <c r="A91" s="104" t="str">
        <f t="shared" si="1"/>
        <v>Ethiopia2016NationalPub_MedIUD</v>
      </c>
      <c r="B91" t="s">
        <v>6</v>
      </c>
      <c r="C91">
        <v>2016</v>
      </c>
      <c r="D91" t="s">
        <v>178</v>
      </c>
      <c r="E91" t="s">
        <v>52</v>
      </c>
      <c r="F91" t="s">
        <v>16</v>
      </c>
      <c r="G91">
        <v>1.2825E-2</v>
      </c>
      <c r="H91">
        <v>9.0992999999999994E-3</v>
      </c>
      <c r="I91">
        <v>1.87574E-2</v>
      </c>
    </row>
    <row r="92" spans="1:9" x14ac:dyDescent="0.25">
      <c r="A92" s="104" t="str">
        <f t="shared" si="1"/>
        <v>Ethiopia2016NationalPub_OutreachIUD</v>
      </c>
      <c r="B92" t="s">
        <v>6</v>
      </c>
      <c r="C92">
        <v>2016</v>
      </c>
      <c r="D92" t="s">
        <v>178</v>
      </c>
      <c r="E92" t="s">
        <v>54</v>
      </c>
      <c r="F92" t="s">
        <v>16</v>
      </c>
      <c r="I92">
        <v>1.4329999999999999E-4</v>
      </c>
    </row>
    <row r="93" spans="1:9" x14ac:dyDescent="0.25">
      <c r="A93" s="104" t="str">
        <f t="shared" si="1"/>
        <v>Ethiopia2016NationalNGOIUD</v>
      </c>
      <c r="B93" t="s">
        <v>6</v>
      </c>
      <c r="C93">
        <v>2016</v>
      </c>
      <c r="D93" t="s">
        <v>178</v>
      </c>
      <c r="E93" t="s">
        <v>170</v>
      </c>
      <c r="F93" t="s">
        <v>16</v>
      </c>
      <c r="G93">
        <v>1.6860000000000001E-4</v>
      </c>
      <c r="H93">
        <v>7.6009999999999999E-4</v>
      </c>
      <c r="I93">
        <v>7.3519999999999998E-4</v>
      </c>
    </row>
    <row r="94" spans="1:9" x14ac:dyDescent="0.25">
      <c r="A94" s="104" t="str">
        <f t="shared" si="1"/>
        <v>Ethiopia2016NationalCommercialIUD</v>
      </c>
      <c r="B94" t="s">
        <v>6</v>
      </c>
      <c r="C94">
        <v>2016</v>
      </c>
      <c r="D94" t="s">
        <v>178</v>
      </c>
      <c r="E94" t="s">
        <v>59</v>
      </c>
      <c r="F94" t="s">
        <v>16</v>
      </c>
      <c r="G94">
        <v>5.2209999999999995E-4</v>
      </c>
      <c r="H94">
        <v>1.24E-5</v>
      </c>
      <c r="I94">
        <v>1.0441000000000001E-3</v>
      </c>
    </row>
    <row r="95" spans="1:9" x14ac:dyDescent="0.25">
      <c r="A95" s="104" t="str">
        <f t="shared" si="1"/>
        <v>Ethiopia2016NationalOtherIUD</v>
      </c>
      <c r="B95" t="s">
        <v>6</v>
      </c>
      <c r="C95">
        <v>2016</v>
      </c>
      <c r="D95" t="s">
        <v>178</v>
      </c>
      <c r="E95" t="s">
        <v>116</v>
      </c>
      <c r="F95" t="s">
        <v>16</v>
      </c>
      <c r="I95">
        <v>1.7430000000000001E-4</v>
      </c>
    </row>
    <row r="96" spans="1:9" x14ac:dyDescent="0.25">
      <c r="A96" s="104" t="str">
        <f t="shared" si="1"/>
        <v>Ethiopia2016UrbanPub_MedIUD</v>
      </c>
      <c r="B96" t="s">
        <v>6</v>
      </c>
      <c r="C96">
        <v>2016</v>
      </c>
      <c r="D96" t="s">
        <v>20</v>
      </c>
      <c r="E96" t="s">
        <v>52</v>
      </c>
      <c r="F96" t="s">
        <v>16</v>
      </c>
      <c r="G96">
        <v>2.60127E-2</v>
      </c>
      <c r="H96">
        <v>7.3387000000000001E-3</v>
      </c>
      <c r="I96">
        <v>1.86407E-2</v>
      </c>
    </row>
    <row r="97" spans="1:9" x14ac:dyDescent="0.25">
      <c r="A97" s="104" t="str">
        <f t="shared" si="1"/>
        <v>Ethiopia2016UrbanPub_OutreachIUD</v>
      </c>
      <c r="B97" t="s">
        <v>6</v>
      </c>
      <c r="C97">
        <v>2016</v>
      </c>
      <c r="D97" t="s">
        <v>20</v>
      </c>
      <c r="E97" t="s">
        <v>54</v>
      </c>
      <c r="F97" t="s">
        <v>16</v>
      </c>
      <c r="I97">
        <v>6.2949999999999996E-4</v>
      </c>
    </row>
    <row r="98" spans="1:9" x14ac:dyDescent="0.25">
      <c r="A98" s="104" t="str">
        <f t="shared" si="1"/>
        <v>Ethiopia2016UrbanNGOIUD</v>
      </c>
      <c r="B98" t="s">
        <v>6</v>
      </c>
      <c r="C98">
        <v>2016</v>
      </c>
      <c r="D98" t="s">
        <v>20</v>
      </c>
      <c r="E98" t="s">
        <v>170</v>
      </c>
      <c r="F98" t="s">
        <v>16</v>
      </c>
      <c r="G98">
        <v>6.5700000000000003E-4</v>
      </c>
      <c r="H98">
        <v>3.3165E-3</v>
      </c>
      <c r="I98">
        <v>3.2304E-3</v>
      </c>
    </row>
    <row r="99" spans="1:9" x14ac:dyDescent="0.25">
      <c r="A99" s="104" t="str">
        <f t="shared" si="1"/>
        <v>Ethiopia2016UrbanCommercialIUD</v>
      </c>
      <c r="B99" t="s">
        <v>6</v>
      </c>
      <c r="C99">
        <v>2016</v>
      </c>
      <c r="D99" t="s">
        <v>20</v>
      </c>
      <c r="E99" t="s">
        <v>59</v>
      </c>
      <c r="F99" t="s">
        <v>16</v>
      </c>
      <c r="G99">
        <v>2.9329999999999997E-4</v>
      </c>
      <c r="H99">
        <v>5.4200000000000003E-5</v>
      </c>
      <c r="I99">
        <v>4.3566000000000004E-3</v>
      </c>
    </row>
    <row r="100" spans="1:9" x14ac:dyDescent="0.25">
      <c r="A100" s="104" t="str">
        <f t="shared" si="1"/>
        <v>Ethiopia2016UrbanOtherIUD</v>
      </c>
      <c r="B100" t="s">
        <v>6</v>
      </c>
      <c r="C100">
        <v>2016</v>
      </c>
      <c r="D100" t="s">
        <v>20</v>
      </c>
      <c r="E100" t="s">
        <v>116</v>
      </c>
      <c r="F100" t="s">
        <v>16</v>
      </c>
      <c r="I100">
        <v>7.6610000000000003E-4</v>
      </c>
    </row>
    <row r="101" spans="1:9" x14ac:dyDescent="0.25">
      <c r="A101" s="104" t="str">
        <f t="shared" si="1"/>
        <v>Ethiopia2016RuralPub_MedIUD</v>
      </c>
      <c r="B101" t="s">
        <v>6</v>
      </c>
      <c r="C101">
        <v>2016</v>
      </c>
      <c r="D101" t="s">
        <v>21</v>
      </c>
      <c r="E101" t="s">
        <v>52</v>
      </c>
      <c r="F101" t="s">
        <v>16</v>
      </c>
      <c r="G101">
        <v>9.1847000000000005E-3</v>
      </c>
      <c r="H101">
        <v>9.6228000000000008E-3</v>
      </c>
      <c r="I101">
        <v>1.8791800000000001E-2</v>
      </c>
    </row>
    <row r="102" spans="1:9" x14ac:dyDescent="0.25">
      <c r="A102" s="104" t="str">
        <f t="shared" si="1"/>
        <v>Ethiopia2016RuralNGOIUD</v>
      </c>
      <c r="B102" t="s">
        <v>6</v>
      </c>
      <c r="C102">
        <v>2016</v>
      </c>
      <c r="D102" t="s">
        <v>21</v>
      </c>
      <c r="E102" t="s">
        <v>170</v>
      </c>
      <c r="F102" t="s">
        <v>16</v>
      </c>
      <c r="G102">
        <v>3.3800000000000002E-5</v>
      </c>
    </row>
    <row r="103" spans="1:9" x14ac:dyDescent="0.25">
      <c r="A103" s="104" t="str">
        <f t="shared" si="1"/>
        <v>Ethiopia2016RuralCommercialIUD</v>
      </c>
      <c r="B103" t="s">
        <v>6</v>
      </c>
      <c r="C103">
        <v>2016</v>
      </c>
      <c r="D103" t="s">
        <v>21</v>
      </c>
      <c r="E103" t="s">
        <v>59</v>
      </c>
      <c r="F103" t="s">
        <v>16</v>
      </c>
      <c r="G103">
        <v>5.8529999999999997E-4</v>
      </c>
      <c r="I103">
        <v>6.8200000000000004E-5</v>
      </c>
    </row>
    <row r="104" spans="1:9" x14ac:dyDescent="0.25">
      <c r="A104" s="104" t="str">
        <f t="shared" si="1"/>
        <v>Ethiopia2016NationalPub_MedInjectable</v>
      </c>
      <c r="B104" t="s">
        <v>6</v>
      </c>
      <c r="C104">
        <v>2016</v>
      </c>
      <c r="D104" t="s">
        <v>178</v>
      </c>
      <c r="E104" t="s">
        <v>52</v>
      </c>
      <c r="F104" t="s">
        <v>22</v>
      </c>
      <c r="G104">
        <v>0.1227429</v>
      </c>
      <c r="H104">
        <v>0.1364698</v>
      </c>
      <c r="I104">
        <v>0.13426660000000001</v>
      </c>
    </row>
    <row r="105" spans="1:9" x14ac:dyDescent="0.25">
      <c r="A105" s="104" t="str">
        <f t="shared" si="1"/>
        <v>Ethiopia2016NationalPub_OutreachInjectable</v>
      </c>
      <c r="B105" t="s">
        <v>6</v>
      </c>
      <c r="C105">
        <v>2016</v>
      </c>
      <c r="D105" t="s">
        <v>178</v>
      </c>
      <c r="E105" t="s">
        <v>54</v>
      </c>
      <c r="F105" t="s">
        <v>22</v>
      </c>
      <c r="G105">
        <v>2.3900000000000001E-4</v>
      </c>
      <c r="H105">
        <v>1.8067000000000001E-3</v>
      </c>
      <c r="I105">
        <v>1.3272E-3</v>
      </c>
    </row>
    <row r="106" spans="1:9" x14ac:dyDescent="0.25">
      <c r="A106" s="104" t="str">
        <f t="shared" si="1"/>
        <v>Ethiopia2016NationalNGOInjectable</v>
      </c>
      <c r="B106" t="s">
        <v>6</v>
      </c>
      <c r="C106">
        <v>2016</v>
      </c>
      <c r="D106" t="s">
        <v>178</v>
      </c>
      <c r="E106" t="s">
        <v>170</v>
      </c>
      <c r="F106" t="s">
        <v>22</v>
      </c>
      <c r="G106">
        <v>1.3928E-3</v>
      </c>
      <c r="H106">
        <v>1.4825000000000001E-3</v>
      </c>
      <c r="I106">
        <v>1.1065999999999999E-3</v>
      </c>
    </row>
    <row r="107" spans="1:9" x14ac:dyDescent="0.25">
      <c r="A107" s="104" t="str">
        <f t="shared" si="1"/>
        <v>Ethiopia2016NationalCommercialInjectable</v>
      </c>
      <c r="B107" t="s">
        <v>6</v>
      </c>
      <c r="C107">
        <v>2016</v>
      </c>
      <c r="D107" t="s">
        <v>178</v>
      </c>
      <c r="E107" t="s">
        <v>59</v>
      </c>
      <c r="F107" t="s">
        <v>22</v>
      </c>
      <c r="G107">
        <v>2.4510799999999999E-2</v>
      </c>
      <c r="H107">
        <v>3.3587699999999998E-2</v>
      </c>
      <c r="I107">
        <v>2.57556E-2</v>
      </c>
    </row>
    <row r="108" spans="1:9" x14ac:dyDescent="0.25">
      <c r="A108" s="104" t="str">
        <f t="shared" si="1"/>
        <v>Ethiopia2016NationalOtherInjectable</v>
      </c>
      <c r="B108" t="s">
        <v>6</v>
      </c>
      <c r="C108">
        <v>2016</v>
      </c>
      <c r="D108" t="s">
        <v>178</v>
      </c>
      <c r="E108" t="s">
        <v>116</v>
      </c>
      <c r="F108" t="s">
        <v>22</v>
      </c>
      <c r="G108">
        <v>7.5509999999999998E-4</v>
      </c>
      <c r="H108">
        <v>1.8018000000000001E-3</v>
      </c>
    </row>
    <row r="109" spans="1:9" x14ac:dyDescent="0.25">
      <c r="A109" s="104" t="str">
        <f t="shared" si="1"/>
        <v>Ethiopia2016UrbanPub_MedInjectable</v>
      </c>
      <c r="B109" t="s">
        <v>6</v>
      </c>
      <c r="C109">
        <v>2016</v>
      </c>
      <c r="D109" t="s">
        <v>20</v>
      </c>
      <c r="E109" t="s">
        <v>52</v>
      </c>
      <c r="F109" t="s">
        <v>22</v>
      </c>
      <c r="G109">
        <v>0.1217842</v>
      </c>
      <c r="H109">
        <v>7.4742900000000001E-2</v>
      </c>
      <c r="I109">
        <v>3.3313000000000002E-2</v>
      </c>
    </row>
    <row r="110" spans="1:9" x14ac:dyDescent="0.25">
      <c r="A110" s="104" t="str">
        <f t="shared" si="1"/>
        <v>Ethiopia2016UrbanPub_OutreachInjectable</v>
      </c>
      <c r="B110" t="s">
        <v>6</v>
      </c>
      <c r="C110">
        <v>2016</v>
      </c>
      <c r="D110" t="s">
        <v>20</v>
      </c>
      <c r="E110" t="s">
        <v>54</v>
      </c>
      <c r="F110" t="s">
        <v>22</v>
      </c>
      <c r="G110">
        <v>1.9660000000000001E-4</v>
      </c>
    </row>
    <row r="111" spans="1:9" x14ac:dyDescent="0.25">
      <c r="A111" s="104" t="str">
        <f t="shared" si="1"/>
        <v>Ethiopia2016UrbanNGOInjectable</v>
      </c>
      <c r="B111" t="s">
        <v>6</v>
      </c>
      <c r="C111">
        <v>2016</v>
      </c>
      <c r="D111" t="s">
        <v>20</v>
      </c>
      <c r="E111" t="s">
        <v>170</v>
      </c>
      <c r="F111" t="s">
        <v>22</v>
      </c>
      <c r="G111">
        <v>6.4384999999999998E-3</v>
      </c>
      <c r="H111">
        <v>6.4679000000000004E-3</v>
      </c>
      <c r="I111">
        <v>2.1308999999999998E-3</v>
      </c>
    </row>
    <row r="112" spans="1:9" x14ac:dyDescent="0.25">
      <c r="A112" s="104" t="str">
        <f t="shared" si="1"/>
        <v>Ethiopia2016UrbanCommercialInjectable</v>
      </c>
      <c r="B112" t="s">
        <v>6</v>
      </c>
      <c r="C112">
        <v>2016</v>
      </c>
      <c r="D112" t="s">
        <v>20</v>
      </c>
      <c r="E112" t="s">
        <v>59</v>
      </c>
      <c r="F112" t="s">
        <v>22</v>
      </c>
      <c r="G112">
        <v>5.1250499999999997E-2</v>
      </c>
      <c r="H112">
        <v>5.3499100000000001E-2</v>
      </c>
      <c r="I112">
        <v>1.4969E-2</v>
      </c>
    </row>
    <row r="113" spans="1:9" x14ac:dyDescent="0.25">
      <c r="A113" s="104" t="str">
        <f t="shared" si="1"/>
        <v>Ethiopia2016UrbanOtherInjectable</v>
      </c>
      <c r="B113" t="s">
        <v>6</v>
      </c>
      <c r="C113">
        <v>2016</v>
      </c>
      <c r="D113" t="s">
        <v>20</v>
      </c>
      <c r="E113" t="s">
        <v>116</v>
      </c>
      <c r="F113" t="s">
        <v>22</v>
      </c>
      <c r="G113">
        <v>1.46E-4</v>
      </c>
      <c r="H113">
        <v>1.9900000000000001E-4</v>
      </c>
    </row>
    <row r="114" spans="1:9" x14ac:dyDescent="0.25">
      <c r="A114" s="104" t="str">
        <f t="shared" si="1"/>
        <v>Ethiopia2016RuralPub_MedInjectable</v>
      </c>
      <c r="B114" t="s">
        <v>6</v>
      </c>
      <c r="C114">
        <v>2016</v>
      </c>
      <c r="D114" t="s">
        <v>21</v>
      </c>
      <c r="E114" t="s">
        <v>52</v>
      </c>
      <c r="F114" t="s">
        <v>22</v>
      </c>
      <c r="G114">
        <v>0.12300750000000001</v>
      </c>
      <c r="H114">
        <v>0.15482489999999999</v>
      </c>
      <c r="I114">
        <v>0.16400999999999999</v>
      </c>
    </row>
    <row r="115" spans="1:9" x14ac:dyDescent="0.25">
      <c r="A115" s="104" t="str">
        <f t="shared" si="1"/>
        <v>Ethiopia2016RuralPub_OutreachInjectable</v>
      </c>
      <c r="B115" t="s">
        <v>6</v>
      </c>
      <c r="C115">
        <v>2016</v>
      </c>
      <c r="D115" t="s">
        <v>21</v>
      </c>
      <c r="E115" t="s">
        <v>54</v>
      </c>
      <c r="F115" t="s">
        <v>22</v>
      </c>
      <c r="G115">
        <v>2.5070000000000002E-4</v>
      </c>
      <c r="H115">
        <v>2.3440000000000002E-3</v>
      </c>
      <c r="I115">
        <v>1.7183000000000001E-3</v>
      </c>
    </row>
    <row r="116" spans="1:9" x14ac:dyDescent="0.25">
      <c r="A116" s="104" t="str">
        <f t="shared" si="1"/>
        <v>Ethiopia2016RuralNGOInjectable</v>
      </c>
      <c r="B116" t="s">
        <v>6</v>
      </c>
      <c r="C116">
        <v>2016</v>
      </c>
      <c r="D116" t="s">
        <v>21</v>
      </c>
      <c r="E116" t="s">
        <v>170</v>
      </c>
      <c r="F116" t="s">
        <v>22</v>
      </c>
      <c r="I116">
        <v>8.0480000000000005E-4</v>
      </c>
    </row>
    <row r="117" spans="1:9" x14ac:dyDescent="0.25">
      <c r="A117" s="104" t="str">
        <f t="shared" si="1"/>
        <v>Ethiopia2016RuralCommercialInjectable</v>
      </c>
      <c r="B117" t="s">
        <v>6</v>
      </c>
      <c r="C117">
        <v>2016</v>
      </c>
      <c r="D117" t="s">
        <v>21</v>
      </c>
      <c r="E117" t="s">
        <v>59</v>
      </c>
      <c r="F117" t="s">
        <v>22</v>
      </c>
      <c r="G117">
        <v>1.7129800000000001E-2</v>
      </c>
      <c r="H117">
        <v>2.7666799999999998E-2</v>
      </c>
      <c r="I117">
        <v>2.8933500000000001E-2</v>
      </c>
    </row>
    <row r="118" spans="1:9" x14ac:dyDescent="0.25">
      <c r="A118" s="104" t="str">
        <f t="shared" si="1"/>
        <v>Ethiopia2016RuralOtherInjectable</v>
      </c>
      <c r="B118" t="s">
        <v>6</v>
      </c>
      <c r="C118">
        <v>2016</v>
      </c>
      <c r="D118" t="s">
        <v>21</v>
      </c>
      <c r="E118" t="s">
        <v>116</v>
      </c>
      <c r="F118" t="s">
        <v>22</v>
      </c>
      <c r="G118">
        <v>9.232E-4</v>
      </c>
      <c r="H118">
        <v>2.2783999999999999E-3</v>
      </c>
    </row>
    <row r="119" spans="1:9" x14ac:dyDescent="0.25">
      <c r="A119" s="104" t="str">
        <f t="shared" si="1"/>
        <v>Ethiopia2016NationalPub_MedCondom</v>
      </c>
      <c r="B119" t="s">
        <v>6</v>
      </c>
      <c r="C119">
        <v>2016</v>
      </c>
      <c r="D119" t="s">
        <v>178</v>
      </c>
      <c r="E119" t="s">
        <v>52</v>
      </c>
      <c r="F119" t="s">
        <v>25</v>
      </c>
      <c r="G119">
        <v>1.317E-4</v>
      </c>
      <c r="H119">
        <v>5.0549999999999998E-4</v>
      </c>
      <c r="I119">
        <v>3.3990000000000002E-4</v>
      </c>
    </row>
    <row r="120" spans="1:9" x14ac:dyDescent="0.25">
      <c r="A120" s="104" t="str">
        <f t="shared" si="1"/>
        <v>Ethiopia2016NationalPub_OutreachCondom</v>
      </c>
      <c r="B120" t="s">
        <v>6</v>
      </c>
      <c r="C120">
        <v>2016</v>
      </c>
      <c r="D120" t="s">
        <v>178</v>
      </c>
      <c r="E120" t="s">
        <v>54</v>
      </c>
      <c r="F120" t="s">
        <v>25</v>
      </c>
      <c r="I120">
        <v>1.595E-4</v>
      </c>
    </row>
    <row r="121" spans="1:9" x14ac:dyDescent="0.25">
      <c r="A121" s="104" t="str">
        <f t="shared" si="1"/>
        <v>Ethiopia2016NationalCommercialCondom</v>
      </c>
      <c r="B121" t="s">
        <v>6</v>
      </c>
      <c r="C121">
        <v>2016</v>
      </c>
      <c r="D121" t="s">
        <v>178</v>
      </c>
      <c r="E121" t="s">
        <v>59</v>
      </c>
      <c r="F121" t="s">
        <v>25</v>
      </c>
      <c r="G121" s="222">
        <v>9.3600000000000002E-6</v>
      </c>
      <c r="H121">
        <v>6.3009999999999997E-4</v>
      </c>
      <c r="I121">
        <v>1.6557E-3</v>
      </c>
    </row>
    <row r="122" spans="1:9" x14ac:dyDescent="0.25">
      <c r="A122" s="104" t="str">
        <f t="shared" si="1"/>
        <v>Ethiopia2016NationalNonTradCondom</v>
      </c>
      <c r="B122" t="s">
        <v>6</v>
      </c>
      <c r="C122">
        <v>2016</v>
      </c>
      <c r="D122" t="s">
        <v>178</v>
      </c>
      <c r="E122" t="s">
        <v>171</v>
      </c>
      <c r="F122" t="s">
        <v>25</v>
      </c>
      <c r="G122" s="222">
        <v>4.5800000000000002E-6</v>
      </c>
      <c r="I122">
        <v>1.796E-4</v>
      </c>
    </row>
    <row r="123" spans="1:9" x14ac:dyDescent="0.25">
      <c r="A123" s="104" t="str">
        <f t="shared" si="1"/>
        <v>Ethiopia2016NationalOtherCondom</v>
      </c>
      <c r="B123" t="s">
        <v>6</v>
      </c>
      <c r="C123">
        <v>2016</v>
      </c>
      <c r="D123" t="s">
        <v>178</v>
      </c>
      <c r="E123" t="s">
        <v>116</v>
      </c>
      <c r="F123" t="s">
        <v>25</v>
      </c>
      <c r="G123">
        <v>6.3E-5</v>
      </c>
      <c r="H123">
        <v>4.6500000000000003E-4</v>
      </c>
      <c r="I123">
        <v>4.0279999999999998E-4</v>
      </c>
    </row>
    <row r="124" spans="1:9" x14ac:dyDescent="0.25">
      <c r="A124" s="104" t="str">
        <f t="shared" si="1"/>
        <v>Ethiopia2016UrbanPub_MedCondom</v>
      </c>
      <c r="B124" t="s">
        <v>6</v>
      </c>
      <c r="C124">
        <v>2016</v>
      </c>
      <c r="D124" t="s">
        <v>20</v>
      </c>
      <c r="E124" t="s">
        <v>52</v>
      </c>
      <c r="F124" t="s">
        <v>25</v>
      </c>
      <c r="G124">
        <v>6.089E-4</v>
      </c>
      <c r="H124">
        <v>2.2052999999999999E-3</v>
      </c>
      <c r="I124">
        <v>1.4936000000000001E-3</v>
      </c>
    </row>
    <row r="125" spans="1:9" x14ac:dyDescent="0.25">
      <c r="A125" s="104" t="str">
        <f t="shared" si="1"/>
        <v>Ethiopia2016UrbanPub_OutreachCondom</v>
      </c>
      <c r="B125" t="s">
        <v>6</v>
      </c>
      <c r="C125">
        <v>2016</v>
      </c>
      <c r="D125" t="s">
        <v>20</v>
      </c>
      <c r="E125" t="s">
        <v>54</v>
      </c>
      <c r="F125" t="s">
        <v>25</v>
      </c>
      <c r="I125">
        <v>7.0100000000000002E-4</v>
      </c>
    </row>
    <row r="126" spans="1:9" x14ac:dyDescent="0.25">
      <c r="A126" s="104" t="str">
        <f t="shared" si="1"/>
        <v>Ethiopia2016UrbanCommercialCondom</v>
      </c>
      <c r="B126" t="s">
        <v>6</v>
      </c>
      <c r="C126">
        <v>2016</v>
      </c>
      <c r="D126" t="s">
        <v>20</v>
      </c>
      <c r="E126" t="s">
        <v>59</v>
      </c>
      <c r="F126" t="s">
        <v>25</v>
      </c>
      <c r="G126">
        <v>4.3300000000000002E-5</v>
      </c>
      <c r="H126">
        <v>2.7490000000000001E-3</v>
      </c>
      <c r="I126">
        <v>7.2756000000000001E-3</v>
      </c>
    </row>
    <row r="127" spans="1:9" x14ac:dyDescent="0.25">
      <c r="A127" s="104" t="str">
        <f t="shared" si="1"/>
        <v>Ethiopia2016UrbanNonTradCondom</v>
      </c>
      <c r="B127" t="s">
        <v>6</v>
      </c>
      <c r="C127">
        <v>2016</v>
      </c>
      <c r="D127" t="s">
        <v>20</v>
      </c>
      <c r="E127" t="s">
        <v>171</v>
      </c>
      <c r="F127" t="s">
        <v>25</v>
      </c>
      <c r="G127">
        <v>2.12E-5</v>
      </c>
      <c r="I127">
        <v>7.894E-4</v>
      </c>
    </row>
    <row r="128" spans="1:9" x14ac:dyDescent="0.25">
      <c r="A128" s="104" t="str">
        <f t="shared" si="1"/>
        <v>Ethiopia2016UrbanOtherCondom</v>
      </c>
      <c r="B128" t="s">
        <v>6</v>
      </c>
      <c r="C128">
        <v>2016</v>
      </c>
      <c r="D128" t="s">
        <v>20</v>
      </c>
      <c r="E128" t="s">
        <v>116</v>
      </c>
      <c r="F128" t="s">
        <v>25</v>
      </c>
      <c r="G128">
        <v>2.9139999999999998E-4</v>
      </c>
      <c r="H128">
        <v>2.0289000000000001E-3</v>
      </c>
      <c r="I128">
        <v>1.7699E-3</v>
      </c>
    </row>
    <row r="129" spans="1:9" x14ac:dyDescent="0.25">
      <c r="A129" s="104" t="str">
        <f t="shared" si="1"/>
        <v>Ethiopia2016NationalPub_MedImplant</v>
      </c>
      <c r="B129" t="s">
        <v>6</v>
      </c>
      <c r="C129">
        <v>2016</v>
      </c>
      <c r="D129" t="s">
        <v>178</v>
      </c>
      <c r="E129" t="s">
        <v>52</v>
      </c>
      <c r="F129" t="s">
        <v>23</v>
      </c>
      <c r="G129">
        <v>5.61737E-2</v>
      </c>
      <c r="H129">
        <v>5.9770200000000002E-2</v>
      </c>
      <c r="I129">
        <v>4.4793699999999999E-2</v>
      </c>
    </row>
    <row r="130" spans="1:9" x14ac:dyDescent="0.25">
      <c r="A130" s="104" t="str">
        <f t="shared" si="1"/>
        <v>Ethiopia2016NationalPub_OutreachImplant</v>
      </c>
      <c r="B130" t="s">
        <v>6</v>
      </c>
      <c r="C130">
        <v>2016</v>
      </c>
      <c r="D130" t="s">
        <v>178</v>
      </c>
      <c r="E130" t="s">
        <v>54</v>
      </c>
      <c r="F130" t="s">
        <v>23</v>
      </c>
      <c r="G130">
        <v>7.3800000000000005E-5</v>
      </c>
    </row>
    <row r="131" spans="1:9" x14ac:dyDescent="0.25">
      <c r="A131" s="104" t="str">
        <f t="shared" ref="A131:A194" si="2">B131&amp;C131&amp;D131&amp;E131&amp;F131</f>
        <v>Ethiopia2016NationalNGOImplant</v>
      </c>
      <c r="B131" t="s">
        <v>6</v>
      </c>
      <c r="C131">
        <v>2016</v>
      </c>
      <c r="D131" t="s">
        <v>178</v>
      </c>
      <c r="E131" t="s">
        <v>170</v>
      </c>
      <c r="F131" t="s">
        <v>23</v>
      </c>
      <c r="G131">
        <v>4.8509999999999997E-4</v>
      </c>
      <c r="H131">
        <v>1.3569999999999999E-3</v>
      </c>
      <c r="I131">
        <v>2.6015999999999999E-3</v>
      </c>
    </row>
    <row r="132" spans="1:9" x14ac:dyDescent="0.25">
      <c r="A132" s="104" t="str">
        <f t="shared" si="2"/>
        <v>Ethiopia2016NationalCommercialImplant</v>
      </c>
      <c r="B132" t="s">
        <v>6</v>
      </c>
      <c r="C132">
        <v>2016</v>
      </c>
      <c r="D132" t="s">
        <v>178</v>
      </c>
      <c r="E132" t="s">
        <v>59</v>
      </c>
      <c r="F132" t="s">
        <v>23</v>
      </c>
      <c r="G132">
        <v>2.3092999999999998E-3</v>
      </c>
      <c r="H132">
        <v>2.1844E-3</v>
      </c>
      <c r="I132">
        <v>2.7230000000000001E-4</v>
      </c>
    </row>
    <row r="133" spans="1:9" x14ac:dyDescent="0.25">
      <c r="A133" s="104" t="str">
        <f t="shared" si="2"/>
        <v>Ethiopia2016NationalOtherImplant</v>
      </c>
      <c r="B133" t="s">
        <v>6</v>
      </c>
      <c r="C133">
        <v>2016</v>
      </c>
      <c r="D133" t="s">
        <v>178</v>
      </c>
      <c r="E133" t="s">
        <v>116</v>
      </c>
      <c r="F133" t="s">
        <v>23</v>
      </c>
      <c r="G133">
        <v>1.9199999999999999E-5</v>
      </c>
      <c r="H133">
        <v>5.8499999999999999E-5</v>
      </c>
      <c r="I133">
        <v>2.4199999999999999E-5</v>
      </c>
    </row>
    <row r="134" spans="1:9" x14ac:dyDescent="0.25">
      <c r="A134" s="104" t="str">
        <f t="shared" si="2"/>
        <v>Ethiopia2016UrbanPub_MedImplant</v>
      </c>
      <c r="B134" t="s">
        <v>6</v>
      </c>
      <c r="C134">
        <v>2016</v>
      </c>
      <c r="D134" t="s">
        <v>20</v>
      </c>
      <c r="E134" t="s">
        <v>52</v>
      </c>
      <c r="F134" t="s">
        <v>23</v>
      </c>
      <c r="G134">
        <v>5.6629699999999998E-2</v>
      </c>
      <c r="H134">
        <v>5.8749200000000001E-2</v>
      </c>
      <c r="I134">
        <v>2.7015399999999998E-2</v>
      </c>
    </row>
    <row r="135" spans="1:9" x14ac:dyDescent="0.25">
      <c r="A135" s="104" t="str">
        <f t="shared" si="2"/>
        <v>Ethiopia2016UrbanNGOImplant</v>
      </c>
      <c r="B135" t="s">
        <v>6</v>
      </c>
      <c r="C135">
        <v>2016</v>
      </c>
      <c r="D135" t="s">
        <v>20</v>
      </c>
      <c r="E135" t="s">
        <v>170</v>
      </c>
      <c r="F135" t="s">
        <v>23</v>
      </c>
      <c r="G135">
        <v>2.1431000000000002E-3</v>
      </c>
      <c r="H135">
        <v>5.9205999999999998E-3</v>
      </c>
      <c r="I135">
        <v>8.2912999999999997E-3</v>
      </c>
    </row>
    <row r="136" spans="1:9" x14ac:dyDescent="0.25">
      <c r="A136" s="104" t="str">
        <f t="shared" si="2"/>
        <v>Ethiopia2016UrbanCommercialImplant</v>
      </c>
      <c r="B136" t="s">
        <v>6</v>
      </c>
      <c r="C136">
        <v>2016</v>
      </c>
      <c r="D136" t="s">
        <v>20</v>
      </c>
      <c r="E136" t="s">
        <v>59</v>
      </c>
      <c r="F136" t="s">
        <v>23</v>
      </c>
      <c r="G136">
        <v>9.0875000000000001E-3</v>
      </c>
      <c r="H136">
        <v>8.8535999999999997E-3</v>
      </c>
      <c r="I136">
        <v>1.0893999999999999E-3</v>
      </c>
    </row>
    <row r="137" spans="1:9" x14ac:dyDescent="0.25">
      <c r="A137" s="104" t="str">
        <f t="shared" si="2"/>
        <v>Ethiopia2016UrbanOtherImplant</v>
      </c>
      <c r="B137" t="s">
        <v>6</v>
      </c>
      <c r="C137">
        <v>2016</v>
      </c>
      <c r="D137" t="s">
        <v>20</v>
      </c>
      <c r="E137" t="s">
        <v>116</v>
      </c>
      <c r="F137" t="s">
        <v>23</v>
      </c>
      <c r="G137">
        <v>8.8599999999999999E-5</v>
      </c>
      <c r="H137">
        <v>2.5539999999999997E-4</v>
      </c>
      <c r="I137">
        <v>1.0620000000000001E-4</v>
      </c>
    </row>
    <row r="138" spans="1:9" x14ac:dyDescent="0.25">
      <c r="A138" s="104" t="str">
        <f t="shared" si="2"/>
        <v>Ethiopia2016RuralPub_MedImplant</v>
      </c>
      <c r="B138" t="s">
        <v>6</v>
      </c>
      <c r="C138">
        <v>2016</v>
      </c>
      <c r="D138" t="s">
        <v>21</v>
      </c>
      <c r="E138" t="s">
        <v>52</v>
      </c>
      <c r="F138" t="s">
        <v>23</v>
      </c>
      <c r="G138">
        <v>5.6047899999999998E-2</v>
      </c>
      <c r="H138">
        <v>6.0073799999999997E-2</v>
      </c>
      <c r="I138">
        <v>5.0031600000000002E-2</v>
      </c>
    </row>
    <row r="139" spans="1:9" x14ac:dyDescent="0.25">
      <c r="A139" s="104" t="str">
        <f t="shared" si="2"/>
        <v>Ethiopia2016RuralPub_OutreachImplant</v>
      </c>
      <c r="B139" t="s">
        <v>6</v>
      </c>
      <c r="C139">
        <v>2016</v>
      </c>
      <c r="D139" t="s">
        <v>21</v>
      </c>
      <c r="E139" t="s">
        <v>54</v>
      </c>
      <c r="F139" t="s">
        <v>23</v>
      </c>
      <c r="G139">
        <v>9.4099999999999997E-5</v>
      </c>
    </row>
    <row r="140" spans="1:9" x14ac:dyDescent="0.25">
      <c r="A140" s="104" t="str">
        <f t="shared" si="2"/>
        <v>Ethiopia2016RuralNGOImplant</v>
      </c>
      <c r="B140" t="s">
        <v>6</v>
      </c>
      <c r="C140">
        <v>2016</v>
      </c>
      <c r="D140" t="s">
        <v>21</v>
      </c>
      <c r="E140" t="s">
        <v>170</v>
      </c>
      <c r="F140" t="s">
        <v>23</v>
      </c>
      <c r="G140">
        <v>2.7399999999999999E-5</v>
      </c>
      <c r="I140">
        <v>9.2529999999999999E-4</v>
      </c>
    </row>
    <row r="141" spans="1:9" x14ac:dyDescent="0.25">
      <c r="A141" s="104" t="str">
        <f t="shared" si="2"/>
        <v>Ethiopia2016RuralCommercialImplant</v>
      </c>
      <c r="B141" t="s">
        <v>6</v>
      </c>
      <c r="C141">
        <v>2016</v>
      </c>
      <c r="D141" t="s">
        <v>21</v>
      </c>
      <c r="E141" t="s">
        <v>59</v>
      </c>
      <c r="F141" t="s">
        <v>23</v>
      </c>
      <c r="G141">
        <v>4.3839999999999998E-4</v>
      </c>
      <c r="H141">
        <v>2.0120000000000001E-4</v>
      </c>
      <c r="I141">
        <v>3.1600000000000002E-5</v>
      </c>
    </row>
    <row r="142" spans="1:9" x14ac:dyDescent="0.25">
      <c r="A142" s="104" t="str">
        <f t="shared" si="2"/>
        <v>Haiti2012NationalPub_MedPill</v>
      </c>
      <c r="B142" t="s">
        <v>138</v>
      </c>
      <c r="C142">
        <v>2012</v>
      </c>
      <c r="D142" t="s">
        <v>178</v>
      </c>
      <c r="E142" t="s">
        <v>52</v>
      </c>
      <c r="F142" t="s">
        <v>12</v>
      </c>
      <c r="G142">
        <v>2.9976E-3</v>
      </c>
      <c r="H142">
        <v>2.1562E-3</v>
      </c>
      <c r="I142">
        <v>1.8487E-3</v>
      </c>
    </row>
    <row r="143" spans="1:9" x14ac:dyDescent="0.25">
      <c r="A143" s="104" t="str">
        <f t="shared" si="2"/>
        <v>Haiti2012NationalPub_OutreachPill</v>
      </c>
      <c r="B143" t="s">
        <v>138</v>
      </c>
      <c r="C143">
        <v>2012</v>
      </c>
      <c r="D143" t="s">
        <v>178</v>
      </c>
      <c r="E143" t="s">
        <v>54</v>
      </c>
      <c r="F143" t="s">
        <v>12</v>
      </c>
      <c r="G143">
        <v>1.1567000000000001E-3</v>
      </c>
      <c r="H143">
        <v>1.3932E-3</v>
      </c>
      <c r="I143">
        <v>1.0235999999999999E-3</v>
      </c>
    </row>
    <row r="144" spans="1:9" x14ac:dyDescent="0.25">
      <c r="A144" s="104" t="str">
        <f t="shared" si="2"/>
        <v>Haiti2012NationalNGOPill</v>
      </c>
      <c r="B144" t="s">
        <v>138</v>
      </c>
      <c r="C144">
        <v>2012</v>
      </c>
      <c r="D144" t="s">
        <v>178</v>
      </c>
      <c r="E144" t="s">
        <v>170</v>
      </c>
      <c r="F144" t="s">
        <v>12</v>
      </c>
      <c r="G144">
        <v>3.7073000000000002E-3</v>
      </c>
      <c r="H144">
        <v>4.9899999999999996E-3</v>
      </c>
      <c r="I144">
        <v>1.1298E-3</v>
      </c>
    </row>
    <row r="145" spans="1:9" x14ac:dyDescent="0.25">
      <c r="A145" s="104" t="str">
        <f t="shared" si="2"/>
        <v>Haiti2012NationalCommercialPill</v>
      </c>
      <c r="B145" t="s">
        <v>138</v>
      </c>
      <c r="C145">
        <v>2012</v>
      </c>
      <c r="D145" t="s">
        <v>178</v>
      </c>
      <c r="E145" t="s">
        <v>59</v>
      </c>
      <c r="F145" t="s">
        <v>12</v>
      </c>
      <c r="G145">
        <v>7.7358000000000001E-3</v>
      </c>
      <c r="H145">
        <v>6.1073000000000004E-3</v>
      </c>
      <c r="I145">
        <v>9.1348000000000002E-3</v>
      </c>
    </row>
    <row r="146" spans="1:9" x14ac:dyDescent="0.25">
      <c r="A146" s="104" t="str">
        <f t="shared" si="2"/>
        <v>Haiti2012NationalNonTradPill</v>
      </c>
      <c r="B146" t="s">
        <v>138</v>
      </c>
      <c r="C146">
        <v>2012</v>
      </c>
      <c r="D146" t="s">
        <v>178</v>
      </c>
      <c r="E146" t="s">
        <v>171</v>
      </c>
      <c r="F146" t="s">
        <v>12</v>
      </c>
      <c r="G146">
        <v>8.6680000000000004E-4</v>
      </c>
      <c r="H146">
        <v>2.4723000000000002E-3</v>
      </c>
      <c r="I146">
        <v>8.8179999999999997E-4</v>
      </c>
    </row>
    <row r="147" spans="1:9" x14ac:dyDescent="0.25">
      <c r="A147" s="104" t="str">
        <f t="shared" si="2"/>
        <v>Haiti2012NationalOtherPill</v>
      </c>
      <c r="B147" t="s">
        <v>138</v>
      </c>
      <c r="C147">
        <v>2012</v>
      </c>
      <c r="D147" t="s">
        <v>178</v>
      </c>
      <c r="E147" t="s">
        <v>116</v>
      </c>
      <c r="F147" t="s">
        <v>12</v>
      </c>
      <c r="G147">
        <v>6.2160000000000004E-4</v>
      </c>
      <c r="H147">
        <v>1.1437999999999999E-3</v>
      </c>
    </row>
    <row r="148" spans="1:9" x14ac:dyDescent="0.25">
      <c r="A148" s="104" t="str">
        <f t="shared" si="2"/>
        <v>Haiti2012UrbanPub_MedPill</v>
      </c>
      <c r="B148" t="s">
        <v>138</v>
      </c>
      <c r="C148">
        <v>2012</v>
      </c>
      <c r="D148" t="s">
        <v>20</v>
      </c>
      <c r="E148" t="s">
        <v>52</v>
      </c>
      <c r="F148" t="s">
        <v>12</v>
      </c>
      <c r="G148">
        <v>3.9713999999999999E-3</v>
      </c>
      <c r="H148">
        <v>2.8605000000000002E-3</v>
      </c>
      <c r="I148">
        <v>2.6732000000000001E-3</v>
      </c>
    </row>
    <row r="149" spans="1:9" x14ac:dyDescent="0.25">
      <c r="A149" s="104" t="str">
        <f t="shared" si="2"/>
        <v>Haiti2012UrbanPub_OutreachPill</v>
      </c>
      <c r="B149" t="s">
        <v>138</v>
      </c>
      <c r="C149">
        <v>2012</v>
      </c>
      <c r="D149" t="s">
        <v>20</v>
      </c>
      <c r="E149" t="s">
        <v>54</v>
      </c>
      <c r="F149" t="s">
        <v>12</v>
      </c>
      <c r="G149">
        <v>1.1987E-3</v>
      </c>
      <c r="H149">
        <v>1.0773E-3</v>
      </c>
      <c r="I149">
        <v>9.0189999999999997E-4</v>
      </c>
    </row>
    <row r="150" spans="1:9" x14ac:dyDescent="0.25">
      <c r="A150" s="104" t="str">
        <f t="shared" si="2"/>
        <v>Haiti2012UrbanNGOPill</v>
      </c>
      <c r="B150" t="s">
        <v>138</v>
      </c>
      <c r="C150">
        <v>2012</v>
      </c>
      <c r="D150" t="s">
        <v>20</v>
      </c>
      <c r="E150" t="s">
        <v>170</v>
      </c>
      <c r="F150" t="s">
        <v>12</v>
      </c>
      <c r="G150">
        <v>4.7219999999999999E-4</v>
      </c>
    </row>
    <row r="151" spans="1:9" x14ac:dyDescent="0.25">
      <c r="A151" s="104" t="str">
        <f t="shared" si="2"/>
        <v>Haiti2012UrbanCommercialPill</v>
      </c>
      <c r="B151" t="s">
        <v>138</v>
      </c>
      <c r="C151">
        <v>2012</v>
      </c>
      <c r="D151" t="s">
        <v>20</v>
      </c>
      <c r="E151" t="s">
        <v>59</v>
      </c>
      <c r="F151" t="s">
        <v>12</v>
      </c>
      <c r="G151">
        <v>5.555E-3</v>
      </c>
      <c r="H151">
        <v>2.9932000000000001E-3</v>
      </c>
      <c r="I151">
        <v>5.8295999999999999E-3</v>
      </c>
    </row>
    <row r="152" spans="1:9" x14ac:dyDescent="0.25">
      <c r="A152" s="104" t="str">
        <f t="shared" si="2"/>
        <v>Haiti2012UrbanNonTradPill</v>
      </c>
      <c r="B152" t="s">
        <v>138</v>
      </c>
      <c r="C152">
        <v>2012</v>
      </c>
      <c r="D152" t="s">
        <v>20</v>
      </c>
      <c r="E152" t="s">
        <v>171</v>
      </c>
      <c r="F152" t="s">
        <v>12</v>
      </c>
      <c r="G152">
        <v>1.6144E-3</v>
      </c>
      <c r="H152">
        <v>3.1424999999999999E-3</v>
      </c>
    </row>
    <row r="153" spans="1:9" x14ac:dyDescent="0.25">
      <c r="A153" s="104" t="str">
        <f t="shared" si="2"/>
        <v>Haiti2012UrbanOtherPill</v>
      </c>
      <c r="B153" t="s">
        <v>138</v>
      </c>
      <c r="C153">
        <v>2012</v>
      </c>
      <c r="D153" t="s">
        <v>20</v>
      </c>
      <c r="E153" t="s">
        <v>116</v>
      </c>
      <c r="F153" t="s">
        <v>12</v>
      </c>
      <c r="G153">
        <v>1.1747999999999999E-3</v>
      </c>
      <c r="H153">
        <v>1.8036E-3</v>
      </c>
    </row>
    <row r="154" spans="1:9" x14ac:dyDescent="0.25">
      <c r="A154" s="104" t="str">
        <f t="shared" si="2"/>
        <v>Haiti2012UrbanPill</v>
      </c>
      <c r="B154" t="s">
        <v>138</v>
      </c>
      <c r="C154">
        <v>2012</v>
      </c>
      <c r="D154" t="s">
        <v>20</v>
      </c>
      <c r="F154" t="s">
        <v>12</v>
      </c>
      <c r="G154">
        <v>9.4205999999999995E-3</v>
      </c>
      <c r="H154">
        <v>9.1996999999999999E-3</v>
      </c>
      <c r="I154">
        <v>8.6593E-3</v>
      </c>
    </row>
    <row r="155" spans="1:9" x14ac:dyDescent="0.25">
      <c r="A155" s="104" t="str">
        <f t="shared" si="2"/>
        <v>Haiti2012RuralPub_MedPill</v>
      </c>
      <c r="B155" t="s">
        <v>138</v>
      </c>
      <c r="C155">
        <v>2012</v>
      </c>
      <c r="D155" t="s">
        <v>21</v>
      </c>
      <c r="E155" t="s">
        <v>52</v>
      </c>
      <c r="F155" t="s">
        <v>12</v>
      </c>
      <c r="G155">
        <v>2.0793999999999999E-3</v>
      </c>
      <c r="H155">
        <v>1.4568000000000001E-3</v>
      </c>
      <c r="I155">
        <v>1.2237000000000001E-3</v>
      </c>
    </row>
    <row r="156" spans="1:9" x14ac:dyDescent="0.25">
      <c r="A156" s="104" t="str">
        <f t="shared" si="2"/>
        <v>Haiti2012RuralPub_OutreachPill</v>
      </c>
      <c r="B156" t="s">
        <v>138</v>
      </c>
      <c r="C156">
        <v>2012</v>
      </c>
      <c r="D156" t="s">
        <v>21</v>
      </c>
      <c r="E156" t="s">
        <v>54</v>
      </c>
      <c r="F156" t="s">
        <v>12</v>
      </c>
      <c r="G156">
        <v>1.1171E-3</v>
      </c>
      <c r="H156">
        <v>1.7068999999999999E-3</v>
      </c>
      <c r="I156">
        <v>1.1159E-3</v>
      </c>
    </row>
    <row r="157" spans="1:9" x14ac:dyDescent="0.25">
      <c r="A157" s="104" t="str">
        <f t="shared" si="2"/>
        <v>Haiti2012RuralNGOPill</v>
      </c>
      <c r="B157" t="s">
        <v>138</v>
      </c>
      <c r="C157">
        <v>2012</v>
      </c>
      <c r="D157" t="s">
        <v>21</v>
      </c>
      <c r="E157" t="s">
        <v>170</v>
      </c>
      <c r="F157" t="s">
        <v>12</v>
      </c>
      <c r="G157">
        <v>5.2300000000000003E-4</v>
      </c>
      <c r="H157">
        <v>2.8243000000000001E-3</v>
      </c>
    </row>
    <row r="158" spans="1:9" x14ac:dyDescent="0.25">
      <c r="A158" s="104" t="str">
        <f t="shared" si="2"/>
        <v>Haiti2012RuralCommercialPill</v>
      </c>
      <c r="B158" t="s">
        <v>138</v>
      </c>
      <c r="C158">
        <v>2012</v>
      </c>
      <c r="D158" t="s">
        <v>21</v>
      </c>
      <c r="E158" t="s">
        <v>59</v>
      </c>
      <c r="F158" t="s">
        <v>12</v>
      </c>
      <c r="G158">
        <v>5.5173000000000002E-3</v>
      </c>
      <c r="H158">
        <v>7.1850000000000004E-3</v>
      </c>
      <c r="I158">
        <v>3.5523999999999998E-3</v>
      </c>
    </row>
    <row r="159" spans="1:9" x14ac:dyDescent="0.25">
      <c r="A159" s="104" t="str">
        <f t="shared" si="2"/>
        <v>Haiti2012RuralNonTradPill</v>
      </c>
      <c r="B159" t="s">
        <v>138</v>
      </c>
      <c r="C159">
        <v>2012</v>
      </c>
      <c r="D159" t="s">
        <v>21</v>
      </c>
      <c r="E159" t="s">
        <v>171</v>
      </c>
      <c r="F159" t="s">
        <v>12</v>
      </c>
      <c r="G159">
        <v>1.6190000000000001E-4</v>
      </c>
      <c r="H159">
        <v>1.8069E-3</v>
      </c>
      <c r="I159">
        <v>1.5502999999999999E-3</v>
      </c>
    </row>
    <row r="160" spans="1:9" x14ac:dyDescent="0.25">
      <c r="A160" s="104" t="str">
        <f t="shared" si="2"/>
        <v>Haiti2012RuralOtherPill</v>
      </c>
      <c r="B160" t="s">
        <v>138</v>
      </c>
      <c r="C160">
        <v>2012</v>
      </c>
      <c r="D160" t="s">
        <v>21</v>
      </c>
      <c r="E160" t="s">
        <v>116</v>
      </c>
      <c r="F160" t="s">
        <v>12</v>
      </c>
      <c r="G160">
        <v>1.0009999999999999E-4</v>
      </c>
      <c r="H160">
        <v>4.8859999999999995E-4</v>
      </c>
    </row>
    <row r="161" spans="1:9" x14ac:dyDescent="0.25">
      <c r="A161" s="104" t="str">
        <f t="shared" si="2"/>
        <v>Haiti2012RuralPill</v>
      </c>
      <c r="B161" t="s">
        <v>138</v>
      </c>
      <c r="C161">
        <v>2012</v>
      </c>
      <c r="D161" t="s">
        <v>21</v>
      </c>
      <c r="F161" t="s">
        <v>12</v>
      </c>
      <c r="G161">
        <v>1.6268000000000001E-3</v>
      </c>
      <c r="I161">
        <v>3.5102000000000002E-3</v>
      </c>
    </row>
    <row r="162" spans="1:9" x14ac:dyDescent="0.25">
      <c r="A162" s="104" t="str">
        <f t="shared" si="2"/>
        <v>Haiti2012NationalPub_OutreachIUD</v>
      </c>
      <c r="B162" t="s">
        <v>138</v>
      </c>
      <c r="C162">
        <v>2012</v>
      </c>
      <c r="D162" t="s">
        <v>178</v>
      </c>
      <c r="E162" t="s">
        <v>54</v>
      </c>
      <c r="F162" t="s">
        <v>16</v>
      </c>
      <c r="H162">
        <v>5.6939999999999996E-4</v>
      </c>
      <c r="I162">
        <v>2.4230000000000001E-4</v>
      </c>
    </row>
    <row r="163" spans="1:9" x14ac:dyDescent="0.25">
      <c r="A163" s="104" t="str">
        <f t="shared" si="2"/>
        <v>Haiti2012NationalCommercialIUD</v>
      </c>
      <c r="B163" t="s">
        <v>138</v>
      </c>
      <c r="C163">
        <v>2012</v>
      </c>
      <c r="D163" t="s">
        <v>178</v>
      </c>
      <c r="E163" t="s">
        <v>59</v>
      </c>
      <c r="F163" t="s">
        <v>16</v>
      </c>
      <c r="G163">
        <v>1.328E-4</v>
      </c>
      <c r="I163">
        <v>3.1119999999999997E-4</v>
      </c>
    </row>
    <row r="164" spans="1:9" x14ac:dyDescent="0.25">
      <c r="A164" s="104" t="str">
        <f t="shared" si="2"/>
        <v>Haiti2012NationalOtherIUD</v>
      </c>
      <c r="B164" t="s">
        <v>138</v>
      </c>
      <c r="C164">
        <v>2012</v>
      </c>
      <c r="D164" t="s">
        <v>178</v>
      </c>
      <c r="E164" t="s">
        <v>116</v>
      </c>
      <c r="F164" t="s">
        <v>16</v>
      </c>
      <c r="H164">
        <v>6.5780000000000005E-4</v>
      </c>
    </row>
    <row r="165" spans="1:9" x14ac:dyDescent="0.25">
      <c r="A165" s="104" t="str">
        <f t="shared" si="2"/>
        <v>Haiti2012UrbanPub_OutreachIUD</v>
      </c>
      <c r="B165" t="s">
        <v>138</v>
      </c>
      <c r="C165">
        <v>2012</v>
      </c>
      <c r="D165" t="s">
        <v>20</v>
      </c>
      <c r="E165" t="s">
        <v>54</v>
      </c>
      <c r="F165" t="s">
        <v>16</v>
      </c>
      <c r="H165">
        <v>1.1428E-3</v>
      </c>
      <c r="I165">
        <v>5.6190000000000005E-4</v>
      </c>
    </row>
    <row r="166" spans="1:9" x14ac:dyDescent="0.25">
      <c r="A166" s="104" t="str">
        <f t="shared" si="2"/>
        <v>Haiti2012UrbanCommercialIUD</v>
      </c>
      <c r="B166" t="s">
        <v>138</v>
      </c>
      <c r="C166">
        <v>2012</v>
      </c>
      <c r="D166" t="s">
        <v>20</v>
      </c>
      <c r="E166" t="s">
        <v>59</v>
      </c>
      <c r="F166" t="s">
        <v>16</v>
      </c>
      <c r="G166">
        <v>2.7359999999999998E-4</v>
      </c>
      <c r="I166">
        <v>7.2190000000000004E-4</v>
      </c>
    </row>
    <row r="167" spans="1:9" x14ac:dyDescent="0.25">
      <c r="A167" s="104" t="str">
        <f t="shared" si="2"/>
        <v>Haiti2012UrbanOtherIUD</v>
      </c>
      <c r="B167" t="s">
        <v>138</v>
      </c>
      <c r="C167">
        <v>2012</v>
      </c>
      <c r="D167" t="s">
        <v>20</v>
      </c>
      <c r="E167" t="s">
        <v>116</v>
      </c>
      <c r="F167" t="s">
        <v>16</v>
      </c>
      <c r="H167">
        <v>1.3202999999999999E-3</v>
      </c>
    </row>
    <row r="168" spans="1:9" x14ac:dyDescent="0.25">
      <c r="A168" s="104" t="str">
        <f t="shared" si="2"/>
        <v>Haiti2012NationalPub_MedInjectable</v>
      </c>
      <c r="B168" t="s">
        <v>138</v>
      </c>
      <c r="C168">
        <v>2012</v>
      </c>
      <c r="D168" t="s">
        <v>178</v>
      </c>
      <c r="E168" t="s">
        <v>52</v>
      </c>
      <c r="F168" t="s">
        <v>22</v>
      </c>
      <c r="G168">
        <v>3.9233299999999999E-2</v>
      </c>
      <c r="H168">
        <v>3.0807999999999999E-2</v>
      </c>
      <c r="I168">
        <v>2.24929E-2</v>
      </c>
    </row>
    <row r="169" spans="1:9" x14ac:dyDescent="0.25">
      <c r="A169" s="104" t="str">
        <f t="shared" si="2"/>
        <v>Haiti2012NationalPub_OutreachInjectable</v>
      </c>
      <c r="B169" t="s">
        <v>138</v>
      </c>
      <c r="C169">
        <v>2012</v>
      </c>
      <c r="D169" t="s">
        <v>178</v>
      </c>
      <c r="E169" t="s">
        <v>54</v>
      </c>
      <c r="F169" t="s">
        <v>22</v>
      </c>
      <c r="G169">
        <v>2.4060399999999999E-2</v>
      </c>
      <c r="H169">
        <v>2.1531999999999999E-2</v>
      </c>
      <c r="I169">
        <v>1.2880000000000001E-2</v>
      </c>
    </row>
    <row r="170" spans="1:9" x14ac:dyDescent="0.25">
      <c r="A170" s="104" t="str">
        <f t="shared" si="2"/>
        <v>Haiti2012NationalNGOInjectable</v>
      </c>
      <c r="B170" t="s">
        <v>138</v>
      </c>
      <c r="C170">
        <v>2012</v>
      </c>
      <c r="D170" t="s">
        <v>178</v>
      </c>
      <c r="E170" t="s">
        <v>170</v>
      </c>
      <c r="F170" t="s">
        <v>22</v>
      </c>
      <c r="G170">
        <v>2.7662200000000001E-2</v>
      </c>
      <c r="H170">
        <v>2.3697800000000002E-2</v>
      </c>
      <c r="I170">
        <v>1.6317600000000002E-2</v>
      </c>
    </row>
    <row r="171" spans="1:9" x14ac:dyDescent="0.25">
      <c r="A171" s="104" t="str">
        <f t="shared" si="2"/>
        <v>Haiti2012NationalCommercialInjectable</v>
      </c>
      <c r="B171" t="s">
        <v>138</v>
      </c>
      <c r="C171">
        <v>2012</v>
      </c>
      <c r="D171" t="s">
        <v>178</v>
      </c>
      <c r="E171" t="s">
        <v>59</v>
      </c>
      <c r="F171" t="s">
        <v>22</v>
      </c>
      <c r="G171">
        <v>3.8449499999999998E-2</v>
      </c>
      <c r="H171">
        <v>3.7949400000000001E-2</v>
      </c>
      <c r="I171">
        <v>3.3860599999999998E-2</v>
      </c>
    </row>
    <row r="172" spans="1:9" x14ac:dyDescent="0.25">
      <c r="A172" s="104" t="str">
        <f t="shared" si="2"/>
        <v>Haiti2012NationalNonTradInjectable</v>
      </c>
      <c r="B172" t="s">
        <v>138</v>
      </c>
      <c r="C172">
        <v>2012</v>
      </c>
      <c r="D172" t="s">
        <v>178</v>
      </c>
      <c r="E172" t="s">
        <v>171</v>
      </c>
      <c r="F172" t="s">
        <v>22</v>
      </c>
      <c r="I172">
        <v>1.52E-5</v>
      </c>
    </row>
    <row r="173" spans="1:9" x14ac:dyDescent="0.25">
      <c r="A173" s="104" t="str">
        <f t="shared" si="2"/>
        <v>Haiti2012NationalOtherInjectable</v>
      </c>
      <c r="B173" t="s">
        <v>138</v>
      </c>
      <c r="C173">
        <v>2012</v>
      </c>
      <c r="D173" t="s">
        <v>178</v>
      </c>
      <c r="E173" t="s">
        <v>116</v>
      </c>
      <c r="F173" t="s">
        <v>22</v>
      </c>
      <c r="G173">
        <v>1.4097999999999999E-3</v>
      </c>
      <c r="H173">
        <v>1.9131E-3</v>
      </c>
      <c r="I173">
        <v>5.9909999999999998E-4</v>
      </c>
    </row>
    <row r="174" spans="1:9" x14ac:dyDescent="0.25">
      <c r="A174" s="104" t="str">
        <f t="shared" si="2"/>
        <v>Haiti2012UrbanPub_MedInjectable</v>
      </c>
      <c r="B174" t="s">
        <v>138</v>
      </c>
      <c r="C174">
        <v>2012</v>
      </c>
      <c r="D174" t="s">
        <v>20</v>
      </c>
      <c r="E174" t="s">
        <v>52</v>
      </c>
      <c r="F174" t="s">
        <v>22</v>
      </c>
      <c r="G174">
        <v>3.3369599999999999E-2</v>
      </c>
      <c r="H174">
        <v>1.7002300000000001E-2</v>
      </c>
      <c r="I174">
        <v>9.7730999999999998E-3</v>
      </c>
    </row>
    <row r="175" spans="1:9" x14ac:dyDescent="0.25">
      <c r="A175" s="104" t="str">
        <f t="shared" si="2"/>
        <v>Haiti2012UrbanPub_OutreachInjectable</v>
      </c>
      <c r="B175" t="s">
        <v>138</v>
      </c>
      <c r="C175">
        <v>2012</v>
      </c>
      <c r="D175" t="s">
        <v>20</v>
      </c>
      <c r="E175" t="s">
        <v>54</v>
      </c>
      <c r="F175" t="s">
        <v>22</v>
      </c>
      <c r="G175">
        <v>2.00638E-2</v>
      </c>
      <c r="H175">
        <v>1.7221E-2</v>
      </c>
      <c r="I175">
        <v>2.8180000000000002E-3</v>
      </c>
    </row>
    <row r="176" spans="1:9" x14ac:dyDescent="0.25">
      <c r="A176" s="104" t="str">
        <f t="shared" si="2"/>
        <v>Haiti2012UrbanNGOInjectable</v>
      </c>
      <c r="B176" t="s">
        <v>138</v>
      </c>
      <c r="C176">
        <v>2012</v>
      </c>
      <c r="D176" t="s">
        <v>20</v>
      </c>
      <c r="E176" t="s">
        <v>170</v>
      </c>
      <c r="F176" t="s">
        <v>22</v>
      </c>
      <c r="G176">
        <v>2.1201000000000002E-3</v>
      </c>
    </row>
    <row r="177" spans="1:9" x14ac:dyDescent="0.25">
      <c r="A177" s="104" t="str">
        <f t="shared" si="2"/>
        <v>Haiti2012UrbanCommercialInjectable</v>
      </c>
      <c r="B177" t="s">
        <v>138</v>
      </c>
      <c r="C177">
        <v>2012</v>
      </c>
      <c r="D177" t="s">
        <v>20</v>
      </c>
      <c r="E177" t="s">
        <v>59</v>
      </c>
      <c r="F177" t="s">
        <v>22</v>
      </c>
      <c r="G177">
        <v>4.73861E-2</v>
      </c>
      <c r="H177">
        <v>2.2639599999999999E-2</v>
      </c>
      <c r="I177">
        <v>3.7913999999999999E-3</v>
      </c>
    </row>
    <row r="178" spans="1:9" x14ac:dyDescent="0.25">
      <c r="A178" s="104" t="str">
        <f t="shared" si="2"/>
        <v>Haiti2012UrbanOtherInjectable</v>
      </c>
      <c r="B178" t="s">
        <v>138</v>
      </c>
      <c r="C178">
        <v>2012</v>
      </c>
      <c r="D178" t="s">
        <v>20</v>
      </c>
      <c r="E178" t="s">
        <v>116</v>
      </c>
      <c r="F178" t="s">
        <v>22</v>
      </c>
      <c r="G178">
        <v>2.4172999999999998E-3</v>
      </c>
      <c r="H178">
        <v>3.8397000000000001E-3</v>
      </c>
    </row>
    <row r="179" spans="1:9" x14ac:dyDescent="0.25">
      <c r="A179" s="104" t="str">
        <f t="shared" si="2"/>
        <v>Haiti2012UrbanInjectable</v>
      </c>
      <c r="B179" t="s">
        <v>138</v>
      </c>
      <c r="C179">
        <v>2012</v>
      </c>
      <c r="D179" t="s">
        <v>20</v>
      </c>
      <c r="F179" t="s">
        <v>22</v>
      </c>
      <c r="G179">
        <v>1.5760199999999999E-2</v>
      </c>
      <c r="H179">
        <v>8.3119000000000005E-3</v>
      </c>
      <c r="I179">
        <v>8.9899999999999997E-3</v>
      </c>
    </row>
    <row r="180" spans="1:9" x14ac:dyDescent="0.25">
      <c r="A180" s="104" t="str">
        <f t="shared" si="2"/>
        <v>Haiti2012RuralPub_MedInjectable</v>
      </c>
      <c r="B180" t="s">
        <v>138</v>
      </c>
      <c r="C180">
        <v>2012</v>
      </c>
      <c r="D180" t="s">
        <v>21</v>
      </c>
      <c r="E180" t="s">
        <v>52</v>
      </c>
      <c r="F180" t="s">
        <v>22</v>
      </c>
      <c r="G180">
        <v>4.4762099999999999E-2</v>
      </c>
      <c r="H180">
        <v>4.4516500000000001E-2</v>
      </c>
      <c r="I180">
        <v>3.2134500000000003E-2</v>
      </c>
    </row>
    <row r="181" spans="1:9" x14ac:dyDescent="0.25">
      <c r="A181" s="104" t="str">
        <f t="shared" si="2"/>
        <v>Haiti2012RuralPub_OutreachInjectable</v>
      </c>
      <c r="B181" t="s">
        <v>138</v>
      </c>
      <c r="C181">
        <v>2012</v>
      </c>
      <c r="D181" t="s">
        <v>21</v>
      </c>
      <c r="E181" t="s">
        <v>54</v>
      </c>
      <c r="F181" t="s">
        <v>22</v>
      </c>
      <c r="G181">
        <v>2.7828800000000001E-2</v>
      </c>
      <c r="H181">
        <v>2.5812600000000002E-2</v>
      </c>
      <c r="I181">
        <v>2.0507000000000001E-2</v>
      </c>
    </row>
    <row r="182" spans="1:9" x14ac:dyDescent="0.25">
      <c r="A182" s="104" t="str">
        <f t="shared" si="2"/>
        <v>Haiti2012RuralNGOInjectable</v>
      </c>
      <c r="B182" t="s">
        <v>138</v>
      </c>
      <c r="C182">
        <v>2012</v>
      </c>
      <c r="D182" t="s">
        <v>21</v>
      </c>
      <c r="E182" t="s">
        <v>170</v>
      </c>
      <c r="F182" t="s">
        <v>22</v>
      </c>
      <c r="G182">
        <v>4.5247000000000004E-3</v>
      </c>
      <c r="H182">
        <v>1.1244E-3</v>
      </c>
      <c r="I182">
        <v>7.0790999999999996E-3</v>
      </c>
    </row>
    <row r="183" spans="1:9" x14ac:dyDescent="0.25">
      <c r="A183" s="104" t="str">
        <f t="shared" si="2"/>
        <v>Haiti2012RuralCommercialInjectable</v>
      </c>
      <c r="B183" t="s">
        <v>138</v>
      </c>
      <c r="C183">
        <v>2012</v>
      </c>
      <c r="D183" t="s">
        <v>21</v>
      </c>
      <c r="E183" t="s">
        <v>59</v>
      </c>
      <c r="F183" t="s">
        <v>22</v>
      </c>
      <c r="G183">
        <v>6.0250400000000003E-2</v>
      </c>
      <c r="H183">
        <v>7.74204E-2</v>
      </c>
      <c r="I183">
        <v>6.0722600000000002E-2</v>
      </c>
    </row>
    <row r="184" spans="1:9" x14ac:dyDescent="0.25">
      <c r="A184" s="104" t="str">
        <f t="shared" si="2"/>
        <v>Haiti2012RuralNonTradInjectable</v>
      </c>
      <c r="B184" t="s">
        <v>138</v>
      </c>
      <c r="C184">
        <v>2012</v>
      </c>
      <c r="D184" t="s">
        <v>21</v>
      </c>
      <c r="E184" t="s">
        <v>171</v>
      </c>
      <c r="F184" t="s">
        <v>22</v>
      </c>
      <c r="I184">
        <v>2.6699999999999998E-5</v>
      </c>
    </row>
    <row r="185" spans="1:9" x14ac:dyDescent="0.25">
      <c r="A185" s="104" t="str">
        <f t="shared" si="2"/>
        <v>Haiti2012RuralOtherInjectable</v>
      </c>
      <c r="B185" t="s">
        <v>138</v>
      </c>
      <c r="C185">
        <v>2012</v>
      </c>
      <c r="D185" t="s">
        <v>21</v>
      </c>
      <c r="E185" t="s">
        <v>116</v>
      </c>
      <c r="F185" t="s">
        <v>22</v>
      </c>
      <c r="G185">
        <v>4.5990000000000001E-4</v>
      </c>
      <c r="I185">
        <v>1.0533000000000001E-3</v>
      </c>
    </row>
    <row r="186" spans="1:9" x14ac:dyDescent="0.25">
      <c r="A186" s="104" t="str">
        <f t="shared" si="2"/>
        <v>Haiti2012RuralInjectable</v>
      </c>
      <c r="B186" t="s">
        <v>138</v>
      </c>
      <c r="C186">
        <v>2012</v>
      </c>
      <c r="D186" t="s">
        <v>21</v>
      </c>
      <c r="F186" t="s">
        <v>22</v>
      </c>
      <c r="G186">
        <v>2.1337000000000001E-3</v>
      </c>
      <c r="H186">
        <v>1.3581899999999999E-2</v>
      </c>
      <c r="I186">
        <v>1.07236E-2</v>
      </c>
    </row>
    <row r="187" spans="1:9" x14ac:dyDescent="0.25">
      <c r="A187" s="104" t="str">
        <f t="shared" si="2"/>
        <v>Haiti2012NationalPub_MedCondom</v>
      </c>
      <c r="B187" t="s">
        <v>138</v>
      </c>
      <c r="C187">
        <v>2012</v>
      </c>
      <c r="D187" t="s">
        <v>178</v>
      </c>
      <c r="E187" t="s">
        <v>52</v>
      </c>
      <c r="F187" t="s">
        <v>25</v>
      </c>
      <c r="G187">
        <v>3.8421000000000002E-3</v>
      </c>
      <c r="H187">
        <v>4.8482000000000004E-3</v>
      </c>
      <c r="I187">
        <v>5.5478999999999997E-3</v>
      </c>
    </row>
    <row r="188" spans="1:9" x14ac:dyDescent="0.25">
      <c r="A188" s="104" t="str">
        <f t="shared" si="2"/>
        <v>Haiti2012NationalPub_OutreachCondom</v>
      </c>
      <c r="B188" t="s">
        <v>138</v>
      </c>
      <c r="C188">
        <v>2012</v>
      </c>
      <c r="D188" t="s">
        <v>178</v>
      </c>
      <c r="E188" t="s">
        <v>54</v>
      </c>
      <c r="F188" t="s">
        <v>25</v>
      </c>
      <c r="G188">
        <v>2.1603E-3</v>
      </c>
      <c r="H188">
        <v>3.0980000000000001E-3</v>
      </c>
      <c r="I188">
        <v>1.0380000000000001E-3</v>
      </c>
    </row>
    <row r="189" spans="1:9" x14ac:dyDescent="0.25">
      <c r="A189" s="104" t="str">
        <f t="shared" si="2"/>
        <v>Haiti2012NationalNGOCondom</v>
      </c>
      <c r="B189" t="s">
        <v>138</v>
      </c>
      <c r="C189">
        <v>2012</v>
      </c>
      <c r="D189" t="s">
        <v>178</v>
      </c>
      <c r="E189" t="s">
        <v>170</v>
      </c>
      <c r="F189" t="s">
        <v>25</v>
      </c>
      <c r="G189">
        <v>1.9306E-3</v>
      </c>
      <c r="H189">
        <v>4.7760000000000001E-4</v>
      </c>
      <c r="I189">
        <v>8.8739999999999999E-4</v>
      </c>
    </row>
    <row r="190" spans="1:9" x14ac:dyDescent="0.25">
      <c r="A190" s="104" t="str">
        <f t="shared" si="2"/>
        <v>Haiti2012NationalCommercialCondom</v>
      </c>
      <c r="B190" t="s">
        <v>138</v>
      </c>
      <c r="C190">
        <v>2012</v>
      </c>
      <c r="D190" t="s">
        <v>178</v>
      </c>
      <c r="E190" t="s">
        <v>59</v>
      </c>
      <c r="F190" t="s">
        <v>25</v>
      </c>
      <c r="G190">
        <v>7.2627999999999998E-3</v>
      </c>
      <c r="H190">
        <v>1.8631600000000002E-2</v>
      </c>
      <c r="I190">
        <v>1.9638800000000001E-2</v>
      </c>
    </row>
    <row r="191" spans="1:9" x14ac:dyDescent="0.25">
      <c r="A191" s="104" t="str">
        <f t="shared" si="2"/>
        <v>Haiti2012NationalNonTradCondom</v>
      </c>
      <c r="B191" t="s">
        <v>138</v>
      </c>
      <c r="C191">
        <v>2012</v>
      </c>
      <c r="D191" t="s">
        <v>178</v>
      </c>
      <c r="E191" t="s">
        <v>171</v>
      </c>
      <c r="F191" t="s">
        <v>25</v>
      </c>
      <c r="G191">
        <v>9.3481999999999992E-3</v>
      </c>
      <c r="H191">
        <v>1.4214600000000001E-2</v>
      </c>
      <c r="I191">
        <v>1.69623E-2</v>
      </c>
    </row>
    <row r="192" spans="1:9" x14ac:dyDescent="0.25">
      <c r="A192" s="104" t="str">
        <f t="shared" si="2"/>
        <v>Haiti2012NationalOtherCondom</v>
      </c>
      <c r="B192" t="s">
        <v>138</v>
      </c>
      <c r="C192">
        <v>2012</v>
      </c>
      <c r="D192" t="s">
        <v>178</v>
      </c>
      <c r="E192" t="s">
        <v>116</v>
      </c>
      <c r="F192" t="s">
        <v>25</v>
      </c>
      <c r="G192">
        <v>1.7503899999999999E-2</v>
      </c>
      <c r="H192">
        <v>3.0254699999999999E-2</v>
      </c>
      <c r="I192">
        <v>4.0186300000000001E-2</v>
      </c>
    </row>
    <row r="193" spans="1:9" x14ac:dyDescent="0.25">
      <c r="A193" s="104" t="str">
        <f t="shared" si="2"/>
        <v>Haiti2012UrbanPub_MedCondom</v>
      </c>
      <c r="B193" t="s">
        <v>138</v>
      </c>
      <c r="C193">
        <v>2012</v>
      </c>
      <c r="D193" t="s">
        <v>20</v>
      </c>
      <c r="E193" t="s">
        <v>52</v>
      </c>
      <c r="F193" t="s">
        <v>25</v>
      </c>
      <c r="G193">
        <v>6.6054E-3</v>
      </c>
      <c r="H193">
        <v>6.7799000000000002E-3</v>
      </c>
      <c r="I193">
        <v>7.7117000000000002E-3</v>
      </c>
    </row>
    <row r="194" spans="1:9" x14ac:dyDescent="0.25">
      <c r="A194" s="104" t="str">
        <f t="shared" si="2"/>
        <v>Haiti2012UrbanPub_OutreachCondom</v>
      </c>
      <c r="B194" t="s">
        <v>138</v>
      </c>
      <c r="C194">
        <v>2012</v>
      </c>
      <c r="D194" t="s">
        <v>20</v>
      </c>
      <c r="E194" t="s">
        <v>54</v>
      </c>
      <c r="F194" t="s">
        <v>25</v>
      </c>
      <c r="G194">
        <v>3.5645999999999998E-3</v>
      </c>
      <c r="H194">
        <v>3.0462000000000002E-3</v>
      </c>
      <c r="I194">
        <v>1.7811000000000001E-3</v>
      </c>
    </row>
    <row r="195" spans="1:9" x14ac:dyDescent="0.25">
      <c r="A195" s="104" t="str">
        <f t="shared" ref="A195:A258" si="3">B195&amp;C195&amp;D195&amp;E195&amp;F195</f>
        <v>Haiti2012UrbanNGOCondom</v>
      </c>
      <c r="B195" t="s">
        <v>138</v>
      </c>
      <c r="C195">
        <v>2012</v>
      </c>
      <c r="D195" t="s">
        <v>20</v>
      </c>
      <c r="E195" t="s">
        <v>170</v>
      </c>
      <c r="F195" t="s">
        <v>25</v>
      </c>
      <c r="G195">
        <v>1.203E-4</v>
      </c>
    </row>
    <row r="196" spans="1:9" x14ac:dyDescent="0.25">
      <c r="A196" s="104" t="str">
        <f t="shared" si="3"/>
        <v>Haiti2012UrbanCommercialCondom</v>
      </c>
      <c r="B196" t="s">
        <v>138</v>
      </c>
      <c r="C196">
        <v>2012</v>
      </c>
      <c r="D196" t="s">
        <v>20</v>
      </c>
      <c r="E196" t="s">
        <v>59</v>
      </c>
      <c r="F196" t="s">
        <v>25</v>
      </c>
      <c r="G196">
        <v>5.6315999999999996E-3</v>
      </c>
      <c r="H196">
        <v>6.7057999999999996E-3</v>
      </c>
      <c r="I196">
        <v>6.3594000000000003E-3</v>
      </c>
    </row>
    <row r="197" spans="1:9" x14ac:dyDescent="0.25">
      <c r="A197" s="104" t="str">
        <f t="shared" si="3"/>
        <v>Haiti2012UrbanNonTradCondom</v>
      </c>
      <c r="B197" t="s">
        <v>138</v>
      </c>
      <c r="C197">
        <v>2012</v>
      </c>
      <c r="D197" t="s">
        <v>20</v>
      </c>
      <c r="E197" t="s">
        <v>171</v>
      </c>
      <c r="F197" t="s">
        <v>25</v>
      </c>
      <c r="G197">
        <v>1.45186E-2</v>
      </c>
      <c r="H197">
        <v>2.10119E-2</v>
      </c>
      <c r="I197">
        <v>2.44394E-2</v>
      </c>
    </row>
    <row r="198" spans="1:9" x14ac:dyDescent="0.25">
      <c r="A198" s="104" t="str">
        <f t="shared" si="3"/>
        <v>Haiti2012UrbanOtherCondom</v>
      </c>
      <c r="B198" t="s">
        <v>138</v>
      </c>
      <c r="C198">
        <v>2012</v>
      </c>
      <c r="D198" t="s">
        <v>20</v>
      </c>
      <c r="E198" t="s">
        <v>116</v>
      </c>
      <c r="F198" t="s">
        <v>25</v>
      </c>
      <c r="G198">
        <v>2.7064999999999999E-2</v>
      </c>
      <c r="H198">
        <v>3.7487100000000002E-2</v>
      </c>
      <c r="I198">
        <v>4.9453499999999997E-2</v>
      </c>
    </row>
    <row r="199" spans="1:9" x14ac:dyDescent="0.25">
      <c r="A199" s="104" t="str">
        <f t="shared" si="3"/>
        <v>Haiti2012UrbanCondom</v>
      </c>
      <c r="B199" t="s">
        <v>138</v>
      </c>
      <c r="C199">
        <v>2012</v>
      </c>
      <c r="D199" t="s">
        <v>20</v>
      </c>
      <c r="F199" t="s">
        <v>25</v>
      </c>
      <c r="G199">
        <v>9.5350000000000001E-3</v>
      </c>
      <c r="H199">
        <v>2.6036900000000002E-2</v>
      </c>
      <c r="I199">
        <v>2.3438000000000001E-2</v>
      </c>
    </row>
    <row r="200" spans="1:9" x14ac:dyDescent="0.25">
      <c r="A200" s="104" t="str">
        <f t="shared" si="3"/>
        <v>Haiti2012RuralPub_MedCondom</v>
      </c>
      <c r="B200" t="s">
        <v>138</v>
      </c>
      <c r="C200">
        <v>2012</v>
      </c>
      <c r="D200" t="s">
        <v>21</v>
      </c>
      <c r="E200" t="s">
        <v>52</v>
      </c>
      <c r="F200" t="s">
        <v>25</v>
      </c>
      <c r="G200">
        <v>1.2366E-3</v>
      </c>
      <c r="H200">
        <v>2.9299999999999999E-3</v>
      </c>
      <c r="I200">
        <v>3.9077000000000001E-3</v>
      </c>
    </row>
    <row r="201" spans="1:9" x14ac:dyDescent="0.25">
      <c r="A201" s="104" t="str">
        <f t="shared" si="3"/>
        <v>Haiti2012RuralPub_OutreachCondom</v>
      </c>
      <c r="B201" t="s">
        <v>138</v>
      </c>
      <c r="C201">
        <v>2012</v>
      </c>
      <c r="D201" t="s">
        <v>21</v>
      </c>
      <c r="E201" t="s">
        <v>54</v>
      </c>
      <c r="F201" t="s">
        <v>25</v>
      </c>
      <c r="G201">
        <v>8.363E-4</v>
      </c>
      <c r="H201">
        <v>3.1494000000000001E-3</v>
      </c>
      <c r="I201">
        <v>4.7469999999999999E-4</v>
      </c>
    </row>
    <row r="202" spans="1:9" x14ac:dyDescent="0.25">
      <c r="A202" s="104" t="str">
        <f t="shared" si="3"/>
        <v>Haiti2012RuralNGOCondom</v>
      </c>
      <c r="B202" t="s">
        <v>138</v>
      </c>
      <c r="C202">
        <v>2012</v>
      </c>
      <c r="D202" t="s">
        <v>21</v>
      </c>
      <c r="E202" t="s">
        <v>170</v>
      </c>
      <c r="F202" t="s">
        <v>25</v>
      </c>
      <c r="G202">
        <v>8.3239999999999996E-4</v>
      </c>
      <c r="H202">
        <v>3.0969999999999999E-4</v>
      </c>
    </row>
    <row r="203" spans="1:9" x14ac:dyDescent="0.25">
      <c r="A203" s="104" t="str">
        <f t="shared" si="3"/>
        <v>Haiti2012RuralCommercialCondom</v>
      </c>
      <c r="B203" t="s">
        <v>138</v>
      </c>
      <c r="C203">
        <v>2012</v>
      </c>
      <c r="D203" t="s">
        <v>21</v>
      </c>
      <c r="E203" t="s">
        <v>59</v>
      </c>
      <c r="F203" t="s">
        <v>25</v>
      </c>
      <c r="G203">
        <v>1.5139999999999999E-3</v>
      </c>
      <c r="H203">
        <v>1.6678999999999999E-3</v>
      </c>
      <c r="I203">
        <v>5.7422999999999997E-3</v>
      </c>
    </row>
    <row r="204" spans="1:9" x14ac:dyDescent="0.25">
      <c r="A204" s="104" t="str">
        <f t="shared" si="3"/>
        <v>Haiti2012RuralNonTradCondom</v>
      </c>
      <c r="B204" t="s">
        <v>138</v>
      </c>
      <c r="C204">
        <v>2012</v>
      </c>
      <c r="D204" t="s">
        <v>21</v>
      </c>
      <c r="E204" t="s">
        <v>171</v>
      </c>
      <c r="F204" t="s">
        <v>25</v>
      </c>
      <c r="G204">
        <v>4.4732000000000001E-3</v>
      </c>
      <c r="H204">
        <v>7.4653000000000002E-3</v>
      </c>
      <c r="I204">
        <v>1.12947E-2</v>
      </c>
    </row>
    <row r="205" spans="1:9" x14ac:dyDescent="0.25">
      <c r="A205" s="104" t="str">
        <f t="shared" si="3"/>
        <v>Haiti2012RuralOtherCondom</v>
      </c>
      <c r="B205" t="s">
        <v>138</v>
      </c>
      <c r="C205">
        <v>2012</v>
      </c>
      <c r="D205" t="s">
        <v>21</v>
      </c>
      <c r="E205" t="s">
        <v>116</v>
      </c>
      <c r="F205" t="s">
        <v>25</v>
      </c>
      <c r="G205">
        <v>8.4889000000000006E-3</v>
      </c>
      <c r="H205">
        <v>2.3073300000000001E-2</v>
      </c>
      <c r="I205">
        <v>3.3161700000000002E-2</v>
      </c>
    </row>
    <row r="206" spans="1:9" x14ac:dyDescent="0.25">
      <c r="A206" s="104" t="str">
        <f t="shared" si="3"/>
        <v>Haiti2012RuralCondom</v>
      </c>
      <c r="B206" t="s">
        <v>138</v>
      </c>
      <c r="C206">
        <v>2012</v>
      </c>
      <c r="D206" t="s">
        <v>21</v>
      </c>
      <c r="F206" t="s">
        <v>25</v>
      </c>
      <c r="G206">
        <v>1.1016000000000001E-3</v>
      </c>
      <c r="H206">
        <v>3.5942999999999999E-3</v>
      </c>
      <c r="I206">
        <v>7.7561000000000001E-3</v>
      </c>
    </row>
    <row r="207" spans="1:9" x14ac:dyDescent="0.25">
      <c r="A207" s="104" t="str">
        <f t="shared" si="3"/>
        <v>Haiti2012NationalPub_MedImplant</v>
      </c>
      <c r="B207" t="s">
        <v>138</v>
      </c>
      <c r="C207">
        <v>2012</v>
      </c>
      <c r="D207" t="s">
        <v>178</v>
      </c>
      <c r="E207" t="s">
        <v>52</v>
      </c>
      <c r="F207" t="s">
        <v>23</v>
      </c>
      <c r="G207">
        <v>5.8678999999999997E-3</v>
      </c>
      <c r="H207">
        <v>1.2153999999999999E-3</v>
      </c>
      <c r="I207">
        <v>2.4019000000000002E-3</v>
      </c>
    </row>
    <row r="208" spans="1:9" x14ac:dyDescent="0.25">
      <c r="A208" s="104" t="str">
        <f t="shared" si="3"/>
        <v>Haiti2012NationalPub_OutreachImplant</v>
      </c>
      <c r="B208" t="s">
        <v>138</v>
      </c>
      <c r="C208">
        <v>2012</v>
      </c>
      <c r="D208" t="s">
        <v>178</v>
      </c>
      <c r="E208" t="s">
        <v>54</v>
      </c>
      <c r="F208" t="s">
        <v>23</v>
      </c>
      <c r="G208">
        <v>3.9205999999999998E-3</v>
      </c>
      <c r="H208">
        <v>1.6444999999999999E-3</v>
      </c>
      <c r="I208">
        <v>4.6309999999999998E-4</v>
      </c>
    </row>
    <row r="209" spans="1:9" x14ac:dyDescent="0.25">
      <c r="A209" s="104" t="str">
        <f t="shared" si="3"/>
        <v>Haiti2012NationalNGOImplant</v>
      </c>
      <c r="B209" t="s">
        <v>138</v>
      </c>
      <c r="C209">
        <v>2012</v>
      </c>
      <c r="D209" t="s">
        <v>178</v>
      </c>
      <c r="E209" t="s">
        <v>170</v>
      </c>
      <c r="F209" t="s">
        <v>23</v>
      </c>
      <c r="G209">
        <v>2.9690000000000001E-4</v>
      </c>
      <c r="H209">
        <v>3.2200000000000002E-4</v>
      </c>
    </row>
    <row r="210" spans="1:9" x14ac:dyDescent="0.25">
      <c r="A210" s="104" t="str">
        <f t="shared" si="3"/>
        <v>Haiti2012NationalCommercialImplant</v>
      </c>
      <c r="B210" t="s">
        <v>138</v>
      </c>
      <c r="C210">
        <v>2012</v>
      </c>
      <c r="D210" t="s">
        <v>178</v>
      </c>
      <c r="E210" t="s">
        <v>59</v>
      </c>
      <c r="F210" t="s">
        <v>23</v>
      </c>
      <c r="G210">
        <v>5.1469999999999997E-3</v>
      </c>
      <c r="H210">
        <v>3.7650000000000001E-3</v>
      </c>
      <c r="I210">
        <v>2.6273999999999998E-3</v>
      </c>
    </row>
    <row r="211" spans="1:9" x14ac:dyDescent="0.25">
      <c r="A211" s="104" t="str">
        <f t="shared" si="3"/>
        <v>Haiti2012NationalNonTradImplant</v>
      </c>
      <c r="B211" t="s">
        <v>138</v>
      </c>
      <c r="C211">
        <v>2012</v>
      </c>
      <c r="D211" t="s">
        <v>178</v>
      </c>
      <c r="E211" t="s">
        <v>171</v>
      </c>
      <c r="F211" t="s">
        <v>23</v>
      </c>
      <c r="H211">
        <v>6.0269999999999996E-4</v>
      </c>
    </row>
    <row r="212" spans="1:9" x14ac:dyDescent="0.25">
      <c r="A212" s="104" t="str">
        <f t="shared" si="3"/>
        <v>Haiti2012NationalOtherImplant</v>
      </c>
      <c r="B212" t="s">
        <v>138</v>
      </c>
      <c r="C212">
        <v>2012</v>
      </c>
      <c r="D212" t="s">
        <v>178</v>
      </c>
      <c r="E212" t="s">
        <v>116</v>
      </c>
      <c r="F212" t="s">
        <v>23</v>
      </c>
      <c r="H212">
        <v>1.8709999999999999E-4</v>
      </c>
    </row>
    <row r="213" spans="1:9" x14ac:dyDescent="0.25">
      <c r="A213" s="104" t="str">
        <f t="shared" si="3"/>
        <v>Haiti2012UrbanPub_MedImplant</v>
      </c>
      <c r="B213" t="s">
        <v>138</v>
      </c>
      <c r="C213">
        <v>2012</v>
      </c>
      <c r="D213" t="s">
        <v>20</v>
      </c>
      <c r="E213" t="s">
        <v>52</v>
      </c>
      <c r="F213" t="s">
        <v>23</v>
      </c>
      <c r="G213">
        <v>3.7274000000000001E-3</v>
      </c>
      <c r="I213">
        <v>2.5408000000000002E-3</v>
      </c>
    </row>
    <row r="214" spans="1:9" x14ac:dyDescent="0.25">
      <c r="A214" s="104" t="str">
        <f t="shared" si="3"/>
        <v>Haiti2012UrbanPub_OutreachImplant</v>
      </c>
      <c r="B214" t="s">
        <v>138</v>
      </c>
      <c r="C214">
        <v>2012</v>
      </c>
      <c r="D214" t="s">
        <v>20</v>
      </c>
      <c r="E214" t="s">
        <v>54</v>
      </c>
      <c r="F214" t="s">
        <v>23</v>
      </c>
      <c r="G214">
        <v>1.4228999999999999E-3</v>
      </c>
      <c r="H214">
        <v>9.7490000000000001E-4</v>
      </c>
    </row>
    <row r="215" spans="1:9" x14ac:dyDescent="0.25">
      <c r="A215" s="104" t="str">
        <f t="shared" si="3"/>
        <v>Haiti2012UrbanCommercialImplant</v>
      </c>
      <c r="B215" t="s">
        <v>138</v>
      </c>
      <c r="C215">
        <v>2012</v>
      </c>
      <c r="D215" t="s">
        <v>20</v>
      </c>
      <c r="E215" t="s">
        <v>59</v>
      </c>
      <c r="F215" t="s">
        <v>23</v>
      </c>
      <c r="G215">
        <v>1.9123E-3</v>
      </c>
      <c r="H215">
        <v>8.3270000000000002E-4</v>
      </c>
      <c r="I215">
        <v>6.6049999999999995E-4</v>
      </c>
    </row>
    <row r="216" spans="1:9" x14ac:dyDescent="0.25">
      <c r="A216" s="104" t="str">
        <f t="shared" si="3"/>
        <v>Haiti2012UrbanImplant</v>
      </c>
      <c r="B216" t="s">
        <v>138</v>
      </c>
      <c r="C216">
        <v>2012</v>
      </c>
      <c r="D216" t="s">
        <v>20</v>
      </c>
      <c r="F216" t="s">
        <v>23</v>
      </c>
      <c r="G216">
        <v>1.3349999999999999E-4</v>
      </c>
    </row>
    <row r="217" spans="1:9" x14ac:dyDescent="0.25">
      <c r="A217" s="104" t="str">
        <f t="shared" si="3"/>
        <v>Haiti2012RuralPub_MedImplant</v>
      </c>
      <c r="B217" t="s">
        <v>138</v>
      </c>
      <c r="C217">
        <v>2012</v>
      </c>
      <c r="D217" t="s">
        <v>21</v>
      </c>
      <c r="E217" t="s">
        <v>52</v>
      </c>
      <c r="F217" t="s">
        <v>23</v>
      </c>
      <c r="G217">
        <v>7.8861999999999995E-3</v>
      </c>
      <c r="H217">
        <v>2.4223000000000001E-3</v>
      </c>
      <c r="I217">
        <v>2.2964999999999999E-3</v>
      </c>
    </row>
    <row r="218" spans="1:9" x14ac:dyDescent="0.25">
      <c r="A218" s="104" t="str">
        <f t="shared" si="3"/>
        <v>Haiti2012RuralPub_OutreachImplant</v>
      </c>
      <c r="B218" t="s">
        <v>138</v>
      </c>
      <c r="C218">
        <v>2012</v>
      </c>
      <c r="D218" t="s">
        <v>21</v>
      </c>
      <c r="E218" t="s">
        <v>54</v>
      </c>
      <c r="F218" t="s">
        <v>23</v>
      </c>
      <c r="G218">
        <v>6.2757999999999998E-3</v>
      </c>
      <c r="H218">
        <v>2.3094000000000001E-3</v>
      </c>
      <c r="I218">
        <v>8.1419999999999995E-4</v>
      </c>
    </row>
    <row r="219" spans="1:9" x14ac:dyDescent="0.25">
      <c r="A219" s="104" t="str">
        <f t="shared" si="3"/>
        <v>Haiti2012RuralNGOImplant</v>
      </c>
      <c r="B219" t="s">
        <v>138</v>
      </c>
      <c r="C219">
        <v>2012</v>
      </c>
      <c r="D219" t="s">
        <v>21</v>
      </c>
      <c r="E219" t="s">
        <v>170</v>
      </c>
      <c r="F219" t="s">
        <v>23</v>
      </c>
      <c r="G219">
        <v>2.353E-4</v>
      </c>
    </row>
    <row r="220" spans="1:9" x14ac:dyDescent="0.25">
      <c r="A220" s="104" t="str">
        <f t="shared" si="3"/>
        <v>Haiti2012RuralCommercialImplant</v>
      </c>
      <c r="B220" t="s">
        <v>138</v>
      </c>
      <c r="C220">
        <v>2012</v>
      </c>
      <c r="D220" t="s">
        <v>21</v>
      </c>
      <c r="E220" t="s">
        <v>59</v>
      </c>
      <c r="F220" t="s">
        <v>23</v>
      </c>
      <c r="G220">
        <v>8.4125999999999992E-3</v>
      </c>
      <c r="H220">
        <v>7.3182000000000004E-3</v>
      </c>
      <c r="I220">
        <v>4.1181999999999998E-3</v>
      </c>
    </row>
    <row r="221" spans="1:9" x14ac:dyDescent="0.25">
      <c r="A221" s="104" t="str">
        <f t="shared" si="3"/>
        <v>Haiti2012RuralNonTradImplant</v>
      </c>
      <c r="B221" t="s">
        <v>138</v>
      </c>
      <c r="C221">
        <v>2012</v>
      </c>
      <c r="D221" t="s">
        <v>21</v>
      </c>
      <c r="E221" t="s">
        <v>171</v>
      </c>
      <c r="F221" t="s">
        <v>23</v>
      </c>
      <c r="H221">
        <v>1.2011999999999999E-3</v>
      </c>
    </row>
    <row r="222" spans="1:9" x14ac:dyDescent="0.25">
      <c r="A222" s="104" t="str">
        <f t="shared" si="3"/>
        <v>Haiti2012RuralOtherImplant</v>
      </c>
      <c r="B222" t="s">
        <v>138</v>
      </c>
      <c r="C222">
        <v>2012</v>
      </c>
      <c r="D222" t="s">
        <v>21</v>
      </c>
      <c r="E222" t="s">
        <v>116</v>
      </c>
      <c r="F222" t="s">
        <v>23</v>
      </c>
      <c r="H222">
        <v>3.7300000000000001E-4</v>
      </c>
    </row>
    <row r="223" spans="1:9" x14ac:dyDescent="0.25">
      <c r="A223" s="104" t="str">
        <f t="shared" si="3"/>
        <v>Haiti2016.5NationalPub_MedPill</v>
      </c>
      <c r="B223" t="s">
        <v>138</v>
      </c>
      <c r="C223">
        <v>2016.5</v>
      </c>
      <c r="D223" t="s">
        <v>178</v>
      </c>
      <c r="E223" t="s">
        <v>52</v>
      </c>
      <c r="F223" t="s">
        <v>12</v>
      </c>
      <c r="G223">
        <v>4.7051999999999997E-3</v>
      </c>
      <c r="H223">
        <v>5.3515999999999998E-3</v>
      </c>
      <c r="I223">
        <v>7.7586E-3</v>
      </c>
    </row>
    <row r="224" spans="1:9" x14ac:dyDescent="0.25">
      <c r="A224" s="104" t="str">
        <f t="shared" si="3"/>
        <v>Haiti2016.5NationalPub_OutreachPill</v>
      </c>
      <c r="B224" t="s">
        <v>138</v>
      </c>
      <c r="C224">
        <v>2016.5</v>
      </c>
      <c r="D224" t="s">
        <v>178</v>
      </c>
      <c r="E224" t="s">
        <v>54</v>
      </c>
      <c r="F224" t="s">
        <v>12</v>
      </c>
      <c r="G224">
        <v>4.6569999999999999E-4</v>
      </c>
      <c r="I224">
        <v>1.142E-4</v>
      </c>
    </row>
    <row r="225" spans="1:9" x14ac:dyDescent="0.25">
      <c r="A225" s="104" t="str">
        <f t="shared" si="3"/>
        <v>Haiti2016.5NationalNGOPill</v>
      </c>
      <c r="B225" t="s">
        <v>138</v>
      </c>
      <c r="C225">
        <v>2016.5</v>
      </c>
      <c r="D225" t="s">
        <v>178</v>
      </c>
      <c r="E225" t="s">
        <v>170</v>
      </c>
      <c r="F225" t="s">
        <v>12</v>
      </c>
      <c r="G225">
        <v>2.2552000000000002E-3</v>
      </c>
      <c r="H225">
        <v>1.0003E-3</v>
      </c>
      <c r="I225">
        <v>6.8289999999999996E-4</v>
      </c>
    </row>
    <row r="226" spans="1:9" x14ac:dyDescent="0.25">
      <c r="A226" s="104" t="str">
        <f t="shared" si="3"/>
        <v>Haiti2016.5NationalCommercialPill</v>
      </c>
      <c r="B226" t="s">
        <v>138</v>
      </c>
      <c r="C226">
        <v>2016.5</v>
      </c>
      <c r="D226" t="s">
        <v>178</v>
      </c>
      <c r="E226" t="s">
        <v>59</v>
      </c>
      <c r="F226" t="s">
        <v>12</v>
      </c>
      <c r="G226">
        <v>4.2938999999999998E-3</v>
      </c>
      <c r="H226">
        <v>4.8767999999999997E-3</v>
      </c>
      <c r="I226">
        <v>6.7860000000000004E-3</v>
      </c>
    </row>
    <row r="227" spans="1:9" x14ac:dyDescent="0.25">
      <c r="A227" s="104" t="str">
        <f t="shared" si="3"/>
        <v>Haiti2016.5NationalNonTradPill</v>
      </c>
      <c r="B227" t="s">
        <v>138</v>
      </c>
      <c r="C227">
        <v>2016.5</v>
      </c>
      <c r="D227" t="s">
        <v>178</v>
      </c>
      <c r="E227" t="s">
        <v>171</v>
      </c>
      <c r="F227" t="s">
        <v>12</v>
      </c>
      <c r="G227">
        <v>6.2719999999999996E-4</v>
      </c>
      <c r="H227">
        <v>5.8819999999999999E-4</v>
      </c>
      <c r="I227">
        <v>6.8280000000000001E-4</v>
      </c>
    </row>
    <row r="228" spans="1:9" x14ac:dyDescent="0.25">
      <c r="A228" s="104" t="str">
        <f t="shared" si="3"/>
        <v>Haiti2016.5UrbanPub_MedPill</v>
      </c>
      <c r="B228" t="s">
        <v>138</v>
      </c>
      <c r="C228">
        <v>2016.5</v>
      </c>
      <c r="D228" t="s">
        <v>20</v>
      </c>
      <c r="E228" t="s">
        <v>52</v>
      </c>
      <c r="F228" t="s">
        <v>12</v>
      </c>
      <c r="G228">
        <v>6.8014E-3</v>
      </c>
      <c r="H228">
        <v>6.7796999999999996E-3</v>
      </c>
      <c r="I228">
        <v>3.7491E-3</v>
      </c>
    </row>
    <row r="229" spans="1:9" x14ac:dyDescent="0.25">
      <c r="A229" s="104" t="str">
        <f t="shared" si="3"/>
        <v>Haiti2016.5UrbanPub_OutreachPill</v>
      </c>
      <c r="B229" t="s">
        <v>138</v>
      </c>
      <c r="C229">
        <v>2016.5</v>
      </c>
      <c r="D229" t="s">
        <v>20</v>
      </c>
      <c r="E229" t="s">
        <v>54</v>
      </c>
      <c r="F229" t="s">
        <v>12</v>
      </c>
      <c r="G229">
        <v>4.7639999999999998E-4</v>
      </c>
    </row>
    <row r="230" spans="1:9" x14ac:dyDescent="0.25">
      <c r="A230" s="104" t="str">
        <f t="shared" si="3"/>
        <v>Haiti2016.5UrbanNGOPill</v>
      </c>
      <c r="B230" t="s">
        <v>138</v>
      </c>
      <c r="C230">
        <v>2016.5</v>
      </c>
      <c r="D230" t="s">
        <v>20</v>
      </c>
      <c r="E230" t="s">
        <v>170</v>
      </c>
      <c r="F230" t="s">
        <v>12</v>
      </c>
      <c r="G230">
        <v>1.4997999999999999E-3</v>
      </c>
    </row>
    <row r="231" spans="1:9" x14ac:dyDescent="0.25">
      <c r="A231" s="104" t="str">
        <f t="shared" si="3"/>
        <v>Haiti2016.5UrbanCommercialPill</v>
      </c>
      <c r="B231" t="s">
        <v>138</v>
      </c>
      <c r="C231">
        <v>2016.5</v>
      </c>
      <c r="D231" t="s">
        <v>20</v>
      </c>
      <c r="E231" t="s">
        <v>59</v>
      </c>
      <c r="F231" t="s">
        <v>12</v>
      </c>
      <c r="G231">
        <v>7.3870999999999997E-3</v>
      </c>
      <c r="H231">
        <v>8.5938999999999998E-3</v>
      </c>
      <c r="I231">
        <v>1.03722E-2</v>
      </c>
    </row>
    <row r="232" spans="1:9" x14ac:dyDescent="0.25">
      <c r="A232" s="104" t="str">
        <f t="shared" si="3"/>
        <v>Haiti2016.5UrbanNonTradPill</v>
      </c>
      <c r="B232" t="s">
        <v>138</v>
      </c>
      <c r="C232">
        <v>2016.5</v>
      </c>
      <c r="D232" t="s">
        <v>20</v>
      </c>
      <c r="E232" t="s">
        <v>171</v>
      </c>
      <c r="F232" t="s">
        <v>12</v>
      </c>
      <c r="G232">
        <v>1.3295E-3</v>
      </c>
      <c r="I232">
        <v>1.3458999999999999E-3</v>
      </c>
    </row>
    <row r="233" spans="1:9" x14ac:dyDescent="0.25">
      <c r="A233" s="104" t="str">
        <f t="shared" si="3"/>
        <v>Haiti2016.5RuralPub_MedPill</v>
      </c>
      <c r="B233" t="s">
        <v>138</v>
      </c>
      <c r="C233">
        <v>2016.5</v>
      </c>
      <c r="D233" t="s">
        <v>21</v>
      </c>
      <c r="E233" t="s">
        <v>52</v>
      </c>
      <c r="F233" t="s">
        <v>12</v>
      </c>
      <c r="G233">
        <v>3.1519999999999999E-3</v>
      </c>
      <c r="H233">
        <v>4.1330000000000004E-3</v>
      </c>
      <c r="I233">
        <v>1.0838199999999999E-2</v>
      </c>
    </row>
    <row r="234" spans="1:9" x14ac:dyDescent="0.25">
      <c r="A234" s="104" t="str">
        <f t="shared" si="3"/>
        <v>Haiti2016.5RuralPub_OutreachPill</v>
      </c>
      <c r="B234" t="s">
        <v>138</v>
      </c>
      <c r="C234">
        <v>2016.5</v>
      </c>
      <c r="D234" t="s">
        <v>21</v>
      </c>
      <c r="E234" t="s">
        <v>54</v>
      </c>
      <c r="F234" t="s">
        <v>12</v>
      </c>
      <c r="G234">
        <v>1.3740000000000001E-4</v>
      </c>
      <c r="I234">
        <v>2.02E-4</v>
      </c>
    </row>
    <row r="235" spans="1:9" x14ac:dyDescent="0.25">
      <c r="A235" s="104" t="str">
        <f t="shared" si="3"/>
        <v>Haiti2016.5RuralNGOPill</v>
      </c>
      <c r="B235" t="s">
        <v>138</v>
      </c>
      <c r="C235">
        <v>2016.5</v>
      </c>
      <c r="D235" t="s">
        <v>21</v>
      </c>
      <c r="E235" t="s">
        <v>170</v>
      </c>
      <c r="F235" t="s">
        <v>12</v>
      </c>
      <c r="G235">
        <v>2.9298000000000002E-3</v>
      </c>
      <c r="H235">
        <v>1.8537E-3</v>
      </c>
      <c r="I235">
        <v>1.2074E-3</v>
      </c>
    </row>
    <row r="236" spans="1:9" x14ac:dyDescent="0.25">
      <c r="A236" s="104" t="str">
        <f t="shared" si="3"/>
        <v>Haiti2016.5RuralCommercialPill</v>
      </c>
      <c r="B236" t="s">
        <v>138</v>
      </c>
      <c r="C236">
        <v>2016.5</v>
      </c>
      <c r="D236" t="s">
        <v>21</v>
      </c>
      <c r="E236" t="s">
        <v>59</v>
      </c>
      <c r="F236" t="s">
        <v>12</v>
      </c>
      <c r="G236">
        <v>1.5315000000000001E-3</v>
      </c>
      <c r="H236">
        <v>1.7053000000000001E-3</v>
      </c>
      <c r="I236">
        <v>4.0315999999999998E-3</v>
      </c>
    </row>
    <row r="237" spans="1:9" x14ac:dyDescent="0.25">
      <c r="A237" s="104" t="str">
        <f t="shared" si="3"/>
        <v>Haiti2016.5RuralNonTradPill</v>
      </c>
      <c r="B237" t="s">
        <v>138</v>
      </c>
      <c r="C237">
        <v>2016.5</v>
      </c>
      <c r="D237" t="s">
        <v>21</v>
      </c>
      <c r="E237" t="s">
        <v>171</v>
      </c>
      <c r="F237" t="s">
        <v>12</v>
      </c>
      <c r="H237">
        <v>1.0901000000000001E-3</v>
      </c>
      <c r="I237">
        <v>1.7349999999999999E-4</v>
      </c>
    </row>
    <row r="238" spans="1:9" x14ac:dyDescent="0.25">
      <c r="A238" s="104" t="str">
        <f t="shared" si="3"/>
        <v>Haiti2016.5NationalPub_MedIUD</v>
      </c>
      <c r="B238" t="s">
        <v>138</v>
      </c>
      <c r="C238">
        <v>2016.5</v>
      </c>
      <c r="D238" t="s">
        <v>178</v>
      </c>
      <c r="E238" t="s">
        <v>52</v>
      </c>
      <c r="F238" t="s">
        <v>16</v>
      </c>
      <c r="G238">
        <v>8.8750000000000005E-4</v>
      </c>
    </row>
    <row r="239" spans="1:9" x14ac:dyDescent="0.25">
      <c r="A239" s="104" t="str">
        <f t="shared" si="3"/>
        <v>Haiti2016.5NationalCommercialIUD</v>
      </c>
      <c r="B239" t="s">
        <v>138</v>
      </c>
      <c r="C239">
        <v>2016.5</v>
      </c>
      <c r="D239" t="s">
        <v>178</v>
      </c>
      <c r="E239" t="s">
        <v>59</v>
      </c>
      <c r="F239" t="s">
        <v>16</v>
      </c>
      <c r="H239">
        <v>3.0009999999999998E-4</v>
      </c>
    </row>
    <row r="240" spans="1:9" x14ac:dyDescent="0.25">
      <c r="A240" s="104" t="str">
        <f t="shared" si="3"/>
        <v>Haiti2016.5UrbanPub_MedIUD</v>
      </c>
      <c r="B240" t="s">
        <v>138</v>
      </c>
      <c r="C240">
        <v>2016.5</v>
      </c>
      <c r="D240" t="s">
        <v>20</v>
      </c>
      <c r="E240" t="s">
        <v>52</v>
      </c>
      <c r="F240" t="s">
        <v>16</v>
      </c>
      <c r="G240">
        <v>1.0317E-3</v>
      </c>
    </row>
    <row r="241" spans="1:9" x14ac:dyDescent="0.25">
      <c r="A241" s="104" t="str">
        <f t="shared" si="3"/>
        <v>Haiti2016.5UrbanCommercialIUD</v>
      </c>
      <c r="B241" t="s">
        <v>138</v>
      </c>
      <c r="C241">
        <v>2016.5</v>
      </c>
      <c r="D241" t="s">
        <v>20</v>
      </c>
      <c r="E241" t="s">
        <v>59</v>
      </c>
      <c r="F241" t="s">
        <v>16</v>
      </c>
      <c r="H241">
        <v>6.5189999999999996E-4</v>
      </c>
    </row>
    <row r="242" spans="1:9" x14ac:dyDescent="0.25">
      <c r="A242" s="104" t="str">
        <f t="shared" si="3"/>
        <v>Haiti2016.5RuralPub_MedIUD</v>
      </c>
      <c r="B242" t="s">
        <v>138</v>
      </c>
      <c r="C242">
        <v>2016.5</v>
      </c>
      <c r="D242" t="s">
        <v>21</v>
      </c>
      <c r="E242" t="s">
        <v>52</v>
      </c>
      <c r="F242" t="s">
        <v>16</v>
      </c>
      <c r="G242">
        <v>7.5880000000000001E-4</v>
      </c>
    </row>
    <row r="243" spans="1:9" x14ac:dyDescent="0.25">
      <c r="A243" s="104" t="str">
        <f t="shared" si="3"/>
        <v>Haiti2016.5NationalPub_MedInjectable</v>
      </c>
      <c r="B243" t="s">
        <v>138</v>
      </c>
      <c r="C243">
        <v>2016.5</v>
      </c>
      <c r="D243" t="s">
        <v>178</v>
      </c>
      <c r="E243" t="s">
        <v>52</v>
      </c>
      <c r="F243" t="s">
        <v>22</v>
      </c>
      <c r="G243">
        <v>7.3684200000000005E-2</v>
      </c>
      <c r="H243">
        <v>6.5657400000000005E-2</v>
      </c>
      <c r="I243">
        <v>3.8301000000000002E-2</v>
      </c>
    </row>
    <row r="244" spans="1:9" x14ac:dyDescent="0.25">
      <c r="A244" s="104" t="str">
        <f t="shared" si="3"/>
        <v>Haiti2016.5NationalPub_OutreachInjectable</v>
      </c>
      <c r="B244" t="s">
        <v>138</v>
      </c>
      <c r="C244">
        <v>2016.5</v>
      </c>
      <c r="D244" t="s">
        <v>178</v>
      </c>
      <c r="E244" t="s">
        <v>54</v>
      </c>
      <c r="F244" t="s">
        <v>22</v>
      </c>
      <c r="G244">
        <v>6.0847999999999996E-3</v>
      </c>
      <c r="H244">
        <v>4.2287000000000002E-3</v>
      </c>
      <c r="I244">
        <v>4.2963000000000003E-3</v>
      </c>
    </row>
    <row r="245" spans="1:9" x14ac:dyDescent="0.25">
      <c r="A245" s="104" t="str">
        <f t="shared" si="3"/>
        <v>Haiti2016.5NationalNGOInjectable</v>
      </c>
      <c r="B245" t="s">
        <v>138</v>
      </c>
      <c r="C245">
        <v>2016.5</v>
      </c>
      <c r="D245" t="s">
        <v>178</v>
      </c>
      <c r="E245" t="s">
        <v>170</v>
      </c>
      <c r="F245" t="s">
        <v>22</v>
      </c>
      <c r="G245">
        <v>3.1907699999999997E-2</v>
      </c>
      <c r="H245">
        <v>2.4641199999999999E-2</v>
      </c>
      <c r="I245">
        <v>1.4371E-2</v>
      </c>
    </row>
    <row r="246" spans="1:9" x14ac:dyDescent="0.25">
      <c r="A246" s="104" t="str">
        <f t="shared" si="3"/>
        <v>Haiti2016.5NationalCommercialInjectable</v>
      </c>
      <c r="B246" t="s">
        <v>138</v>
      </c>
      <c r="C246">
        <v>2016.5</v>
      </c>
      <c r="D246" t="s">
        <v>178</v>
      </c>
      <c r="E246" t="s">
        <v>59</v>
      </c>
      <c r="F246" t="s">
        <v>22</v>
      </c>
      <c r="G246">
        <v>1.8605199999999999E-2</v>
      </c>
      <c r="H246">
        <v>1.74944E-2</v>
      </c>
      <c r="I246">
        <v>1.28282E-2</v>
      </c>
    </row>
    <row r="247" spans="1:9" x14ac:dyDescent="0.25">
      <c r="A247" s="104" t="str">
        <f t="shared" si="3"/>
        <v>Haiti2016.5UrbanPub_MedInjectable</v>
      </c>
      <c r="B247" t="s">
        <v>138</v>
      </c>
      <c r="C247">
        <v>2016.5</v>
      </c>
      <c r="D247" t="s">
        <v>20</v>
      </c>
      <c r="E247" t="s">
        <v>52</v>
      </c>
      <c r="F247" t="s">
        <v>22</v>
      </c>
      <c r="G247">
        <v>7.7639700000000006E-2</v>
      </c>
      <c r="H247">
        <v>4.1340099999999998E-2</v>
      </c>
      <c r="I247">
        <v>1.8182799999999999E-2</v>
      </c>
    </row>
    <row r="248" spans="1:9" x14ac:dyDescent="0.25">
      <c r="A248" s="104" t="str">
        <f t="shared" si="3"/>
        <v>Haiti2016.5UrbanPub_OutreachInjectable</v>
      </c>
      <c r="B248" t="s">
        <v>138</v>
      </c>
      <c r="C248">
        <v>2016.5</v>
      </c>
      <c r="D248" t="s">
        <v>20</v>
      </c>
      <c r="E248" t="s">
        <v>54</v>
      </c>
      <c r="F248" t="s">
        <v>22</v>
      </c>
      <c r="G248">
        <v>3.9813000000000001E-3</v>
      </c>
      <c r="H248">
        <v>3.5025999999999998E-3</v>
      </c>
    </row>
    <row r="249" spans="1:9" x14ac:dyDescent="0.25">
      <c r="A249" s="104" t="str">
        <f t="shared" si="3"/>
        <v>Haiti2016.5UrbanNGOInjectable</v>
      </c>
      <c r="B249" t="s">
        <v>138</v>
      </c>
      <c r="C249">
        <v>2016.5</v>
      </c>
      <c r="D249" t="s">
        <v>20</v>
      </c>
      <c r="E249" t="s">
        <v>170</v>
      </c>
      <c r="F249" t="s">
        <v>22</v>
      </c>
      <c r="G249">
        <v>2.1706199999999998E-2</v>
      </c>
      <c r="H249">
        <v>4.4482999999999997E-3</v>
      </c>
      <c r="I249">
        <v>1.5811E-3</v>
      </c>
    </row>
    <row r="250" spans="1:9" x14ac:dyDescent="0.25">
      <c r="A250" s="104" t="str">
        <f t="shared" si="3"/>
        <v>Haiti2016.5UrbanCommercialInjectable</v>
      </c>
      <c r="B250" t="s">
        <v>138</v>
      </c>
      <c r="C250">
        <v>2016.5</v>
      </c>
      <c r="D250" t="s">
        <v>20</v>
      </c>
      <c r="E250" t="s">
        <v>59</v>
      </c>
      <c r="F250" t="s">
        <v>22</v>
      </c>
      <c r="G250">
        <v>2.77611E-2</v>
      </c>
      <c r="H250">
        <v>1.98073E-2</v>
      </c>
      <c r="I250">
        <v>1.43404E-2</v>
      </c>
    </row>
    <row r="251" spans="1:9" x14ac:dyDescent="0.25">
      <c r="A251" s="104" t="str">
        <f t="shared" si="3"/>
        <v>Haiti2016.5RuralPub_MedInjectable</v>
      </c>
      <c r="B251" t="s">
        <v>138</v>
      </c>
      <c r="C251">
        <v>2016.5</v>
      </c>
      <c r="D251" t="s">
        <v>21</v>
      </c>
      <c r="E251" t="s">
        <v>52</v>
      </c>
      <c r="F251" t="s">
        <v>22</v>
      </c>
      <c r="G251">
        <v>7.4888800000000005E-2</v>
      </c>
      <c r="H251">
        <v>9.0034900000000001E-2</v>
      </c>
      <c r="I251">
        <v>5.7284700000000001E-2</v>
      </c>
    </row>
    <row r="252" spans="1:9" x14ac:dyDescent="0.25">
      <c r="A252" s="104" t="str">
        <f t="shared" si="3"/>
        <v>Haiti2016.5RuralPub_OutreachInjectable</v>
      </c>
      <c r="B252" t="s">
        <v>138</v>
      </c>
      <c r="C252">
        <v>2016.5</v>
      </c>
      <c r="D252" t="s">
        <v>21</v>
      </c>
      <c r="E252" t="s">
        <v>54</v>
      </c>
      <c r="F252" t="s">
        <v>22</v>
      </c>
      <c r="G252">
        <v>3.2261999999999998E-3</v>
      </c>
      <c r="H252">
        <v>1.219E-3</v>
      </c>
      <c r="I252">
        <v>4.0645000000000004E-3</v>
      </c>
    </row>
    <row r="253" spans="1:9" x14ac:dyDescent="0.25">
      <c r="A253" s="104" t="str">
        <f t="shared" si="3"/>
        <v>Haiti2016.5RuralNGOInjectable</v>
      </c>
      <c r="B253" t="s">
        <v>138</v>
      </c>
      <c r="C253">
        <v>2016.5</v>
      </c>
      <c r="D253" t="s">
        <v>21</v>
      </c>
      <c r="E253" t="s">
        <v>170</v>
      </c>
      <c r="F253" t="s">
        <v>22</v>
      </c>
      <c r="G253">
        <v>4.1018300000000001E-2</v>
      </c>
      <c r="H253">
        <v>4.1870499999999998E-2</v>
      </c>
      <c r="I253">
        <v>2.4194400000000001E-2</v>
      </c>
    </row>
    <row r="254" spans="1:9" x14ac:dyDescent="0.25">
      <c r="A254" s="104" t="str">
        <f t="shared" si="3"/>
        <v>Haiti2016.5RuralCommercialInjectable</v>
      </c>
      <c r="B254" t="s">
        <v>138</v>
      </c>
      <c r="C254">
        <v>2016.5</v>
      </c>
      <c r="D254" t="s">
        <v>21</v>
      </c>
      <c r="E254" t="s">
        <v>59</v>
      </c>
      <c r="F254" t="s">
        <v>22</v>
      </c>
      <c r="G254">
        <v>1.0428400000000001E-2</v>
      </c>
      <c r="H254">
        <v>1.5521E-2</v>
      </c>
      <c r="I254">
        <v>1.16667E-2</v>
      </c>
    </row>
    <row r="255" spans="1:9" x14ac:dyDescent="0.25">
      <c r="A255" s="104" t="str">
        <f t="shared" si="3"/>
        <v>Haiti2016.5NationalPub_MedCondom</v>
      </c>
      <c r="B255" t="s">
        <v>138</v>
      </c>
      <c r="C255">
        <v>2016.5</v>
      </c>
      <c r="D255" t="s">
        <v>178</v>
      </c>
      <c r="E255" t="s">
        <v>52</v>
      </c>
      <c r="F255" t="s">
        <v>25</v>
      </c>
      <c r="G255">
        <v>1.06198E-2</v>
      </c>
      <c r="H255">
        <v>1.27916E-2</v>
      </c>
      <c r="I255">
        <v>1.1313200000000001E-2</v>
      </c>
    </row>
    <row r="256" spans="1:9" x14ac:dyDescent="0.25">
      <c r="A256" s="104" t="str">
        <f t="shared" si="3"/>
        <v>Haiti2016.5NationalPub_OutreachCondom</v>
      </c>
      <c r="B256" t="s">
        <v>138</v>
      </c>
      <c r="C256">
        <v>2016.5</v>
      </c>
      <c r="D256" t="s">
        <v>178</v>
      </c>
      <c r="E256" t="s">
        <v>54</v>
      </c>
      <c r="F256" t="s">
        <v>25</v>
      </c>
      <c r="G256">
        <v>1.1979E-3</v>
      </c>
      <c r="H256">
        <v>1.2141999999999999E-3</v>
      </c>
      <c r="I256">
        <v>3.4554999999999998E-3</v>
      </c>
    </row>
    <row r="257" spans="1:9" x14ac:dyDescent="0.25">
      <c r="A257" s="104" t="str">
        <f t="shared" si="3"/>
        <v>Haiti2016.5NationalNGOCondom</v>
      </c>
      <c r="B257" t="s">
        <v>138</v>
      </c>
      <c r="C257">
        <v>2016.5</v>
      </c>
      <c r="D257" t="s">
        <v>178</v>
      </c>
      <c r="E257" t="s">
        <v>170</v>
      </c>
      <c r="F257" t="s">
        <v>25</v>
      </c>
      <c r="G257">
        <v>3.2001E-3</v>
      </c>
      <c r="H257">
        <v>2.0092999999999999E-3</v>
      </c>
      <c r="I257">
        <v>3.6711999999999999E-3</v>
      </c>
    </row>
    <row r="258" spans="1:9" x14ac:dyDescent="0.25">
      <c r="A258" s="104" t="str">
        <f t="shared" si="3"/>
        <v>Haiti2016.5NationalCommercialCondom</v>
      </c>
      <c r="B258" t="s">
        <v>138</v>
      </c>
      <c r="C258">
        <v>2016.5</v>
      </c>
      <c r="D258" t="s">
        <v>178</v>
      </c>
      <c r="E258" t="s">
        <v>59</v>
      </c>
      <c r="F258" t="s">
        <v>25</v>
      </c>
      <c r="G258">
        <v>9.2075000000000004E-3</v>
      </c>
      <c r="H258">
        <v>1.39249E-2</v>
      </c>
      <c r="I258">
        <v>2.6939899999999999E-2</v>
      </c>
    </row>
    <row r="259" spans="1:9" x14ac:dyDescent="0.25">
      <c r="A259" s="104" t="str">
        <f t="shared" ref="A259:A322" si="4">B259&amp;C259&amp;D259&amp;E259&amp;F259</f>
        <v>Haiti2016.5NationalNonTradCondom</v>
      </c>
      <c r="B259" t="s">
        <v>138</v>
      </c>
      <c r="C259">
        <v>2016.5</v>
      </c>
      <c r="D259" t="s">
        <v>178</v>
      </c>
      <c r="E259" t="s">
        <v>171</v>
      </c>
      <c r="F259" t="s">
        <v>25</v>
      </c>
      <c r="G259">
        <v>9.7106999999999992E-3</v>
      </c>
      <c r="H259">
        <v>1.2373800000000001E-2</v>
      </c>
      <c r="I259">
        <v>1.3676199999999999E-2</v>
      </c>
    </row>
    <row r="260" spans="1:9" x14ac:dyDescent="0.25">
      <c r="A260" s="104" t="str">
        <f t="shared" si="4"/>
        <v>Haiti2016.5NationalOtherCondom</v>
      </c>
      <c r="B260" t="s">
        <v>138</v>
      </c>
      <c r="C260">
        <v>2016.5</v>
      </c>
      <c r="D260" t="s">
        <v>178</v>
      </c>
      <c r="E260" t="s">
        <v>116</v>
      </c>
      <c r="F260" t="s">
        <v>25</v>
      </c>
      <c r="G260">
        <v>1.13784E-2</v>
      </c>
      <c r="H260">
        <v>1.8290299999999999E-2</v>
      </c>
      <c r="I260">
        <v>2.8188499999999998E-2</v>
      </c>
    </row>
    <row r="261" spans="1:9" x14ac:dyDescent="0.25">
      <c r="A261" s="104" t="str">
        <f t="shared" si="4"/>
        <v>Haiti2016.5UrbanPub_MedCondom</v>
      </c>
      <c r="B261" t="s">
        <v>138</v>
      </c>
      <c r="C261">
        <v>2016.5</v>
      </c>
      <c r="D261" t="s">
        <v>20</v>
      </c>
      <c r="E261" t="s">
        <v>52</v>
      </c>
      <c r="F261" t="s">
        <v>25</v>
      </c>
      <c r="G261">
        <v>1.76697E-2</v>
      </c>
      <c r="H261">
        <v>1.27095E-2</v>
      </c>
      <c r="I261">
        <v>9.5250999999999999E-3</v>
      </c>
    </row>
    <row r="262" spans="1:9" x14ac:dyDescent="0.25">
      <c r="A262" s="104" t="str">
        <f t="shared" si="4"/>
        <v>Haiti2016.5UrbanPub_OutreachCondom</v>
      </c>
      <c r="B262" t="s">
        <v>138</v>
      </c>
      <c r="C262">
        <v>2016.5</v>
      </c>
      <c r="D262" t="s">
        <v>20</v>
      </c>
      <c r="E262" t="s">
        <v>54</v>
      </c>
      <c r="F262" t="s">
        <v>25</v>
      </c>
      <c r="G262">
        <v>2.0198E-3</v>
      </c>
      <c r="H262">
        <v>2.2826000000000001E-3</v>
      </c>
      <c r="I262">
        <v>7.5994000000000001E-3</v>
      </c>
    </row>
    <row r="263" spans="1:9" x14ac:dyDescent="0.25">
      <c r="A263" s="104" t="str">
        <f t="shared" si="4"/>
        <v>Haiti2016.5UrbanNGOCondom</v>
      </c>
      <c r="B263" t="s">
        <v>138</v>
      </c>
      <c r="C263">
        <v>2016.5</v>
      </c>
      <c r="D263" t="s">
        <v>20</v>
      </c>
      <c r="E263" t="s">
        <v>170</v>
      </c>
      <c r="F263" t="s">
        <v>25</v>
      </c>
      <c r="G263">
        <v>3.7098000000000001E-3</v>
      </c>
      <c r="H263">
        <v>1.4295E-3</v>
      </c>
      <c r="I263">
        <v>4.8585E-3</v>
      </c>
    </row>
    <row r="264" spans="1:9" x14ac:dyDescent="0.25">
      <c r="A264" s="104" t="str">
        <f t="shared" si="4"/>
        <v>Haiti2016.5UrbanCommercialCondom</v>
      </c>
      <c r="B264" t="s">
        <v>138</v>
      </c>
      <c r="C264">
        <v>2016.5</v>
      </c>
      <c r="D264" t="s">
        <v>20</v>
      </c>
      <c r="E264" t="s">
        <v>59</v>
      </c>
      <c r="F264" t="s">
        <v>25</v>
      </c>
      <c r="G264">
        <v>1.8457999999999999E-2</v>
      </c>
      <c r="H264">
        <v>1.9875799999999999E-2</v>
      </c>
      <c r="I264">
        <v>3.5097700000000003E-2</v>
      </c>
    </row>
    <row r="265" spans="1:9" x14ac:dyDescent="0.25">
      <c r="A265" s="104" t="str">
        <f t="shared" si="4"/>
        <v>Haiti2016.5UrbanNonTradCondom</v>
      </c>
      <c r="B265" t="s">
        <v>138</v>
      </c>
      <c r="C265">
        <v>2016.5</v>
      </c>
      <c r="D265" t="s">
        <v>20</v>
      </c>
      <c r="E265" t="s">
        <v>171</v>
      </c>
      <c r="F265" t="s">
        <v>25</v>
      </c>
      <c r="G265">
        <v>1.6136500000000002E-2</v>
      </c>
      <c r="H265">
        <v>1.8894399999999999E-2</v>
      </c>
      <c r="I265">
        <v>2.0196499999999999E-2</v>
      </c>
    </row>
    <row r="266" spans="1:9" x14ac:dyDescent="0.25">
      <c r="A266" s="104" t="str">
        <f t="shared" si="4"/>
        <v>Haiti2016.5UrbanOtherCondom</v>
      </c>
      <c r="B266" t="s">
        <v>138</v>
      </c>
      <c r="C266">
        <v>2016.5</v>
      </c>
      <c r="D266" t="s">
        <v>20</v>
      </c>
      <c r="E266" t="s">
        <v>116</v>
      </c>
      <c r="F266" t="s">
        <v>25</v>
      </c>
      <c r="G266">
        <v>2.0790599999999999E-2</v>
      </c>
      <c r="H266">
        <v>3.2014599999999997E-2</v>
      </c>
      <c r="I266">
        <v>4.2822300000000001E-2</v>
      </c>
    </row>
    <row r="267" spans="1:9" x14ac:dyDescent="0.25">
      <c r="A267" s="104" t="str">
        <f t="shared" si="4"/>
        <v>Haiti2016.5RuralPub_MedCondom</v>
      </c>
      <c r="B267" t="s">
        <v>138</v>
      </c>
      <c r="C267">
        <v>2016.5</v>
      </c>
      <c r="D267" t="s">
        <v>21</v>
      </c>
      <c r="E267" t="s">
        <v>52</v>
      </c>
      <c r="F267" t="s">
        <v>25</v>
      </c>
      <c r="G267">
        <v>4.7876000000000004E-3</v>
      </c>
      <c r="H267">
        <v>1.3164199999999999E-2</v>
      </c>
      <c r="I267">
        <v>1.2686599999999999E-2</v>
      </c>
    </row>
    <row r="268" spans="1:9" x14ac:dyDescent="0.25">
      <c r="A268" s="104" t="str">
        <f t="shared" si="4"/>
        <v>Haiti2016.5RuralPub_OutreachCondom</v>
      </c>
      <c r="B268" t="s">
        <v>138</v>
      </c>
      <c r="C268">
        <v>2016.5</v>
      </c>
      <c r="D268" t="s">
        <v>21</v>
      </c>
      <c r="E268" t="s">
        <v>54</v>
      </c>
      <c r="F268" t="s">
        <v>25</v>
      </c>
      <c r="I268">
        <v>2.7270000000000001E-4</v>
      </c>
    </row>
    <row r="269" spans="1:9" x14ac:dyDescent="0.25">
      <c r="A269" s="104" t="str">
        <f t="shared" si="4"/>
        <v>Haiti2016.5RuralNGOCondom</v>
      </c>
      <c r="B269" t="s">
        <v>138</v>
      </c>
      <c r="C269">
        <v>2016.5</v>
      </c>
      <c r="D269" t="s">
        <v>21</v>
      </c>
      <c r="E269" t="s">
        <v>170</v>
      </c>
      <c r="F269" t="s">
        <v>25</v>
      </c>
      <c r="G269">
        <v>2.745E-3</v>
      </c>
      <c r="H269">
        <v>2.5041E-3</v>
      </c>
      <c r="I269">
        <v>2.7593000000000001E-3</v>
      </c>
    </row>
    <row r="270" spans="1:9" x14ac:dyDescent="0.25">
      <c r="A270" s="104" t="str">
        <f t="shared" si="4"/>
        <v>Haiti2016.5RuralCommercialCondom</v>
      </c>
      <c r="B270" t="s">
        <v>138</v>
      </c>
      <c r="C270">
        <v>2016.5</v>
      </c>
      <c r="D270" t="s">
        <v>21</v>
      </c>
      <c r="E270" t="s">
        <v>59</v>
      </c>
      <c r="F270" t="s">
        <v>25</v>
      </c>
      <c r="G270">
        <v>9.4620000000000001E-4</v>
      </c>
      <c r="H270">
        <v>8.8474000000000001E-3</v>
      </c>
      <c r="I270">
        <v>2.0674100000000001E-2</v>
      </c>
    </row>
    <row r="271" spans="1:9" x14ac:dyDescent="0.25">
      <c r="A271" s="104" t="str">
        <f t="shared" si="4"/>
        <v>Haiti2016.5RuralNonTradCondom</v>
      </c>
      <c r="B271" t="s">
        <v>138</v>
      </c>
      <c r="C271">
        <v>2016.5</v>
      </c>
      <c r="D271" t="s">
        <v>21</v>
      </c>
      <c r="E271" t="s">
        <v>171</v>
      </c>
      <c r="F271" t="s">
        <v>25</v>
      </c>
      <c r="G271">
        <v>3.9721000000000001E-3</v>
      </c>
      <c r="H271">
        <v>6.8101999999999998E-3</v>
      </c>
      <c r="I271">
        <v>8.6680999999999998E-3</v>
      </c>
    </row>
    <row r="272" spans="1:9" x14ac:dyDescent="0.25">
      <c r="A272" s="104" t="str">
        <f t="shared" si="4"/>
        <v>Haiti2016.5RuralOtherCondom</v>
      </c>
      <c r="B272" t="s">
        <v>138</v>
      </c>
      <c r="C272">
        <v>2016.5</v>
      </c>
      <c r="D272" t="s">
        <v>21</v>
      </c>
      <c r="E272" t="s">
        <v>116</v>
      </c>
      <c r="F272" t="s">
        <v>25</v>
      </c>
      <c r="G272">
        <v>2.9727999999999998E-3</v>
      </c>
      <c r="H272">
        <v>6.5802999999999999E-3</v>
      </c>
      <c r="I272">
        <v>1.6948700000000001E-2</v>
      </c>
    </row>
    <row r="273" spans="1:9" x14ac:dyDescent="0.25">
      <c r="A273" s="104" t="str">
        <f t="shared" si="4"/>
        <v>Haiti2016.5NationalPub_MedImplant</v>
      </c>
      <c r="B273" t="s">
        <v>138</v>
      </c>
      <c r="C273">
        <v>2016.5</v>
      </c>
      <c r="D273" t="s">
        <v>178</v>
      </c>
      <c r="E273" t="s">
        <v>52</v>
      </c>
      <c r="F273" t="s">
        <v>23</v>
      </c>
      <c r="G273">
        <v>1.2519300000000001E-2</v>
      </c>
      <c r="H273">
        <v>7.5868999999999997E-3</v>
      </c>
      <c r="I273">
        <v>3.2020999999999998E-3</v>
      </c>
    </row>
    <row r="274" spans="1:9" x14ac:dyDescent="0.25">
      <c r="A274" s="104" t="str">
        <f t="shared" si="4"/>
        <v>Haiti2016.5NationalPub_OutreachImplant</v>
      </c>
      <c r="B274" t="s">
        <v>138</v>
      </c>
      <c r="C274">
        <v>2016.5</v>
      </c>
      <c r="D274" t="s">
        <v>178</v>
      </c>
      <c r="E274" t="s">
        <v>54</v>
      </c>
      <c r="F274" t="s">
        <v>23</v>
      </c>
      <c r="G274">
        <v>1.513E-3</v>
      </c>
      <c r="H274">
        <v>2.5038999999999999E-3</v>
      </c>
      <c r="I274">
        <v>2.0861E-3</v>
      </c>
    </row>
    <row r="275" spans="1:9" x14ac:dyDescent="0.25">
      <c r="A275" s="104" t="str">
        <f t="shared" si="4"/>
        <v>Haiti2016.5NationalNGOImplant</v>
      </c>
      <c r="B275" t="s">
        <v>138</v>
      </c>
      <c r="C275">
        <v>2016.5</v>
      </c>
      <c r="D275" t="s">
        <v>178</v>
      </c>
      <c r="E275" t="s">
        <v>170</v>
      </c>
      <c r="F275" t="s">
        <v>23</v>
      </c>
      <c r="G275">
        <v>9.1399999999999999E-5</v>
      </c>
    </row>
    <row r="276" spans="1:9" x14ac:dyDescent="0.25">
      <c r="A276" s="104" t="str">
        <f t="shared" si="4"/>
        <v>Haiti2016.5NationalCommercialImplant</v>
      </c>
      <c r="B276" t="s">
        <v>138</v>
      </c>
      <c r="C276">
        <v>2016.5</v>
      </c>
      <c r="D276" t="s">
        <v>178</v>
      </c>
      <c r="E276" t="s">
        <v>59</v>
      </c>
      <c r="F276" t="s">
        <v>23</v>
      </c>
      <c r="G276">
        <v>1.9231999999999999E-3</v>
      </c>
      <c r="H276">
        <v>1.1578999999999999E-3</v>
      </c>
      <c r="I276">
        <v>5.8889999999999995E-4</v>
      </c>
    </row>
    <row r="277" spans="1:9" x14ac:dyDescent="0.25">
      <c r="A277" s="104" t="str">
        <f t="shared" si="4"/>
        <v>Haiti2016.5UrbanPub_MedImplant</v>
      </c>
      <c r="B277" t="s">
        <v>138</v>
      </c>
      <c r="C277">
        <v>2016.5</v>
      </c>
      <c r="D277" t="s">
        <v>20</v>
      </c>
      <c r="E277" t="s">
        <v>52</v>
      </c>
      <c r="F277" t="s">
        <v>23</v>
      </c>
      <c r="G277">
        <v>9.5537999999999994E-3</v>
      </c>
      <c r="H277">
        <v>4.3432000000000002E-3</v>
      </c>
      <c r="I277">
        <v>4.2250999999999999E-3</v>
      </c>
    </row>
    <row r="278" spans="1:9" x14ac:dyDescent="0.25">
      <c r="A278" s="104" t="str">
        <f t="shared" si="4"/>
        <v>Haiti2016.5UrbanPub_OutreachImplant</v>
      </c>
      <c r="B278" t="s">
        <v>138</v>
      </c>
      <c r="C278">
        <v>2016.5</v>
      </c>
      <c r="D278" t="s">
        <v>20</v>
      </c>
      <c r="E278" t="s">
        <v>54</v>
      </c>
      <c r="F278" t="s">
        <v>23</v>
      </c>
      <c r="G278">
        <v>2.9550000000000003E-4</v>
      </c>
    </row>
    <row r="279" spans="1:9" x14ac:dyDescent="0.25">
      <c r="A279" s="104" t="str">
        <f t="shared" si="4"/>
        <v>Haiti2016.5UrbanCommercialImplant</v>
      </c>
      <c r="B279" t="s">
        <v>138</v>
      </c>
      <c r="C279">
        <v>2016.5</v>
      </c>
      <c r="D279" t="s">
        <v>20</v>
      </c>
      <c r="E279" t="s">
        <v>59</v>
      </c>
      <c r="F279" t="s">
        <v>23</v>
      </c>
      <c r="G279">
        <v>2.4334999999999999E-3</v>
      </c>
      <c r="I279">
        <v>8.7330000000000003E-4</v>
      </c>
    </row>
    <row r="280" spans="1:9" x14ac:dyDescent="0.25">
      <c r="A280" s="104" t="str">
        <f t="shared" si="4"/>
        <v>Haiti2016.5RuralPub_MedImplant</v>
      </c>
      <c r="B280" t="s">
        <v>138</v>
      </c>
      <c r="C280">
        <v>2016.5</v>
      </c>
      <c r="D280" t="s">
        <v>21</v>
      </c>
      <c r="E280" t="s">
        <v>52</v>
      </c>
      <c r="F280" t="s">
        <v>23</v>
      </c>
      <c r="G280">
        <v>1.63926E-2</v>
      </c>
      <c r="H280">
        <v>1.3507999999999999E-2</v>
      </c>
      <c r="I280">
        <v>5.8859999999999997E-3</v>
      </c>
    </row>
    <row r="281" spans="1:9" x14ac:dyDescent="0.25">
      <c r="A281" s="104" t="str">
        <f t="shared" si="4"/>
        <v>Haiti2016.5RuralPub_OutreachImplant</v>
      </c>
      <c r="B281" t="s">
        <v>138</v>
      </c>
      <c r="C281">
        <v>2016.5</v>
      </c>
      <c r="D281" t="s">
        <v>21</v>
      </c>
      <c r="E281" t="s">
        <v>54</v>
      </c>
      <c r="F281" t="s">
        <v>23</v>
      </c>
      <c r="G281">
        <v>1.3753000000000001E-3</v>
      </c>
      <c r="H281">
        <v>1.4867000000000001E-3</v>
      </c>
      <c r="I281">
        <v>2.187E-4</v>
      </c>
    </row>
    <row r="282" spans="1:9" x14ac:dyDescent="0.25">
      <c r="A282" s="104" t="str">
        <f t="shared" si="4"/>
        <v>Haiti2016.5RuralNGOImplant</v>
      </c>
      <c r="B282" t="s">
        <v>138</v>
      </c>
      <c r="C282">
        <v>2016.5</v>
      </c>
      <c r="D282" t="s">
        <v>21</v>
      </c>
      <c r="E282" t="s">
        <v>170</v>
      </c>
      <c r="F282" t="s">
        <v>23</v>
      </c>
      <c r="G282">
        <v>1.73E-4</v>
      </c>
    </row>
    <row r="283" spans="1:9" x14ac:dyDescent="0.25">
      <c r="A283" s="104" t="str">
        <f t="shared" si="4"/>
        <v>Haiti2016.5RuralCommercialImplant</v>
      </c>
      <c r="B283" t="s">
        <v>138</v>
      </c>
      <c r="C283">
        <v>2016.5</v>
      </c>
      <c r="D283" t="s">
        <v>21</v>
      </c>
      <c r="E283" t="s">
        <v>59</v>
      </c>
      <c r="F283" t="s">
        <v>23</v>
      </c>
      <c r="G283">
        <v>1.4675000000000001E-3</v>
      </c>
      <c r="H283">
        <v>2.1457999999999998E-3</v>
      </c>
      <c r="I283">
        <v>3.704E-4</v>
      </c>
    </row>
    <row r="284" spans="1:9" x14ac:dyDescent="0.25">
      <c r="A284" s="104" t="str">
        <f t="shared" si="4"/>
        <v>Malawi2010NationalPub_MedPill</v>
      </c>
      <c r="B284" t="s">
        <v>142</v>
      </c>
      <c r="C284">
        <v>2010</v>
      </c>
      <c r="D284" t="s">
        <v>178</v>
      </c>
      <c r="E284" t="s">
        <v>52</v>
      </c>
      <c r="F284" t="s">
        <v>12</v>
      </c>
      <c r="G284">
        <v>1.10846E-2</v>
      </c>
      <c r="H284">
        <v>1.04831E-2</v>
      </c>
      <c r="I284">
        <v>1.48025E-2</v>
      </c>
    </row>
    <row r="285" spans="1:9" x14ac:dyDescent="0.25">
      <c r="A285" s="104" t="str">
        <f t="shared" si="4"/>
        <v>Malawi2010NationalPub_OutreachPill</v>
      </c>
      <c r="B285" t="s">
        <v>142</v>
      </c>
      <c r="C285">
        <v>2010</v>
      </c>
      <c r="D285" t="s">
        <v>178</v>
      </c>
      <c r="E285" t="s">
        <v>54</v>
      </c>
      <c r="F285" t="s">
        <v>12</v>
      </c>
      <c r="G285">
        <v>4.5002999999999996E-3</v>
      </c>
      <c r="H285">
        <v>2.7326E-3</v>
      </c>
      <c r="I285">
        <v>2.5768000000000002E-3</v>
      </c>
    </row>
    <row r="286" spans="1:9" x14ac:dyDescent="0.25">
      <c r="A286" s="104" t="str">
        <f t="shared" si="4"/>
        <v>Malawi2010NationalNGOPill</v>
      </c>
      <c r="B286" t="s">
        <v>142</v>
      </c>
      <c r="C286">
        <v>2010</v>
      </c>
      <c r="D286" t="s">
        <v>178</v>
      </c>
      <c r="E286" t="s">
        <v>170</v>
      </c>
      <c r="F286" t="s">
        <v>12</v>
      </c>
      <c r="G286">
        <v>2.0390999999999999E-3</v>
      </c>
      <c r="H286">
        <v>3.5086000000000002E-3</v>
      </c>
      <c r="I286">
        <v>4.1324999999999999E-3</v>
      </c>
    </row>
    <row r="287" spans="1:9" x14ac:dyDescent="0.25">
      <c r="A287" s="104" t="str">
        <f t="shared" si="4"/>
        <v>Malawi2010NationalCommercialPill</v>
      </c>
      <c r="B287" t="s">
        <v>142</v>
      </c>
      <c r="C287">
        <v>2010</v>
      </c>
      <c r="D287" t="s">
        <v>178</v>
      </c>
      <c r="E287" t="s">
        <v>59</v>
      </c>
      <c r="F287" t="s">
        <v>12</v>
      </c>
      <c r="G287">
        <v>9.7499999999999998E-5</v>
      </c>
      <c r="H287">
        <v>6.6319999999999997E-4</v>
      </c>
      <c r="I287">
        <v>1.3242E-3</v>
      </c>
    </row>
    <row r="288" spans="1:9" x14ac:dyDescent="0.25">
      <c r="A288" s="104" t="str">
        <f t="shared" si="4"/>
        <v>Malawi2010NationalOtherPill</v>
      </c>
      <c r="B288" t="s">
        <v>142</v>
      </c>
      <c r="C288">
        <v>2010</v>
      </c>
      <c r="D288" t="s">
        <v>178</v>
      </c>
      <c r="E288" t="s">
        <v>116</v>
      </c>
      <c r="F288" t="s">
        <v>12</v>
      </c>
      <c r="H288">
        <v>6.7509999999999998E-4</v>
      </c>
      <c r="I288">
        <v>2.3269999999999999E-4</v>
      </c>
    </row>
    <row r="289" spans="1:9" x14ac:dyDescent="0.25">
      <c r="A289" s="104" t="str">
        <f t="shared" si="4"/>
        <v>Malawi2010NationalPill</v>
      </c>
      <c r="B289" t="s">
        <v>142</v>
      </c>
      <c r="C289">
        <v>2010</v>
      </c>
      <c r="D289" t="s">
        <v>178</v>
      </c>
      <c r="F289" t="s">
        <v>12</v>
      </c>
      <c r="G289">
        <v>2.0299999999999999E-5</v>
      </c>
      <c r="I289">
        <v>1.1680000000000001E-4</v>
      </c>
    </row>
    <row r="290" spans="1:9" x14ac:dyDescent="0.25">
      <c r="A290" s="104" t="str">
        <f t="shared" si="4"/>
        <v>Malawi2010UrbanPub_MedPill</v>
      </c>
      <c r="B290" t="s">
        <v>142</v>
      </c>
      <c r="C290">
        <v>2010</v>
      </c>
      <c r="D290" t="s">
        <v>20</v>
      </c>
      <c r="E290" t="s">
        <v>52</v>
      </c>
      <c r="F290" t="s">
        <v>12</v>
      </c>
      <c r="G290">
        <v>1.98271E-2</v>
      </c>
      <c r="H290">
        <v>9.0513999999999994E-3</v>
      </c>
      <c r="I290">
        <v>2.0952800000000001E-2</v>
      </c>
    </row>
    <row r="291" spans="1:9" x14ac:dyDescent="0.25">
      <c r="A291" s="104" t="str">
        <f t="shared" si="4"/>
        <v>Malawi2010UrbanPub_OutreachPill</v>
      </c>
      <c r="B291" t="s">
        <v>142</v>
      </c>
      <c r="C291">
        <v>2010</v>
      </c>
      <c r="D291" t="s">
        <v>20</v>
      </c>
      <c r="E291" t="s">
        <v>54</v>
      </c>
      <c r="F291" t="s">
        <v>12</v>
      </c>
      <c r="G291">
        <v>7.0739999999999996E-4</v>
      </c>
      <c r="I291">
        <v>8.252E-4</v>
      </c>
    </row>
    <row r="292" spans="1:9" x14ac:dyDescent="0.25">
      <c r="A292" s="104" t="str">
        <f t="shared" si="4"/>
        <v>Malawi2010UrbanNGOPill</v>
      </c>
      <c r="B292" t="s">
        <v>142</v>
      </c>
      <c r="C292">
        <v>2010</v>
      </c>
      <c r="D292" t="s">
        <v>20</v>
      </c>
      <c r="E292" t="s">
        <v>170</v>
      </c>
      <c r="F292" t="s">
        <v>12</v>
      </c>
      <c r="G292">
        <v>4.7936999999999997E-3</v>
      </c>
      <c r="H292">
        <v>8.3061999999999997E-3</v>
      </c>
      <c r="I292">
        <v>1.33837E-2</v>
      </c>
    </row>
    <row r="293" spans="1:9" x14ac:dyDescent="0.25">
      <c r="A293" s="104" t="str">
        <f t="shared" si="4"/>
        <v>Malawi2010UrbanCommercialPill</v>
      </c>
      <c r="B293" t="s">
        <v>142</v>
      </c>
      <c r="C293">
        <v>2010</v>
      </c>
      <c r="D293" t="s">
        <v>20</v>
      </c>
      <c r="E293" t="s">
        <v>59</v>
      </c>
      <c r="F293" t="s">
        <v>12</v>
      </c>
      <c r="I293">
        <v>4.6319999999999998E-3</v>
      </c>
    </row>
    <row r="294" spans="1:9" x14ac:dyDescent="0.25">
      <c r="A294" s="104" t="str">
        <f t="shared" si="4"/>
        <v>Malawi2010UrbanOtherPill</v>
      </c>
      <c r="B294" t="s">
        <v>142</v>
      </c>
      <c r="C294">
        <v>2010</v>
      </c>
      <c r="D294" t="s">
        <v>20</v>
      </c>
      <c r="E294" t="s">
        <v>116</v>
      </c>
      <c r="F294" t="s">
        <v>12</v>
      </c>
      <c r="I294">
        <v>1.2049999999999999E-3</v>
      </c>
    </row>
    <row r="295" spans="1:9" x14ac:dyDescent="0.25">
      <c r="A295" s="104" t="str">
        <f t="shared" si="4"/>
        <v>Malawi2010RuralPub_MedPill</v>
      </c>
      <c r="B295" t="s">
        <v>142</v>
      </c>
      <c r="C295">
        <v>2010</v>
      </c>
      <c r="D295" t="s">
        <v>21</v>
      </c>
      <c r="E295" t="s">
        <v>52</v>
      </c>
      <c r="F295" t="s">
        <v>12</v>
      </c>
      <c r="G295">
        <v>9.1739000000000005E-3</v>
      </c>
      <c r="H295">
        <v>1.0842900000000001E-2</v>
      </c>
      <c r="I295">
        <v>1.33302E-2</v>
      </c>
    </row>
    <row r="296" spans="1:9" x14ac:dyDescent="0.25">
      <c r="A296" s="104" t="str">
        <f t="shared" si="4"/>
        <v>Malawi2010RuralPub_OutreachPill</v>
      </c>
      <c r="B296" t="s">
        <v>142</v>
      </c>
      <c r="C296">
        <v>2010</v>
      </c>
      <c r="D296" t="s">
        <v>21</v>
      </c>
      <c r="E296" t="s">
        <v>54</v>
      </c>
      <c r="F296" t="s">
        <v>12</v>
      </c>
      <c r="G296">
        <v>5.3293000000000004E-3</v>
      </c>
      <c r="H296">
        <v>3.4194E-3</v>
      </c>
      <c r="I296">
        <v>2.9960999999999998E-3</v>
      </c>
    </row>
    <row r="297" spans="1:9" x14ac:dyDescent="0.25">
      <c r="A297" s="104" t="str">
        <f t="shared" si="4"/>
        <v>Malawi2010RuralNGOPill</v>
      </c>
      <c r="B297" t="s">
        <v>142</v>
      </c>
      <c r="C297">
        <v>2010</v>
      </c>
      <c r="D297" t="s">
        <v>21</v>
      </c>
      <c r="E297" t="s">
        <v>170</v>
      </c>
      <c r="F297" t="s">
        <v>12</v>
      </c>
      <c r="G297">
        <v>1.4371E-3</v>
      </c>
      <c r="H297">
        <v>2.3027999999999998E-3</v>
      </c>
      <c r="I297">
        <v>1.918E-3</v>
      </c>
    </row>
    <row r="298" spans="1:9" x14ac:dyDescent="0.25">
      <c r="A298" s="104" t="str">
        <f t="shared" si="4"/>
        <v>Malawi2010RuralCommercialPill</v>
      </c>
      <c r="B298" t="s">
        <v>142</v>
      </c>
      <c r="C298">
        <v>2010</v>
      </c>
      <c r="D298" t="s">
        <v>21</v>
      </c>
      <c r="E298" t="s">
        <v>59</v>
      </c>
      <c r="F298" t="s">
        <v>12</v>
      </c>
      <c r="G298">
        <v>1.188E-4</v>
      </c>
      <c r="H298">
        <v>8.2989999999999995E-4</v>
      </c>
      <c r="I298">
        <v>5.3240000000000004E-4</v>
      </c>
    </row>
    <row r="299" spans="1:9" x14ac:dyDescent="0.25">
      <c r="A299" s="104" t="str">
        <f t="shared" si="4"/>
        <v>Malawi2010RuralOtherPill</v>
      </c>
      <c r="B299" t="s">
        <v>142</v>
      </c>
      <c r="C299">
        <v>2010</v>
      </c>
      <c r="D299" t="s">
        <v>21</v>
      </c>
      <c r="E299" t="s">
        <v>116</v>
      </c>
      <c r="F299" t="s">
        <v>12</v>
      </c>
      <c r="H299">
        <v>8.4480000000000004E-4</v>
      </c>
    </row>
    <row r="300" spans="1:9" x14ac:dyDescent="0.25">
      <c r="A300" s="104" t="str">
        <f t="shared" si="4"/>
        <v>Malawi2010RuralPill</v>
      </c>
      <c r="B300" t="s">
        <v>142</v>
      </c>
      <c r="C300">
        <v>2010</v>
      </c>
      <c r="D300" t="s">
        <v>21</v>
      </c>
      <c r="F300" t="s">
        <v>12</v>
      </c>
      <c r="G300">
        <v>2.4700000000000001E-5</v>
      </c>
      <c r="I300">
        <v>1.4469999999999999E-4</v>
      </c>
    </row>
    <row r="301" spans="1:9" x14ac:dyDescent="0.25">
      <c r="A301" s="104" t="str">
        <f t="shared" si="4"/>
        <v>Malawi2010NationalPub_MedIUD</v>
      </c>
      <c r="B301" t="s">
        <v>142</v>
      </c>
      <c r="C301">
        <v>2010</v>
      </c>
      <c r="D301" t="s">
        <v>178</v>
      </c>
      <c r="E301" t="s">
        <v>52</v>
      </c>
      <c r="F301" t="s">
        <v>16</v>
      </c>
      <c r="G301">
        <v>1.823E-3</v>
      </c>
      <c r="H301">
        <v>7.5639999999999995E-4</v>
      </c>
      <c r="I301">
        <v>5.8960000000000002E-4</v>
      </c>
    </row>
    <row r="302" spans="1:9" x14ac:dyDescent="0.25">
      <c r="A302" s="104" t="str">
        <f t="shared" si="4"/>
        <v>Malawi2010NationalPub_OutreachIUD</v>
      </c>
      <c r="B302" t="s">
        <v>142</v>
      </c>
      <c r="C302">
        <v>2010</v>
      </c>
      <c r="D302" t="s">
        <v>178</v>
      </c>
      <c r="E302" t="s">
        <v>54</v>
      </c>
      <c r="F302" t="s">
        <v>16</v>
      </c>
      <c r="I302">
        <v>7.6100000000000007E-5</v>
      </c>
    </row>
    <row r="303" spans="1:9" x14ac:dyDescent="0.25">
      <c r="A303" s="104" t="str">
        <f t="shared" si="4"/>
        <v>Malawi2010NationalNGOIUD</v>
      </c>
      <c r="B303" t="s">
        <v>142</v>
      </c>
      <c r="C303">
        <v>2010</v>
      </c>
      <c r="D303" t="s">
        <v>178</v>
      </c>
      <c r="E303" t="s">
        <v>170</v>
      </c>
      <c r="F303" t="s">
        <v>16</v>
      </c>
      <c r="G303">
        <v>1.9689999999999999E-4</v>
      </c>
      <c r="H303">
        <v>9.3880000000000005E-4</v>
      </c>
      <c r="I303">
        <v>8.9459999999999995E-4</v>
      </c>
    </row>
    <row r="304" spans="1:9" x14ac:dyDescent="0.25">
      <c r="A304" s="104" t="str">
        <f t="shared" si="4"/>
        <v>Malawi2010NationalCommercialIUD</v>
      </c>
      <c r="B304" t="s">
        <v>142</v>
      </c>
      <c r="C304">
        <v>2010</v>
      </c>
      <c r="D304" t="s">
        <v>178</v>
      </c>
      <c r="E304" t="s">
        <v>59</v>
      </c>
      <c r="F304" t="s">
        <v>16</v>
      </c>
      <c r="I304">
        <v>5.3999999999999998E-5</v>
      </c>
    </row>
    <row r="305" spans="1:9" x14ac:dyDescent="0.25">
      <c r="A305" s="104" t="str">
        <f t="shared" si="4"/>
        <v>Malawi2010UrbanPub_MedIUD</v>
      </c>
      <c r="B305" t="s">
        <v>142</v>
      </c>
      <c r="C305">
        <v>2010</v>
      </c>
      <c r="D305" t="s">
        <v>20</v>
      </c>
      <c r="E305" t="s">
        <v>52</v>
      </c>
      <c r="F305" t="s">
        <v>16</v>
      </c>
      <c r="G305">
        <v>2.6194999999999999E-3</v>
      </c>
      <c r="H305">
        <v>4.7859999999999998E-4</v>
      </c>
      <c r="I305">
        <v>1.377E-3</v>
      </c>
    </row>
    <row r="306" spans="1:9" x14ac:dyDescent="0.25">
      <c r="A306" s="104" t="str">
        <f t="shared" si="4"/>
        <v>Malawi2010UrbanNGOIUD</v>
      </c>
      <c r="B306" t="s">
        <v>142</v>
      </c>
      <c r="C306">
        <v>2010</v>
      </c>
      <c r="D306" t="s">
        <v>20</v>
      </c>
      <c r="E306" t="s">
        <v>170</v>
      </c>
      <c r="F306" t="s">
        <v>16</v>
      </c>
      <c r="H306">
        <v>4.6740999999999996E-3</v>
      </c>
      <c r="I306">
        <v>1.6501E-3</v>
      </c>
    </row>
    <row r="307" spans="1:9" x14ac:dyDescent="0.25">
      <c r="A307" s="104" t="str">
        <f t="shared" si="4"/>
        <v>Malawi2010RuralPub_MedIUD</v>
      </c>
      <c r="B307" t="s">
        <v>142</v>
      </c>
      <c r="C307">
        <v>2010</v>
      </c>
      <c r="D307" t="s">
        <v>21</v>
      </c>
      <c r="E307" t="s">
        <v>52</v>
      </c>
      <c r="F307" t="s">
        <v>16</v>
      </c>
      <c r="G307">
        <v>1.6489E-3</v>
      </c>
      <c r="H307">
        <v>8.2620000000000002E-4</v>
      </c>
      <c r="I307">
        <v>4.0109999999999999E-4</v>
      </c>
    </row>
    <row r="308" spans="1:9" x14ac:dyDescent="0.25">
      <c r="A308" s="104" t="str">
        <f t="shared" si="4"/>
        <v>Malawi2010RuralPub_OutreachIUD</v>
      </c>
      <c r="B308" t="s">
        <v>142</v>
      </c>
      <c r="C308">
        <v>2010</v>
      </c>
      <c r="D308" t="s">
        <v>21</v>
      </c>
      <c r="E308" t="s">
        <v>54</v>
      </c>
      <c r="F308" t="s">
        <v>16</v>
      </c>
      <c r="I308">
        <v>9.4400000000000004E-5</v>
      </c>
    </row>
    <row r="309" spans="1:9" x14ac:dyDescent="0.25">
      <c r="A309" s="104" t="str">
        <f t="shared" si="4"/>
        <v>Malawi2010RuralNGOIUD</v>
      </c>
      <c r="B309" t="s">
        <v>142</v>
      </c>
      <c r="C309">
        <v>2010</v>
      </c>
      <c r="D309" t="s">
        <v>21</v>
      </c>
      <c r="E309" t="s">
        <v>170</v>
      </c>
      <c r="F309" t="s">
        <v>16</v>
      </c>
      <c r="G309">
        <v>2.4000000000000001E-4</v>
      </c>
      <c r="I309">
        <v>7.138E-4</v>
      </c>
    </row>
    <row r="310" spans="1:9" x14ac:dyDescent="0.25">
      <c r="A310" s="104" t="str">
        <f t="shared" si="4"/>
        <v>Malawi2010RuralCommercialIUD</v>
      </c>
      <c r="B310" t="s">
        <v>142</v>
      </c>
      <c r="C310">
        <v>2010</v>
      </c>
      <c r="D310" t="s">
        <v>21</v>
      </c>
      <c r="E310" t="s">
        <v>59</v>
      </c>
      <c r="F310" t="s">
        <v>16</v>
      </c>
      <c r="I310">
        <v>6.69E-5</v>
      </c>
    </row>
    <row r="311" spans="1:9" x14ac:dyDescent="0.25">
      <c r="A311" s="104" t="str">
        <f t="shared" si="4"/>
        <v>Malawi2010NationalPub_MedInjectable</v>
      </c>
      <c r="B311" t="s">
        <v>142</v>
      </c>
      <c r="C311">
        <v>2010</v>
      </c>
      <c r="D311" t="s">
        <v>178</v>
      </c>
      <c r="E311" t="s">
        <v>52</v>
      </c>
      <c r="F311" t="s">
        <v>22</v>
      </c>
      <c r="G311">
        <v>0.15836610000000001</v>
      </c>
      <c r="H311">
        <v>0.14948139999999999</v>
      </c>
      <c r="I311">
        <v>0.11222849999999999</v>
      </c>
    </row>
    <row r="312" spans="1:9" x14ac:dyDescent="0.25">
      <c r="A312" s="104" t="str">
        <f t="shared" si="4"/>
        <v>Malawi2010NationalPub_OutreachInjectable</v>
      </c>
      <c r="B312" t="s">
        <v>142</v>
      </c>
      <c r="C312">
        <v>2010</v>
      </c>
      <c r="D312" t="s">
        <v>178</v>
      </c>
      <c r="E312" t="s">
        <v>54</v>
      </c>
      <c r="F312" t="s">
        <v>22</v>
      </c>
      <c r="G312">
        <v>1.60462E-2</v>
      </c>
      <c r="H312">
        <v>1.6801E-2</v>
      </c>
      <c r="I312">
        <v>9.4701000000000004E-3</v>
      </c>
    </row>
    <row r="313" spans="1:9" x14ac:dyDescent="0.25">
      <c r="A313" s="104" t="str">
        <f t="shared" si="4"/>
        <v>Malawi2010NationalNGOInjectable</v>
      </c>
      <c r="B313" t="s">
        <v>142</v>
      </c>
      <c r="C313">
        <v>2010</v>
      </c>
      <c r="D313" t="s">
        <v>178</v>
      </c>
      <c r="E313" t="s">
        <v>170</v>
      </c>
      <c r="F313" t="s">
        <v>22</v>
      </c>
      <c r="G313">
        <v>1.9041499999999999E-2</v>
      </c>
      <c r="H313">
        <v>1.94527E-2</v>
      </c>
      <c r="I313">
        <v>2.6173499999999999E-2</v>
      </c>
    </row>
    <row r="314" spans="1:9" x14ac:dyDescent="0.25">
      <c r="A314" s="104" t="str">
        <f t="shared" si="4"/>
        <v>Malawi2010NationalCommercialInjectable</v>
      </c>
      <c r="B314" t="s">
        <v>142</v>
      </c>
      <c r="C314">
        <v>2010</v>
      </c>
      <c r="D314" t="s">
        <v>178</v>
      </c>
      <c r="E314" t="s">
        <v>59</v>
      </c>
      <c r="F314" t="s">
        <v>22</v>
      </c>
      <c r="G314">
        <v>6.9420000000000003E-3</v>
      </c>
      <c r="H314">
        <v>9.0974999999999997E-3</v>
      </c>
      <c r="I314">
        <v>1.44983E-2</v>
      </c>
    </row>
    <row r="315" spans="1:9" x14ac:dyDescent="0.25">
      <c r="A315" s="104" t="str">
        <f t="shared" si="4"/>
        <v>Malawi2010NationalOtherInjectable</v>
      </c>
      <c r="B315" t="s">
        <v>142</v>
      </c>
      <c r="C315">
        <v>2010</v>
      </c>
      <c r="D315" t="s">
        <v>178</v>
      </c>
      <c r="E315" t="s">
        <v>116</v>
      </c>
      <c r="F315" t="s">
        <v>22</v>
      </c>
      <c r="G315">
        <v>1.2019999999999999E-4</v>
      </c>
      <c r="H315">
        <v>4.0089999999999999E-4</v>
      </c>
    </row>
    <row r="316" spans="1:9" x14ac:dyDescent="0.25">
      <c r="A316" s="104" t="str">
        <f t="shared" si="4"/>
        <v>Malawi2010NationalInjectable</v>
      </c>
      <c r="B316" t="s">
        <v>142</v>
      </c>
      <c r="C316">
        <v>2010</v>
      </c>
      <c r="D316" t="s">
        <v>178</v>
      </c>
      <c r="F316" t="s">
        <v>22</v>
      </c>
      <c r="G316">
        <v>5.4330000000000003E-4</v>
      </c>
      <c r="H316">
        <v>4.6359999999999999E-4</v>
      </c>
      <c r="I316">
        <v>9.3479999999999995E-4</v>
      </c>
    </row>
    <row r="317" spans="1:9" x14ac:dyDescent="0.25">
      <c r="A317" s="104" t="str">
        <f t="shared" si="4"/>
        <v>Malawi2010UrbanPub_MedInjectable</v>
      </c>
      <c r="B317" t="s">
        <v>142</v>
      </c>
      <c r="C317">
        <v>2010</v>
      </c>
      <c r="D317" t="s">
        <v>20</v>
      </c>
      <c r="E317" t="s">
        <v>52</v>
      </c>
      <c r="F317" t="s">
        <v>22</v>
      </c>
      <c r="G317">
        <v>0.19295780000000001</v>
      </c>
      <c r="H317">
        <v>0.1246319</v>
      </c>
      <c r="I317">
        <v>4.4262999999999997E-2</v>
      </c>
    </row>
    <row r="318" spans="1:9" x14ac:dyDescent="0.25">
      <c r="A318" s="104" t="str">
        <f t="shared" si="4"/>
        <v>Malawi2010UrbanPub_OutreachInjectable</v>
      </c>
      <c r="B318" t="s">
        <v>142</v>
      </c>
      <c r="C318">
        <v>2010</v>
      </c>
      <c r="D318" t="s">
        <v>20</v>
      </c>
      <c r="E318" t="s">
        <v>54</v>
      </c>
      <c r="F318" t="s">
        <v>22</v>
      </c>
      <c r="G318">
        <v>1.2844899999999999E-2</v>
      </c>
      <c r="H318">
        <v>1.19284E-2</v>
      </c>
      <c r="I318">
        <v>5.4022000000000002E-3</v>
      </c>
    </row>
    <row r="319" spans="1:9" x14ac:dyDescent="0.25">
      <c r="A319" s="104" t="str">
        <f t="shared" si="4"/>
        <v>Malawi2010UrbanNGOInjectable</v>
      </c>
      <c r="B319" t="s">
        <v>142</v>
      </c>
      <c r="C319">
        <v>2010</v>
      </c>
      <c r="D319" t="s">
        <v>20</v>
      </c>
      <c r="E319" t="s">
        <v>170</v>
      </c>
      <c r="F319" t="s">
        <v>22</v>
      </c>
      <c r="G319">
        <v>6.3020999999999997E-3</v>
      </c>
      <c r="H319">
        <v>2.2147799999999999E-2</v>
      </c>
      <c r="I319">
        <v>3.0428299999999998E-2</v>
      </c>
    </row>
    <row r="320" spans="1:9" x14ac:dyDescent="0.25">
      <c r="A320" s="104" t="str">
        <f t="shared" si="4"/>
        <v>Malawi2010UrbanCommercialInjectable</v>
      </c>
      <c r="B320" t="s">
        <v>142</v>
      </c>
      <c r="C320">
        <v>2010</v>
      </c>
      <c r="D320" t="s">
        <v>20</v>
      </c>
      <c r="E320" t="s">
        <v>59</v>
      </c>
      <c r="F320" t="s">
        <v>22</v>
      </c>
      <c r="G320">
        <v>8.5047999999999999E-3</v>
      </c>
      <c r="H320">
        <v>1.39148E-2</v>
      </c>
      <c r="I320">
        <v>1.7528999999999999E-2</v>
      </c>
    </row>
    <row r="321" spans="1:9" x14ac:dyDescent="0.25">
      <c r="A321" s="104" t="str">
        <f t="shared" si="4"/>
        <v>Malawi2010UrbanInjectable</v>
      </c>
      <c r="B321" t="s">
        <v>142</v>
      </c>
      <c r="C321">
        <v>2010</v>
      </c>
      <c r="D321" t="s">
        <v>20</v>
      </c>
      <c r="F321" t="s">
        <v>22</v>
      </c>
      <c r="G321">
        <v>1.5809999999999999E-4</v>
      </c>
      <c r="I321">
        <v>5.9929999999999998E-4</v>
      </c>
    </row>
    <row r="322" spans="1:9" x14ac:dyDescent="0.25">
      <c r="A322" s="104" t="str">
        <f t="shared" si="4"/>
        <v>Malawi2010RuralPub_MedInjectable</v>
      </c>
      <c r="B322" t="s">
        <v>142</v>
      </c>
      <c r="C322">
        <v>2010</v>
      </c>
      <c r="D322" t="s">
        <v>21</v>
      </c>
      <c r="E322" t="s">
        <v>52</v>
      </c>
      <c r="F322" t="s">
        <v>22</v>
      </c>
      <c r="G322">
        <v>0.1508061</v>
      </c>
      <c r="H322">
        <v>0.155727</v>
      </c>
      <c r="I322">
        <v>0.12849769999999999</v>
      </c>
    </row>
    <row r="323" spans="1:9" x14ac:dyDescent="0.25">
      <c r="A323" s="104" t="str">
        <f t="shared" ref="A323:A386" si="5">B323&amp;C323&amp;D323&amp;E323&amp;F323</f>
        <v>Malawi2010RuralPub_OutreachInjectable</v>
      </c>
      <c r="B323" t="s">
        <v>142</v>
      </c>
      <c r="C323">
        <v>2010</v>
      </c>
      <c r="D323" t="s">
        <v>21</v>
      </c>
      <c r="E323" t="s">
        <v>54</v>
      </c>
      <c r="F323" t="s">
        <v>22</v>
      </c>
      <c r="G323">
        <v>1.6745900000000001E-2</v>
      </c>
      <c r="H323">
        <v>1.8025599999999999E-2</v>
      </c>
      <c r="I323">
        <v>1.0443900000000001E-2</v>
      </c>
    </row>
    <row r="324" spans="1:9" x14ac:dyDescent="0.25">
      <c r="A324" s="104" t="str">
        <f t="shared" si="5"/>
        <v>Malawi2010RuralNGOInjectable</v>
      </c>
      <c r="B324" t="s">
        <v>142</v>
      </c>
      <c r="C324">
        <v>2010</v>
      </c>
      <c r="D324" t="s">
        <v>21</v>
      </c>
      <c r="E324" t="s">
        <v>170</v>
      </c>
      <c r="F324" t="s">
        <v>22</v>
      </c>
      <c r="G324">
        <v>2.18257E-2</v>
      </c>
      <c r="H324">
        <v>1.8775400000000001E-2</v>
      </c>
      <c r="I324">
        <v>2.5155E-2</v>
      </c>
    </row>
    <row r="325" spans="1:9" x14ac:dyDescent="0.25">
      <c r="A325" s="104" t="str">
        <f t="shared" si="5"/>
        <v>Malawi2010RuralCommercialInjectable</v>
      </c>
      <c r="B325" t="s">
        <v>142</v>
      </c>
      <c r="C325">
        <v>2010</v>
      </c>
      <c r="D325" t="s">
        <v>21</v>
      </c>
      <c r="E325" t="s">
        <v>59</v>
      </c>
      <c r="F325" t="s">
        <v>22</v>
      </c>
      <c r="G325">
        <v>6.6004000000000002E-3</v>
      </c>
      <c r="H325">
        <v>7.8867E-3</v>
      </c>
      <c r="I325">
        <v>1.3772899999999999E-2</v>
      </c>
    </row>
    <row r="326" spans="1:9" x14ac:dyDescent="0.25">
      <c r="A326" s="104" t="str">
        <f t="shared" si="5"/>
        <v>Malawi2010RuralOtherInjectable</v>
      </c>
      <c r="B326" t="s">
        <v>142</v>
      </c>
      <c r="C326">
        <v>2010</v>
      </c>
      <c r="D326" t="s">
        <v>21</v>
      </c>
      <c r="E326" t="s">
        <v>116</v>
      </c>
      <c r="F326" t="s">
        <v>22</v>
      </c>
      <c r="G326">
        <v>1.4640000000000001E-4</v>
      </c>
      <c r="H326">
        <v>5.017E-4</v>
      </c>
    </row>
    <row r="327" spans="1:9" x14ac:dyDescent="0.25">
      <c r="A327" s="104" t="str">
        <f t="shared" si="5"/>
        <v>Malawi2010RuralInjectable</v>
      </c>
      <c r="B327" t="s">
        <v>142</v>
      </c>
      <c r="C327">
        <v>2010</v>
      </c>
      <c r="D327" t="s">
        <v>21</v>
      </c>
      <c r="F327" t="s">
        <v>22</v>
      </c>
      <c r="G327">
        <v>6.2750000000000002E-4</v>
      </c>
      <c r="H327">
        <v>5.8020000000000001E-4</v>
      </c>
      <c r="I327">
        <v>1.0150999999999999E-3</v>
      </c>
    </row>
    <row r="328" spans="1:9" x14ac:dyDescent="0.25">
      <c r="A328" s="104" t="str">
        <f t="shared" si="5"/>
        <v>Malawi2010NationalPub_MedCondom</v>
      </c>
      <c r="B328" t="s">
        <v>142</v>
      </c>
      <c r="C328">
        <v>2010</v>
      </c>
      <c r="D328" t="s">
        <v>178</v>
      </c>
      <c r="E328" t="s">
        <v>52</v>
      </c>
      <c r="F328" t="s">
        <v>25</v>
      </c>
      <c r="G328">
        <v>8.4895999999999999E-3</v>
      </c>
      <c r="H328">
        <v>1.1814699999999999E-2</v>
      </c>
      <c r="I328">
        <v>1.06509E-2</v>
      </c>
    </row>
    <row r="329" spans="1:9" x14ac:dyDescent="0.25">
      <c r="A329" s="104" t="str">
        <f t="shared" si="5"/>
        <v>Malawi2010NationalPub_OutreachCondom</v>
      </c>
      <c r="B329" t="s">
        <v>142</v>
      </c>
      <c r="C329">
        <v>2010</v>
      </c>
      <c r="D329" t="s">
        <v>178</v>
      </c>
      <c r="E329" t="s">
        <v>54</v>
      </c>
      <c r="F329" t="s">
        <v>25</v>
      </c>
      <c r="G329">
        <v>1.9164E-3</v>
      </c>
      <c r="H329">
        <v>4.7285000000000001E-3</v>
      </c>
      <c r="I329">
        <v>2.8264000000000002E-3</v>
      </c>
    </row>
    <row r="330" spans="1:9" x14ac:dyDescent="0.25">
      <c r="A330" s="104" t="str">
        <f t="shared" si="5"/>
        <v>Malawi2010NationalNGOCondom</v>
      </c>
      <c r="B330" t="s">
        <v>142</v>
      </c>
      <c r="C330">
        <v>2010</v>
      </c>
      <c r="D330" t="s">
        <v>178</v>
      </c>
      <c r="E330" t="s">
        <v>170</v>
      </c>
      <c r="F330" t="s">
        <v>25</v>
      </c>
      <c r="G330">
        <v>1.9492000000000001E-3</v>
      </c>
      <c r="H330">
        <v>3.6299999999999999E-4</v>
      </c>
      <c r="I330">
        <v>2.1692999999999999E-3</v>
      </c>
    </row>
    <row r="331" spans="1:9" x14ac:dyDescent="0.25">
      <c r="A331" s="104" t="str">
        <f t="shared" si="5"/>
        <v>Malawi2010NationalCommercialCondom</v>
      </c>
      <c r="B331" t="s">
        <v>142</v>
      </c>
      <c r="C331">
        <v>2010</v>
      </c>
      <c r="D331" t="s">
        <v>178</v>
      </c>
      <c r="E331" t="s">
        <v>59</v>
      </c>
      <c r="F331" t="s">
        <v>25</v>
      </c>
      <c r="G331">
        <v>3.9800000000000002E-4</v>
      </c>
      <c r="H331">
        <v>8.0659999999999998E-4</v>
      </c>
      <c r="I331">
        <v>9.2710000000000004E-4</v>
      </c>
    </row>
    <row r="332" spans="1:9" x14ac:dyDescent="0.25">
      <c r="A332" s="104" t="str">
        <f t="shared" si="5"/>
        <v>Malawi2010NationalNonTradCondom</v>
      </c>
      <c r="B332" t="s">
        <v>142</v>
      </c>
      <c r="C332">
        <v>2010</v>
      </c>
      <c r="D332" t="s">
        <v>178</v>
      </c>
      <c r="E332" t="s">
        <v>171</v>
      </c>
      <c r="F332" t="s">
        <v>25</v>
      </c>
      <c r="G332">
        <v>6.9806E-3</v>
      </c>
      <c r="H332">
        <v>1.01019E-2</v>
      </c>
      <c r="I332">
        <v>1.8862E-2</v>
      </c>
    </row>
    <row r="333" spans="1:9" x14ac:dyDescent="0.25">
      <c r="A333" s="104" t="str">
        <f t="shared" si="5"/>
        <v>Malawi2010NationalOtherCondom</v>
      </c>
      <c r="B333" t="s">
        <v>142</v>
      </c>
      <c r="C333">
        <v>2010</v>
      </c>
      <c r="D333" t="s">
        <v>178</v>
      </c>
      <c r="E333" t="s">
        <v>116</v>
      </c>
      <c r="F333" t="s">
        <v>25</v>
      </c>
      <c r="G333">
        <v>1.5765E-3</v>
      </c>
      <c r="H333">
        <v>3.2506000000000002E-3</v>
      </c>
      <c r="I333">
        <v>1.5920000000000001E-3</v>
      </c>
    </row>
    <row r="334" spans="1:9" x14ac:dyDescent="0.25">
      <c r="A334" s="104" t="str">
        <f t="shared" si="5"/>
        <v>Malawi2010NationalCondom</v>
      </c>
      <c r="B334" t="s">
        <v>142</v>
      </c>
      <c r="C334">
        <v>2010</v>
      </c>
      <c r="D334" t="s">
        <v>178</v>
      </c>
      <c r="F334" t="s">
        <v>25</v>
      </c>
      <c r="H334">
        <v>5.4180000000000005E-4</v>
      </c>
      <c r="I334">
        <v>2.073E-4</v>
      </c>
    </row>
    <row r="335" spans="1:9" x14ac:dyDescent="0.25">
      <c r="A335" s="104" t="str">
        <f t="shared" si="5"/>
        <v>Malawi2010UrbanPub_MedCondom</v>
      </c>
      <c r="B335" t="s">
        <v>142</v>
      </c>
      <c r="C335">
        <v>2010</v>
      </c>
      <c r="D335" t="s">
        <v>20</v>
      </c>
      <c r="E335" t="s">
        <v>52</v>
      </c>
      <c r="F335" t="s">
        <v>25</v>
      </c>
      <c r="G335">
        <v>1.6010099999999999E-2</v>
      </c>
      <c r="H335">
        <v>1.3135300000000001E-2</v>
      </c>
      <c r="I335">
        <v>5.2556E-3</v>
      </c>
    </row>
    <row r="336" spans="1:9" x14ac:dyDescent="0.25">
      <c r="A336" s="104" t="str">
        <f t="shared" si="5"/>
        <v>Malawi2010UrbanNGOCondom</v>
      </c>
      <c r="B336" t="s">
        <v>142</v>
      </c>
      <c r="C336">
        <v>2010</v>
      </c>
      <c r="D336" t="s">
        <v>20</v>
      </c>
      <c r="E336" t="s">
        <v>170</v>
      </c>
      <c r="F336" t="s">
        <v>25</v>
      </c>
      <c r="G336">
        <v>3.7350999999999999E-3</v>
      </c>
      <c r="H336">
        <v>4.392E-4</v>
      </c>
      <c r="I336">
        <v>2.6562999999999999E-3</v>
      </c>
    </row>
    <row r="337" spans="1:9" x14ac:dyDescent="0.25">
      <c r="A337" s="104" t="str">
        <f t="shared" si="5"/>
        <v>Malawi2010UrbanCommercialCondom</v>
      </c>
      <c r="B337" t="s">
        <v>142</v>
      </c>
      <c r="C337">
        <v>2010</v>
      </c>
      <c r="D337" t="s">
        <v>20</v>
      </c>
      <c r="E337" t="s">
        <v>59</v>
      </c>
      <c r="F337" t="s">
        <v>25</v>
      </c>
      <c r="G337">
        <v>1.39E-3</v>
      </c>
      <c r="H337">
        <v>1.4806999999999999E-3</v>
      </c>
      <c r="I337">
        <v>1.1452000000000001E-3</v>
      </c>
    </row>
    <row r="338" spans="1:9" x14ac:dyDescent="0.25">
      <c r="A338" s="104" t="str">
        <f t="shared" si="5"/>
        <v>Malawi2010UrbanNonTradCondom</v>
      </c>
      <c r="B338" t="s">
        <v>142</v>
      </c>
      <c r="C338">
        <v>2010</v>
      </c>
      <c r="D338" t="s">
        <v>20</v>
      </c>
      <c r="E338" t="s">
        <v>171</v>
      </c>
      <c r="F338" t="s">
        <v>25</v>
      </c>
      <c r="G338">
        <v>1.9562199999999998E-2</v>
      </c>
      <c r="H338">
        <v>2.6028800000000001E-2</v>
      </c>
      <c r="I338">
        <v>6.2306199999999999E-2</v>
      </c>
    </row>
    <row r="339" spans="1:9" x14ac:dyDescent="0.25">
      <c r="A339" s="104" t="str">
        <f t="shared" si="5"/>
        <v>Malawi2010UrbanOtherCondom</v>
      </c>
      <c r="B339" t="s">
        <v>142</v>
      </c>
      <c r="C339">
        <v>2010</v>
      </c>
      <c r="D339" t="s">
        <v>20</v>
      </c>
      <c r="E339" t="s">
        <v>116</v>
      </c>
      <c r="F339" t="s">
        <v>25</v>
      </c>
      <c r="G339">
        <v>5.1866999999999998E-3</v>
      </c>
      <c r="H339">
        <v>4.7149000000000002E-3</v>
      </c>
      <c r="I339">
        <v>7.2002000000000003E-3</v>
      </c>
    </row>
    <row r="340" spans="1:9" x14ac:dyDescent="0.25">
      <c r="A340" s="104" t="str">
        <f t="shared" si="5"/>
        <v>Malawi2010UrbanCondom</v>
      </c>
      <c r="B340" t="s">
        <v>142</v>
      </c>
      <c r="C340">
        <v>2010</v>
      </c>
      <c r="D340" t="s">
        <v>20</v>
      </c>
      <c r="F340" t="s">
        <v>25</v>
      </c>
      <c r="H340">
        <v>2.6976000000000001E-3</v>
      </c>
    </row>
    <row r="341" spans="1:9" x14ac:dyDescent="0.25">
      <c r="A341" s="104" t="str">
        <f t="shared" si="5"/>
        <v>Malawi2010RuralPub_MedCondom</v>
      </c>
      <c r="B341" t="s">
        <v>142</v>
      </c>
      <c r="C341">
        <v>2010</v>
      </c>
      <c r="D341" t="s">
        <v>21</v>
      </c>
      <c r="E341" t="s">
        <v>52</v>
      </c>
      <c r="F341" t="s">
        <v>25</v>
      </c>
      <c r="G341">
        <v>6.8459000000000002E-3</v>
      </c>
      <c r="H341">
        <v>1.14828E-2</v>
      </c>
      <c r="I341">
        <v>1.1942400000000001E-2</v>
      </c>
    </row>
    <row r="342" spans="1:9" x14ac:dyDescent="0.25">
      <c r="A342" s="104" t="str">
        <f t="shared" si="5"/>
        <v>Malawi2010RuralPub_OutreachCondom</v>
      </c>
      <c r="B342" t="s">
        <v>142</v>
      </c>
      <c r="C342">
        <v>2010</v>
      </c>
      <c r="D342" t="s">
        <v>21</v>
      </c>
      <c r="E342" t="s">
        <v>54</v>
      </c>
      <c r="F342" t="s">
        <v>25</v>
      </c>
      <c r="G342">
        <v>2.3351999999999999E-3</v>
      </c>
      <c r="H342">
        <v>5.9169000000000001E-3</v>
      </c>
      <c r="I342">
        <v>3.503E-3</v>
      </c>
    </row>
    <row r="343" spans="1:9" x14ac:dyDescent="0.25">
      <c r="A343" s="104" t="str">
        <f t="shared" si="5"/>
        <v>Malawi2010RuralNGOCondom</v>
      </c>
      <c r="B343" t="s">
        <v>142</v>
      </c>
      <c r="C343">
        <v>2010</v>
      </c>
      <c r="D343" t="s">
        <v>21</v>
      </c>
      <c r="E343" t="s">
        <v>170</v>
      </c>
      <c r="F343" t="s">
        <v>25</v>
      </c>
      <c r="G343">
        <v>1.5589E-3</v>
      </c>
      <c r="H343">
        <v>3.4390000000000001E-4</v>
      </c>
      <c r="I343">
        <v>2.0527000000000002E-3</v>
      </c>
    </row>
    <row r="344" spans="1:9" x14ac:dyDescent="0.25">
      <c r="A344" s="104" t="str">
        <f t="shared" si="5"/>
        <v>Malawi2010RuralCommercialCondom</v>
      </c>
      <c r="B344" t="s">
        <v>142</v>
      </c>
      <c r="C344">
        <v>2010</v>
      </c>
      <c r="D344" t="s">
        <v>21</v>
      </c>
      <c r="E344" t="s">
        <v>59</v>
      </c>
      <c r="F344" t="s">
        <v>25</v>
      </c>
      <c r="G344">
        <v>1.8120000000000001E-4</v>
      </c>
      <c r="H344">
        <v>6.3719999999999998E-4</v>
      </c>
      <c r="I344">
        <v>8.7489999999999996E-4</v>
      </c>
    </row>
    <row r="345" spans="1:9" x14ac:dyDescent="0.25">
      <c r="A345" s="104" t="str">
        <f t="shared" si="5"/>
        <v>Malawi2010RuralNonTradCondom</v>
      </c>
      <c r="B345" t="s">
        <v>142</v>
      </c>
      <c r="C345">
        <v>2010</v>
      </c>
      <c r="D345" t="s">
        <v>21</v>
      </c>
      <c r="E345" t="s">
        <v>171</v>
      </c>
      <c r="F345" t="s">
        <v>25</v>
      </c>
      <c r="G345">
        <v>4.2309000000000001E-3</v>
      </c>
      <c r="H345">
        <v>6.0987999999999997E-3</v>
      </c>
      <c r="I345">
        <v>8.4626000000000007E-3</v>
      </c>
    </row>
    <row r="346" spans="1:9" x14ac:dyDescent="0.25">
      <c r="A346" s="104" t="str">
        <f t="shared" si="5"/>
        <v>Malawi2010RuralOtherCondom</v>
      </c>
      <c r="B346" t="s">
        <v>142</v>
      </c>
      <c r="C346">
        <v>2010</v>
      </c>
      <c r="D346" t="s">
        <v>21</v>
      </c>
      <c r="E346" t="s">
        <v>116</v>
      </c>
      <c r="F346" t="s">
        <v>25</v>
      </c>
      <c r="G346">
        <v>7.8739999999999995E-4</v>
      </c>
      <c r="H346">
        <v>2.8825000000000001E-3</v>
      </c>
      <c r="I346">
        <v>2.4949999999999999E-4</v>
      </c>
    </row>
    <row r="347" spans="1:9" x14ac:dyDescent="0.25">
      <c r="A347" s="104" t="str">
        <f t="shared" si="5"/>
        <v>Malawi2010RuralCondom</v>
      </c>
      <c r="B347" t="s">
        <v>142</v>
      </c>
      <c r="C347">
        <v>2010</v>
      </c>
      <c r="D347" t="s">
        <v>21</v>
      </c>
      <c r="F347" t="s">
        <v>25</v>
      </c>
      <c r="I347">
        <v>2.5700000000000001E-4</v>
      </c>
    </row>
    <row r="348" spans="1:9" x14ac:dyDescent="0.25">
      <c r="A348" s="104" t="str">
        <f t="shared" si="5"/>
        <v>Malawi2010NationalPub_MedNorplant</v>
      </c>
      <c r="B348" t="s">
        <v>142</v>
      </c>
      <c r="C348">
        <v>2010</v>
      </c>
      <c r="D348" t="s">
        <v>178</v>
      </c>
      <c r="E348" t="s">
        <v>52</v>
      </c>
      <c r="F348" t="s">
        <v>263</v>
      </c>
      <c r="G348">
        <v>6.6398999999999998E-3</v>
      </c>
      <c r="H348">
        <v>1.0781000000000001E-2</v>
      </c>
      <c r="I348">
        <v>1.2071800000000001E-2</v>
      </c>
    </row>
    <row r="349" spans="1:9" x14ac:dyDescent="0.25">
      <c r="A349" s="104" t="str">
        <f t="shared" si="5"/>
        <v>Malawi2010NationalPub_OutreachNorplant</v>
      </c>
      <c r="B349" t="s">
        <v>142</v>
      </c>
      <c r="C349">
        <v>2010</v>
      </c>
      <c r="D349" t="s">
        <v>178</v>
      </c>
      <c r="E349" t="s">
        <v>54</v>
      </c>
      <c r="F349" t="s">
        <v>263</v>
      </c>
      <c r="G349">
        <v>4.0200000000000001E-5</v>
      </c>
      <c r="H349">
        <v>7.3300000000000006E-5</v>
      </c>
      <c r="I349">
        <v>2.6570000000000001E-4</v>
      </c>
    </row>
    <row r="350" spans="1:9" x14ac:dyDescent="0.25">
      <c r="A350" s="104" t="str">
        <f t="shared" si="5"/>
        <v>Malawi2010NationalNGONorplant</v>
      </c>
      <c r="B350" t="s">
        <v>142</v>
      </c>
      <c r="C350">
        <v>2010</v>
      </c>
      <c r="D350" t="s">
        <v>178</v>
      </c>
      <c r="E350" t="s">
        <v>170</v>
      </c>
      <c r="F350" t="s">
        <v>263</v>
      </c>
      <c r="G350">
        <v>7.4750000000000001E-4</v>
      </c>
      <c r="H350">
        <v>1.4599999999999999E-3</v>
      </c>
      <c r="I350">
        <v>3.7802999999999999E-3</v>
      </c>
    </row>
    <row r="351" spans="1:9" x14ac:dyDescent="0.25">
      <c r="A351" s="104" t="str">
        <f t="shared" si="5"/>
        <v>Malawi2010NationalCommercialNorplant</v>
      </c>
      <c r="B351" t="s">
        <v>142</v>
      </c>
      <c r="C351">
        <v>2010</v>
      </c>
      <c r="D351" t="s">
        <v>178</v>
      </c>
      <c r="E351" t="s">
        <v>59</v>
      </c>
      <c r="F351" t="s">
        <v>263</v>
      </c>
      <c r="H351">
        <v>4.5340000000000002E-4</v>
      </c>
      <c r="I351">
        <v>4.1780000000000002E-4</v>
      </c>
    </row>
    <row r="352" spans="1:9" x14ac:dyDescent="0.25">
      <c r="A352" s="104" t="str">
        <f t="shared" si="5"/>
        <v>Malawi2010NationalNorplant</v>
      </c>
      <c r="B352" t="s">
        <v>142</v>
      </c>
      <c r="C352">
        <v>2010</v>
      </c>
      <c r="D352" t="s">
        <v>178</v>
      </c>
      <c r="F352" t="s">
        <v>263</v>
      </c>
      <c r="I352">
        <v>1.5009999999999999E-4</v>
      </c>
    </row>
    <row r="353" spans="1:9" x14ac:dyDescent="0.25">
      <c r="A353" s="104" t="str">
        <f t="shared" si="5"/>
        <v>Malawi2010UrbanPub_MedNorplant</v>
      </c>
      <c r="B353" t="s">
        <v>142</v>
      </c>
      <c r="C353">
        <v>2010</v>
      </c>
      <c r="D353" t="s">
        <v>20</v>
      </c>
      <c r="E353" t="s">
        <v>52</v>
      </c>
      <c r="F353" t="s">
        <v>263</v>
      </c>
      <c r="G353">
        <v>1.46339E-2</v>
      </c>
      <c r="H353">
        <v>1.36002E-2</v>
      </c>
      <c r="I353">
        <v>1.1101E-2</v>
      </c>
    </row>
    <row r="354" spans="1:9" x14ac:dyDescent="0.25">
      <c r="A354" s="104" t="str">
        <f t="shared" si="5"/>
        <v>Malawi2010UrbanNGONorplant</v>
      </c>
      <c r="B354" t="s">
        <v>142</v>
      </c>
      <c r="C354">
        <v>2010</v>
      </c>
      <c r="D354" t="s">
        <v>20</v>
      </c>
      <c r="E354" t="s">
        <v>170</v>
      </c>
      <c r="F354" t="s">
        <v>263</v>
      </c>
      <c r="G354">
        <v>1.4677E-3</v>
      </c>
      <c r="H354">
        <v>5.4809999999999998E-3</v>
      </c>
      <c r="I354">
        <v>2.6018999999999999E-3</v>
      </c>
    </row>
    <row r="355" spans="1:9" x14ac:dyDescent="0.25">
      <c r="A355" s="104" t="str">
        <f t="shared" si="5"/>
        <v>Malawi2010UrbanCommercialNorplant</v>
      </c>
      <c r="B355" t="s">
        <v>142</v>
      </c>
      <c r="C355">
        <v>2010</v>
      </c>
      <c r="D355" t="s">
        <v>20</v>
      </c>
      <c r="E355" t="s">
        <v>59</v>
      </c>
      <c r="F355" t="s">
        <v>263</v>
      </c>
      <c r="H355">
        <v>2.2575E-3</v>
      </c>
      <c r="I355">
        <v>1.7773999999999999E-3</v>
      </c>
    </row>
    <row r="356" spans="1:9" x14ac:dyDescent="0.25">
      <c r="A356" s="104" t="str">
        <f t="shared" si="5"/>
        <v>Malawi2010RuralPub_MedNorplant</v>
      </c>
      <c r="B356" t="s">
        <v>142</v>
      </c>
      <c r="C356">
        <v>2010</v>
      </c>
      <c r="D356" t="s">
        <v>21</v>
      </c>
      <c r="E356" t="s">
        <v>52</v>
      </c>
      <c r="F356" t="s">
        <v>263</v>
      </c>
      <c r="G356">
        <v>4.8928000000000001E-3</v>
      </c>
      <c r="H356">
        <v>1.00724E-2</v>
      </c>
      <c r="I356">
        <v>1.23042E-2</v>
      </c>
    </row>
    <row r="357" spans="1:9" x14ac:dyDescent="0.25">
      <c r="A357" s="104" t="str">
        <f t="shared" si="5"/>
        <v>Malawi2010RuralPub_OutreachNorplant</v>
      </c>
      <c r="B357" t="s">
        <v>142</v>
      </c>
      <c r="C357">
        <v>2010</v>
      </c>
      <c r="D357" t="s">
        <v>21</v>
      </c>
      <c r="E357" t="s">
        <v>54</v>
      </c>
      <c r="F357" t="s">
        <v>263</v>
      </c>
      <c r="G357">
        <v>4.8999999999999998E-5</v>
      </c>
      <c r="H357">
        <v>9.1700000000000006E-5</v>
      </c>
      <c r="I357">
        <v>3.2929999999999998E-4</v>
      </c>
    </row>
    <row r="358" spans="1:9" x14ac:dyDescent="0.25">
      <c r="A358" s="104" t="str">
        <f t="shared" si="5"/>
        <v>Malawi2010RuralNGONorplant</v>
      </c>
      <c r="B358" t="s">
        <v>142</v>
      </c>
      <c r="C358">
        <v>2010</v>
      </c>
      <c r="D358" t="s">
        <v>21</v>
      </c>
      <c r="E358" t="s">
        <v>170</v>
      </c>
      <c r="F358" t="s">
        <v>263</v>
      </c>
      <c r="G358">
        <v>5.9009999999999998E-4</v>
      </c>
      <c r="H358">
        <v>4.4939999999999997E-4</v>
      </c>
      <c r="I358">
        <v>4.0623999999999999E-3</v>
      </c>
    </row>
    <row r="359" spans="1:9" x14ac:dyDescent="0.25">
      <c r="A359" s="104" t="str">
        <f t="shared" si="5"/>
        <v>Malawi2010RuralCommercialNorplant</v>
      </c>
      <c r="B359" t="s">
        <v>142</v>
      </c>
      <c r="C359">
        <v>2010</v>
      </c>
      <c r="D359" t="s">
        <v>21</v>
      </c>
      <c r="E359" t="s">
        <v>59</v>
      </c>
      <c r="F359" t="s">
        <v>263</v>
      </c>
      <c r="I359">
        <v>9.2399999999999996E-5</v>
      </c>
    </row>
    <row r="360" spans="1:9" x14ac:dyDescent="0.25">
      <c r="A360" s="104" t="str">
        <f t="shared" si="5"/>
        <v>Malawi2010RuralNorplant</v>
      </c>
      <c r="B360" t="s">
        <v>142</v>
      </c>
      <c r="C360">
        <v>2010</v>
      </c>
      <c r="D360" t="s">
        <v>21</v>
      </c>
      <c r="F360" t="s">
        <v>263</v>
      </c>
      <c r="I360">
        <v>1.861E-4</v>
      </c>
    </row>
    <row r="361" spans="1:9" x14ac:dyDescent="0.25">
      <c r="A361" s="104" t="str">
        <f t="shared" si="5"/>
        <v>Malawi2015.5NationalPub_MedPill</v>
      </c>
      <c r="B361" t="s">
        <v>142</v>
      </c>
      <c r="C361">
        <v>2015.5</v>
      </c>
      <c r="D361" t="s">
        <v>178</v>
      </c>
      <c r="E361" t="s">
        <v>52</v>
      </c>
      <c r="F361" t="s">
        <v>12</v>
      </c>
      <c r="G361">
        <v>9.1345000000000003E-3</v>
      </c>
      <c r="H361">
        <v>1.06435E-2</v>
      </c>
      <c r="I361">
        <v>1.1461499999999999E-2</v>
      </c>
    </row>
    <row r="362" spans="1:9" x14ac:dyDescent="0.25">
      <c r="A362" s="104" t="str">
        <f t="shared" si="5"/>
        <v>Malawi2015.5NationalPub_OutreachPill</v>
      </c>
      <c r="B362" t="s">
        <v>142</v>
      </c>
      <c r="C362">
        <v>2015.5</v>
      </c>
      <c r="D362" t="s">
        <v>178</v>
      </c>
      <c r="E362" t="s">
        <v>54</v>
      </c>
      <c r="F362" t="s">
        <v>12</v>
      </c>
      <c r="G362">
        <v>4.1549000000000004E-3</v>
      </c>
      <c r="H362">
        <v>5.9924000000000002E-3</v>
      </c>
      <c r="I362">
        <v>2.7290000000000001E-3</v>
      </c>
    </row>
    <row r="363" spans="1:9" x14ac:dyDescent="0.25">
      <c r="A363" s="104" t="str">
        <f t="shared" si="5"/>
        <v>Malawi2015.5NationalNGOPill</v>
      </c>
      <c r="B363" t="s">
        <v>142</v>
      </c>
      <c r="C363">
        <v>2015.5</v>
      </c>
      <c r="D363" t="s">
        <v>178</v>
      </c>
      <c r="E363" t="s">
        <v>170</v>
      </c>
      <c r="F363" t="s">
        <v>12</v>
      </c>
      <c r="G363">
        <v>1.1784E-3</v>
      </c>
      <c r="H363">
        <v>1.0985000000000001E-3</v>
      </c>
      <c r="I363">
        <v>7.6400000000000003E-4</v>
      </c>
    </row>
    <row r="364" spans="1:9" x14ac:dyDescent="0.25">
      <c r="A364" s="104" t="str">
        <f t="shared" si="5"/>
        <v>Malawi2015.5NationalCommercialPill</v>
      </c>
      <c r="B364" t="s">
        <v>142</v>
      </c>
      <c r="C364">
        <v>2015.5</v>
      </c>
      <c r="D364" t="s">
        <v>178</v>
      </c>
      <c r="E364" t="s">
        <v>59</v>
      </c>
      <c r="F364" t="s">
        <v>12</v>
      </c>
      <c r="G364">
        <v>9.5750000000000002E-4</v>
      </c>
      <c r="H364">
        <v>1.8645000000000001E-3</v>
      </c>
      <c r="I364">
        <v>5.0578000000000003E-3</v>
      </c>
    </row>
    <row r="365" spans="1:9" x14ac:dyDescent="0.25">
      <c r="A365" s="104" t="str">
        <f t="shared" si="5"/>
        <v>Malawi2015.5NationalNonTradPill</v>
      </c>
      <c r="B365" t="s">
        <v>142</v>
      </c>
      <c r="C365">
        <v>2015.5</v>
      </c>
      <c r="D365" t="s">
        <v>178</v>
      </c>
      <c r="E365" t="s">
        <v>171</v>
      </c>
      <c r="F365" t="s">
        <v>12</v>
      </c>
      <c r="H365">
        <v>4.817E-4</v>
      </c>
      <c r="I365">
        <v>2.3020000000000001E-4</v>
      </c>
    </row>
    <row r="366" spans="1:9" x14ac:dyDescent="0.25">
      <c r="A366" s="104" t="str">
        <f t="shared" si="5"/>
        <v>Malawi2015.5NationalOtherPill</v>
      </c>
      <c r="B366" t="s">
        <v>142</v>
      </c>
      <c r="C366">
        <v>2015.5</v>
      </c>
      <c r="D366" t="s">
        <v>178</v>
      </c>
      <c r="E366" t="s">
        <v>116</v>
      </c>
      <c r="F366" t="s">
        <v>12</v>
      </c>
      <c r="I366">
        <v>1.784E-4</v>
      </c>
    </row>
    <row r="367" spans="1:9" x14ac:dyDescent="0.25">
      <c r="A367" s="104" t="str">
        <f t="shared" si="5"/>
        <v>Malawi2015.5UrbanPub_MedPill</v>
      </c>
      <c r="B367" t="s">
        <v>142</v>
      </c>
      <c r="C367">
        <v>2015.5</v>
      </c>
      <c r="D367" t="s">
        <v>20</v>
      </c>
      <c r="E367" t="s">
        <v>52</v>
      </c>
      <c r="F367" t="s">
        <v>12</v>
      </c>
      <c r="G367">
        <v>1.22246E-2</v>
      </c>
      <c r="H367">
        <v>1.8100100000000001E-2</v>
      </c>
      <c r="I367">
        <v>9.6405999999999992E-3</v>
      </c>
    </row>
    <row r="368" spans="1:9" x14ac:dyDescent="0.25">
      <c r="A368" s="104" t="str">
        <f t="shared" si="5"/>
        <v>Malawi2015.5UrbanPub_OutreachPill</v>
      </c>
      <c r="B368" t="s">
        <v>142</v>
      </c>
      <c r="C368">
        <v>2015.5</v>
      </c>
      <c r="D368" t="s">
        <v>20</v>
      </c>
      <c r="E368" t="s">
        <v>54</v>
      </c>
      <c r="F368" t="s">
        <v>12</v>
      </c>
      <c r="G368">
        <v>2.4277000000000001E-3</v>
      </c>
      <c r="H368">
        <v>1.07323E-2</v>
      </c>
      <c r="I368">
        <v>4.973E-4</v>
      </c>
    </row>
    <row r="369" spans="1:9" x14ac:dyDescent="0.25">
      <c r="A369" s="104" t="str">
        <f t="shared" si="5"/>
        <v>Malawi2015.5UrbanNGOPill</v>
      </c>
      <c r="B369" t="s">
        <v>142</v>
      </c>
      <c r="C369">
        <v>2015.5</v>
      </c>
      <c r="D369" t="s">
        <v>20</v>
      </c>
      <c r="E369" t="s">
        <v>170</v>
      </c>
      <c r="F369" t="s">
        <v>12</v>
      </c>
      <c r="G369">
        <v>2.0666E-3</v>
      </c>
      <c r="H369">
        <v>1.6195000000000001E-3</v>
      </c>
      <c r="I369">
        <v>2.0842E-3</v>
      </c>
    </row>
    <row r="370" spans="1:9" x14ac:dyDescent="0.25">
      <c r="A370" s="104" t="str">
        <f t="shared" si="5"/>
        <v>Malawi2015.5UrbanCommercialPill</v>
      </c>
      <c r="B370" t="s">
        <v>142</v>
      </c>
      <c r="C370">
        <v>2015.5</v>
      </c>
      <c r="D370" t="s">
        <v>20</v>
      </c>
      <c r="E370" t="s">
        <v>59</v>
      </c>
      <c r="F370" t="s">
        <v>12</v>
      </c>
      <c r="G370">
        <v>3.2104999999999998E-3</v>
      </c>
      <c r="H370">
        <v>8.6053999999999992E-3</v>
      </c>
      <c r="I370">
        <v>1.4684900000000001E-2</v>
      </c>
    </row>
    <row r="371" spans="1:9" x14ac:dyDescent="0.25">
      <c r="A371" s="104" t="str">
        <f t="shared" si="5"/>
        <v>Malawi2015.5UrbanNonTradPill</v>
      </c>
      <c r="B371" t="s">
        <v>142</v>
      </c>
      <c r="C371">
        <v>2015.5</v>
      </c>
      <c r="D371" t="s">
        <v>20</v>
      </c>
      <c r="E371" t="s">
        <v>171</v>
      </c>
      <c r="F371" t="s">
        <v>12</v>
      </c>
      <c r="H371">
        <v>2.4716999999999999E-3</v>
      </c>
    </row>
    <row r="372" spans="1:9" x14ac:dyDescent="0.25">
      <c r="A372" s="104" t="str">
        <f t="shared" si="5"/>
        <v>Malawi2015.5RuralPub_MedPill</v>
      </c>
      <c r="B372" t="s">
        <v>142</v>
      </c>
      <c r="C372">
        <v>2015.5</v>
      </c>
      <c r="D372" t="s">
        <v>21</v>
      </c>
      <c r="E372" t="s">
        <v>52</v>
      </c>
      <c r="F372" t="s">
        <v>12</v>
      </c>
      <c r="G372">
        <v>8.4893E-3</v>
      </c>
      <c r="H372">
        <v>8.8386999999999997E-3</v>
      </c>
      <c r="I372">
        <v>1.1920099999999999E-2</v>
      </c>
    </row>
    <row r="373" spans="1:9" x14ac:dyDescent="0.25">
      <c r="A373" s="104" t="str">
        <f t="shared" si="5"/>
        <v>Malawi2015.5RuralPub_OutreachPill</v>
      </c>
      <c r="B373" t="s">
        <v>142</v>
      </c>
      <c r="C373">
        <v>2015.5</v>
      </c>
      <c r="D373" t="s">
        <v>21</v>
      </c>
      <c r="E373" t="s">
        <v>54</v>
      </c>
      <c r="F373" t="s">
        <v>12</v>
      </c>
      <c r="G373">
        <v>4.5155999999999998E-3</v>
      </c>
      <c r="H373">
        <v>4.8450999999999998E-3</v>
      </c>
      <c r="I373">
        <v>3.2910999999999999E-3</v>
      </c>
    </row>
    <row r="374" spans="1:9" x14ac:dyDescent="0.25">
      <c r="A374" s="104" t="str">
        <f t="shared" si="5"/>
        <v>Malawi2015.5RuralNGOPill</v>
      </c>
      <c r="B374" t="s">
        <v>142</v>
      </c>
      <c r="C374">
        <v>2015.5</v>
      </c>
      <c r="D374" t="s">
        <v>21</v>
      </c>
      <c r="E374" t="s">
        <v>170</v>
      </c>
      <c r="F374" t="s">
        <v>12</v>
      </c>
      <c r="G374">
        <v>9.928999999999999E-4</v>
      </c>
      <c r="H374">
        <v>9.724E-4</v>
      </c>
      <c r="I374">
        <v>4.3140000000000002E-4</v>
      </c>
    </row>
    <row r="375" spans="1:9" x14ac:dyDescent="0.25">
      <c r="A375" s="104" t="str">
        <f t="shared" si="5"/>
        <v>Malawi2015.5RuralCommercialPill</v>
      </c>
      <c r="B375" t="s">
        <v>142</v>
      </c>
      <c r="C375">
        <v>2015.5</v>
      </c>
      <c r="D375" t="s">
        <v>21</v>
      </c>
      <c r="E375" t="s">
        <v>59</v>
      </c>
      <c r="F375" t="s">
        <v>12</v>
      </c>
      <c r="G375">
        <v>4.8710000000000002E-4</v>
      </c>
      <c r="H375">
        <v>2.329E-4</v>
      </c>
      <c r="I375">
        <v>2.6329999999999999E-3</v>
      </c>
    </row>
    <row r="376" spans="1:9" x14ac:dyDescent="0.25">
      <c r="A376" s="104" t="str">
        <f t="shared" si="5"/>
        <v>Malawi2015.5RuralNonTradPill</v>
      </c>
      <c r="B376" t="s">
        <v>142</v>
      </c>
      <c r="C376">
        <v>2015.5</v>
      </c>
      <c r="D376" t="s">
        <v>21</v>
      </c>
      <c r="E376" t="s">
        <v>171</v>
      </c>
      <c r="F376" t="s">
        <v>12</v>
      </c>
      <c r="I376">
        <v>2.8820000000000001E-4</v>
      </c>
    </row>
    <row r="377" spans="1:9" x14ac:dyDescent="0.25">
      <c r="A377" s="104" t="str">
        <f t="shared" si="5"/>
        <v>Malawi2015.5RuralOtherPill</v>
      </c>
      <c r="B377" t="s">
        <v>142</v>
      </c>
      <c r="C377">
        <v>2015.5</v>
      </c>
      <c r="D377" t="s">
        <v>21</v>
      </c>
      <c r="E377" t="s">
        <v>116</v>
      </c>
      <c r="F377" t="s">
        <v>12</v>
      </c>
      <c r="I377">
        <v>2.2330000000000001E-4</v>
      </c>
    </row>
    <row r="378" spans="1:9" x14ac:dyDescent="0.25">
      <c r="A378" s="104" t="str">
        <f t="shared" si="5"/>
        <v>Malawi2015.5NationalPub_MedIUD</v>
      </c>
      <c r="B378" t="s">
        <v>142</v>
      </c>
      <c r="C378">
        <v>2015.5</v>
      </c>
      <c r="D378" t="s">
        <v>178</v>
      </c>
      <c r="E378" t="s">
        <v>52</v>
      </c>
      <c r="F378" t="s">
        <v>16</v>
      </c>
      <c r="G378">
        <v>4.8858E-3</v>
      </c>
      <c r="H378">
        <v>5.3315999999999997E-3</v>
      </c>
      <c r="I378">
        <v>5.2402000000000004E-3</v>
      </c>
    </row>
    <row r="379" spans="1:9" x14ac:dyDescent="0.25">
      <c r="A379" s="104" t="str">
        <f t="shared" si="5"/>
        <v>Malawi2015.5NationalPub_OutreachIUD</v>
      </c>
      <c r="B379" t="s">
        <v>142</v>
      </c>
      <c r="C379">
        <v>2015.5</v>
      </c>
      <c r="D379" t="s">
        <v>178</v>
      </c>
      <c r="E379" t="s">
        <v>54</v>
      </c>
      <c r="F379" t="s">
        <v>16</v>
      </c>
      <c r="G379">
        <v>4.8139999999999999E-4</v>
      </c>
      <c r="H379">
        <v>4.8650000000000001E-4</v>
      </c>
      <c r="I379">
        <v>1.0591000000000001E-3</v>
      </c>
    </row>
    <row r="380" spans="1:9" x14ac:dyDescent="0.25">
      <c r="A380" s="104" t="str">
        <f t="shared" si="5"/>
        <v>Malawi2015.5NationalNGOIUD</v>
      </c>
      <c r="B380" t="s">
        <v>142</v>
      </c>
      <c r="C380">
        <v>2015.5</v>
      </c>
      <c r="D380" t="s">
        <v>178</v>
      </c>
      <c r="E380" t="s">
        <v>170</v>
      </c>
      <c r="F380" t="s">
        <v>16</v>
      </c>
      <c r="G380">
        <v>8.2450000000000004E-4</v>
      </c>
      <c r="H380">
        <v>2.859E-3</v>
      </c>
      <c r="I380">
        <v>4.62E-3</v>
      </c>
    </row>
    <row r="381" spans="1:9" x14ac:dyDescent="0.25">
      <c r="A381" s="104" t="str">
        <f t="shared" si="5"/>
        <v>Malawi2015.5NationalCommercialIUD</v>
      </c>
      <c r="B381" t="s">
        <v>142</v>
      </c>
      <c r="C381">
        <v>2015.5</v>
      </c>
      <c r="D381" t="s">
        <v>178</v>
      </c>
      <c r="E381" t="s">
        <v>59</v>
      </c>
      <c r="F381" t="s">
        <v>16</v>
      </c>
      <c r="G381">
        <v>4.194E-4</v>
      </c>
      <c r="I381">
        <v>5.4489999999999996E-4</v>
      </c>
    </row>
    <row r="382" spans="1:9" x14ac:dyDescent="0.25">
      <c r="A382" s="104" t="str">
        <f t="shared" si="5"/>
        <v>Malawi2015.5UrbanPub_MedIUD</v>
      </c>
      <c r="B382" t="s">
        <v>142</v>
      </c>
      <c r="C382">
        <v>2015.5</v>
      </c>
      <c r="D382" t="s">
        <v>20</v>
      </c>
      <c r="E382" t="s">
        <v>52</v>
      </c>
      <c r="F382" t="s">
        <v>16</v>
      </c>
      <c r="G382">
        <v>5.8234999999999997E-3</v>
      </c>
      <c r="H382">
        <v>1.7030999999999999E-3</v>
      </c>
      <c r="I382">
        <v>1.15961E-2</v>
      </c>
    </row>
    <row r="383" spans="1:9" x14ac:dyDescent="0.25">
      <c r="A383" s="104" t="str">
        <f t="shared" si="5"/>
        <v>Malawi2015.5UrbanNGOIUD</v>
      </c>
      <c r="B383" t="s">
        <v>142</v>
      </c>
      <c r="C383">
        <v>2015.5</v>
      </c>
      <c r="D383" t="s">
        <v>20</v>
      </c>
      <c r="E383" t="s">
        <v>170</v>
      </c>
      <c r="F383" t="s">
        <v>16</v>
      </c>
      <c r="G383">
        <v>9.9879999999999999E-4</v>
      </c>
      <c r="H383">
        <v>1.1741100000000001E-2</v>
      </c>
      <c r="I383">
        <v>1.7975100000000001E-2</v>
      </c>
    </row>
    <row r="384" spans="1:9" x14ac:dyDescent="0.25">
      <c r="A384" s="104" t="str">
        <f t="shared" si="5"/>
        <v>Malawi2015.5UrbanCommercialIUD</v>
      </c>
      <c r="B384" t="s">
        <v>142</v>
      </c>
      <c r="C384">
        <v>2015.5</v>
      </c>
      <c r="D384" t="s">
        <v>20</v>
      </c>
      <c r="E384" t="s">
        <v>59</v>
      </c>
      <c r="F384" t="s">
        <v>16</v>
      </c>
      <c r="G384">
        <v>1.474E-4</v>
      </c>
    </row>
    <row r="385" spans="1:9" x14ac:dyDescent="0.25">
      <c r="A385" s="104" t="str">
        <f t="shared" si="5"/>
        <v>Malawi2015.5RuralPub_MedIUD</v>
      </c>
      <c r="B385" t="s">
        <v>142</v>
      </c>
      <c r="C385">
        <v>2015.5</v>
      </c>
      <c r="D385" t="s">
        <v>21</v>
      </c>
      <c r="E385" t="s">
        <v>52</v>
      </c>
      <c r="F385" t="s">
        <v>16</v>
      </c>
      <c r="G385">
        <v>4.6899999999999997E-3</v>
      </c>
      <c r="H385">
        <v>6.2099E-3</v>
      </c>
      <c r="I385">
        <v>3.6392999999999998E-3</v>
      </c>
    </row>
    <row r="386" spans="1:9" x14ac:dyDescent="0.25">
      <c r="A386" s="104" t="str">
        <f t="shared" si="5"/>
        <v>Malawi2015.5RuralPub_OutreachIUD</v>
      </c>
      <c r="B386" t="s">
        <v>142</v>
      </c>
      <c r="C386">
        <v>2015.5</v>
      </c>
      <c r="D386" t="s">
        <v>21</v>
      </c>
      <c r="E386" t="s">
        <v>54</v>
      </c>
      <c r="F386" t="s">
        <v>16</v>
      </c>
      <c r="G386">
        <v>5.819E-4</v>
      </c>
      <c r="H386">
        <v>6.0420000000000005E-4</v>
      </c>
      <c r="I386">
        <v>1.3258E-3</v>
      </c>
    </row>
    <row r="387" spans="1:9" x14ac:dyDescent="0.25">
      <c r="A387" s="104" t="str">
        <f t="shared" ref="A387:A450" si="6">B387&amp;C387&amp;D387&amp;E387&amp;F387</f>
        <v>Malawi2015.5RuralNGOIUD</v>
      </c>
      <c r="B387" t="s">
        <v>142</v>
      </c>
      <c r="C387">
        <v>2015.5</v>
      </c>
      <c r="D387" t="s">
        <v>21</v>
      </c>
      <c r="E387" t="s">
        <v>170</v>
      </c>
      <c r="F387" t="s">
        <v>16</v>
      </c>
      <c r="G387">
        <v>7.8810000000000002E-4</v>
      </c>
      <c r="H387">
        <v>7.0910000000000005E-4</v>
      </c>
      <c r="I387">
        <v>1.2562000000000001E-3</v>
      </c>
    </row>
    <row r="388" spans="1:9" x14ac:dyDescent="0.25">
      <c r="A388" s="104" t="str">
        <f t="shared" si="6"/>
        <v>Malawi2015.5RuralCommercialIUD</v>
      </c>
      <c r="B388" t="s">
        <v>142</v>
      </c>
      <c r="C388">
        <v>2015.5</v>
      </c>
      <c r="D388" t="s">
        <v>21</v>
      </c>
      <c r="E388" t="s">
        <v>59</v>
      </c>
      <c r="F388" t="s">
        <v>16</v>
      </c>
      <c r="G388">
        <v>4.7619999999999997E-4</v>
      </c>
      <c r="I388">
        <v>6.8210000000000005E-4</v>
      </c>
    </row>
    <row r="389" spans="1:9" x14ac:dyDescent="0.25">
      <c r="A389" s="104" t="str">
        <f t="shared" si="6"/>
        <v>Malawi2015.5NationalPub_MedInjectable</v>
      </c>
      <c r="B389" t="s">
        <v>142</v>
      </c>
      <c r="C389">
        <v>2015.5</v>
      </c>
      <c r="D389" t="s">
        <v>178</v>
      </c>
      <c r="E389" t="s">
        <v>52</v>
      </c>
      <c r="F389" t="s">
        <v>22</v>
      </c>
      <c r="G389">
        <v>0.17592369999999999</v>
      </c>
      <c r="H389">
        <v>0.14201279999999999</v>
      </c>
      <c r="I389">
        <v>0.1119841</v>
      </c>
    </row>
    <row r="390" spans="1:9" x14ac:dyDescent="0.25">
      <c r="A390" s="104" t="str">
        <f t="shared" si="6"/>
        <v>Malawi2015.5NationalPub_OutreachInjectable</v>
      </c>
      <c r="B390" t="s">
        <v>142</v>
      </c>
      <c r="C390">
        <v>2015.5</v>
      </c>
      <c r="D390" t="s">
        <v>178</v>
      </c>
      <c r="E390" t="s">
        <v>54</v>
      </c>
      <c r="F390" t="s">
        <v>22</v>
      </c>
      <c r="G390">
        <v>4.4014900000000003E-2</v>
      </c>
      <c r="H390">
        <v>3.82908E-2</v>
      </c>
      <c r="I390">
        <v>2.45983E-2</v>
      </c>
    </row>
    <row r="391" spans="1:9" x14ac:dyDescent="0.25">
      <c r="A391" s="104" t="str">
        <f t="shared" si="6"/>
        <v>Malawi2015.5NationalNGOInjectable</v>
      </c>
      <c r="B391" t="s">
        <v>142</v>
      </c>
      <c r="C391">
        <v>2015.5</v>
      </c>
      <c r="D391" t="s">
        <v>178</v>
      </c>
      <c r="E391" t="s">
        <v>170</v>
      </c>
      <c r="F391" t="s">
        <v>22</v>
      </c>
      <c r="G391">
        <v>1.52537E-2</v>
      </c>
      <c r="H391">
        <v>1.5101399999999999E-2</v>
      </c>
      <c r="I391">
        <v>1.2386100000000001E-2</v>
      </c>
    </row>
    <row r="392" spans="1:9" x14ac:dyDescent="0.25">
      <c r="A392" s="104" t="str">
        <f t="shared" si="6"/>
        <v>Malawi2015.5NationalCommercialInjectable</v>
      </c>
      <c r="B392" t="s">
        <v>142</v>
      </c>
      <c r="C392">
        <v>2015.5</v>
      </c>
      <c r="D392" t="s">
        <v>178</v>
      </c>
      <c r="E392" t="s">
        <v>59</v>
      </c>
      <c r="F392" t="s">
        <v>22</v>
      </c>
      <c r="G392">
        <v>1.4452400000000001E-2</v>
      </c>
      <c r="H392">
        <v>1.16668E-2</v>
      </c>
      <c r="I392">
        <v>1.78012E-2</v>
      </c>
    </row>
    <row r="393" spans="1:9" x14ac:dyDescent="0.25">
      <c r="A393" s="104" t="str">
        <f t="shared" si="6"/>
        <v>Malawi2015.5NationalNonTradInjectable</v>
      </c>
      <c r="B393" t="s">
        <v>142</v>
      </c>
      <c r="C393">
        <v>2015.5</v>
      </c>
      <c r="D393" t="s">
        <v>178</v>
      </c>
      <c r="E393" t="s">
        <v>171</v>
      </c>
      <c r="F393" t="s">
        <v>22</v>
      </c>
      <c r="G393">
        <v>1.573E-4</v>
      </c>
      <c r="H393">
        <v>2.131E-4</v>
      </c>
    </row>
    <row r="394" spans="1:9" x14ac:dyDescent="0.25">
      <c r="A394" s="104" t="str">
        <f t="shared" si="6"/>
        <v>Malawi2015.5NationalOtherInjectable</v>
      </c>
      <c r="B394" t="s">
        <v>142</v>
      </c>
      <c r="C394">
        <v>2015.5</v>
      </c>
      <c r="D394" t="s">
        <v>178</v>
      </c>
      <c r="E394" t="s">
        <v>116</v>
      </c>
      <c r="F394" t="s">
        <v>22</v>
      </c>
      <c r="G394">
        <v>1.1467999999999999E-3</v>
      </c>
      <c r="H394">
        <v>2.7680000000000001E-4</v>
      </c>
      <c r="I394">
        <v>6.3100000000000005E-4</v>
      </c>
    </row>
    <row r="395" spans="1:9" x14ac:dyDescent="0.25">
      <c r="A395" s="104" t="str">
        <f t="shared" si="6"/>
        <v>Malawi2015.5NationalInjectable</v>
      </c>
      <c r="B395" t="s">
        <v>142</v>
      </c>
      <c r="C395">
        <v>2015.5</v>
      </c>
      <c r="D395" t="s">
        <v>178</v>
      </c>
      <c r="F395" t="s">
        <v>22</v>
      </c>
      <c r="G395">
        <v>9.4500000000000007E-5</v>
      </c>
    </row>
    <row r="396" spans="1:9" x14ac:dyDescent="0.25">
      <c r="A396" s="104" t="str">
        <f t="shared" si="6"/>
        <v>Malawi2015.5UrbanPub_MedInjectable</v>
      </c>
      <c r="B396" t="s">
        <v>142</v>
      </c>
      <c r="C396">
        <v>2015.5</v>
      </c>
      <c r="D396" t="s">
        <v>20</v>
      </c>
      <c r="E396" t="s">
        <v>52</v>
      </c>
      <c r="F396" t="s">
        <v>22</v>
      </c>
      <c r="G396">
        <v>0.19164880000000001</v>
      </c>
      <c r="H396">
        <v>8.0707000000000001E-2</v>
      </c>
      <c r="I396">
        <v>5.0277599999999999E-2</v>
      </c>
    </row>
    <row r="397" spans="1:9" x14ac:dyDescent="0.25">
      <c r="A397" s="104" t="str">
        <f t="shared" si="6"/>
        <v>Malawi2015.5UrbanPub_OutreachInjectable</v>
      </c>
      <c r="B397" t="s">
        <v>142</v>
      </c>
      <c r="C397">
        <v>2015.5</v>
      </c>
      <c r="D397" t="s">
        <v>20</v>
      </c>
      <c r="E397" t="s">
        <v>54</v>
      </c>
      <c r="F397" t="s">
        <v>22</v>
      </c>
      <c r="G397">
        <v>1.2023499999999999E-2</v>
      </c>
      <c r="H397">
        <v>7.0076000000000001E-3</v>
      </c>
      <c r="I397">
        <v>2.399E-4</v>
      </c>
    </row>
    <row r="398" spans="1:9" x14ac:dyDescent="0.25">
      <c r="A398" s="104" t="str">
        <f t="shared" si="6"/>
        <v>Malawi2015.5UrbanNGOInjectable</v>
      </c>
      <c r="B398" t="s">
        <v>142</v>
      </c>
      <c r="C398">
        <v>2015.5</v>
      </c>
      <c r="D398" t="s">
        <v>20</v>
      </c>
      <c r="E398" t="s">
        <v>170</v>
      </c>
      <c r="F398" t="s">
        <v>22</v>
      </c>
      <c r="G398">
        <v>1.0409E-2</v>
      </c>
      <c r="H398">
        <v>1.3845400000000001E-2</v>
      </c>
      <c r="I398">
        <v>1.1813300000000001E-2</v>
      </c>
    </row>
    <row r="399" spans="1:9" x14ac:dyDescent="0.25">
      <c r="A399" s="104" t="str">
        <f t="shared" si="6"/>
        <v>Malawi2015.5UrbanCommercialInjectable</v>
      </c>
      <c r="B399" t="s">
        <v>142</v>
      </c>
      <c r="C399">
        <v>2015.5</v>
      </c>
      <c r="D399" t="s">
        <v>20</v>
      </c>
      <c r="E399" t="s">
        <v>59</v>
      </c>
      <c r="F399" t="s">
        <v>22</v>
      </c>
      <c r="G399">
        <v>4.2997599999999997E-2</v>
      </c>
      <c r="H399">
        <v>3.9701599999999997E-2</v>
      </c>
      <c r="I399">
        <v>2.6698199999999998E-2</v>
      </c>
    </row>
    <row r="400" spans="1:9" x14ac:dyDescent="0.25">
      <c r="A400" s="104" t="str">
        <f t="shared" si="6"/>
        <v>Malawi2015.5UrbanOtherInjectable</v>
      </c>
      <c r="B400" t="s">
        <v>142</v>
      </c>
      <c r="C400">
        <v>2015.5</v>
      </c>
      <c r="D400" t="s">
        <v>20</v>
      </c>
      <c r="E400" t="s">
        <v>116</v>
      </c>
      <c r="F400" t="s">
        <v>22</v>
      </c>
      <c r="G400">
        <v>9.6600000000000003E-5</v>
      </c>
      <c r="H400">
        <v>2.9189999999999999E-4</v>
      </c>
    </row>
    <row r="401" spans="1:9" x14ac:dyDescent="0.25">
      <c r="A401" s="104" t="str">
        <f t="shared" si="6"/>
        <v>Malawi2015.5RuralPub_MedInjectable</v>
      </c>
      <c r="B401" t="s">
        <v>142</v>
      </c>
      <c r="C401">
        <v>2015.5</v>
      </c>
      <c r="D401" t="s">
        <v>21</v>
      </c>
      <c r="E401" t="s">
        <v>52</v>
      </c>
      <c r="F401" t="s">
        <v>22</v>
      </c>
      <c r="G401">
        <v>0.1726403</v>
      </c>
      <c r="H401">
        <v>0.15685170000000001</v>
      </c>
      <c r="I401">
        <v>0.12752669999999999</v>
      </c>
    </row>
    <row r="402" spans="1:9" x14ac:dyDescent="0.25">
      <c r="A402" s="104" t="str">
        <f t="shared" si="6"/>
        <v>Malawi2015.5RuralPub_OutreachInjectable</v>
      </c>
      <c r="B402" t="s">
        <v>142</v>
      </c>
      <c r="C402">
        <v>2015.5</v>
      </c>
      <c r="D402" t="s">
        <v>21</v>
      </c>
      <c r="E402" t="s">
        <v>54</v>
      </c>
      <c r="F402" t="s">
        <v>22</v>
      </c>
      <c r="G402">
        <v>5.0694599999999999E-2</v>
      </c>
      <c r="H402">
        <v>4.5862899999999998E-2</v>
      </c>
      <c r="I402">
        <v>3.07336E-2</v>
      </c>
    </row>
    <row r="403" spans="1:9" x14ac:dyDescent="0.25">
      <c r="A403" s="104" t="str">
        <f t="shared" si="6"/>
        <v>Malawi2015.5RuralNGOInjectable</v>
      </c>
      <c r="B403" t="s">
        <v>142</v>
      </c>
      <c r="C403">
        <v>2015.5</v>
      </c>
      <c r="D403" t="s">
        <v>21</v>
      </c>
      <c r="E403" t="s">
        <v>170</v>
      </c>
      <c r="F403" t="s">
        <v>22</v>
      </c>
      <c r="G403">
        <v>1.62652E-2</v>
      </c>
      <c r="H403">
        <v>1.54054E-2</v>
      </c>
      <c r="I403">
        <v>1.2530400000000001E-2</v>
      </c>
    </row>
    <row r="404" spans="1:9" x14ac:dyDescent="0.25">
      <c r="A404" s="104" t="str">
        <f t="shared" si="6"/>
        <v>Malawi2015.5RuralCommercialInjectable</v>
      </c>
      <c r="B404" t="s">
        <v>142</v>
      </c>
      <c r="C404">
        <v>2015.5</v>
      </c>
      <c r="D404" t="s">
        <v>21</v>
      </c>
      <c r="E404" t="s">
        <v>59</v>
      </c>
      <c r="F404" t="s">
        <v>22</v>
      </c>
      <c r="G404">
        <v>8.4922999999999995E-3</v>
      </c>
      <c r="H404">
        <v>4.8811000000000002E-3</v>
      </c>
      <c r="I404">
        <v>1.55602E-2</v>
      </c>
    </row>
    <row r="405" spans="1:9" x14ac:dyDescent="0.25">
      <c r="A405" s="104" t="str">
        <f t="shared" si="6"/>
        <v>Malawi2015.5RuralNonTradInjectable</v>
      </c>
      <c r="B405" t="s">
        <v>142</v>
      </c>
      <c r="C405">
        <v>2015.5</v>
      </c>
      <c r="D405" t="s">
        <v>21</v>
      </c>
      <c r="E405" t="s">
        <v>171</v>
      </c>
      <c r="F405" t="s">
        <v>22</v>
      </c>
      <c r="G405">
        <v>1.9019999999999999E-4</v>
      </c>
      <c r="H405">
        <v>2.6459999999999998E-4</v>
      </c>
    </row>
    <row r="406" spans="1:9" x14ac:dyDescent="0.25">
      <c r="A406" s="104" t="str">
        <f t="shared" si="6"/>
        <v>Malawi2015.5RuralOtherInjectable</v>
      </c>
      <c r="B406" t="s">
        <v>142</v>
      </c>
      <c r="C406">
        <v>2015.5</v>
      </c>
      <c r="D406" t="s">
        <v>21</v>
      </c>
      <c r="E406" t="s">
        <v>116</v>
      </c>
      <c r="F406" t="s">
        <v>22</v>
      </c>
      <c r="G406">
        <v>1.3661000000000001E-3</v>
      </c>
      <c r="H406">
        <v>2.7310000000000002E-4</v>
      </c>
      <c r="I406">
        <v>7.8989999999999996E-4</v>
      </c>
    </row>
    <row r="407" spans="1:9" x14ac:dyDescent="0.25">
      <c r="A407" s="104" t="str">
        <f t="shared" si="6"/>
        <v>Malawi2015.5RuralInjectable</v>
      </c>
      <c r="B407" t="s">
        <v>142</v>
      </c>
      <c r="C407">
        <v>2015.5</v>
      </c>
      <c r="D407" t="s">
        <v>21</v>
      </c>
      <c r="F407" t="s">
        <v>22</v>
      </c>
      <c r="G407">
        <v>1.143E-4</v>
      </c>
    </row>
    <row r="408" spans="1:9" x14ac:dyDescent="0.25">
      <c r="A408" s="104" t="str">
        <f t="shared" si="6"/>
        <v>Malawi2015.5NationalPub_MedCondom</v>
      </c>
      <c r="B408" t="s">
        <v>142</v>
      </c>
      <c r="C408">
        <v>2015.5</v>
      </c>
      <c r="D408" t="s">
        <v>178</v>
      </c>
      <c r="E408" t="s">
        <v>52</v>
      </c>
      <c r="F408" t="s">
        <v>25</v>
      </c>
      <c r="G408">
        <v>9.5578999999999994E-3</v>
      </c>
      <c r="H408">
        <v>1.16521E-2</v>
      </c>
      <c r="I408">
        <v>1.1655799999999999E-2</v>
      </c>
    </row>
    <row r="409" spans="1:9" x14ac:dyDescent="0.25">
      <c r="A409" s="104" t="str">
        <f t="shared" si="6"/>
        <v>Malawi2015.5NationalPub_OutreachCondom</v>
      </c>
      <c r="B409" t="s">
        <v>142</v>
      </c>
      <c r="C409">
        <v>2015.5</v>
      </c>
      <c r="D409" t="s">
        <v>178</v>
      </c>
      <c r="E409" t="s">
        <v>54</v>
      </c>
      <c r="F409" t="s">
        <v>25</v>
      </c>
      <c r="G409">
        <v>3.1773000000000001E-3</v>
      </c>
      <c r="H409">
        <v>3.0642999999999998E-3</v>
      </c>
      <c r="I409">
        <v>3.0117999999999998E-3</v>
      </c>
    </row>
    <row r="410" spans="1:9" x14ac:dyDescent="0.25">
      <c r="A410" s="104" t="str">
        <f t="shared" si="6"/>
        <v>Malawi2015.5NationalNGOCondom</v>
      </c>
      <c r="B410" t="s">
        <v>142</v>
      </c>
      <c r="C410">
        <v>2015.5</v>
      </c>
      <c r="D410" t="s">
        <v>178</v>
      </c>
      <c r="E410" t="s">
        <v>170</v>
      </c>
      <c r="F410" t="s">
        <v>25</v>
      </c>
      <c r="G410">
        <v>1.1075E-3</v>
      </c>
      <c r="H410">
        <v>2.6892999999999999E-3</v>
      </c>
      <c r="I410">
        <v>9.7959999999999996E-4</v>
      </c>
    </row>
    <row r="411" spans="1:9" x14ac:dyDescent="0.25">
      <c r="A411" s="104" t="str">
        <f t="shared" si="6"/>
        <v>Malawi2015.5NationalCommercialCondom</v>
      </c>
      <c r="B411" t="s">
        <v>142</v>
      </c>
      <c r="C411">
        <v>2015.5</v>
      </c>
      <c r="D411" t="s">
        <v>178</v>
      </c>
      <c r="E411" t="s">
        <v>59</v>
      </c>
      <c r="F411" t="s">
        <v>25</v>
      </c>
      <c r="G411">
        <v>6.5780000000000005E-4</v>
      </c>
      <c r="H411">
        <v>2.7114000000000001E-3</v>
      </c>
      <c r="I411">
        <v>1.9713E-3</v>
      </c>
    </row>
    <row r="412" spans="1:9" x14ac:dyDescent="0.25">
      <c r="A412" s="104" t="str">
        <f t="shared" si="6"/>
        <v>Malawi2015.5NationalNonTradCondom</v>
      </c>
      <c r="B412" t="s">
        <v>142</v>
      </c>
      <c r="C412">
        <v>2015.5</v>
      </c>
      <c r="D412" t="s">
        <v>178</v>
      </c>
      <c r="E412" t="s">
        <v>171</v>
      </c>
      <c r="F412" t="s">
        <v>25</v>
      </c>
      <c r="G412">
        <v>5.0527000000000002E-3</v>
      </c>
      <c r="H412">
        <v>8.6405000000000006E-3</v>
      </c>
      <c r="I412">
        <v>1.4983E-2</v>
      </c>
    </row>
    <row r="413" spans="1:9" x14ac:dyDescent="0.25">
      <c r="A413" s="104" t="str">
        <f t="shared" si="6"/>
        <v>Malawi2015.5NationalOtherCondom</v>
      </c>
      <c r="B413" t="s">
        <v>142</v>
      </c>
      <c r="C413">
        <v>2015.5</v>
      </c>
      <c r="D413" t="s">
        <v>178</v>
      </c>
      <c r="E413" t="s">
        <v>116</v>
      </c>
      <c r="F413" t="s">
        <v>25</v>
      </c>
      <c r="G413">
        <v>1.4878999999999999E-3</v>
      </c>
      <c r="H413">
        <v>2.5669E-3</v>
      </c>
      <c r="I413">
        <v>8.9229999999999995E-4</v>
      </c>
    </row>
    <row r="414" spans="1:9" x14ac:dyDescent="0.25">
      <c r="A414" s="104" t="str">
        <f t="shared" si="6"/>
        <v>Malawi2015.5UrbanPub_MedCondom</v>
      </c>
      <c r="B414" t="s">
        <v>142</v>
      </c>
      <c r="C414">
        <v>2015.5</v>
      </c>
      <c r="D414" t="s">
        <v>20</v>
      </c>
      <c r="E414" t="s">
        <v>52</v>
      </c>
      <c r="F414" t="s">
        <v>25</v>
      </c>
      <c r="G414">
        <v>1.1188399999999999E-2</v>
      </c>
      <c r="H414">
        <v>1.5827999999999998E-2</v>
      </c>
      <c r="I414">
        <v>9.6561000000000008E-3</v>
      </c>
    </row>
    <row r="415" spans="1:9" x14ac:dyDescent="0.25">
      <c r="A415" s="104" t="str">
        <f t="shared" si="6"/>
        <v>Malawi2015.5UrbanPub_OutreachCondom</v>
      </c>
      <c r="B415" t="s">
        <v>142</v>
      </c>
      <c r="C415">
        <v>2015.5</v>
      </c>
      <c r="D415" t="s">
        <v>20</v>
      </c>
      <c r="E415" t="s">
        <v>54</v>
      </c>
      <c r="F415" t="s">
        <v>25</v>
      </c>
      <c r="G415">
        <v>1.4074000000000001E-3</v>
      </c>
      <c r="I415">
        <v>7.9759999999999998E-4</v>
      </c>
    </row>
    <row r="416" spans="1:9" x14ac:dyDescent="0.25">
      <c r="A416" s="104" t="str">
        <f t="shared" si="6"/>
        <v>Malawi2015.5UrbanNGOCondom</v>
      </c>
      <c r="B416" t="s">
        <v>142</v>
      </c>
      <c r="C416">
        <v>2015.5</v>
      </c>
      <c r="D416" t="s">
        <v>20</v>
      </c>
      <c r="E416" t="s">
        <v>170</v>
      </c>
      <c r="F416" t="s">
        <v>25</v>
      </c>
      <c r="G416">
        <v>5.1020000000000004E-4</v>
      </c>
      <c r="H416">
        <v>7.9352999999999993E-3</v>
      </c>
      <c r="I416">
        <v>1.6500000000000001E-5</v>
      </c>
    </row>
    <row r="417" spans="1:9" x14ac:dyDescent="0.25">
      <c r="A417" s="104" t="str">
        <f t="shared" si="6"/>
        <v>Malawi2015.5UrbanCommercialCondom</v>
      </c>
      <c r="B417" t="s">
        <v>142</v>
      </c>
      <c r="C417">
        <v>2015.5</v>
      </c>
      <c r="D417" t="s">
        <v>20</v>
      </c>
      <c r="E417" t="s">
        <v>59</v>
      </c>
      <c r="F417" t="s">
        <v>25</v>
      </c>
      <c r="G417">
        <v>3.1080000000000002E-4</v>
      </c>
      <c r="H417">
        <v>5.1254999999999998E-3</v>
      </c>
      <c r="I417">
        <v>6.8719000000000002E-3</v>
      </c>
    </row>
    <row r="418" spans="1:9" x14ac:dyDescent="0.25">
      <c r="A418" s="104" t="str">
        <f t="shared" si="6"/>
        <v>Malawi2015.5UrbanNonTradCondom</v>
      </c>
      <c r="B418" t="s">
        <v>142</v>
      </c>
      <c r="C418">
        <v>2015.5</v>
      </c>
      <c r="D418" t="s">
        <v>20</v>
      </c>
      <c r="E418" t="s">
        <v>171</v>
      </c>
      <c r="F418" t="s">
        <v>25</v>
      </c>
      <c r="G418">
        <v>1.15923E-2</v>
      </c>
      <c r="H418">
        <v>1.8994299999999999E-2</v>
      </c>
      <c r="I418">
        <v>2.9678300000000001E-2</v>
      </c>
    </row>
    <row r="419" spans="1:9" x14ac:dyDescent="0.25">
      <c r="A419" s="104" t="str">
        <f t="shared" si="6"/>
        <v>Malawi2015.5UrbanOtherCondom</v>
      </c>
      <c r="B419" t="s">
        <v>142</v>
      </c>
      <c r="C419">
        <v>2015.5</v>
      </c>
      <c r="D419" t="s">
        <v>20</v>
      </c>
      <c r="E419" t="s">
        <v>116</v>
      </c>
      <c r="F419" t="s">
        <v>25</v>
      </c>
      <c r="G419">
        <v>5.5940000000000004E-4</v>
      </c>
      <c r="H419">
        <v>7.1710999999999997E-3</v>
      </c>
    </row>
    <row r="420" spans="1:9" x14ac:dyDescent="0.25">
      <c r="A420" s="104" t="str">
        <f t="shared" si="6"/>
        <v>Malawi2015.5RuralPub_MedCondom</v>
      </c>
      <c r="B420" t="s">
        <v>142</v>
      </c>
      <c r="C420">
        <v>2015.5</v>
      </c>
      <c r="D420" t="s">
        <v>21</v>
      </c>
      <c r="E420" t="s">
        <v>52</v>
      </c>
      <c r="F420" t="s">
        <v>25</v>
      </c>
      <c r="G420">
        <v>9.2175E-3</v>
      </c>
      <c r="H420">
        <v>1.0641299999999999E-2</v>
      </c>
      <c r="I420">
        <v>1.21595E-2</v>
      </c>
    </row>
    <row r="421" spans="1:9" x14ac:dyDescent="0.25">
      <c r="A421" s="104" t="str">
        <f t="shared" si="6"/>
        <v>Malawi2015.5RuralPub_OutreachCondom</v>
      </c>
      <c r="B421" t="s">
        <v>142</v>
      </c>
      <c r="C421">
        <v>2015.5</v>
      </c>
      <c r="D421" t="s">
        <v>21</v>
      </c>
      <c r="E421" t="s">
        <v>54</v>
      </c>
      <c r="F421" t="s">
        <v>25</v>
      </c>
      <c r="G421">
        <v>3.5469E-3</v>
      </c>
      <c r="H421">
        <v>3.8059999999999999E-3</v>
      </c>
      <c r="I421">
        <v>3.5696E-3</v>
      </c>
    </row>
    <row r="422" spans="1:9" x14ac:dyDescent="0.25">
      <c r="A422" s="104" t="str">
        <f t="shared" si="6"/>
        <v>Malawi2015.5RuralNGOCondom</v>
      </c>
      <c r="B422" t="s">
        <v>142</v>
      </c>
      <c r="C422">
        <v>2015.5</v>
      </c>
      <c r="D422" t="s">
        <v>21</v>
      </c>
      <c r="E422" t="s">
        <v>170</v>
      </c>
      <c r="F422" t="s">
        <v>25</v>
      </c>
      <c r="G422">
        <v>1.2321999999999999E-3</v>
      </c>
      <c r="H422">
        <v>1.4195E-3</v>
      </c>
      <c r="I422">
        <v>1.2221999999999999E-3</v>
      </c>
    </row>
    <row r="423" spans="1:9" x14ac:dyDescent="0.25">
      <c r="A423" s="104" t="str">
        <f t="shared" si="6"/>
        <v>Malawi2015.5RuralCommercialCondom</v>
      </c>
      <c r="B423" t="s">
        <v>142</v>
      </c>
      <c r="C423">
        <v>2015.5</v>
      </c>
      <c r="D423" t="s">
        <v>21</v>
      </c>
      <c r="E423" t="s">
        <v>59</v>
      </c>
      <c r="F423" t="s">
        <v>25</v>
      </c>
      <c r="G423">
        <v>7.3030000000000002E-4</v>
      </c>
      <c r="H423">
        <v>2.127E-3</v>
      </c>
      <c r="I423">
        <v>7.3689999999999997E-4</v>
      </c>
    </row>
    <row r="424" spans="1:9" x14ac:dyDescent="0.25">
      <c r="A424" s="104" t="str">
        <f t="shared" si="6"/>
        <v>Malawi2015.5RuralNonTradCondom</v>
      </c>
      <c r="B424" t="s">
        <v>142</v>
      </c>
      <c r="C424">
        <v>2015.5</v>
      </c>
      <c r="D424" t="s">
        <v>21</v>
      </c>
      <c r="E424" t="s">
        <v>171</v>
      </c>
      <c r="F424" t="s">
        <v>25</v>
      </c>
      <c r="G424">
        <v>3.6873000000000001E-3</v>
      </c>
      <c r="H424">
        <v>6.1343999999999999E-3</v>
      </c>
      <c r="I424">
        <v>1.12815E-2</v>
      </c>
    </row>
    <row r="425" spans="1:9" x14ac:dyDescent="0.25">
      <c r="A425" s="104" t="str">
        <f t="shared" si="6"/>
        <v>Malawi2015.5RuralOtherCondom</v>
      </c>
      <c r="B425" t="s">
        <v>142</v>
      </c>
      <c r="C425">
        <v>2015.5</v>
      </c>
      <c r="D425" t="s">
        <v>21</v>
      </c>
      <c r="E425" t="s">
        <v>116</v>
      </c>
      <c r="F425" t="s">
        <v>25</v>
      </c>
      <c r="G425">
        <v>1.6818E-3</v>
      </c>
      <c r="H425">
        <v>1.4525E-3</v>
      </c>
      <c r="I425">
        <v>1.1171E-3</v>
      </c>
    </row>
    <row r="426" spans="1:9" x14ac:dyDescent="0.25">
      <c r="A426" s="104" t="str">
        <f t="shared" si="6"/>
        <v>Malawi2015.5NationalPub_MedNorplant</v>
      </c>
      <c r="B426" t="s">
        <v>142</v>
      </c>
      <c r="C426">
        <v>2015.5</v>
      </c>
      <c r="D426" t="s">
        <v>178</v>
      </c>
      <c r="E426" t="s">
        <v>52</v>
      </c>
      <c r="F426" t="s">
        <v>263</v>
      </c>
      <c r="G426">
        <v>6.6410300000000005E-2</v>
      </c>
      <c r="H426">
        <v>6.4063300000000004E-2</v>
      </c>
      <c r="I426">
        <v>6.0417600000000002E-2</v>
      </c>
    </row>
    <row r="427" spans="1:9" x14ac:dyDescent="0.25">
      <c r="A427" s="104" t="str">
        <f t="shared" si="6"/>
        <v>Malawi2015.5NationalPub_OutreachNorplant</v>
      </c>
      <c r="B427" t="s">
        <v>142</v>
      </c>
      <c r="C427">
        <v>2015.5</v>
      </c>
      <c r="D427" t="s">
        <v>178</v>
      </c>
      <c r="E427" t="s">
        <v>54</v>
      </c>
      <c r="F427" t="s">
        <v>263</v>
      </c>
      <c r="G427">
        <v>8.6908999999999997E-3</v>
      </c>
      <c r="H427">
        <v>7.7783000000000001E-3</v>
      </c>
      <c r="I427">
        <v>5.6982999999999999E-3</v>
      </c>
    </row>
    <row r="428" spans="1:9" x14ac:dyDescent="0.25">
      <c r="A428" s="104" t="str">
        <f t="shared" si="6"/>
        <v>Malawi2015.5NationalNGONorplant</v>
      </c>
      <c r="B428" t="s">
        <v>142</v>
      </c>
      <c r="C428">
        <v>2015.5</v>
      </c>
      <c r="D428" t="s">
        <v>178</v>
      </c>
      <c r="E428" t="s">
        <v>170</v>
      </c>
      <c r="F428" t="s">
        <v>263</v>
      </c>
      <c r="G428">
        <v>8.9727000000000001E-3</v>
      </c>
      <c r="H428">
        <v>1.2563299999999999E-2</v>
      </c>
      <c r="I428">
        <v>1.6930199999999999E-2</v>
      </c>
    </row>
    <row r="429" spans="1:9" x14ac:dyDescent="0.25">
      <c r="A429" s="104" t="str">
        <f t="shared" si="6"/>
        <v>Malawi2015.5NationalCommercialNorplant</v>
      </c>
      <c r="B429" t="s">
        <v>142</v>
      </c>
      <c r="C429">
        <v>2015.5</v>
      </c>
      <c r="D429" t="s">
        <v>178</v>
      </c>
      <c r="E429" t="s">
        <v>59</v>
      </c>
      <c r="F429" t="s">
        <v>263</v>
      </c>
      <c r="G429">
        <v>4.3162000000000001E-3</v>
      </c>
      <c r="H429">
        <v>5.3382000000000004E-3</v>
      </c>
      <c r="I429">
        <v>9.2575000000000001E-3</v>
      </c>
    </row>
    <row r="430" spans="1:9" x14ac:dyDescent="0.25">
      <c r="A430" s="104" t="str">
        <f t="shared" si="6"/>
        <v>Malawi2015.5NationalOtherNorplant</v>
      </c>
      <c r="B430" t="s">
        <v>142</v>
      </c>
      <c r="C430">
        <v>2015.5</v>
      </c>
      <c r="D430" t="s">
        <v>178</v>
      </c>
      <c r="E430" t="s">
        <v>116</v>
      </c>
      <c r="F430" t="s">
        <v>263</v>
      </c>
      <c r="G430">
        <v>1.3880000000000001E-4</v>
      </c>
      <c r="H430">
        <v>1.3870000000000001E-4</v>
      </c>
    </row>
    <row r="431" spans="1:9" x14ac:dyDescent="0.25">
      <c r="A431" s="104" t="str">
        <f t="shared" si="6"/>
        <v>Malawi2015.5UrbanPub_MedNorplant</v>
      </c>
      <c r="B431" t="s">
        <v>142</v>
      </c>
      <c r="C431">
        <v>2015.5</v>
      </c>
      <c r="D431" t="s">
        <v>20</v>
      </c>
      <c r="E431" t="s">
        <v>52</v>
      </c>
      <c r="F431" t="s">
        <v>263</v>
      </c>
      <c r="G431">
        <v>6.1265500000000001E-2</v>
      </c>
      <c r="H431">
        <v>4.6764100000000003E-2</v>
      </c>
      <c r="I431">
        <v>2.9463400000000001E-2</v>
      </c>
    </row>
    <row r="432" spans="1:9" x14ac:dyDescent="0.25">
      <c r="A432" s="104" t="str">
        <f t="shared" si="6"/>
        <v>Malawi2015.5UrbanPub_OutreachNorplant</v>
      </c>
      <c r="B432" t="s">
        <v>142</v>
      </c>
      <c r="C432">
        <v>2015.5</v>
      </c>
      <c r="D432" t="s">
        <v>20</v>
      </c>
      <c r="E432" t="s">
        <v>54</v>
      </c>
      <c r="F432" t="s">
        <v>263</v>
      </c>
      <c r="G432">
        <v>6.9141999999999997E-3</v>
      </c>
      <c r="I432">
        <v>3.1736999999999998E-3</v>
      </c>
    </row>
    <row r="433" spans="1:9" x14ac:dyDescent="0.25">
      <c r="A433" s="104" t="str">
        <f t="shared" si="6"/>
        <v>Malawi2015.5UrbanNGONorplant</v>
      </c>
      <c r="B433" t="s">
        <v>142</v>
      </c>
      <c r="C433">
        <v>2015.5</v>
      </c>
      <c r="D433" t="s">
        <v>20</v>
      </c>
      <c r="E433" t="s">
        <v>170</v>
      </c>
      <c r="F433" t="s">
        <v>263</v>
      </c>
      <c r="G433">
        <v>1.5530499999999999E-2</v>
      </c>
      <c r="H433">
        <v>2.9311400000000001E-2</v>
      </c>
      <c r="I433">
        <v>2.7812799999999999E-2</v>
      </c>
    </row>
    <row r="434" spans="1:9" x14ac:dyDescent="0.25">
      <c r="A434" s="104" t="str">
        <f t="shared" si="6"/>
        <v>Malawi2015.5UrbanCommercialNorplant</v>
      </c>
      <c r="B434" t="s">
        <v>142</v>
      </c>
      <c r="C434">
        <v>2015.5</v>
      </c>
      <c r="D434" t="s">
        <v>20</v>
      </c>
      <c r="E434" t="s">
        <v>59</v>
      </c>
      <c r="F434" t="s">
        <v>263</v>
      </c>
      <c r="G434">
        <v>8.4936999999999999E-3</v>
      </c>
      <c r="H434">
        <v>1.6615399999999999E-2</v>
      </c>
      <c r="I434">
        <v>1.52494E-2</v>
      </c>
    </row>
    <row r="435" spans="1:9" x14ac:dyDescent="0.25">
      <c r="A435" s="104" t="str">
        <f t="shared" si="6"/>
        <v>Malawi2015.5UrbanOtherNorplant</v>
      </c>
      <c r="B435" t="s">
        <v>142</v>
      </c>
      <c r="C435">
        <v>2015.5</v>
      </c>
      <c r="D435" t="s">
        <v>20</v>
      </c>
      <c r="E435" t="s">
        <v>116</v>
      </c>
      <c r="F435" t="s">
        <v>263</v>
      </c>
      <c r="G435">
        <v>1.838E-4</v>
      </c>
    </row>
    <row r="436" spans="1:9" x14ac:dyDescent="0.25">
      <c r="A436" s="104" t="str">
        <f t="shared" si="6"/>
        <v>Malawi2015.5RuralPub_MedNorplant</v>
      </c>
      <c r="B436" t="s">
        <v>142</v>
      </c>
      <c r="C436">
        <v>2015.5</v>
      </c>
      <c r="D436" t="s">
        <v>21</v>
      </c>
      <c r="E436" t="s">
        <v>52</v>
      </c>
      <c r="F436" t="s">
        <v>263</v>
      </c>
      <c r="G436">
        <v>6.7484600000000006E-2</v>
      </c>
      <c r="H436">
        <v>6.8250500000000006E-2</v>
      </c>
      <c r="I436">
        <v>6.8214300000000005E-2</v>
      </c>
    </row>
    <row r="437" spans="1:9" x14ac:dyDescent="0.25">
      <c r="A437" s="104" t="str">
        <f t="shared" si="6"/>
        <v>Malawi2015.5RuralPub_OutreachNorplant</v>
      </c>
      <c r="B437" t="s">
        <v>142</v>
      </c>
      <c r="C437">
        <v>2015.5</v>
      </c>
      <c r="D437" t="s">
        <v>21</v>
      </c>
      <c r="E437" t="s">
        <v>54</v>
      </c>
      <c r="F437" t="s">
        <v>263</v>
      </c>
      <c r="G437">
        <v>9.0618999999999995E-3</v>
      </c>
      <c r="H437">
        <v>9.6609999999999994E-3</v>
      </c>
      <c r="I437">
        <v>6.3341999999999999E-3</v>
      </c>
    </row>
    <row r="438" spans="1:9" x14ac:dyDescent="0.25">
      <c r="A438" s="104" t="str">
        <f t="shared" si="6"/>
        <v>Malawi2015.5RuralNGONorplant</v>
      </c>
      <c r="B438" t="s">
        <v>142</v>
      </c>
      <c r="C438">
        <v>2015.5</v>
      </c>
      <c r="D438" t="s">
        <v>21</v>
      </c>
      <c r="E438" t="s">
        <v>170</v>
      </c>
      <c r="F438" t="s">
        <v>263</v>
      </c>
      <c r="G438">
        <v>7.6033999999999997E-3</v>
      </c>
      <c r="H438">
        <v>8.5094999999999997E-3</v>
      </c>
      <c r="I438">
        <v>1.41891E-2</v>
      </c>
    </row>
    <row r="439" spans="1:9" x14ac:dyDescent="0.25">
      <c r="A439" s="104" t="str">
        <f t="shared" si="6"/>
        <v>Malawi2015.5RuralCommercialNorplant</v>
      </c>
      <c r="B439" t="s">
        <v>142</v>
      </c>
      <c r="C439">
        <v>2015.5</v>
      </c>
      <c r="D439" t="s">
        <v>21</v>
      </c>
      <c r="E439" t="s">
        <v>59</v>
      </c>
      <c r="F439" t="s">
        <v>263</v>
      </c>
      <c r="G439">
        <v>3.444E-3</v>
      </c>
      <c r="H439">
        <v>2.6086E-3</v>
      </c>
      <c r="I439">
        <v>7.7482999999999996E-3</v>
      </c>
    </row>
    <row r="440" spans="1:9" x14ac:dyDescent="0.25">
      <c r="A440" s="104" t="str">
        <f t="shared" si="6"/>
        <v>Malawi2015.5RuralOtherNorplant</v>
      </c>
      <c r="B440" t="s">
        <v>142</v>
      </c>
      <c r="C440">
        <v>2015.5</v>
      </c>
      <c r="D440" t="s">
        <v>21</v>
      </c>
      <c r="E440" t="s">
        <v>116</v>
      </c>
      <c r="F440" t="s">
        <v>263</v>
      </c>
      <c r="G440">
        <v>1.295E-4</v>
      </c>
      <c r="H440">
        <v>1.7229999999999999E-4</v>
      </c>
    </row>
    <row r="441" spans="1:9" x14ac:dyDescent="0.25">
      <c r="A441" s="104" t="str">
        <f t="shared" si="6"/>
        <v>Nepal2011NationalPub_MedPill</v>
      </c>
      <c r="B441" t="s">
        <v>144</v>
      </c>
      <c r="C441">
        <v>2011</v>
      </c>
      <c r="D441" t="s">
        <v>178</v>
      </c>
      <c r="E441" t="s">
        <v>52</v>
      </c>
      <c r="F441" t="s">
        <v>12</v>
      </c>
      <c r="G441">
        <v>1.07846E-2</v>
      </c>
      <c r="H441">
        <v>1.36075E-2</v>
      </c>
      <c r="I441">
        <v>6.0889000000000004E-3</v>
      </c>
    </row>
    <row r="442" spans="1:9" x14ac:dyDescent="0.25">
      <c r="A442" s="104" t="str">
        <f t="shared" si="6"/>
        <v>Nepal2011NationalPub_OutreachPill</v>
      </c>
      <c r="B442" t="s">
        <v>144</v>
      </c>
      <c r="C442">
        <v>2011</v>
      </c>
      <c r="D442" t="s">
        <v>178</v>
      </c>
      <c r="E442" t="s">
        <v>54</v>
      </c>
      <c r="F442" t="s">
        <v>12</v>
      </c>
      <c r="G442">
        <v>6.8967000000000004E-3</v>
      </c>
      <c r="H442">
        <v>4.7407999999999999E-3</v>
      </c>
      <c r="I442">
        <v>3.7823000000000002E-3</v>
      </c>
    </row>
    <row r="443" spans="1:9" x14ac:dyDescent="0.25">
      <c r="A443" s="104" t="str">
        <f t="shared" si="6"/>
        <v>Nepal2011NationalNGOPill</v>
      </c>
      <c r="B443" t="s">
        <v>144</v>
      </c>
      <c r="C443">
        <v>2011</v>
      </c>
      <c r="D443" t="s">
        <v>178</v>
      </c>
      <c r="E443" t="s">
        <v>170</v>
      </c>
      <c r="F443" t="s">
        <v>12</v>
      </c>
      <c r="G443">
        <v>1.3234E-3</v>
      </c>
      <c r="H443">
        <v>8.9700000000000001E-4</v>
      </c>
      <c r="I443">
        <v>7.1429999999999996E-4</v>
      </c>
    </row>
    <row r="444" spans="1:9" x14ac:dyDescent="0.25">
      <c r="A444" s="104" t="str">
        <f t="shared" si="6"/>
        <v>Nepal2011NationalCommercialPill</v>
      </c>
      <c r="B444" t="s">
        <v>144</v>
      </c>
      <c r="C444">
        <v>2011</v>
      </c>
      <c r="D444" t="s">
        <v>178</v>
      </c>
      <c r="E444" t="s">
        <v>59</v>
      </c>
      <c r="F444" t="s">
        <v>12</v>
      </c>
      <c r="G444">
        <v>7.4441999999999998E-3</v>
      </c>
      <c r="H444">
        <v>1.36545E-2</v>
      </c>
      <c r="I444">
        <v>2.7888799999999998E-2</v>
      </c>
    </row>
    <row r="445" spans="1:9" x14ac:dyDescent="0.25">
      <c r="A445" s="104" t="str">
        <f t="shared" si="6"/>
        <v>Nepal2011NationalNonTradPill</v>
      </c>
      <c r="B445" t="s">
        <v>144</v>
      </c>
      <c r="C445">
        <v>2011</v>
      </c>
      <c r="D445" t="s">
        <v>178</v>
      </c>
      <c r="E445" t="s">
        <v>171</v>
      </c>
      <c r="F445" t="s">
        <v>12</v>
      </c>
      <c r="I445">
        <v>5.6209999999999995E-4</v>
      </c>
    </row>
    <row r="446" spans="1:9" x14ac:dyDescent="0.25">
      <c r="A446" s="104" t="str">
        <f t="shared" si="6"/>
        <v>Nepal2011NationalOtherPill</v>
      </c>
      <c r="B446" t="s">
        <v>144</v>
      </c>
      <c r="C446">
        <v>2011</v>
      </c>
      <c r="D446" t="s">
        <v>178</v>
      </c>
      <c r="E446" t="s">
        <v>116</v>
      </c>
      <c r="F446" t="s">
        <v>12</v>
      </c>
      <c r="G446">
        <v>4.9280000000000005E-4</v>
      </c>
      <c r="H446">
        <v>9.3780000000000003E-4</v>
      </c>
      <c r="I446">
        <v>2.0049E-3</v>
      </c>
    </row>
    <row r="447" spans="1:9" x14ac:dyDescent="0.25">
      <c r="A447" s="104" t="str">
        <f t="shared" si="6"/>
        <v>Nepal2011UrbanPub_MedPill</v>
      </c>
      <c r="B447" t="s">
        <v>144</v>
      </c>
      <c r="C447">
        <v>2011</v>
      </c>
      <c r="D447" t="s">
        <v>20</v>
      </c>
      <c r="E447" t="s">
        <v>52</v>
      </c>
      <c r="F447" t="s">
        <v>12</v>
      </c>
      <c r="G447">
        <v>1.0901599999999999E-2</v>
      </c>
      <c r="H447">
        <v>3.4626000000000001E-3</v>
      </c>
      <c r="I447">
        <v>3.1925E-3</v>
      </c>
    </row>
    <row r="448" spans="1:9" x14ac:dyDescent="0.25">
      <c r="A448" s="104" t="str">
        <f t="shared" si="6"/>
        <v>Nepal2011UrbanPub_OutreachPill</v>
      </c>
      <c r="B448" t="s">
        <v>144</v>
      </c>
      <c r="C448">
        <v>2011</v>
      </c>
      <c r="D448" t="s">
        <v>20</v>
      </c>
      <c r="E448" t="s">
        <v>54</v>
      </c>
      <c r="F448" t="s">
        <v>12</v>
      </c>
      <c r="G448">
        <v>3.3960000000000001E-3</v>
      </c>
      <c r="H448">
        <v>6.3369999999999995E-4</v>
      </c>
    </row>
    <row r="449" spans="1:9" x14ac:dyDescent="0.25">
      <c r="A449" s="104" t="str">
        <f t="shared" si="6"/>
        <v>Nepal2011UrbanNGOPill</v>
      </c>
      <c r="B449" t="s">
        <v>144</v>
      </c>
      <c r="C449">
        <v>2011</v>
      </c>
      <c r="D449" t="s">
        <v>20</v>
      </c>
      <c r="E449" t="s">
        <v>170</v>
      </c>
      <c r="F449" t="s">
        <v>12</v>
      </c>
      <c r="G449">
        <v>1.5581E-3</v>
      </c>
      <c r="H449">
        <v>4.1437999999999996E-3</v>
      </c>
    </row>
    <row r="450" spans="1:9" x14ac:dyDescent="0.25">
      <c r="A450" s="104" t="str">
        <f t="shared" si="6"/>
        <v>Nepal2011UrbanCommercialPill</v>
      </c>
      <c r="B450" t="s">
        <v>144</v>
      </c>
      <c r="C450">
        <v>2011</v>
      </c>
      <c r="D450" t="s">
        <v>20</v>
      </c>
      <c r="E450" t="s">
        <v>59</v>
      </c>
      <c r="F450" t="s">
        <v>12</v>
      </c>
      <c r="G450">
        <v>2.85785E-2</v>
      </c>
      <c r="H450">
        <v>3.5472900000000002E-2</v>
      </c>
      <c r="I450">
        <v>3.1319199999999998E-2</v>
      </c>
    </row>
    <row r="451" spans="1:9" x14ac:dyDescent="0.25">
      <c r="A451" s="104" t="str">
        <f t="shared" ref="A451:A514" si="7">B451&amp;C451&amp;D451&amp;E451&amp;F451</f>
        <v>Nepal2011UrbanOtherPill</v>
      </c>
      <c r="B451" t="s">
        <v>144</v>
      </c>
      <c r="C451">
        <v>2011</v>
      </c>
      <c r="D451" t="s">
        <v>20</v>
      </c>
      <c r="E451" t="s">
        <v>116</v>
      </c>
      <c r="F451" t="s">
        <v>12</v>
      </c>
      <c r="I451">
        <v>3.1925E-3</v>
      </c>
    </row>
    <row r="452" spans="1:9" x14ac:dyDescent="0.25">
      <c r="A452" s="104" t="str">
        <f t="shared" si="7"/>
        <v>Nepal2011RuralPub_MedPill</v>
      </c>
      <c r="B452" t="s">
        <v>144</v>
      </c>
      <c r="C452">
        <v>2011</v>
      </c>
      <c r="D452" t="s">
        <v>21</v>
      </c>
      <c r="E452" t="s">
        <v>52</v>
      </c>
      <c r="F452" t="s">
        <v>12</v>
      </c>
      <c r="G452">
        <v>1.0763999999999999E-2</v>
      </c>
      <c r="H452">
        <v>1.53197E-2</v>
      </c>
      <c r="I452">
        <v>6.509E-3</v>
      </c>
    </row>
    <row r="453" spans="1:9" x14ac:dyDescent="0.25">
      <c r="A453" s="104" t="str">
        <f t="shared" si="7"/>
        <v>Nepal2011RuralPub_OutreachPill</v>
      </c>
      <c r="B453" t="s">
        <v>144</v>
      </c>
      <c r="C453">
        <v>2011</v>
      </c>
      <c r="D453" t="s">
        <v>21</v>
      </c>
      <c r="E453" t="s">
        <v>54</v>
      </c>
      <c r="F453" t="s">
        <v>12</v>
      </c>
      <c r="G453">
        <v>7.5128E-3</v>
      </c>
      <c r="H453">
        <v>5.4339999999999996E-3</v>
      </c>
      <c r="I453">
        <v>4.3308000000000001E-3</v>
      </c>
    </row>
    <row r="454" spans="1:9" x14ac:dyDescent="0.25">
      <c r="A454" s="104" t="str">
        <f t="shared" si="7"/>
        <v>Nepal2011RuralNGOPill</v>
      </c>
      <c r="B454" t="s">
        <v>144</v>
      </c>
      <c r="C454">
        <v>2011</v>
      </c>
      <c r="D454" t="s">
        <v>21</v>
      </c>
      <c r="E454" t="s">
        <v>170</v>
      </c>
      <c r="F454" t="s">
        <v>12</v>
      </c>
      <c r="G454">
        <v>1.2821E-3</v>
      </c>
      <c r="H454">
        <v>3.4909999999999997E-4</v>
      </c>
      <c r="I454">
        <v>8.1789999999999999E-4</v>
      </c>
    </row>
    <row r="455" spans="1:9" x14ac:dyDescent="0.25">
      <c r="A455" s="104" t="str">
        <f t="shared" si="7"/>
        <v>Nepal2011RuralCommercialPill</v>
      </c>
      <c r="B455" t="s">
        <v>144</v>
      </c>
      <c r="C455">
        <v>2011</v>
      </c>
      <c r="D455" t="s">
        <v>21</v>
      </c>
      <c r="E455" t="s">
        <v>59</v>
      </c>
      <c r="F455" t="s">
        <v>12</v>
      </c>
      <c r="G455">
        <v>3.7247999999999999E-3</v>
      </c>
      <c r="H455">
        <v>9.9722000000000005E-3</v>
      </c>
      <c r="I455">
        <v>2.73914E-2</v>
      </c>
    </row>
    <row r="456" spans="1:9" x14ac:dyDescent="0.25">
      <c r="A456" s="104" t="str">
        <f t="shared" si="7"/>
        <v>Nepal2011RuralNonTradPill</v>
      </c>
      <c r="B456" t="s">
        <v>144</v>
      </c>
      <c r="C456">
        <v>2011</v>
      </c>
      <c r="D456" t="s">
        <v>21</v>
      </c>
      <c r="E456" t="s">
        <v>171</v>
      </c>
      <c r="F456" t="s">
        <v>12</v>
      </c>
      <c r="I456">
        <v>6.4360000000000003E-4</v>
      </c>
    </row>
    <row r="457" spans="1:9" x14ac:dyDescent="0.25">
      <c r="A457" s="104" t="str">
        <f t="shared" si="7"/>
        <v>Nepal2011RuralOtherPill</v>
      </c>
      <c r="B457" t="s">
        <v>144</v>
      </c>
      <c r="C457">
        <v>2011</v>
      </c>
      <c r="D457" t="s">
        <v>21</v>
      </c>
      <c r="E457" t="s">
        <v>116</v>
      </c>
      <c r="F457" t="s">
        <v>12</v>
      </c>
      <c r="G457">
        <v>5.7950000000000005E-4</v>
      </c>
      <c r="H457">
        <v>1.096E-3</v>
      </c>
      <c r="I457">
        <v>1.8326E-3</v>
      </c>
    </row>
    <row r="458" spans="1:9" x14ac:dyDescent="0.25">
      <c r="A458" s="104" t="str">
        <f t="shared" si="7"/>
        <v>Nepal2011NationalPub_MedIUD</v>
      </c>
      <c r="B458" t="s">
        <v>144</v>
      </c>
      <c r="C458">
        <v>2011</v>
      </c>
      <c r="D458" t="s">
        <v>178</v>
      </c>
      <c r="E458" t="s">
        <v>52</v>
      </c>
      <c r="F458" t="s">
        <v>16</v>
      </c>
      <c r="G458">
        <v>5.5586999999999998E-3</v>
      </c>
      <c r="H458">
        <v>4.2620000000000002E-3</v>
      </c>
      <c r="I458">
        <v>3.0707999999999998E-3</v>
      </c>
    </row>
    <row r="459" spans="1:9" x14ac:dyDescent="0.25">
      <c r="A459" s="104" t="str">
        <f t="shared" si="7"/>
        <v>Nepal2011NationalPub_OutreachIUD</v>
      </c>
      <c r="B459" t="s">
        <v>144</v>
      </c>
      <c r="C459">
        <v>2011</v>
      </c>
      <c r="D459" t="s">
        <v>178</v>
      </c>
      <c r="E459" t="s">
        <v>54</v>
      </c>
      <c r="F459" t="s">
        <v>16</v>
      </c>
      <c r="G459">
        <v>1.4792E-3</v>
      </c>
      <c r="H459">
        <v>5.3430000000000003E-4</v>
      </c>
    </row>
    <row r="460" spans="1:9" x14ac:dyDescent="0.25">
      <c r="A460" s="104" t="str">
        <f t="shared" si="7"/>
        <v>Nepal2011NationalNGOIUD</v>
      </c>
      <c r="B460" t="s">
        <v>144</v>
      </c>
      <c r="C460">
        <v>2011</v>
      </c>
      <c r="D460" t="s">
        <v>178</v>
      </c>
      <c r="E460" t="s">
        <v>170</v>
      </c>
      <c r="F460" t="s">
        <v>16</v>
      </c>
      <c r="G460">
        <v>5.7059999999999999E-4</v>
      </c>
      <c r="H460">
        <v>2.1013999999999998E-3</v>
      </c>
      <c r="I460">
        <v>2.6032999999999998E-3</v>
      </c>
    </row>
    <row r="461" spans="1:9" x14ac:dyDescent="0.25">
      <c r="A461" s="104" t="str">
        <f t="shared" si="7"/>
        <v>Nepal2011NationalCommercialIUD</v>
      </c>
      <c r="B461" t="s">
        <v>144</v>
      </c>
      <c r="C461">
        <v>2011</v>
      </c>
      <c r="D461" t="s">
        <v>178</v>
      </c>
      <c r="E461" t="s">
        <v>59</v>
      </c>
      <c r="F461" t="s">
        <v>16</v>
      </c>
      <c r="G461">
        <v>7.4620000000000003E-4</v>
      </c>
      <c r="H461">
        <v>5.6450000000000001E-4</v>
      </c>
      <c r="I461">
        <v>9.7759999999999991E-4</v>
      </c>
    </row>
    <row r="462" spans="1:9" x14ac:dyDescent="0.25">
      <c r="A462" s="104" t="str">
        <f t="shared" si="7"/>
        <v>Nepal2011NationalIUD</v>
      </c>
      <c r="B462" t="s">
        <v>144</v>
      </c>
      <c r="C462">
        <v>2011</v>
      </c>
      <c r="D462" t="s">
        <v>178</v>
      </c>
      <c r="F462" t="s">
        <v>16</v>
      </c>
      <c r="G462">
        <v>1.3588999999999999E-3</v>
      </c>
      <c r="H462">
        <v>7.6650000000000004E-4</v>
      </c>
      <c r="I462">
        <v>4.8789000000000003E-3</v>
      </c>
    </row>
    <row r="463" spans="1:9" x14ac:dyDescent="0.25">
      <c r="A463" s="104" t="str">
        <f t="shared" si="7"/>
        <v>Nepal2011UrbanPub_MedIUD</v>
      </c>
      <c r="B463" t="s">
        <v>144</v>
      </c>
      <c r="C463">
        <v>2011</v>
      </c>
      <c r="D463" t="s">
        <v>20</v>
      </c>
      <c r="E463" t="s">
        <v>52</v>
      </c>
      <c r="F463" t="s">
        <v>16</v>
      </c>
      <c r="G463">
        <v>4.9633999999999998E-3</v>
      </c>
      <c r="H463">
        <v>7.5393999999999999E-3</v>
      </c>
      <c r="I463">
        <v>7.2939999999999995E-4</v>
      </c>
    </row>
    <row r="464" spans="1:9" x14ac:dyDescent="0.25">
      <c r="A464" s="104" t="str">
        <f t="shared" si="7"/>
        <v>Nepal2011UrbanNGOIUD</v>
      </c>
      <c r="B464" t="s">
        <v>144</v>
      </c>
      <c r="C464">
        <v>2011</v>
      </c>
      <c r="D464" t="s">
        <v>20</v>
      </c>
      <c r="E464" t="s">
        <v>170</v>
      </c>
      <c r="F464" t="s">
        <v>16</v>
      </c>
      <c r="G464">
        <v>7.182E-4</v>
      </c>
      <c r="H464">
        <v>5.5129000000000003E-3</v>
      </c>
    </row>
    <row r="465" spans="1:9" x14ac:dyDescent="0.25">
      <c r="A465" s="104" t="str">
        <f t="shared" si="7"/>
        <v>Nepal2011UrbanCommercialIUD</v>
      </c>
      <c r="B465" t="s">
        <v>144</v>
      </c>
      <c r="C465">
        <v>2011</v>
      </c>
      <c r="D465" t="s">
        <v>20</v>
      </c>
      <c r="E465" t="s">
        <v>59</v>
      </c>
      <c r="F465" t="s">
        <v>16</v>
      </c>
      <c r="G465">
        <v>1.5816000000000001E-3</v>
      </c>
      <c r="H465">
        <v>8.6499999999999999E-4</v>
      </c>
    </row>
    <row r="466" spans="1:9" x14ac:dyDescent="0.25">
      <c r="A466" s="104" t="str">
        <f t="shared" si="7"/>
        <v>Nepal2011UrbanIUD</v>
      </c>
      <c r="B466" t="s">
        <v>144</v>
      </c>
      <c r="C466">
        <v>2011</v>
      </c>
      <c r="D466" t="s">
        <v>20</v>
      </c>
      <c r="F466" t="s">
        <v>16</v>
      </c>
      <c r="G466">
        <v>2.9959000000000001E-3</v>
      </c>
      <c r="H466">
        <v>4.2388E-3</v>
      </c>
      <c r="I466">
        <v>1.5657500000000001E-2</v>
      </c>
    </row>
    <row r="467" spans="1:9" x14ac:dyDescent="0.25">
      <c r="A467" s="104" t="str">
        <f t="shared" si="7"/>
        <v>Nepal2011RuralPub_MedIUD</v>
      </c>
      <c r="B467" t="s">
        <v>144</v>
      </c>
      <c r="C467">
        <v>2011</v>
      </c>
      <c r="D467" t="s">
        <v>21</v>
      </c>
      <c r="E467" t="s">
        <v>52</v>
      </c>
      <c r="F467" t="s">
        <v>16</v>
      </c>
      <c r="G467">
        <v>5.6635000000000001E-3</v>
      </c>
      <c r="H467">
        <v>3.7087999999999999E-3</v>
      </c>
      <c r="I467">
        <v>3.4102999999999998E-3</v>
      </c>
    </row>
    <row r="468" spans="1:9" x14ac:dyDescent="0.25">
      <c r="A468" s="104" t="str">
        <f t="shared" si="7"/>
        <v>Nepal2011RuralPub_OutreachIUD</v>
      </c>
      <c r="B468" t="s">
        <v>144</v>
      </c>
      <c r="C468">
        <v>2011</v>
      </c>
      <c r="D468" t="s">
        <v>21</v>
      </c>
      <c r="E468" t="s">
        <v>54</v>
      </c>
      <c r="F468" t="s">
        <v>16</v>
      </c>
      <c r="G468">
        <v>1.7394999999999999E-3</v>
      </c>
      <c r="H468">
        <v>6.2449999999999995E-4</v>
      </c>
    </row>
    <row r="469" spans="1:9" x14ac:dyDescent="0.25">
      <c r="A469" s="104" t="str">
        <f t="shared" si="7"/>
        <v>Nepal2011RuralNGOIUD</v>
      </c>
      <c r="B469" t="s">
        <v>144</v>
      </c>
      <c r="C469">
        <v>2011</v>
      </c>
      <c r="D469" t="s">
        <v>21</v>
      </c>
      <c r="E469" t="s">
        <v>170</v>
      </c>
      <c r="F469" t="s">
        <v>16</v>
      </c>
      <c r="G469">
        <v>5.4469999999999996E-4</v>
      </c>
      <c r="H469">
        <v>1.5257000000000001E-3</v>
      </c>
      <c r="I469">
        <v>2.9808E-3</v>
      </c>
    </row>
    <row r="470" spans="1:9" x14ac:dyDescent="0.25">
      <c r="A470" s="104" t="str">
        <f t="shared" si="7"/>
        <v>Nepal2011RuralCommercialIUD</v>
      </c>
      <c r="B470" t="s">
        <v>144</v>
      </c>
      <c r="C470">
        <v>2011</v>
      </c>
      <c r="D470" t="s">
        <v>21</v>
      </c>
      <c r="E470" t="s">
        <v>59</v>
      </c>
      <c r="F470" t="s">
        <v>16</v>
      </c>
      <c r="G470">
        <v>5.9920000000000004E-4</v>
      </c>
      <c r="H470">
        <v>5.1380000000000002E-4</v>
      </c>
      <c r="I470">
        <v>1.1192999999999999E-3</v>
      </c>
    </row>
    <row r="471" spans="1:9" x14ac:dyDescent="0.25">
      <c r="A471" s="104" t="str">
        <f t="shared" si="7"/>
        <v>Nepal2011RuralIUD</v>
      </c>
      <c r="B471" t="s">
        <v>144</v>
      </c>
      <c r="C471">
        <v>2011</v>
      </c>
      <c r="D471" t="s">
        <v>21</v>
      </c>
      <c r="F471" t="s">
        <v>16</v>
      </c>
      <c r="G471">
        <v>1.0708E-3</v>
      </c>
      <c r="H471">
        <v>1.805E-4</v>
      </c>
      <c r="I471">
        <v>3.3159000000000001E-3</v>
      </c>
    </row>
    <row r="472" spans="1:9" x14ac:dyDescent="0.25">
      <c r="A472" s="104" t="str">
        <f t="shared" si="7"/>
        <v>Nepal2011NationalPub_MedInjectable</v>
      </c>
      <c r="B472" t="s">
        <v>144</v>
      </c>
      <c r="C472">
        <v>2011</v>
      </c>
      <c r="D472" t="s">
        <v>178</v>
      </c>
      <c r="E472" t="s">
        <v>52</v>
      </c>
      <c r="F472" t="s">
        <v>22</v>
      </c>
      <c r="G472">
        <v>4.85663E-2</v>
      </c>
      <c r="H472">
        <v>4.8464300000000002E-2</v>
      </c>
      <c r="I472">
        <v>2.1104299999999999E-2</v>
      </c>
    </row>
    <row r="473" spans="1:9" x14ac:dyDescent="0.25">
      <c r="A473" s="104" t="str">
        <f t="shared" si="7"/>
        <v>Nepal2011NationalPub_OutreachInjectable</v>
      </c>
      <c r="B473" t="s">
        <v>144</v>
      </c>
      <c r="C473">
        <v>2011</v>
      </c>
      <c r="D473" t="s">
        <v>178</v>
      </c>
      <c r="E473" t="s">
        <v>54</v>
      </c>
      <c r="F473" t="s">
        <v>22</v>
      </c>
      <c r="G473">
        <v>7.0809000000000002E-3</v>
      </c>
      <c r="H473">
        <v>3.7066999999999998E-3</v>
      </c>
      <c r="I473">
        <v>3.5787000000000002E-3</v>
      </c>
    </row>
    <row r="474" spans="1:9" x14ac:dyDescent="0.25">
      <c r="A474" s="104" t="str">
        <f t="shared" si="7"/>
        <v>Nepal2011NationalNGOInjectable</v>
      </c>
      <c r="B474" t="s">
        <v>144</v>
      </c>
      <c r="C474">
        <v>2011</v>
      </c>
      <c r="D474" t="s">
        <v>178</v>
      </c>
      <c r="E474" t="s">
        <v>170</v>
      </c>
      <c r="F474" t="s">
        <v>22</v>
      </c>
      <c r="G474">
        <v>6.7865E-3</v>
      </c>
      <c r="H474">
        <v>4.9779999999999998E-3</v>
      </c>
      <c r="I474">
        <v>7.6860000000000001E-3</v>
      </c>
    </row>
    <row r="475" spans="1:9" x14ac:dyDescent="0.25">
      <c r="A475" s="104" t="str">
        <f t="shared" si="7"/>
        <v>Nepal2011NationalCommercialInjectable</v>
      </c>
      <c r="B475" t="s">
        <v>144</v>
      </c>
      <c r="C475">
        <v>2011</v>
      </c>
      <c r="D475" t="s">
        <v>178</v>
      </c>
      <c r="E475" t="s">
        <v>59</v>
      </c>
      <c r="F475" t="s">
        <v>22</v>
      </c>
      <c r="G475">
        <v>1.2579699999999999E-2</v>
      </c>
      <c r="H475">
        <v>1.30432E-2</v>
      </c>
      <c r="I475">
        <v>2.10872E-2</v>
      </c>
    </row>
    <row r="476" spans="1:9" x14ac:dyDescent="0.25">
      <c r="A476" s="104" t="str">
        <f t="shared" si="7"/>
        <v>Nepal2011NationalNonTradInjectable</v>
      </c>
      <c r="B476" t="s">
        <v>144</v>
      </c>
      <c r="C476">
        <v>2011</v>
      </c>
      <c r="D476" t="s">
        <v>178</v>
      </c>
      <c r="E476" t="s">
        <v>171</v>
      </c>
      <c r="F476" t="s">
        <v>22</v>
      </c>
      <c r="G476">
        <v>1.184E-4</v>
      </c>
    </row>
    <row r="477" spans="1:9" x14ac:dyDescent="0.25">
      <c r="A477" s="104" t="str">
        <f t="shared" si="7"/>
        <v>Nepal2011NationalOtherInjectable</v>
      </c>
      <c r="B477" t="s">
        <v>144</v>
      </c>
      <c r="C477">
        <v>2011</v>
      </c>
      <c r="D477" t="s">
        <v>178</v>
      </c>
      <c r="E477" t="s">
        <v>116</v>
      </c>
      <c r="F477" t="s">
        <v>22</v>
      </c>
      <c r="G477">
        <v>2.2589999999999999E-4</v>
      </c>
      <c r="H477">
        <v>2.8210000000000003E-4</v>
      </c>
      <c r="I477">
        <v>6.8159999999999998E-4</v>
      </c>
    </row>
    <row r="478" spans="1:9" x14ac:dyDescent="0.25">
      <c r="A478" s="104" t="str">
        <f t="shared" si="7"/>
        <v>Nepal2011UrbanPub_MedInjectable</v>
      </c>
      <c r="B478" t="s">
        <v>144</v>
      </c>
      <c r="C478">
        <v>2011</v>
      </c>
      <c r="D478" t="s">
        <v>20</v>
      </c>
      <c r="E478" t="s">
        <v>52</v>
      </c>
      <c r="F478" t="s">
        <v>22</v>
      </c>
      <c r="G478">
        <v>3.14276E-2</v>
      </c>
      <c r="H478">
        <v>2.6051700000000001E-2</v>
      </c>
      <c r="I478">
        <v>6.6185999999999997E-3</v>
      </c>
    </row>
    <row r="479" spans="1:9" x14ac:dyDescent="0.25">
      <c r="A479" s="104" t="str">
        <f t="shared" si="7"/>
        <v>Nepal2011UrbanPub_OutreachInjectable</v>
      </c>
      <c r="B479" t="s">
        <v>144</v>
      </c>
      <c r="C479">
        <v>2011</v>
      </c>
      <c r="D479" t="s">
        <v>20</v>
      </c>
      <c r="E479" t="s">
        <v>54</v>
      </c>
      <c r="F479" t="s">
        <v>22</v>
      </c>
      <c r="G479">
        <v>2.455E-4</v>
      </c>
      <c r="H479">
        <v>6.7699999999999998E-4</v>
      </c>
    </row>
    <row r="480" spans="1:9" x14ac:dyDescent="0.25">
      <c r="A480" s="104" t="str">
        <f t="shared" si="7"/>
        <v>Nepal2011UrbanNGOInjectable</v>
      </c>
      <c r="B480" t="s">
        <v>144</v>
      </c>
      <c r="C480">
        <v>2011</v>
      </c>
      <c r="D480" t="s">
        <v>20</v>
      </c>
      <c r="E480" t="s">
        <v>170</v>
      </c>
      <c r="F480" t="s">
        <v>22</v>
      </c>
      <c r="G480">
        <v>1.8363999999999998E-2</v>
      </c>
      <c r="H480">
        <v>3.4626000000000001E-3</v>
      </c>
      <c r="I480">
        <v>8.3870999999999998E-3</v>
      </c>
    </row>
    <row r="481" spans="1:9" x14ac:dyDescent="0.25">
      <c r="A481" s="104" t="str">
        <f t="shared" si="7"/>
        <v>Nepal2011UrbanCommercialInjectable</v>
      </c>
      <c r="B481" t="s">
        <v>144</v>
      </c>
      <c r="C481">
        <v>2011</v>
      </c>
      <c r="D481" t="s">
        <v>20</v>
      </c>
      <c r="E481" t="s">
        <v>59</v>
      </c>
      <c r="F481" t="s">
        <v>22</v>
      </c>
      <c r="G481">
        <v>4.4030300000000001E-2</v>
      </c>
      <c r="H481">
        <v>2.74182E-2</v>
      </c>
      <c r="I481">
        <v>4.0679999999999996E-3</v>
      </c>
    </row>
    <row r="482" spans="1:9" x14ac:dyDescent="0.25">
      <c r="A482" s="104" t="str">
        <f t="shared" si="7"/>
        <v>Nepal2011UrbanOtherInjectable</v>
      </c>
      <c r="B482" t="s">
        <v>144</v>
      </c>
      <c r="C482">
        <v>2011</v>
      </c>
      <c r="D482" t="s">
        <v>20</v>
      </c>
      <c r="E482" t="s">
        <v>116</v>
      </c>
      <c r="F482" t="s">
        <v>22</v>
      </c>
      <c r="G482">
        <v>7.182E-4</v>
      </c>
    </row>
    <row r="483" spans="1:9" x14ac:dyDescent="0.25">
      <c r="A483" s="104" t="str">
        <f t="shared" si="7"/>
        <v>Nepal2011RuralPub_MedInjectable</v>
      </c>
      <c r="B483" t="s">
        <v>144</v>
      </c>
      <c r="C483">
        <v>2011</v>
      </c>
      <c r="D483" t="s">
        <v>21</v>
      </c>
      <c r="E483" t="s">
        <v>52</v>
      </c>
      <c r="F483" t="s">
        <v>22</v>
      </c>
      <c r="G483">
        <v>5.15824E-2</v>
      </c>
      <c r="H483">
        <v>5.2246899999999999E-2</v>
      </c>
      <c r="I483">
        <v>2.3204900000000001E-2</v>
      </c>
    </row>
    <row r="484" spans="1:9" x14ac:dyDescent="0.25">
      <c r="A484" s="104" t="str">
        <f t="shared" si="7"/>
        <v>Nepal2011RuralPub_OutreachInjectable</v>
      </c>
      <c r="B484" t="s">
        <v>144</v>
      </c>
      <c r="C484">
        <v>2011</v>
      </c>
      <c r="D484" t="s">
        <v>21</v>
      </c>
      <c r="E484" t="s">
        <v>54</v>
      </c>
      <c r="F484" t="s">
        <v>22</v>
      </c>
      <c r="G484">
        <v>8.2837999999999992E-3</v>
      </c>
      <c r="H484">
        <v>4.2180000000000004E-3</v>
      </c>
      <c r="I484">
        <v>4.0977000000000001E-3</v>
      </c>
    </row>
    <row r="485" spans="1:9" x14ac:dyDescent="0.25">
      <c r="A485" s="104" t="str">
        <f t="shared" si="7"/>
        <v>Nepal2011RuralNGOInjectable</v>
      </c>
      <c r="B485" t="s">
        <v>144</v>
      </c>
      <c r="C485">
        <v>2011</v>
      </c>
      <c r="D485" t="s">
        <v>21</v>
      </c>
      <c r="E485" t="s">
        <v>170</v>
      </c>
      <c r="F485" t="s">
        <v>22</v>
      </c>
      <c r="G485">
        <v>4.7491E-3</v>
      </c>
      <c r="H485">
        <v>5.2338000000000003E-3</v>
      </c>
      <c r="I485">
        <v>7.5843999999999998E-3</v>
      </c>
    </row>
    <row r="486" spans="1:9" x14ac:dyDescent="0.25">
      <c r="A486" s="104" t="str">
        <f t="shared" si="7"/>
        <v>Nepal2011RuralCommercialInjectable</v>
      </c>
      <c r="B486" t="s">
        <v>144</v>
      </c>
      <c r="C486">
        <v>2011</v>
      </c>
      <c r="D486" t="s">
        <v>21</v>
      </c>
      <c r="E486" t="s">
        <v>59</v>
      </c>
      <c r="F486" t="s">
        <v>22</v>
      </c>
      <c r="G486">
        <v>7.0448999999999998E-3</v>
      </c>
      <c r="H486">
        <v>1.0617E-2</v>
      </c>
      <c r="I486">
        <v>2.3555199999999998E-2</v>
      </c>
    </row>
    <row r="487" spans="1:9" x14ac:dyDescent="0.25">
      <c r="A487" s="104" t="str">
        <f t="shared" si="7"/>
        <v>Nepal2011RuralNonTradInjectable</v>
      </c>
      <c r="B487" t="s">
        <v>144</v>
      </c>
      <c r="C487">
        <v>2011</v>
      </c>
      <c r="D487" t="s">
        <v>21</v>
      </c>
      <c r="E487" t="s">
        <v>171</v>
      </c>
      <c r="F487" t="s">
        <v>22</v>
      </c>
      <c r="G487">
        <v>1.393E-4</v>
      </c>
    </row>
    <row r="488" spans="1:9" x14ac:dyDescent="0.25">
      <c r="A488" s="104" t="str">
        <f t="shared" si="7"/>
        <v>Nepal2011RuralOtherInjectable</v>
      </c>
      <c r="B488" t="s">
        <v>144</v>
      </c>
      <c r="C488">
        <v>2011</v>
      </c>
      <c r="D488" t="s">
        <v>21</v>
      </c>
      <c r="E488" t="s">
        <v>116</v>
      </c>
      <c r="F488" t="s">
        <v>22</v>
      </c>
      <c r="G488">
        <v>1.393E-4</v>
      </c>
      <c r="H488">
        <v>3.2979999999999999E-4</v>
      </c>
      <c r="I488">
        <v>7.804E-4</v>
      </c>
    </row>
    <row r="489" spans="1:9" x14ac:dyDescent="0.25">
      <c r="A489" s="104" t="str">
        <f t="shared" si="7"/>
        <v>Nepal2011NationalPub_MedCondom</v>
      </c>
      <c r="B489" t="s">
        <v>144</v>
      </c>
      <c r="C489">
        <v>2011</v>
      </c>
      <c r="D489" t="s">
        <v>178</v>
      </c>
      <c r="E489" t="s">
        <v>52</v>
      </c>
      <c r="F489" t="s">
        <v>25</v>
      </c>
      <c r="G489">
        <v>7.4235999999999998E-3</v>
      </c>
      <c r="H489">
        <v>7.3413000000000003E-3</v>
      </c>
      <c r="I489">
        <v>7.4142000000000001E-3</v>
      </c>
    </row>
    <row r="490" spans="1:9" x14ac:dyDescent="0.25">
      <c r="A490" s="104" t="str">
        <f t="shared" si="7"/>
        <v>Nepal2011NationalPub_OutreachCondom</v>
      </c>
      <c r="B490" t="s">
        <v>144</v>
      </c>
      <c r="C490">
        <v>2011</v>
      </c>
      <c r="D490" t="s">
        <v>178</v>
      </c>
      <c r="E490" t="s">
        <v>54</v>
      </c>
      <c r="F490" t="s">
        <v>25</v>
      </c>
      <c r="G490">
        <v>3.5739000000000001E-3</v>
      </c>
      <c r="H490">
        <v>3.3758999999999998E-3</v>
      </c>
      <c r="I490">
        <v>2.5936000000000002E-3</v>
      </c>
    </row>
    <row r="491" spans="1:9" x14ac:dyDescent="0.25">
      <c r="A491" s="104" t="str">
        <f t="shared" si="7"/>
        <v>Nepal2011NationalNGOCondom</v>
      </c>
      <c r="B491" t="s">
        <v>144</v>
      </c>
      <c r="C491">
        <v>2011</v>
      </c>
      <c r="D491" t="s">
        <v>178</v>
      </c>
      <c r="E491" t="s">
        <v>170</v>
      </c>
      <c r="F491" t="s">
        <v>25</v>
      </c>
      <c r="G491">
        <v>3.479E-4</v>
      </c>
      <c r="H491">
        <v>4.6519999999999998E-4</v>
      </c>
      <c r="I491">
        <v>2.3243999999999999E-3</v>
      </c>
    </row>
    <row r="492" spans="1:9" x14ac:dyDescent="0.25">
      <c r="A492" s="104" t="str">
        <f t="shared" si="7"/>
        <v>Nepal2011NationalCommercialCondom</v>
      </c>
      <c r="B492" t="s">
        <v>144</v>
      </c>
      <c r="C492">
        <v>2011</v>
      </c>
      <c r="D492" t="s">
        <v>178</v>
      </c>
      <c r="E492" t="s">
        <v>59</v>
      </c>
      <c r="F492" t="s">
        <v>25</v>
      </c>
      <c r="G492">
        <v>1.05364E-2</v>
      </c>
      <c r="H492">
        <v>1.7224199999999999E-2</v>
      </c>
      <c r="I492">
        <v>4.4629000000000002E-2</v>
      </c>
    </row>
    <row r="493" spans="1:9" x14ac:dyDescent="0.25">
      <c r="A493" s="104" t="str">
        <f t="shared" si="7"/>
        <v>Nepal2011NationalNonTradCondom</v>
      </c>
      <c r="B493" t="s">
        <v>144</v>
      </c>
      <c r="C493">
        <v>2011</v>
      </c>
      <c r="D493" t="s">
        <v>178</v>
      </c>
      <c r="E493" t="s">
        <v>171</v>
      </c>
      <c r="F493" t="s">
        <v>25</v>
      </c>
      <c r="G493">
        <v>7.4470000000000005E-4</v>
      </c>
      <c r="H493">
        <v>4.2779999999999999E-4</v>
      </c>
      <c r="I493">
        <v>1.93E-4</v>
      </c>
    </row>
    <row r="494" spans="1:9" x14ac:dyDescent="0.25">
      <c r="A494" s="104" t="str">
        <f t="shared" si="7"/>
        <v>Nepal2011NationalOtherCondom</v>
      </c>
      <c r="B494" t="s">
        <v>144</v>
      </c>
      <c r="C494">
        <v>2011</v>
      </c>
      <c r="D494" t="s">
        <v>178</v>
      </c>
      <c r="E494" t="s">
        <v>116</v>
      </c>
      <c r="F494" t="s">
        <v>25</v>
      </c>
      <c r="G494">
        <v>1.206E-3</v>
      </c>
      <c r="H494">
        <v>2.2886999999999998E-3</v>
      </c>
      <c r="I494">
        <v>1.7723999999999999E-3</v>
      </c>
    </row>
    <row r="495" spans="1:9" x14ac:dyDescent="0.25">
      <c r="A495" s="104" t="str">
        <f t="shared" si="7"/>
        <v>Nepal2011UrbanPub_MedCondom</v>
      </c>
      <c r="B495" t="s">
        <v>144</v>
      </c>
      <c r="C495">
        <v>2011</v>
      </c>
      <c r="D495" t="s">
        <v>20</v>
      </c>
      <c r="E495" t="s">
        <v>52</v>
      </c>
      <c r="F495" t="s">
        <v>25</v>
      </c>
      <c r="G495">
        <v>8.7600000000000004E-3</v>
      </c>
      <c r="H495">
        <v>1.3106999999999999E-3</v>
      </c>
      <c r="I495">
        <v>8.2515999999999996E-3</v>
      </c>
    </row>
    <row r="496" spans="1:9" x14ac:dyDescent="0.25">
      <c r="A496" s="104" t="str">
        <f t="shared" si="7"/>
        <v>Nepal2011UrbanPub_OutreachCondom</v>
      </c>
      <c r="B496" t="s">
        <v>144</v>
      </c>
      <c r="C496">
        <v>2011</v>
      </c>
      <c r="D496" t="s">
        <v>20</v>
      </c>
      <c r="E496" t="s">
        <v>54</v>
      </c>
      <c r="F496" t="s">
        <v>25</v>
      </c>
      <c r="G496">
        <v>1.8508999999999999E-3</v>
      </c>
      <c r="H496">
        <v>2.9627999999999998E-3</v>
      </c>
      <c r="I496">
        <v>3.1925E-3</v>
      </c>
    </row>
    <row r="497" spans="1:9" x14ac:dyDescent="0.25">
      <c r="A497" s="104" t="str">
        <f t="shared" si="7"/>
        <v>Nepal2011UrbanNGOCondom</v>
      </c>
      <c r="B497" t="s">
        <v>144</v>
      </c>
      <c r="C497">
        <v>2011</v>
      </c>
      <c r="D497" t="s">
        <v>20</v>
      </c>
      <c r="E497" t="s">
        <v>170</v>
      </c>
      <c r="F497" t="s">
        <v>25</v>
      </c>
      <c r="G497">
        <v>2.3245000000000002E-3</v>
      </c>
      <c r="H497">
        <v>3.2215999999999998E-3</v>
      </c>
      <c r="I497">
        <v>5.8469999999999998E-3</v>
      </c>
    </row>
    <row r="498" spans="1:9" x14ac:dyDescent="0.25">
      <c r="A498" s="104" t="str">
        <f t="shared" si="7"/>
        <v>Nepal2011UrbanCommercialCondom</v>
      </c>
      <c r="B498" t="s">
        <v>144</v>
      </c>
      <c r="C498">
        <v>2011</v>
      </c>
      <c r="D498" t="s">
        <v>20</v>
      </c>
      <c r="E498" t="s">
        <v>59</v>
      </c>
      <c r="F498" t="s">
        <v>25</v>
      </c>
      <c r="G498">
        <v>2.8062199999999999E-2</v>
      </c>
      <c r="H498">
        <v>5.5062100000000003E-2</v>
      </c>
      <c r="I498">
        <v>8.7639700000000001E-2</v>
      </c>
    </row>
    <row r="499" spans="1:9" x14ac:dyDescent="0.25">
      <c r="A499" s="104" t="str">
        <f t="shared" si="7"/>
        <v>Nepal2011UrbanNonTradCondom</v>
      </c>
      <c r="B499" t="s">
        <v>144</v>
      </c>
      <c r="C499">
        <v>2011</v>
      </c>
      <c r="D499" t="s">
        <v>20</v>
      </c>
      <c r="E499" t="s">
        <v>171</v>
      </c>
      <c r="F499" t="s">
        <v>25</v>
      </c>
      <c r="G499">
        <v>2.8482999999999998E-3</v>
      </c>
      <c r="H499">
        <v>2.9627999999999998E-3</v>
      </c>
      <c r="I499">
        <v>1.5241E-3</v>
      </c>
    </row>
    <row r="500" spans="1:9" x14ac:dyDescent="0.25">
      <c r="A500" s="104" t="str">
        <f t="shared" si="7"/>
        <v>Nepal2011UrbanOtherCondom</v>
      </c>
      <c r="B500" t="s">
        <v>144</v>
      </c>
      <c r="C500">
        <v>2011</v>
      </c>
      <c r="D500" t="s">
        <v>20</v>
      </c>
      <c r="E500" t="s">
        <v>116</v>
      </c>
      <c r="F500" t="s">
        <v>25</v>
      </c>
      <c r="G500">
        <v>3.4405E-3</v>
      </c>
      <c r="H500">
        <v>7.685E-3</v>
      </c>
      <c r="I500">
        <v>6.2760999999999997E-3</v>
      </c>
    </row>
    <row r="501" spans="1:9" x14ac:dyDescent="0.25">
      <c r="A501" s="104" t="str">
        <f t="shared" si="7"/>
        <v>Nepal2011RuralPub_MedCondom</v>
      </c>
      <c r="B501" t="s">
        <v>144</v>
      </c>
      <c r="C501">
        <v>2011</v>
      </c>
      <c r="D501" t="s">
        <v>21</v>
      </c>
      <c r="E501" t="s">
        <v>52</v>
      </c>
      <c r="F501" t="s">
        <v>25</v>
      </c>
      <c r="G501">
        <v>7.1884000000000002E-3</v>
      </c>
      <c r="H501">
        <v>8.3590999999999995E-3</v>
      </c>
      <c r="I501">
        <v>7.2928000000000003E-3</v>
      </c>
    </row>
    <row r="502" spans="1:9" x14ac:dyDescent="0.25">
      <c r="A502" s="104" t="str">
        <f t="shared" si="7"/>
        <v>Nepal2011RuralPub_OutreachCondom</v>
      </c>
      <c r="B502" t="s">
        <v>144</v>
      </c>
      <c r="C502">
        <v>2011</v>
      </c>
      <c r="D502" t="s">
        <v>21</v>
      </c>
      <c r="E502" t="s">
        <v>54</v>
      </c>
      <c r="F502" t="s">
        <v>25</v>
      </c>
      <c r="G502">
        <v>3.8771999999999999E-3</v>
      </c>
      <c r="H502">
        <v>3.4456999999999999E-3</v>
      </c>
      <c r="I502">
        <v>2.5068E-3</v>
      </c>
    </row>
    <row r="503" spans="1:9" x14ac:dyDescent="0.25">
      <c r="A503" s="104" t="str">
        <f t="shared" si="7"/>
        <v>Nepal2011RuralNGOCondom</v>
      </c>
      <c r="B503" t="s">
        <v>144</v>
      </c>
      <c r="C503">
        <v>2011</v>
      </c>
      <c r="D503" t="s">
        <v>21</v>
      </c>
      <c r="E503" t="s">
        <v>170</v>
      </c>
      <c r="F503" t="s">
        <v>25</v>
      </c>
      <c r="I503">
        <v>1.8136000000000001E-3</v>
      </c>
    </row>
    <row r="504" spans="1:9" x14ac:dyDescent="0.25">
      <c r="A504" s="104" t="str">
        <f t="shared" si="7"/>
        <v>Nepal2011RuralCommercialCondom</v>
      </c>
      <c r="B504" t="s">
        <v>144</v>
      </c>
      <c r="C504">
        <v>2011</v>
      </c>
      <c r="D504" t="s">
        <v>21</v>
      </c>
      <c r="E504" t="s">
        <v>59</v>
      </c>
      <c r="F504" t="s">
        <v>25</v>
      </c>
      <c r="G504">
        <v>7.4520999999999997E-3</v>
      </c>
      <c r="H504">
        <v>1.0838199999999999E-2</v>
      </c>
      <c r="I504">
        <v>3.83919E-2</v>
      </c>
    </row>
    <row r="505" spans="1:9" x14ac:dyDescent="0.25">
      <c r="A505" s="104" t="str">
        <f t="shared" si="7"/>
        <v>Nepal2011RuralNonTradCondom</v>
      </c>
      <c r="B505" t="s">
        <v>144</v>
      </c>
      <c r="C505">
        <v>2011</v>
      </c>
      <c r="D505" t="s">
        <v>21</v>
      </c>
      <c r="E505" t="s">
        <v>171</v>
      </c>
      <c r="F505" t="s">
        <v>25</v>
      </c>
      <c r="G505">
        <v>3.745E-4</v>
      </c>
    </row>
    <row r="506" spans="1:9" x14ac:dyDescent="0.25">
      <c r="A506" s="104" t="str">
        <f t="shared" si="7"/>
        <v>Nepal2011RuralOtherCondom</v>
      </c>
      <c r="B506" t="s">
        <v>144</v>
      </c>
      <c r="C506">
        <v>2011</v>
      </c>
      <c r="D506" t="s">
        <v>21</v>
      </c>
      <c r="E506" t="s">
        <v>116</v>
      </c>
      <c r="F506" t="s">
        <v>25</v>
      </c>
      <c r="G506">
        <v>8.1269999999999997E-4</v>
      </c>
      <c r="H506">
        <v>1.3780000000000001E-3</v>
      </c>
      <c r="I506">
        <v>1.1192999999999999E-3</v>
      </c>
    </row>
    <row r="507" spans="1:9" x14ac:dyDescent="0.25">
      <c r="A507" s="104" t="str">
        <f t="shared" si="7"/>
        <v>Nepal2011NationalPub_MedImplant</v>
      </c>
      <c r="B507" t="s">
        <v>144</v>
      </c>
      <c r="C507">
        <v>2011</v>
      </c>
      <c r="D507" t="s">
        <v>178</v>
      </c>
      <c r="E507" t="s">
        <v>52</v>
      </c>
      <c r="F507" t="s">
        <v>23</v>
      </c>
      <c r="G507">
        <v>7.2179999999999996E-3</v>
      </c>
      <c r="H507">
        <v>3.4434999999999999E-3</v>
      </c>
      <c r="I507">
        <v>1.8147E-3</v>
      </c>
    </row>
    <row r="508" spans="1:9" x14ac:dyDescent="0.25">
      <c r="A508" s="104" t="str">
        <f t="shared" si="7"/>
        <v>Nepal2011NationalPub_OutreachImplant</v>
      </c>
      <c r="B508" t="s">
        <v>144</v>
      </c>
      <c r="C508">
        <v>2011</v>
      </c>
      <c r="D508" t="s">
        <v>178</v>
      </c>
      <c r="E508" t="s">
        <v>54</v>
      </c>
      <c r="F508" t="s">
        <v>23</v>
      </c>
      <c r="G508">
        <v>1.1402000000000001E-3</v>
      </c>
      <c r="I508">
        <v>5.6209999999999995E-4</v>
      </c>
    </row>
    <row r="509" spans="1:9" x14ac:dyDescent="0.25">
      <c r="A509" s="104" t="str">
        <f t="shared" si="7"/>
        <v>Nepal2011NationalNGOImplant</v>
      </c>
      <c r="B509" t="s">
        <v>144</v>
      </c>
      <c r="C509">
        <v>2011</v>
      </c>
      <c r="D509" t="s">
        <v>178</v>
      </c>
      <c r="E509" t="s">
        <v>170</v>
      </c>
      <c r="F509" t="s">
        <v>23</v>
      </c>
      <c r="G509">
        <v>1.2918999999999999E-3</v>
      </c>
      <c r="H509">
        <v>1.5449999999999999E-4</v>
      </c>
      <c r="I509">
        <v>1.523E-3</v>
      </c>
    </row>
    <row r="510" spans="1:9" x14ac:dyDescent="0.25">
      <c r="A510" s="104" t="str">
        <f t="shared" si="7"/>
        <v>Nepal2011NationalCommercialImplant</v>
      </c>
      <c r="B510" t="s">
        <v>144</v>
      </c>
      <c r="C510">
        <v>2011</v>
      </c>
      <c r="D510" t="s">
        <v>178</v>
      </c>
      <c r="E510" t="s">
        <v>59</v>
      </c>
      <c r="F510" t="s">
        <v>23</v>
      </c>
      <c r="G510">
        <v>2.5930000000000001E-4</v>
      </c>
      <c r="H510">
        <v>4.3960000000000001E-4</v>
      </c>
      <c r="I510">
        <v>5.6209999999999995E-4</v>
      </c>
    </row>
    <row r="511" spans="1:9" x14ac:dyDescent="0.25">
      <c r="A511" s="104" t="str">
        <f t="shared" si="7"/>
        <v>Nepal2011NationalImplant</v>
      </c>
      <c r="B511" t="s">
        <v>144</v>
      </c>
      <c r="C511">
        <v>2011</v>
      </c>
      <c r="D511" t="s">
        <v>178</v>
      </c>
      <c r="F511" t="s">
        <v>23</v>
      </c>
      <c r="G511">
        <v>1.5064E-3</v>
      </c>
      <c r="H511">
        <v>1.604E-3</v>
      </c>
      <c r="I511">
        <v>1.5213E-3</v>
      </c>
    </row>
    <row r="512" spans="1:9" x14ac:dyDescent="0.25">
      <c r="A512" s="104" t="str">
        <f t="shared" si="7"/>
        <v>Nepal2011UrbanPub_MedImplant</v>
      </c>
      <c r="B512" t="s">
        <v>144</v>
      </c>
      <c r="C512">
        <v>2011</v>
      </c>
      <c r="D512" t="s">
        <v>20</v>
      </c>
      <c r="E512" t="s">
        <v>52</v>
      </c>
      <c r="F512" t="s">
        <v>23</v>
      </c>
      <c r="G512">
        <v>5.6436999999999998E-3</v>
      </c>
      <c r="H512">
        <v>7.1066000000000002E-3</v>
      </c>
    </row>
    <row r="513" spans="1:9" x14ac:dyDescent="0.25">
      <c r="A513" s="104" t="str">
        <f t="shared" si="7"/>
        <v>Nepal2011UrbanNGOImplant</v>
      </c>
      <c r="B513" t="s">
        <v>144</v>
      </c>
      <c r="C513">
        <v>2011</v>
      </c>
      <c r="D513" t="s">
        <v>20</v>
      </c>
      <c r="E513" t="s">
        <v>170</v>
      </c>
      <c r="F513" t="s">
        <v>23</v>
      </c>
      <c r="G513">
        <v>2.1232E-3</v>
      </c>
      <c r="I513">
        <v>6.3850000000000001E-3</v>
      </c>
    </row>
    <row r="514" spans="1:9" x14ac:dyDescent="0.25">
      <c r="A514" s="104" t="str">
        <f t="shared" si="7"/>
        <v>Nepal2011UrbanCommercialImplant</v>
      </c>
      <c r="B514" t="s">
        <v>144</v>
      </c>
      <c r="C514">
        <v>2011</v>
      </c>
      <c r="D514" t="s">
        <v>20</v>
      </c>
      <c r="E514" t="s">
        <v>59</v>
      </c>
      <c r="F514" t="s">
        <v>23</v>
      </c>
      <c r="G514">
        <v>2.4459999999999998E-4</v>
      </c>
    </row>
    <row r="515" spans="1:9" x14ac:dyDescent="0.25">
      <c r="A515" s="104" t="str">
        <f t="shared" ref="A515:A578" si="8">B515&amp;C515&amp;D515&amp;E515&amp;F515</f>
        <v>Nepal2011UrbanImplant</v>
      </c>
      <c r="B515" t="s">
        <v>144</v>
      </c>
      <c r="C515">
        <v>2011</v>
      </c>
      <c r="D515" t="s">
        <v>20</v>
      </c>
      <c r="F515" t="s">
        <v>23</v>
      </c>
      <c r="G515">
        <v>5.4190000000000002E-3</v>
      </c>
      <c r="H515">
        <v>1.3538999999999999E-3</v>
      </c>
      <c r="I515">
        <v>3.1925E-3</v>
      </c>
    </row>
    <row r="516" spans="1:9" x14ac:dyDescent="0.25">
      <c r="A516" s="104" t="str">
        <f t="shared" si="8"/>
        <v>Nepal2011RuralPub_MedImplant</v>
      </c>
      <c r="B516" t="s">
        <v>144</v>
      </c>
      <c r="C516">
        <v>2011</v>
      </c>
      <c r="D516" t="s">
        <v>21</v>
      </c>
      <c r="E516" t="s">
        <v>52</v>
      </c>
      <c r="F516" t="s">
        <v>23</v>
      </c>
      <c r="G516">
        <v>7.4951000000000002E-3</v>
      </c>
      <c r="H516">
        <v>2.8253000000000002E-3</v>
      </c>
      <c r="I516">
        <v>2.0779000000000001E-3</v>
      </c>
    </row>
    <row r="517" spans="1:9" x14ac:dyDescent="0.25">
      <c r="A517" s="104" t="str">
        <f t="shared" si="8"/>
        <v>Nepal2011RuralPub_OutreachImplant</v>
      </c>
      <c r="B517" t="s">
        <v>144</v>
      </c>
      <c r="C517">
        <v>2011</v>
      </c>
      <c r="D517" t="s">
        <v>21</v>
      </c>
      <c r="E517" t="s">
        <v>54</v>
      </c>
      <c r="F517" t="s">
        <v>23</v>
      </c>
      <c r="G517">
        <v>1.3408000000000001E-3</v>
      </c>
      <c r="I517">
        <v>6.4360000000000003E-4</v>
      </c>
    </row>
    <row r="518" spans="1:9" x14ac:dyDescent="0.25">
      <c r="A518" s="104" t="str">
        <f t="shared" si="8"/>
        <v>Nepal2011RuralNGOImplant</v>
      </c>
      <c r="B518" t="s">
        <v>144</v>
      </c>
      <c r="C518">
        <v>2011</v>
      </c>
      <c r="D518" t="s">
        <v>21</v>
      </c>
      <c r="E518" t="s">
        <v>170</v>
      </c>
      <c r="F518" t="s">
        <v>23</v>
      </c>
      <c r="G518">
        <v>1.1456000000000001E-3</v>
      </c>
      <c r="H518">
        <v>1.805E-4</v>
      </c>
      <c r="I518">
        <v>8.1789999999999999E-4</v>
      </c>
    </row>
    <row r="519" spans="1:9" x14ac:dyDescent="0.25">
      <c r="A519" s="104" t="str">
        <f t="shared" si="8"/>
        <v>Nepal2011RuralCommercialImplant</v>
      </c>
      <c r="B519" t="s">
        <v>144</v>
      </c>
      <c r="C519">
        <v>2011</v>
      </c>
      <c r="D519" t="s">
        <v>21</v>
      </c>
      <c r="E519" t="s">
        <v>59</v>
      </c>
      <c r="F519" t="s">
        <v>23</v>
      </c>
      <c r="G519">
        <v>2.6190000000000002E-4</v>
      </c>
      <c r="H519">
        <v>5.1380000000000002E-4</v>
      </c>
      <c r="I519">
        <v>6.4360000000000003E-4</v>
      </c>
    </row>
    <row r="520" spans="1:9" x14ac:dyDescent="0.25">
      <c r="A520" s="104" t="str">
        <f t="shared" si="8"/>
        <v>Nepal2011RuralImplant</v>
      </c>
      <c r="B520" t="s">
        <v>144</v>
      </c>
      <c r="C520">
        <v>2011</v>
      </c>
      <c r="D520" t="s">
        <v>21</v>
      </c>
      <c r="F520" t="s">
        <v>23</v>
      </c>
      <c r="G520">
        <v>8.1780000000000004E-4</v>
      </c>
      <c r="H520">
        <v>1.6462E-3</v>
      </c>
      <c r="I520">
        <v>1.279E-3</v>
      </c>
    </row>
    <row r="521" spans="1:9" x14ac:dyDescent="0.25">
      <c r="A521" s="104" t="str">
        <f t="shared" si="8"/>
        <v>Nepal2016NationalPub_MedPill</v>
      </c>
      <c r="B521" t="s">
        <v>144</v>
      </c>
      <c r="C521">
        <v>2016</v>
      </c>
      <c r="D521" t="s">
        <v>178</v>
      </c>
      <c r="E521" t="s">
        <v>52</v>
      </c>
      <c r="F521" t="s">
        <v>12</v>
      </c>
      <c r="G521">
        <v>1.7058199999999999E-2</v>
      </c>
      <c r="H521">
        <v>1.08115E-2</v>
      </c>
      <c r="I521">
        <v>5.1488000000000003E-3</v>
      </c>
    </row>
    <row r="522" spans="1:9" x14ac:dyDescent="0.25">
      <c r="A522" s="104" t="str">
        <f t="shared" si="8"/>
        <v>Nepal2016NationalPub_OutreachPill</v>
      </c>
      <c r="B522" t="s">
        <v>144</v>
      </c>
      <c r="C522">
        <v>2016</v>
      </c>
      <c r="D522" t="s">
        <v>178</v>
      </c>
      <c r="E522" t="s">
        <v>54</v>
      </c>
      <c r="F522" t="s">
        <v>12</v>
      </c>
      <c r="G522">
        <v>7.2360000000000002E-3</v>
      </c>
      <c r="H522">
        <v>9.0524999999999998E-3</v>
      </c>
      <c r="I522">
        <v>2.8084999999999998E-3</v>
      </c>
    </row>
    <row r="523" spans="1:9" x14ac:dyDescent="0.25">
      <c r="A523" s="104" t="str">
        <f t="shared" si="8"/>
        <v>Nepal2016NationalNGOPill</v>
      </c>
      <c r="B523" t="s">
        <v>144</v>
      </c>
      <c r="C523">
        <v>2016</v>
      </c>
      <c r="D523" t="s">
        <v>178</v>
      </c>
      <c r="E523" t="s">
        <v>170</v>
      </c>
      <c r="F523" t="s">
        <v>12</v>
      </c>
      <c r="H523">
        <v>5.0799999999999999E-4</v>
      </c>
      <c r="I523">
        <v>3.771E-4</v>
      </c>
    </row>
    <row r="524" spans="1:9" x14ac:dyDescent="0.25">
      <c r="A524" s="104" t="str">
        <f t="shared" si="8"/>
        <v>Nepal2016NationalCommercialPill</v>
      </c>
      <c r="B524" t="s">
        <v>144</v>
      </c>
      <c r="C524">
        <v>2016</v>
      </c>
      <c r="D524" t="s">
        <v>178</v>
      </c>
      <c r="E524" t="s">
        <v>59</v>
      </c>
      <c r="F524" t="s">
        <v>12</v>
      </c>
      <c r="G524">
        <v>9.1608999999999996E-3</v>
      </c>
      <c r="H524">
        <v>2.1914599999999999E-2</v>
      </c>
      <c r="I524">
        <v>2.06181E-2</v>
      </c>
    </row>
    <row r="525" spans="1:9" x14ac:dyDescent="0.25">
      <c r="A525" s="104" t="str">
        <f t="shared" si="8"/>
        <v>Nepal2016NationalNonTradPill</v>
      </c>
      <c r="B525" t="s">
        <v>144</v>
      </c>
      <c r="C525">
        <v>2016</v>
      </c>
      <c r="D525" t="s">
        <v>178</v>
      </c>
      <c r="E525" t="s">
        <v>171</v>
      </c>
      <c r="F525" t="s">
        <v>12</v>
      </c>
      <c r="H525">
        <v>7.6299999999999998E-5</v>
      </c>
    </row>
    <row r="526" spans="1:9" x14ac:dyDescent="0.25">
      <c r="A526" s="104" t="str">
        <f t="shared" si="8"/>
        <v>Nepal2016NationalOtherPill</v>
      </c>
      <c r="B526" t="s">
        <v>144</v>
      </c>
      <c r="C526">
        <v>2016</v>
      </c>
      <c r="D526" t="s">
        <v>178</v>
      </c>
      <c r="E526" t="s">
        <v>116</v>
      </c>
      <c r="F526" t="s">
        <v>12</v>
      </c>
      <c r="G526">
        <v>4.5750000000000001E-4</v>
      </c>
      <c r="H526">
        <v>8.6319999999999995E-4</v>
      </c>
      <c r="I526">
        <v>3.0404E-3</v>
      </c>
    </row>
    <row r="527" spans="1:9" x14ac:dyDescent="0.25">
      <c r="A527" s="104" t="str">
        <f t="shared" si="8"/>
        <v>Nepal2016UrbanPub_MedPill</v>
      </c>
      <c r="B527" t="s">
        <v>144</v>
      </c>
      <c r="C527">
        <v>2016</v>
      </c>
      <c r="D527" t="s">
        <v>20</v>
      </c>
      <c r="E527" t="s">
        <v>52</v>
      </c>
      <c r="F527" t="s">
        <v>12</v>
      </c>
      <c r="G527">
        <v>1.6698899999999999E-2</v>
      </c>
      <c r="H527">
        <v>1.48746E-2</v>
      </c>
      <c r="I527">
        <v>4.3368E-3</v>
      </c>
    </row>
    <row r="528" spans="1:9" x14ac:dyDescent="0.25">
      <c r="A528" s="104" t="str">
        <f t="shared" si="8"/>
        <v>Nepal2016UrbanPub_OutreachPill</v>
      </c>
      <c r="B528" t="s">
        <v>144</v>
      </c>
      <c r="C528">
        <v>2016</v>
      </c>
      <c r="D528" t="s">
        <v>20</v>
      </c>
      <c r="E528" t="s">
        <v>54</v>
      </c>
      <c r="F528" t="s">
        <v>12</v>
      </c>
      <c r="G528">
        <v>6.9693999999999997E-3</v>
      </c>
      <c r="H528">
        <v>7.0343999999999997E-3</v>
      </c>
      <c r="I528">
        <v>2.877E-4</v>
      </c>
    </row>
    <row r="529" spans="1:9" x14ac:dyDescent="0.25">
      <c r="A529" s="104" t="str">
        <f t="shared" si="8"/>
        <v>Nepal2016UrbanNGOPill</v>
      </c>
      <c r="B529" t="s">
        <v>144</v>
      </c>
      <c r="C529">
        <v>2016</v>
      </c>
      <c r="D529" t="s">
        <v>20</v>
      </c>
      <c r="E529" t="s">
        <v>170</v>
      </c>
      <c r="F529" t="s">
        <v>12</v>
      </c>
      <c r="H529">
        <v>8.116E-4</v>
      </c>
      <c r="I529">
        <v>6.0360000000000003E-4</v>
      </c>
    </row>
    <row r="530" spans="1:9" x14ac:dyDescent="0.25">
      <c r="A530" s="104" t="str">
        <f t="shared" si="8"/>
        <v>Nepal2016UrbanCommercialPill</v>
      </c>
      <c r="B530" t="s">
        <v>144</v>
      </c>
      <c r="C530">
        <v>2016</v>
      </c>
      <c r="D530" t="s">
        <v>20</v>
      </c>
      <c r="E530" t="s">
        <v>59</v>
      </c>
      <c r="F530" t="s">
        <v>12</v>
      </c>
      <c r="G530">
        <v>1.12561E-2</v>
      </c>
      <c r="H530">
        <v>2.9170700000000001E-2</v>
      </c>
      <c r="I530">
        <v>2.2970299999999999E-2</v>
      </c>
    </row>
    <row r="531" spans="1:9" x14ac:dyDescent="0.25">
      <c r="A531" s="104" t="str">
        <f t="shared" si="8"/>
        <v>Nepal2016UrbanNonTradPill</v>
      </c>
      <c r="B531" t="s">
        <v>144</v>
      </c>
      <c r="C531">
        <v>2016</v>
      </c>
      <c r="D531" t="s">
        <v>20</v>
      </c>
      <c r="E531" t="s">
        <v>171</v>
      </c>
      <c r="F531" t="s">
        <v>12</v>
      </c>
      <c r="H531">
        <v>1.2180000000000001E-4</v>
      </c>
    </row>
    <row r="532" spans="1:9" x14ac:dyDescent="0.25">
      <c r="A532" s="104" t="str">
        <f t="shared" si="8"/>
        <v>Nepal2016UrbanOtherPill</v>
      </c>
      <c r="B532" t="s">
        <v>144</v>
      </c>
      <c r="C532">
        <v>2016</v>
      </c>
      <c r="D532" t="s">
        <v>20</v>
      </c>
      <c r="E532" t="s">
        <v>116</v>
      </c>
      <c r="F532" t="s">
        <v>12</v>
      </c>
      <c r="G532">
        <v>2.9550000000000003E-4</v>
      </c>
      <c r="H532">
        <v>6.7960000000000004E-4</v>
      </c>
      <c r="I532">
        <v>3.8804E-3</v>
      </c>
    </row>
    <row r="533" spans="1:9" x14ac:dyDescent="0.25">
      <c r="A533" s="104" t="str">
        <f t="shared" si="8"/>
        <v>Nepal2016RuralPub_MedPill</v>
      </c>
      <c r="B533" t="s">
        <v>144</v>
      </c>
      <c r="C533">
        <v>2016</v>
      </c>
      <c r="D533" t="s">
        <v>21</v>
      </c>
      <c r="E533" t="s">
        <v>52</v>
      </c>
      <c r="F533" t="s">
        <v>12</v>
      </c>
      <c r="G533">
        <v>1.7668099999999999E-2</v>
      </c>
      <c r="H533">
        <v>4.0140000000000002E-3</v>
      </c>
      <c r="I533">
        <v>6.5012000000000004E-3</v>
      </c>
    </row>
    <row r="534" spans="1:9" x14ac:dyDescent="0.25">
      <c r="A534" s="104" t="str">
        <f t="shared" si="8"/>
        <v>Nepal2016RuralPub_OutreachPill</v>
      </c>
      <c r="B534" t="s">
        <v>144</v>
      </c>
      <c r="C534">
        <v>2016</v>
      </c>
      <c r="D534" t="s">
        <v>21</v>
      </c>
      <c r="E534" t="s">
        <v>54</v>
      </c>
      <c r="F534" t="s">
        <v>12</v>
      </c>
      <c r="G534">
        <v>7.6883999999999997E-3</v>
      </c>
      <c r="H534">
        <v>1.24288E-2</v>
      </c>
      <c r="I534">
        <v>7.0068999999999999E-3</v>
      </c>
    </row>
    <row r="535" spans="1:9" x14ac:dyDescent="0.25">
      <c r="A535" s="104" t="str">
        <f t="shared" si="8"/>
        <v>Nepal2016RuralCommercialPill</v>
      </c>
      <c r="B535" t="s">
        <v>144</v>
      </c>
      <c r="C535">
        <v>2016</v>
      </c>
      <c r="D535" t="s">
        <v>21</v>
      </c>
      <c r="E535" t="s">
        <v>59</v>
      </c>
      <c r="F535" t="s">
        <v>12</v>
      </c>
      <c r="G535">
        <v>5.6052999999999997E-3</v>
      </c>
      <c r="H535">
        <v>9.7750000000000007E-3</v>
      </c>
      <c r="I535">
        <v>1.6700400000000001E-2</v>
      </c>
    </row>
    <row r="536" spans="1:9" x14ac:dyDescent="0.25">
      <c r="A536" s="104" t="str">
        <f t="shared" si="8"/>
        <v>Nepal2016RuralOtherPill</v>
      </c>
      <c r="B536" t="s">
        <v>144</v>
      </c>
      <c r="C536">
        <v>2016</v>
      </c>
      <c r="D536" t="s">
        <v>21</v>
      </c>
      <c r="E536" t="s">
        <v>116</v>
      </c>
      <c r="F536" t="s">
        <v>12</v>
      </c>
      <c r="G536">
        <v>7.3229999999999996E-4</v>
      </c>
      <c r="H536">
        <v>1.1704E-3</v>
      </c>
      <c r="I536">
        <v>1.6414000000000001E-3</v>
      </c>
    </row>
    <row r="537" spans="1:9" x14ac:dyDescent="0.25">
      <c r="A537" s="104" t="str">
        <f t="shared" si="8"/>
        <v>Nepal2016NationalPub_MedIUD</v>
      </c>
      <c r="B537" t="s">
        <v>144</v>
      </c>
      <c r="C537">
        <v>2016</v>
      </c>
      <c r="D537" t="s">
        <v>178</v>
      </c>
      <c r="E537" t="s">
        <v>52</v>
      </c>
      <c r="F537" t="s">
        <v>16</v>
      </c>
      <c r="G537">
        <v>6.9435E-3</v>
      </c>
      <c r="H537">
        <v>4.9706000000000004E-3</v>
      </c>
      <c r="I537">
        <v>8.9738999999999999E-3</v>
      </c>
    </row>
    <row r="538" spans="1:9" x14ac:dyDescent="0.25">
      <c r="A538" s="104" t="str">
        <f t="shared" si="8"/>
        <v>Nepal2016NationalPub_OutreachIUD</v>
      </c>
      <c r="B538" t="s">
        <v>144</v>
      </c>
      <c r="C538">
        <v>2016</v>
      </c>
      <c r="D538" t="s">
        <v>178</v>
      </c>
      <c r="E538" t="s">
        <v>54</v>
      </c>
      <c r="F538" t="s">
        <v>16</v>
      </c>
      <c r="G538">
        <v>7.1520000000000004E-4</v>
      </c>
      <c r="H538">
        <v>6.9649999999999996E-4</v>
      </c>
      <c r="I538">
        <v>7.6920000000000005E-4</v>
      </c>
    </row>
    <row r="539" spans="1:9" x14ac:dyDescent="0.25">
      <c r="A539" s="104" t="str">
        <f t="shared" si="8"/>
        <v>Nepal2016NationalNGOIUD</v>
      </c>
      <c r="B539" t="s">
        <v>144</v>
      </c>
      <c r="C539">
        <v>2016</v>
      </c>
      <c r="D539" t="s">
        <v>178</v>
      </c>
      <c r="E539" t="s">
        <v>170</v>
      </c>
      <c r="F539" t="s">
        <v>16</v>
      </c>
      <c r="G539">
        <v>1.0526999999999999E-3</v>
      </c>
      <c r="H539">
        <v>2.4997000000000001E-3</v>
      </c>
      <c r="I539">
        <v>3.1299000000000001E-3</v>
      </c>
    </row>
    <row r="540" spans="1:9" x14ac:dyDescent="0.25">
      <c r="A540" s="104" t="str">
        <f t="shared" si="8"/>
        <v>Nepal2016NationalCommercialIUD</v>
      </c>
      <c r="B540" t="s">
        <v>144</v>
      </c>
      <c r="C540">
        <v>2016</v>
      </c>
      <c r="D540" t="s">
        <v>178</v>
      </c>
      <c r="E540" t="s">
        <v>59</v>
      </c>
      <c r="F540" t="s">
        <v>16</v>
      </c>
      <c r="G540">
        <v>1.0187E-3</v>
      </c>
      <c r="H540">
        <v>3.9070000000000001E-4</v>
      </c>
      <c r="I540">
        <v>2.1462E-3</v>
      </c>
    </row>
    <row r="541" spans="1:9" x14ac:dyDescent="0.25">
      <c r="A541" s="104" t="str">
        <f t="shared" si="8"/>
        <v>Nepal2016NationalOtherIUD</v>
      </c>
      <c r="B541" t="s">
        <v>144</v>
      </c>
      <c r="C541">
        <v>2016</v>
      </c>
      <c r="D541" t="s">
        <v>178</v>
      </c>
      <c r="E541" t="s">
        <v>116</v>
      </c>
      <c r="F541" t="s">
        <v>16</v>
      </c>
      <c r="G541">
        <v>1.9029999999999999E-4</v>
      </c>
      <c r="H541">
        <v>2.6689999999999998E-4</v>
      </c>
      <c r="I541">
        <v>7.0790000000000002E-4</v>
      </c>
    </row>
    <row r="542" spans="1:9" x14ac:dyDescent="0.25">
      <c r="A542" s="104" t="str">
        <f t="shared" si="8"/>
        <v>Nepal2016UrbanPub_MedIUD</v>
      </c>
      <c r="B542" t="s">
        <v>144</v>
      </c>
      <c r="C542">
        <v>2016</v>
      </c>
      <c r="D542" t="s">
        <v>20</v>
      </c>
      <c r="E542" t="s">
        <v>52</v>
      </c>
      <c r="F542" t="s">
        <v>16</v>
      </c>
      <c r="G542">
        <v>7.0407000000000004E-3</v>
      </c>
      <c r="H542">
        <v>4.1875999999999997E-3</v>
      </c>
      <c r="I542">
        <v>1.2868900000000001E-2</v>
      </c>
    </row>
    <row r="543" spans="1:9" x14ac:dyDescent="0.25">
      <c r="A543" s="104" t="str">
        <f t="shared" si="8"/>
        <v>Nepal2016UrbanPub_OutreachIUD</v>
      </c>
      <c r="B543" t="s">
        <v>144</v>
      </c>
      <c r="C543">
        <v>2016</v>
      </c>
      <c r="D543" t="s">
        <v>20</v>
      </c>
      <c r="E543" t="s">
        <v>54</v>
      </c>
      <c r="F543" t="s">
        <v>16</v>
      </c>
      <c r="G543">
        <v>2.017E-4</v>
      </c>
      <c r="I543">
        <v>7.4620000000000003E-4</v>
      </c>
    </row>
    <row r="544" spans="1:9" x14ac:dyDescent="0.25">
      <c r="A544" s="104" t="str">
        <f t="shared" si="8"/>
        <v>Nepal2016UrbanNGOIUD</v>
      </c>
      <c r="B544" t="s">
        <v>144</v>
      </c>
      <c r="C544">
        <v>2016</v>
      </c>
      <c r="D544" t="s">
        <v>20</v>
      </c>
      <c r="E544" t="s">
        <v>170</v>
      </c>
      <c r="F544" t="s">
        <v>16</v>
      </c>
      <c r="G544">
        <v>1.0766E-3</v>
      </c>
      <c r="H544">
        <v>3.9938999999999999E-3</v>
      </c>
      <c r="I544">
        <v>3.4654E-3</v>
      </c>
    </row>
    <row r="545" spans="1:9" x14ac:dyDescent="0.25">
      <c r="A545" s="104" t="str">
        <f t="shared" si="8"/>
        <v>Nepal2016UrbanCommercialIUD</v>
      </c>
      <c r="B545" t="s">
        <v>144</v>
      </c>
      <c r="C545">
        <v>2016</v>
      </c>
      <c r="D545" t="s">
        <v>20</v>
      </c>
      <c r="E545" t="s">
        <v>59</v>
      </c>
      <c r="F545" t="s">
        <v>16</v>
      </c>
      <c r="G545">
        <v>1.0383E-3</v>
      </c>
      <c r="H545">
        <v>6.2430000000000005E-4</v>
      </c>
      <c r="I545">
        <v>2.1272999999999999E-3</v>
      </c>
    </row>
    <row r="546" spans="1:9" x14ac:dyDescent="0.25">
      <c r="A546" s="104" t="str">
        <f t="shared" si="8"/>
        <v>Nepal2016UrbanOtherIUD</v>
      </c>
      <c r="B546" t="s">
        <v>144</v>
      </c>
      <c r="C546">
        <v>2016</v>
      </c>
      <c r="D546" t="s">
        <v>20</v>
      </c>
      <c r="E546" t="s">
        <v>116</v>
      </c>
      <c r="F546" t="s">
        <v>16</v>
      </c>
      <c r="I546">
        <v>4.0220000000000002E-4</v>
      </c>
    </row>
    <row r="547" spans="1:9" x14ac:dyDescent="0.25">
      <c r="A547" s="104" t="str">
        <f t="shared" si="8"/>
        <v>Nepal2016RuralPub_MedIUD</v>
      </c>
      <c r="B547" t="s">
        <v>144</v>
      </c>
      <c r="C547">
        <v>2016</v>
      </c>
      <c r="D547" t="s">
        <v>21</v>
      </c>
      <c r="E547" t="s">
        <v>52</v>
      </c>
      <c r="F547" t="s">
        <v>16</v>
      </c>
      <c r="G547">
        <v>6.7784999999999998E-3</v>
      </c>
      <c r="H547">
        <v>6.2807000000000002E-3</v>
      </c>
      <c r="I547">
        <v>2.4867000000000001E-3</v>
      </c>
    </row>
    <row r="548" spans="1:9" x14ac:dyDescent="0.25">
      <c r="A548" s="104" t="str">
        <f t="shared" si="8"/>
        <v>Nepal2016RuralPub_OutreachIUD</v>
      </c>
      <c r="B548" t="s">
        <v>144</v>
      </c>
      <c r="C548">
        <v>2016</v>
      </c>
      <c r="D548" t="s">
        <v>21</v>
      </c>
      <c r="E548" t="s">
        <v>54</v>
      </c>
      <c r="F548" t="s">
        <v>16</v>
      </c>
      <c r="G548">
        <v>1.5866000000000001E-3</v>
      </c>
      <c r="H548">
        <v>1.8619000000000001E-3</v>
      </c>
      <c r="I548">
        <v>8.0749999999999995E-4</v>
      </c>
    </row>
    <row r="549" spans="1:9" x14ac:dyDescent="0.25">
      <c r="A549" s="104" t="str">
        <f t="shared" si="8"/>
        <v>Nepal2016RuralNGOIUD</v>
      </c>
      <c r="B549" t="s">
        <v>144</v>
      </c>
      <c r="C549">
        <v>2016</v>
      </c>
      <c r="D549" t="s">
        <v>21</v>
      </c>
      <c r="E549" t="s">
        <v>170</v>
      </c>
      <c r="F549" t="s">
        <v>16</v>
      </c>
      <c r="G549">
        <v>1.0120999999999999E-3</v>
      </c>
      <c r="I549">
        <v>2.5711000000000002E-3</v>
      </c>
    </row>
    <row r="550" spans="1:9" x14ac:dyDescent="0.25">
      <c r="A550" s="104" t="str">
        <f t="shared" si="8"/>
        <v>Nepal2016RuralCommercialIUD</v>
      </c>
      <c r="B550" t="s">
        <v>144</v>
      </c>
      <c r="C550">
        <v>2016</v>
      </c>
      <c r="D550" t="s">
        <v>21</v>
      </c>
      <c r="E550" t="s">
        <v>59</v>
      </c>
      <c r="F550" t="s">
        <v>16</v>
      </c>
      <c r="G550">
        <v>9.8539999999999999E-4</v>
      </c>
      <c r="I550">
        <v>2.1776999999999999E-3</v>
      </c>
    </row>
    <row r="551" spans="1:9" x14ac:dyDescent="0.25">
      <c r="A551" s="104" t="str">
        <f t="shared" si="8"/>
        <v>Nepal2016RuralOtherIUD</v>
      </c>
      <c r="B551" t="s">
        <v>144</v>
      </c>
      <c r="C551">
        <v>2016</v>
      </c>
      <c r="D551" t="s">
        <v>21</v>
      </c>
      <c r="E551" t="s">
        <v>116</v>
      </c>
      <c r="F551" t="s">
        <v>16</v>
      </c>
      <c r="G551">
        <v>5.1329999999999995E-4</v>
      </c>
      <c r="H551">
        <v>7.1350000000000005E-4</v>
      </c>
      <c r="I551">
        <v>1.2172000000000001E-3</v>
      </c>
    </row>
    <row r="552" spans="1:9" x14ac:dyDescent="0.25">
      <c r="A552" s="104" t="str">
        <f t="shared" si="8"/>
        <v>Nepal2016NationalPub_MedInjectable</v>
      </c>
      <c r="B552" t="s">
        <v>144</v>
      </c>
      <c r="C552">
        <v>2016</v>
      </c>
      <c r="D552" t="s">
        <v>178</v>
      </c>
      <c r="E552" t="s">
        <v>52</v>
      </c>
      <c r="F552" t="s">
        <v>22</v>
      </c>
      <c r="G552">
        <v>5.8068599999999998E-2</v>
      </c>
      <c r="H552">
        <v>3.1764300000000002E-2</v>
      </c>
      <c r="I552">
        <v>2.4576500000000001E-2</v>
      </c>
    </row>
    <row r="553" spans="1:9" x14ac:dyDescent="0.25">
      <c r="A553" s="104" t="str">
        <f t="shared" si="8"/>
        <v>Nepal2016NationalPub_OutreachInjectable</v>
      </c>
      <c r="B553" t="s">
        <v>144</v>
      </c>
      <c r="C553">
        <v>2016</v>
      </c>
      <c r="D553" t="s">
        <v>178</v>
      </c>
      <c r="E553" t="s">
        <v>54</v>
      </c>
      <c r="F553" t="s">
        <v>22</v>
      </c>
      <c r="G553">
        <v>8.0728999999999992E-3</v>
      </c>
      <c r="H553">
        <v>1.3452E-3</v>
      </c>
      <c r="I553">
        <v>2.0183000000000002E-3</v>
      </c>
    </row>
    <row r="554" spans="1:9" x14ac:dyDescent="0.25">
      <c r="A554" s="104" t="str">
        <f t="shared" si="8"/>
        <v>Nepal2016NationalNGOInjectable</v>
      </c>
      <c r="B554" t="s">
        <v>144</v>
      </c>
      <c r="C554">
        <v>2016</v>
      </c>
      <c r="D554" t="s">
        <v>178</v>
      </c>
      <c r="E554" t="s">
        <v>170</v>
      </c>
      <c r="F554" t="s">
        <v>22</v>
      </c>
      <c r="G554">
        <v>8.497E-4</v>
      </c>
      <c r="H554">
        <v>8.3069999999999997E-4</v>
      </c>
      <c r="I554">
        <v>1.2137999999999999E-3</v>
      </c>
    </row>
    <row r="555" spans="1:9" x14ac:dyDescent="0.25">
      <c r="A555" s="104" t="str">
        <f t="shared" si="8"/>
        <v>Nepal2016NationalCommercialInjectable</v>
      </c>
      <c r="B555" t="s">
        <v>144</v>
      </c>
      <c r="C555">
        <v>2016</v>
      </c>
      <c r="D555" t="s">
        <v>178</v>
      </c>
      <c r="E555" t="s">
        <v>59</v>
      </c>
      <c r="F555" t="s">
        <v>22</v>
      </c>
      <c r="G555">
        <v>1.5050900000000001E-2</v>
      </c>
      <c r="H555">
        <v>2.41047E-2</v>
      </c>
      <c r="I555">
        <v>1.44361E-2</v>
      </c>
    </row>
    <row r="556" spans="1:9" x14ac:dyDescent="0.25">
      <c r="A556" s="104" t="str">
        <f t="shared" si="8"/>
        <v>Nepal2016NationalOtherInjectable</v>
      </c>
      <c r="B556" t="s">
        <v>144</v>
      </c>
      <c r="C556">
        <v>2016</v>
      </c>
      <c r="D556" t="s">
        <v>178</v>
      </c>
      <c r="E556" t="s">
        <v>116</v>
      </c>
      <c r="F556" t="s">
        <v>22</v>
      </c>
      <c r="I556">
        <v>3.5639999999999999E-4</v>
      </c>
    </row>
    <row r="557" spans="1:9" x14ac:dyDescent="0.25">
      <c r="A557" s="104" t="str">
        <f t="shared" si="8"/>
        <v>Nepal2016UrbanPub_MedInjectable</v>
      </c>
      <c r="B557" t="s">
        <v>144</v>
      </c>
      <c r="C557">
        <v>2016</v>
      </c>
      <c r="D557" t="s">
        <v>20</v>
      </c>
      <c r="E557" t="s">
        <v>52</v>
      </c>
      <c r="F557" t="s">
        <v>22</v>
      </c>
      <c r="G557">
        <v>5.3597199999999998E-2</v>
      </c>
      <c r="H557">
        <v>3.2569500000000001E-2</v>
      </c>
      <c r="I557">
        <v>2.00736E-2</v>
      </c>
    </row>
    <row r="558" spans="1:9" x14ac:dyDescent="0.25">
      <c r="A558" s="104" t="str">
        <f t="shared" si="8"/>
        <v>Nepal2016UrbanPub_OutreachInjectable</v>
      </c>
      <c r="B558" t="s">
        <v>144</v>
      </c>
      <c r="C558">
        <v>2016</v>
      </c>
      <c r="D558" t="s">
        <v>20</v>
      </c>
      <c r="E558" t="s">
        <v>54</v>
      </c>
      <c r="F558" t="s">
        <v>22</v>
      </c>
      <c r="G558">
        <v>5.888E-3</v>
      </c>
      <c r="I558">
        <v>8.432E-4</v>
      </c>
    </row>
    <row r="559" spans="1:9" x14ac:dyDescent="0.25">
      <c r="A559" s="104" t="str">
        <f t="shared" si="8"/>
        <v>Nepal2016UrbanNGOInjectable</v>
      </c>
      <c r="B559" t="s">
        <v>144</v>
      </c>
      <c r="C559">
        <v>2016</v>
      </c>
      <c r="D559" t="s">
        <v>20</v>
      </c>
      <c r="E559" t="s">
        <v>170</v>
      </c>
      <c r="F559" t="s">
        <v>22</v>
      </c>
      <c r="G559">
        <v>8.0440000000000004E-4</v>
      </c>
      <c r="H559">
        <v>9.2860000000000002E-4</v>
      </c>
      <c r="I559">
        <v>1.9426000000000001E-3</v>
      </c>
    </row>
    <row r="560" spans="1:9" x14ac:dyDescent="0.25">
      <c r="A560" s="104" t="str">
        <f t="shared" si="8"/>
        <v>Nepal2016UrbanCommercialInjectable</v>
      </c>
      <c r="B560" t="s">
        <v>144</v>
      </c>
      <c r="C560">
        <v>2016</v>
      </c>
      <c r="D560" t="s">
        <v>20</v>
      </c>
      <c r="E560" t="s">
        <v>59</v>
      </c>
      <c r="F560" t="s">
        <v>22</v>
      </c>
      <c r="G560">
        <v>1.84525E-2</v>
      </c>
      <c r="H560">
        <v>3.0731000000000001E-2</v>
      </c>
      <c r="I560">
        <v>1.9493300000000002E-2</v>
      </c>
    </row>
    <row r="561" spans="1:9" x14ac:dyDescent="0.25">
      <c r="A561" s="104" t="str">
        <f t="shared" si="8"/>
        <v>Nepal2016UrbanOtherInjectable</v>
      </c>
      <c r="B561" t="s">
        <v>144</v>
      </c>
      <c r="C561">
        <v>2016</v>
      </c>
      <c r="D561" t="s">
        <v>20</v>
      </c>
      <c r="E561" t="s">
        <v>116</v>
      </c>
      <c r="F561" t="s">
        <v>22</v>
      </c>
      <c r="I561">
        <v>5.7039999999999999E-4</v>
      </c>
    </row>
    <row r="562" spans="1:9" x14ac:dyDescent="0.25">
      <c r="A562" s="104" t="str">
        <f t="shared" si="8"/>
        <v>Nepal2016RuralPub_MedInjectable</v>
      </c>
      <c r="B562" t="s">
        <v>144</v>
      </c>
      <c r="C562">
        <v>2016</v>
      </c>
      <c r="D562" t="s">
        <v>21</v>
      </c>
      <c r="E562" t="s">
        <v>52</v>
      </c>
      <c r="F562" t="s">
        <v>22</v>
      </c>
      <c r="G562">
        <v>6.5656900000000004E-2</v>
      </c>
      <c r="H562">
        <v>3.0417199999999998E-2</v>
      </c>
      <c r="I562">
        <v>3.2076100000000003E-2</v>
      </c>
    </row>
    <row r="563" spans="1:9" x14ac:dyDescent="0.25">
      <c r="A563" s="104" t="str">
        <f t="shared" si="8"/>
        <v>Nepal2016RuralPub_OutreachInjectable</v>
      </c>
      <c r="B563" t="s">
        <v>144</v>
      </c>
      <c r="C563">
        <v>2016</v>
      </c>
      <c r="D563" t="s">
        <v>21</v>
      </c>
      <c r="E563" t="s">
        <v>54</v>
      </c>
      <c r="F563" t="s">
        <v>22</v>
      </c>
      <c r="G563">
        <v>1.1780799999999999E-2</v>
      </c>
      <c r="H563">
        <v>3.5959E-3</v>
      </c>
      <c r="I563">
        <v>3.9753999999999996E-3</v>
      </c>
    </row>
    <row r="564" spans="1:9" x14ac:dyDescent="0.25">
      <c r="A564" s="104" t="str">
        <f t="shared" si="8"/>
        <v>Nepal2016RuralNGOInjectable</v>
      </c>
      <c r="B564" t="s">
        <v>144</v>
      </c>
      <c r="C564">
        <v>2016</v>
      </c>
      <c r="D564" t="s">
        <v>21</v>
      </c>
      <c r="E564" t="s">
        <v>170</v>
      </c>
      <c r="F564" t="s">
        <v>22</v>
      </c>
      <c r="G564">
        <v>9.2670000000000003E-4</v>
      </c>
      <c r="H564">
        <v>6.6699999999999995E-4</v>
      </c>
    </row>
    <row r="565" spans="1:9" x14ac:dyDescent="0.25">
      <c r="A565" s="104" t="str">
        <f t="shared" si="8"/>
        <v>Nepal2016RuralCommercialInjectable</v>
      </c>
      <c r="B565" t="s">
        <v>144</v>
      </c>
      <c r="C565">
        <v>2016</v>
      </c>
      <c r="D565" t="s">
        <v>21</v>
      </c>
      <c r="E565" t="s">
        <v>59</v>
      </c>
      <c r="F565" t="s">
        <v>22</v>
      </c>
      <c r="G565">
        <v>9.2780999999999992E-3</v>
      </c>
      <c r="H565">
        <v>1.30186E-2</v>
      </c>
      <c r="I565">
        <v>6.0131000000000004E-3</v>
      </c>
    </row>
    <row r="566" spans="1:9" x14ac:dyDescent="0.25">
      <c r="A566" s="104" t="str">
        <f t="shared" si="8"/>
        <v>Nepal2016NationalPub_MedCondom</v>
      </c>
      <c r="B566" t="s">
        <v>144</v>
      </c>
      <c r="C566">
        <v>2016</v>
      </c>
      <c r="D566" t="s">
        <v>178</v>
      </c>
      <c r="E566" t="s">
        <v>52</v>
      </c>
      <c r="F566" t="s">
        <v>25</v>
      </c>
      <c r="G566">
        <v>8.9733999999999994E-3</v>
      </c>
      <c r="H566">
        <v>5.8915E-3</v>
      </c>
      <c r="I566">
        <v>6.5534E-3</v>
      </c>
    </row>
    <row r="567" spans="1:9" x14ac:dyDescent="0.25">
      <c r="A567" s="104" t="str">
        <f t="shared" si="8"/>
        <v>Nepal2016NationalPub_OutreachCondom</v>
      </c>
      <c r="B567" t="s">
        <v>144</v>
      </c>
      <c r="C567">
        <v>2016</v>
      </c>
      <c r="D567" t="s">
        <v>178</v>
      </c>
      <c r="E567" t="s">
        <v>54</v>
      </c>
      <c r="F567" t="s">
        <v>25</v>
      </c>
      <c r="G567">
        <v>5.6616000000000001E-3</v>
      </c>
      <c r="H567">
        <v>4.1326999999999996E-3</v>
      </c>
      <c r="I567">
        <v>2.7188999999999998E-3</v>
      </c>
    </row>
    <row r="568" spans="1:9" x14ac:dyDescent="0.25">
      <c r="A568" s="104" t="str">
        <f t="shared" si="8"/>
        <v>Nepal2016NationalNGOCondom</v>
      </c>
      <c r="B568" t="s">
        <v>144</v>
      </c>
      <c r="C568">
        <v>2016</v>
      </c>
      <c r="D568" t="s">
        <v>178</v>
      </c>
      <c r="E568" t="s">
        <v>170</v>
      </c>
      <c r="F568" t="s">
        <v>25</v>
      </c>
      <c r="G568">
        <v>4.3530000000000001E-4</v>
      </c>
      <c r="I568">
        <v>3.702E-4</v>
      </c>
    </row>
    <row r="569" spans="1:9" x14ac:dyDescent="0.25">
      <c r="A569" s="104" t="str">
        <f t="shared" si="8"/>
        <v>Nepal2016NationalCommercialCondom</v>
      </c>
      <c r="B569" t="s">
        <v>144</v>
      </c>
      <c r="C569">
        <v>2016</v>
      </c>
      <c r="D569" t="s">
        <v>178</v>
      </c>
      <c r="E569" t="s">
        <v>59</v>
      </c>
      <c r="F569" t="s">
        <v>25</v>
      </c>
      <c r="G569">
        <v>8.3104000000000008E-3</v>
      </c>
      <c r="H569">
        <v>1.8207999999999998E-2</v>
      </c>
      <c r="I569">
        <v>4.6778399999999998E-2</v>
      </c>
    </row>
    <row r="570" spans="1:9" x14ac:dyDescent="0.25">
      <c r="A570" s="104" t="str">
        <f t="shared" si="8"/>
        <v>Nepal2016NationalNonTradCondom</v>
      </c>
      <c r="B570" t="s">
        <v>144</v>
      </c>
      <c r="C570">
        <v>2016</v>
      </c>
      <c r="D570" t="s">
        <v>178</v>
      </c>
      <c r="E570" t="s">
        <v>171</v>
      </c>
      <c r="F570" t="s">
        <v>25</v>
      </c>
      <c r="G570">
        <v>3.8699999999999999E-5</v>
      </c>
      <c r="H570">
        <v>1.3526E-3</v>
      </c>
      <c r="I570">
        <v>2.2058999999999998E-3</v>
      </c>
    </row>
    <row r="571" spans="1:9" x14ac:dyDescent="0.25">
      <c r="A571" s="104" t="str">
        <f t="shared" si="8"/>
        <v>Nepal2016NationalOtherCondom</v>
      </c>
      <c r="B571" t="s">
        <v>144</v>
      </c>
      <c r="C571">
        <v>2016</v>
      </c>
      <c r="D571" t="s">
        <v>178</v>
      </c>
      <c r="E571" t="s">
        <v>116</v>
      </c>
      <c r="F571" t="s">
        <v>25</v>
      </c>
      <c r="G571">
        <v>2.175E-4</v>
      </c>
      <c r="H571">
        <v>4.014E-4</v>
      </c>
      <c r="I571">
        <v>1.2753E-3</v>
      </c>
    </row>
    <row r="572" spans="1:9" x14ac:dyDescent="0.25">
      <c r="A572" s="104" t="str">
        <f t="shared" si="8"/>
        <v>Nepal2016UrbanPub_MedCondom</v>
      </c>
      <c r="B572" t="s">
        <v>144</v>
      </c>
      <c r="C572">
        <v>2016</v>
      </c>
      <c r="D572" t="s">
        <v>20</v>
      </c>
      <c r="E572" t="s">
        <v>52</v>
      </c>
      <c r="F572" t="s">
        <v>25</v>
      </c>
      <c r="G572">
        <v>7.5594E-3</v>
      </c>
      <c r="H572">
        <v>4.9085999999999999E-3</v>
      </c>
      <c r="I572">
        <v>8.3891E-3</v>
      </c>
    </row>
    <row r="573" spans="1:9" x14ac:dyDescent="0.25">
      <c r="A573" s="104" t="str">
        <f t="shared" si="8"/>
        <v>Nepal2016UrbanPub_OutreachCondom</v>
      </c>
      <c r="B573" t="s">
        <v>144</v>
      </c>
      <c r="C573">
        <v>2016</v>
      </c>
      <c r="D573" t="s">
        <v>20</v>
      </c>
      <c r="E573" t="s">
        <v>54</v>
      </c>
      <c r="F573" t="s">
        <v>25</v>
      </c>
      <c r="G573">
        <v>5.4314999999999997E-3</v>
      </c>
      <c r="H573">
        <v>4.3927999999999997E-3</v>
      </c>
      <c r="I573">
        <v>8.1930000000000002E-4</v>
      </c>
    </row>
    <row r="574" spans="1:9" x14ac:dyDescent="0.25">
      <c r="A574" s="104" t="str">
        <f t="shared" si="8"/>
        <v>Nepal2016UrbanNGOCondom</v>
      </c>
      <c r="B574" t="s">
        <v>144</v>
      </c>
      <c r="C574">
        <v>2016</v>
      </c>
      <c r="D574" t="s">
        <v>20</v>
      </c>
      <c r="E574" t="s">
        <v>170</v>
      </c>
      <c r="F574" t="s">
        <v>25</v>
      </c>
      <c r="G574">
        <v>6.9180000000000001E-4</v>
      </c>
      <c r="I574">
        <v>5.9239999999999998E-4</v>
      </c>
    </row>
    <row r="575" spans="1:9" x14ac:dyDescent="0.25">
      <c r="A575" s="104" t="str">
        <f t="shared" si="8"/>
        <v>Nepal2016UrbanCommercialCondom</v>
      </c>
      <c r="B575" t="s">
        <v>144</v>
      </c>
      <c r="C575">
        <v>2016</v>
      </c>
      <c r="D575" t="s">
        <v>20</v>
      </c>
      <c r="E575" t="s">
        <v>59</v>
      </c>
      <c r="F575" t="s">
        <v>25</v>
      </c>
      <c r="G575">
        <v>1.08048E-2</v>
      </c>
      <c r="H575">
        <v>2.1125000000000001E-2</v>
      </c>
      <c r="I575">
        <v>6.4195000000000002E-2</v>
      </c>
    </row>
    <row r="576" spans="1:9" x14ac:dyDescent="0.25">
      <c r="A576" s="104" t="str">
        <f t="shared" si="8"/>
        <v>Nepal2016UrbanNonTradCondom</v>
      </c>
      <c r="B576" t="s">
        <v>144</v>
      </c>
      <c r="C576">
        <v>2016</v>
      </c>
      <c r="D576" t="s">
        <v>20</v>
      </c>
      <c r="E576" t="s">
        <v>171</v>
      </c>
      <c r="F576" t="s">
        <v>25</v>
      </c>
      <c r="G576">
        <v>6.1500000000000004E-5</v>
      </c>
      <c r="H576">
        <v>1.0782999999999999E-3</v>
      </c>
      <c r="I576">
        <v>3.5303000000000001E-3</v>
      </c>
    </row>
    <row r="577" spans="1:9" x14ac:dyDescent="0.25">
      <c r="A577" s="104" t="str">
        <f t="shared" si="8"/>
        <v>Nepal2016UrbanOtherCondom</v>
      </c>
      <c r="B577" t="s">
        <v>144</v>
      </c>
      <c r="C577">
        <v>2016</v>
      </c>
      <c r="D577" t="s">
        <v>20</v>
      </c>
      <c r="E577" t="s">
        <v>116</v>
      </c>
      <c r="F577" t="s">
        <v>25</v>
      </c>
      <c r="G577">
        <v>3.456E-4</v>
      </c>
      <c r="H577">
        <v>6.4139999999999998E-4</v>
      </c>
      <c r="I577">
        <v>5.7819999999999996E-4</v>
      </c>
    </row>
    <row r="578" spans="1:9" x14ac:dyDescent="0.25">
      <c r="A578" s="104" t="str">
        <f t="shared" si="8"/>
        <v>Nepal2016RuralPub_MedCondom</v>
      </c>
      <c r="B578" t="s">
        <v>144</v>
      </c>
      <c r="C578">
        <v>2016</v>
      </c>
      <c r="D578" t="s">
        <v>21</v>
      </c>
      <c r="E578" t="s">
        <v>52</v>
      </c>
      <c r="F578" t="s">
        <v>25</v>
      </c>
      <c r="G578">
        <v>1.13729E-2</v>
      </c>
      <c r="H578">
        <v>7.5357999999999996E-3</v>
      </c>
      <c r="I578">
        <v>3.4960999999999998E-3</v>
      </c>
    </row>
    <row r="579" spans="1:9" x14ac:dyDescent="0.25">
      <c r="A579" s="104" t="str">
        <f t="shared" ref="A579:A642" si="9">B579&amp;C579&amp;D579&amp;E579&amp;F579</f>
        <v>Nepal2016RuralPub_OutreachCondom</v>
      </c>
      <c r="B579" t="s">
        <v>144</v>
      </c>
      <c r="C579">
        <v>2016</v>
      </c>
      <c r="D579" t="s">
        <v>21</v>
      </c>
      <c r="E579" t="s">
        <v>54</v>
      </c>
      <c r="F579" t="s">
        <v>25</v>
      </c>
      <c r="G579">
        <v>6.0521999999999998E-3</v>
      </c>
      <c r="H579">
        <v>3.6974999999999998E-3</v>
      </c>
      <c r="I579">
        <v>5.8824999999999997E-3</v>
      </c>
    </row>
    <row r="580" spans="1:9" x14ac:dyDescent="0.25">
      <c r="A580" s="104" t="str">
        <f t="shared" si="9"/>
        <v>Nepal2016RuralCommercialCondom</v>
      </c>
      <c r="B580" t="s">
        <v>144</v>
      </c>
      <c r="C580">
        <v>2016</v>
      </c>
      <c r="D580" t="s">
        <v>21</v>
      </c>
      <c r="E580" t="s">
        <v>59</v>
      </c>
      <c r="F580" t="s">
        <v>25</v>
      </c>
      <c r="G580">
        <v>4.0772999999999998E-3</v>
      </c>
      <c r="H580">
        <v>1.33277E-2</v>
      </c>
      <c r="I580">
        <v>1.7770600000000001E-2</v>
      </c>
    </row>
    <row r="581" spans="1:9" x14ac:dyDescent="0.25">
      <c r="A581" s="104" t="str">
        <f t="shared" si="9"/>
        <v>Nepal2016RuralNonTradCondom</v>
      </c>
      <c r="B581" t="s">
        <v>144</v>
      </c>
      <c r="C581">
        <v>2016</v>
      </c>
      <c r="D581" t="s">
        <v>21</v>
      </c>
      <c r="E581" t="s">
        <v>171</v>
      </c>
      <c r="F581" t="s">
        <v>25</v>
      </c>
      <c r="H581">
        <v>1.8117000000000001E-3</v>
      </c>
    </row>
    <row r="582" spans="1:9" x14ac:dyDescent="0.25">
      <c r="A582" s="104" t="str">
        <f t="shared" si="9"/>
        <v>Nepal2016RuralOtherCondom</v>
      </c>
      <c r="B582" t="s">
        <v>144</v>
      </c>
      <c r="C582">
        <v>2016</v>
      </c>
      <c r="D582" t="s">
        <v>21</v>
      </c>
      <c r="E582" t="s">
        <v>116</v>
      </c>
      <c r="F582" t="s">
        <v>25</v>
      </c>
      <c r="I582">
        <v>2.4364E-3</v>
      </c>
    </row>
    <row r="583" spans="1:9" x14ac:dyDescent="0.25">
      <c r="A583" s="104" t="str">
        <f t="shared" si="9"/>
        <v>Nepal2016NationalPub_MedImplant</v>
      </c>
      <c r="B583" t="s">
        <v>144</v>
      </c>
      <c r="C583">
        <v>2016</v>
      </c>
      <c r="D583" t="s">
        <v>178</v>
      </c>
      <c r="E583" t="s">
        <v>52</v>
      </c>
      <c r="F583" t="s">
        <v>23</v>
      </c>
      <c r="G583">
        <v>2.5894799999999999E-2</v>
      </c>
      <c r="H583">
        <v>1.00962E-2</v>
      </c>
      <c r="I583">
        <v>6.6816999999999996E-3</v>
      </c>
    </row>
    <row r="584" spans="1:9" x14ac:dyDescent="0.25">
      <c r="A584" s="104" t="str">
        <f t="shared" si="9"/>
        <v>Nepal2016NationalPub_OutreachImplant</v>
      </c>
      <c r="B584" t="s">
        <v>144</v>
      </c>
      <c r="C584">
        <v>2016</v>
      </c>
      <c r="D584" t="s">
        <v>178</v>
      </c>
      <c r="E584" t="s">
        <v>54</v>
      </c>
      <c r="F584" t="s">
        <v>23</v>
      </c>
      <c r="G584">
        <v>3.6094E-3</v>
      </c>
      <c r="H584">
        <v>2.6481999999999999E-3</v>
      </c>
      <c r="I584">
        <v>1.7833E-3</v>
      </c>
    </row>
    <row r="585" spans="1:9" x14ac:dyDescent="0.25">
      <c r="A585" s="104" t="str">
        <f t="shared" si="9"/>
        <v>Nepal2016NationalNGOImplant</v>
      </c>
      <c r="B585" t="s">
        <v>144</v>
      </c>
      <c r="C585">
        <v>2016</v>
      </c>
      <c r="D585" t="s">
        <v>178</v>
      </c>
      <c r="E585" t="s">
        <v>170</v>
      </c>
      <c r="F585" t="s">
        <v>23</v>
      </c>
      <c r="G585">
        <v>3.0479999999999999E-3</v>
      </c>
      <c r="H585">
        <v>2.7847000000000002E-3</v>
      </c>
      <c r="I585">
        <v>4.3790000000000001E-3</v>
      </c>
    </row>
    <row r="586" spans="1:9" x14ac:dyDescent="0.25">
      <c r="A586" s="104" t="str">
        <f t="shared" si="9"/>
        <v>Nepal2016NationalCommercialImplant</v>
      </c>
      <c r="B586" t="s">
        <v>144</v>
      </c>
      <c r="C586">
        <v>2016</v>
      </c>
      <c r="D586" t="s">
        <v>178</v>
      </c>
      <c r="E586" t="s">
        <v>59</v>
      </c>
      <c r="F586" t="s">
        <v>23</v>
      </c>
      <c r="G586">
        <v>6.8659999999999999E-4</v>
      </c>
      <c r="H586">
        <v>1.506E-3</v>
      </c>
      <c r="I586">
        <v>3.702E-4</v>
      </c>
    </row>
    <row r="587" spans="1:9" x14ac:dyDescent="0.25">
      <c r="A587" s="104" t="str">
        <f t="shared" si="9"/>
        <v>Nepal2016UrbanPub_MedImplant</v>
      </c>
      <c r="B587" t="s">
        <v>144</v>
      </c>
      <c r="C587">
        <v>2016</v>
      </c>
      <c r="D587" t="s">
        <v>20</v>
      </c>
      <c r="E587" t="s">
        <v>52</v>
      </c>
      <c r="F587" t="s">
        <v>23</v>
      </c>
      <c r="G587">
        <v>2.3091E-2</v>
      </c>
      <c r="H587">
        <v>5.6084000000000004E-3</v>
      </c>
      <c r="I587">
        <v>2.4556999999999999E-3</v>
      </c>
    </row>
    <row r="588" spans="1:9" x14ac:dyDescent="0.25">
      <c r="A588" s="104" t="str">
        <f t="shared" si="9"/>
        <v>Nepal2016UrbanPub_OutreachImplant</v>
      </c>
      <c r="B588" t="s">
        <v>144</v>
      </c>
      <c r="C588">
        <v>2016</v>
      </c>
      <c r="D588" t="s">
        <v>20</v>
      </c>
      <c r="E588" t="s">
        <v>54</v>
      </c>
      <c r="F588" t="s">
        <v>23</v>
      </c>
      <c r="G588">
        <v>1.8368E-3</v>
      </c>
      <c r="H588">
        <v>2.0490999999999999E-3</v>
      </c>
    </row>
    <row r="589" spans="1:9" x14ac:dyDescent="0.25">
      <c r="A589" s="104" t="str">
        <f t="shared" si="9"/>
        <v>Nepal2016UrbanNGOImplant</v>
      </c>
      <c r="B589" t="s">
        <v>144</v>
      </c>
      <c r="C589">
        <v>2016</v>
      </c>
      <c r="D589" t="s">
        <v>20</v>
      </c>
      <c r="E589" t="s">
        <v>170</v>
      </c>
      <c r="F589" t="s">
        <v>23</v>
      </c>
      <c r="G589">
        <v>4.0740999999999998E-3</v>
      </c>
      <c r="H589">
        <v>3.2904000000000002E-3</v>
      </c>
      <c r="I589">
        <v>4.9366000000000002E-3</v>
      </c>
    </row>
    <row r="590" spans="1:9" x14ac:dyDescent="0.25">
      <c r="A590" s="104" t="str">
        <f t="shared" si="9"/>
        <v>Nepal2016UrbanCommercialImplant</v>
      </c>
      <c r="B590" t="s">
        <v>144</v>
      </c>
      <c r="C590">
        <v>2016</v>
      </c>
      <c r="D590" t="s">
        <v>20</v>
      </c>
      <c r="E590" t="s">
        <v>59</v>
      </c>
      <c r="F590" t="s">
        <v>23</v>
      </c>
      <c r="G590">
        <v>1.0900000000000001E-4</v>
      </c>
      <c r="H590">
        <v>1.2685000000000001E-3</v>
      </c>
      <c r="I590">
        <v>5.9239999999999998E-4</v>
      </c>
    </row>
    <row r="591" spans="1:9" x14ac:dyDescent="0.25">
      <c r="A591" s="104" t="str">
        <f t="shared" si="9"/>
        <v>Nepal2016RuralPub_MedImplant</v>
      </c>
      <c r="B591" t="s">
        <v>144</v>
      </c>
      <c r="C591">
        <v>2016</v>
      </c>
      <c r="D591" t="s">
        <v>21</v>
      </c>
      <c r="E591" t="s">
        <v>52</v>
      </c>
      <c r="F591" t="s">
        <v>23</v>
      </c>
      <c r="G591">
        <v>3.0653099999999999E-2</v>
      </c>
      <c r="H591">
        <v>1.7604499999999999E-2</v>
      </c>
      <c r="I591">
        <v>1.37203E-2</v>
      </c>
    </row>
    <row r="592" spans="1:9" x14ac:dyDescent="0.25">
      <c r="A592" s="104" t="str">
        <f t="shared" si="9"/>
        <v>Nepal2016RuralPub_OutreachImplant</v>
      </c>
      <c r="B592" t="s">
        <v>144</v>
      </c>
      <c r="C592">
        <v>2016</v>
      </c>
      <c r="D592" t="s">
        <v>21</v>
      </c>
      <c r="E592" t="s">
        <v>54</v>
      </c>
      <c r="F592" t="s">
        <v>23</v>
      </c>
      <c r="G592">
        <v>6.6176000000000004E-3</v>
      </c>
      <c r="H592">
        <v>3.6503999999999998E-3</v>
      </c>
      <c r="I592">
        <v>4.7533000000000002E-3</v>
      </c>
    </row>
    <row r="593" spans="1:9" x14ac:dyDescent="0.25">
      <c r="A593" s="104" t="str">
        <f t="shared" si="9"/>
        <v>Nepal2016RuralNGOImplant</v>
      </c>
      <c r="B593" t="s">
        <v>144</v>
      </c>
      <c r="C593">
        <v>2016</v>
      </c>
      <c r="D593" t="s">
        <v>21</v>
      </c>
      <c r="E593" t="s">
        <v>170</v>
      </c>
      <c r="F593" t="s">
        <v>23</v>
      </c>
      <c r="G593">
        <v>1.3067E-3</v>
      </c>
      <c r="H593">
        <v>1.9384999999999999E-3</v>
      </c>
      <c r="I593">
        <v>3.4505E-3</v>
      </c>
    </row>
    <row r="594" spans="1:9" x14ac:dyDescent="0.25">
      <c r="A594" s="104" t="str">
        <f t="shared" si="9"/>
        <v>Nepal2016RuralCommercialImplant</v>
      </c>
      <c r="B594" t="s">
        <v>144</v>
      </c>
      <c r="C594">
        <v>2016</v>
      </c>
      <c r="D594" t="s">
        <v>21</v>
      </c>
      <c r="E594" t="s">
        <v>59</v>
      </c>
      <c r="F594" t="s">
        <v>23</v>
      </c>
      <c r="G594">
        <v>1.6668E-3</v>
      </c>
      <c r="H594">
        <v>1.9035E-3</v>
      </c>
    </row>
    <row r="595" spans="1:9" x14ac:dyDescent="0.25">
      <c r="A595" s="104" t="str">
        <f t="shared" si="9"/>
        <v>Pakistan2012.5NationalPub_MedPill</v>
      </c>
      <c r="B595" t="s">
        <v>146</v>
      </c>
      <c r="C595">
        <v>2012.5</v>
      </c>
      <c r="D595" t="s">
        <v>178</v>
      </c>
      <c r="E595" t="s">
        <v>52</v>
      </c>
      <c r="F595" t="s">
        <v>12</v>
      </c>
      <c r="G595">
        <v>3.0373000000000002E-3</v>
      </c>
      <c r="H595">
        <v>2.2279000000000001E-3</v>
      </c>
      <c r="I595">
        <v>2.3760000000000001E-3</v>
      </c>
    </row>
    <row r="596" spans="1:9" x14ac:dyDescent="0.25">
      <c r="A596" s="104" t="str">
        <f t="shared" si="9"/>
        <v>Pakistan2012.5NationalPub_OutreachPill</v>
      </c>
      <c r="B596" t="s">
        <v>146</v>
      </c>
      <c r="C596">
        <v>2012.5</v>
      </c>
      <c r="D596" t="s">
        <v>178</v>
      </c>
      <c r="E596" t="s">
        <v>54</v>
      </c>
      <c r="F596" t="s">
        <v>12</v>
      </c>
      <c r="G596">
        <v>4.1454999999999999E-3</v>
      </c>
      <c r="H596">
        <v>3.0745E-3</v>
      </c>
      <c r="I596">
        <v>6.4892999999999999E-3</v>
      </c>
    </row>
    <row r="597" spans="1:9" x14ac:dyDescent="0.25">
      <c r="A597" s="104" t="str">
        <f t="shared" si="9"/>
        <v>Pakistan2012.5NationalNGOPill</v>
      </c>
      <c r="B597" t="s">
        <v>146</v>
      </c>
      <c r="C597">
        <v>2012.5</v>
      </c>
      <c r="D597" t="s">
        <v>178</v>
      </c>
      <c r="E597" t="s">
        <v>170</v>
      </c>
      <c r="F597" t="s">
        <v>12</v>
      </c>
      <c r="G597">
        <v>6.824E-4</v>
      </c>
      <c r="H597">
        <v>1.0761E-3</v>
      </c>
      <c r="I597">
        <v>1.0740000000000001E-3</v>
      </c>
    </row>
    <row r="598" spans="1:9" x14ac:dyDescent="0.25">
      <c r="A598" s="104" t="str">
        <f t="shared" si="9"/>
        <v>Pakistan2012.5NationalCommercialPill</v>
      </c>
      <c r="B598" t="s">
        <v>146</v>
      </c>
      <c r="C598">
        <v>2012.5</v>
      </c>
      <c r="D598" t="s">
        <v>178</v>
      </c>
      <c r="E598" t="s">
        <v>59</v>
      </c>
      <c r="F598" t="s">
        <v>12</v>
      </c>
      <c r="G598">
        <v>5.0144999999999999E-3</v>
      </c>
      <c r="H598">
        <v>2.2504000000000001E-3</v>
      </c>
      <c r="I598">
        <v>5.6254E-3</v>
      </c>
    </row>
    <row r="599" spans="1:9" x14ac:dyDescent="0.25">
      <c r="A599" s="104" t="str">
        <f t="shared" si="9"/>
        <v>Pakistan2012.5NationalNonTradPill</v>
      </c>
      <c r="B599" t="s">
        <v>146</v>
      </c>
      <c r="C599">
        <v>2012.5</v>
      </c>
      <c r="D599" t="s">
        <v>178</v>
      </c>
      <c r="E599" t="s">
        <v>171</v>
      </c>
      <c r="F599" t="s">
        <v>12</v>
      </c>
      <c r="G599">
        <v>2.0062999999999999E-3</v>
      </c>
      <c r="H599">
        <v>8.6660000000000003E-4</v>
      </c>
      <c r="I599">
        <v>1.0506000000000001E-3</v>
      </c>
    </row>
    <row r="600" spans="1:9" x14ac:dyDescent="0.25">
      <c r="A600" s="104" t="str">
        <f t="shared" si="9"/>
        <v>Pakistan2012.5NationalOtherPill</v>
      </c>
      <c r="B600" t="s">
        <v>146</v>
      </c>
      <c r="C600">
        <v>2012.5</v>
      </c>
      <c r="D600" t="s">
        <v>178</v>
      </c>
      <c r="E600" t="s">
        <v>116</v>
      </c>
      <c r="F600" t="s">
        <v>12</v>
      </c>
      <c r="G600">
        <v>7.314E-4</v>
      </c>
      <c r="H600">
        <v>3.4919999999999998E-4</v>
      </c>
      <c r="I600">
        <v>1.8691000000000001E-3</v>
      </c>
    </row>
    <row r="601" spans="1:9" x14ac:dyDescent="0.25">
      <c r="A601" s="104" t="str">
        <f t="shared" si="9"/>
        <v>Pakistan2012.5UrbanPub_MedPill</v>
      </c>
      <c r="B601" t="s">
        <v>146</v>
      </c>
      <c r="C601">
        <v>2012.5</v>
      </c>
      <c r="D601" t="s">
        <v>20</v>
      </c>
      <c r="E601" t="s">
        <v>52</v>
      </c>
      <c r="F601" t="s">
        <v>12</v>
      </c>
      <c r="G601">
        <v>3.4762E-3</v>
      </c>
      <c r="H601">
        <v>5.2218000000000004E-3</v>
      </c>
      <c r="I601">
        <v>1.0717999999999999E-3</v>
      </c>
    </row>
    <row r="602" spans="1:9" x14ac:dyDescent="0.25">
      <c r="A602" s="104" t="str">
        <f t="shared" si="9"/>
        <v>Pakistan2012.5UrbanPub_OutreachPill</v>
      </c>
      <c r="B602" t="s">
        <v>146</v>
      </c>
      <c r="C602">
        <v>2012.5</v>
      </c>
      <c r="D602" t="s">
        <v>20</v>
      </c>
      <c r="E602" t="s">
        <v>54</v>
      </c>
      <c r="F602" t="s">
        <v>12</v>
      </c>
      <c r="G602">
        <v>5.6743000000000002E-3</v>
      </c>
      <c r="H602">
        <v>5.3189999999999997E-4</v>
      </c>
      <c r="I602">
        <v>2.8812999999999998E-3</v>
      </c>
    </row>
    <row r="603" spans="1:9" x14ac:dyDescent="0.25">
      <c r="A603" s="104" t="str">
        <f t="shared" si="9"/>
        <v>Pakistan2012.5UrbanNGOPill</v>
      </c>
      <c r="B603" t="s">
        <v>146</v>
      </c>
      <c r="C603">
        <v>2012.5</v>
      </c>
      <c r="D603" t="s">
        <v>20</v>
      </c>
      <c r="E603" t="s">
        <v>170</v>
      </c>
      <c r="F603" t="s">
        <v>12</v>
      </c>
      <c r="G603">
        <v>8.2470000000000004E-4</v>
      </c>
      <c r="H603">
        <v>2.7399999999999999E-5</v>
      </c>
      <c r="I603">
        <v>8.2319999999999995E-4</v>
      </c>
    </row>
    <row r="604" spans="1:9" x14ac:dyDescent="0.25">
      <c r="A604" s="104" t="str">
        <f t="shared" si="9"/>
        <v>Pakistan2012.5UrbanCommercialPill</v>
      </c>
      <c r="B604" t="s">
        <v>146</v>
      </c>
      <c r="C604">
        <v>2012.5</v>
      </c>
      <c r="D604" t="s">
        <v>20</v>
      </c>
      <c r="E604" t="s">
        <v>59</v>
      </c>
      <c r="F604" t="s">
        <v>12</v>
      </c>
      <c r="G604">
        <v>5.0375999999999997E-3</v>
      </c>
      <c r="H604">
        <v>2.8996E-3</v>
      </c>
      <c r="I604">
        <v>4.7714999999999997E-3</v>
      </c>
    </row>
    <row r="605" spans="1:9" x14ac:dyDescent="0.25">
      <c r="A605" s="104" t="str">
        <f t="shared" si="9"/>
        <v>Pakistan2012.5UrbanNonTradPill</v>
      </c>
      <c r="B605" t="s">
        <v>146</v>
      </c>
      <c r="C605">
        <v>2012.5</v>
      </c>
      <c r="D605" t="s">
        <v>20</v>
      </c>
      <c r="E605" t="s">
        <v>171</v>
      </c>
      <c r="F605" t="s">
        <v>12</v>
      </c>
      <c r="G605">
        <v>1.5421E-3</v>
      </c>
      <c r="H605">
        <v>4.7120000000000002E-4</v>
      </c>
      <c r="I605">
        <v>9.2520000000000005E-4</v>
      </c>
    </row>
    <row r="606" spans="1:9" x14ac:dyDescent="0.25">
      <c r="A606" s="104" t="str">
        <f t="shared" si="9"/>
        <v>Pakistan2012.5UrbanOtherPill</v>
      </c>
      <c r="B606" t="s">
        <v>146</v>
      </c>
      <c r="C606">
        <v>2012.5</v>
      </c>
      <c r="D606" t="s">
        <v>20</v>
      </c>
      <c r="E606" t="s">
        <v>116</v>
      </c>
      <c r="F606" t="s">
        <v>12</v>
      </c>
      <c r="G606">
        <v>6.3460000000000003E-4</v>
      </c>
      <c r="H606">
        <v>1.181E-4</v>
      </c>
      <c r="I606">
        <v>1.022E-4</v>
      </c>
    </row>
    <row r="607" spans="1:9" x14ac:dyDescent="0.25">
      <c r="A607" s="104" t="str">
        <f t="shared" si="9"/>
        <v>Pakistan2012.5RuralPub_MedPill</v>
      </c>
      <c r="B607" t="s">
        <v>146</v>
      </c>
      <c r="C607">
        <v>2012.5</v>
      </c>
      <c r="D607" t="s">
        <v>21</v>
      </c>
      <c r="E607" t="s">
        <v>52</v>
      </c>
      <c r="F607" t="s">
        <v>12</v>
      </c>
      <c r="G607">
        <v>2.8140000000000001E-3</v>
      </c>
      <c r="H607">
        <v>7.205E-4</v>
      </c>
      <c r="I607">
        <v>3.0094000000000002E-3</v>
      </c>
    </row>
    <row r="608" spans="1:9" x14ac:dyDescent="0.25">
      <c r="A608" s="104" t="str">
        <f t="shared" si="9"/>
        <v>Pakistan2012.5RuralPub_OutreachPill</v>
      </c>
      <c r="B608" t="s">
        <v>146</v>
      </c>
      <c r="C608">
        <v>2012.5</v>
      </c>
      <c r="D608" t="s">
        <v>21</v>
      </c>
      <c r="E608" t="s">
        <v>54</v>
      </c>
      <c r="F608" t="s">
        <v>12</v>
      </c>
      <c r="G608">
        <v>3.3677999999999998E-3</v>
      </c>
      <c r="H608">
        <v>4.3547000000000004E-3</v>
      </c>
      <c r="I608">
        <v>8.2416E-3</v>
      </c>
    </row>
    <row r="609" spans="1:9" x14ac:dyDescent="0.25">
      <c r="A609" s="104" t="str">
        <f t="shared" si="9"/>
        <v>Pakistan2012.5RuralNGOPill</v>
      </c>
      <c r="B609" t="s">
        <v>146</v>
      </c>
      <c r="C609">
        <v>2012.5</v>
      </c>
      <c r="D609" t="s">
        <v>21</v>
      </c>
      <c r="E609" t="s">
        <v>170</v>
      </c>
      <c r="F609" t="s">
        <v>12</v>
      </c>
      <c r="G609">
        <v>6.1010000000000003E-4</v>
      </c>
      <c r="H609">
        <v>1.6042000000000001E-3</v>
      </c>
      <c r="I609">
        <v>1.1959E-3</v>
      </c>
    </row>
    <row r="610" spans="1:9" x14ac:dyDescent="0.25">
      <c r="A610" s="104" t="str">
        <f t="shared" si="9"/>
        <v>Pakistan2012.5RuralCommercialPill</v>
      </c>
      <c r="B610" t="s">
        <v>146</v>
      </c>
      <c r="C610">
        <v>2012.5</v>
      </c>
      <c r="D610" t="s">
        <v>21</v>
      </c>
      <c r="E610" t="s">
        <v>59</v>
      </c>
      <c r="F610" t="s">
        <v>12</v>
      </c>
      <c r="G610">
        <v>5.0026999999999997E-3</v>
      </c>
      <c r="H610">
        <v>1.9235000000000001E-3</v>
      </c>
      <c r="I610">
        <v>6.0400999999999996E-3</v>
      </c>
    </row>
    <row r="611" spans="1:9" x14ac:dyDescent="0.25">
      <c r="A611" s="104" t="str">
        <f t="shared" si="9"/>
        <v>Pakistan2012.5RuralNonTradPill</v>
      </c>
      <c r="B611" t="s">
        <v>146</v>
      </c>
      <c r="C611">
        <v>2012.5</v>
      </c>
      <c r="D611" t="s">
        <v>21</v>
      </c>
      <c r="E611" t="s">
        <v>171</v>
      </c>
      <c r="F611" t="s">
        <v>12</v>
      </c>
      <c r="G611">
        <v>2.2423999999999999E-3</v>
      </c>
      <c r="H611">
        <v>1.0656999999999999E-3</v>
      </c>
      <c r="I611">
        <v>1.1115000000000001E-3</v>
      </c>
    </row>
    <row r="612" spans="1:9" x14ac:dyDescent="0.25">
      <c r="A612" s="104" t="str">
        <f t="shared" si="9"/>
        <v>Pakistan2012.5RuralOtherPill</v>
      </c>
      <c r="B612" t="s">
        <v>146</v>
      </c>
      <c r="C612">
        <v>2012.5</v>
      </c>
      <c r="D612" t="s">
        <v>21</v>
      </c>
      <c r="E612" t="s">
        <v>116</v>
      </c>
      <c r="F612" t="s">
        <v>12</v>
      </c>
      <c r="G612">
        <v>7.8069999999999995E-4</v>
      </c>
      <c r="H612">
        <v>4.6549999999999998E-4</v>
      </c>
      <c r="I612">
        <v>2.7271999999999999E-3</v>
      </c>
    </row>
    <row r="613" spans="1:9" x14ac:dyDescent="0.25">
      <c r="A613" s="104" t="str">
        <f t="shared" si="9"/>
        <v>Pakistan2012.5NationalPub_MedIUD</v>
      </c>
      <c r="B613" t="s">
        <v>146</v>
      </c>
      <c r="C613">
        <v>2012.5</v>
      </c>
      <c r="D613" t="s">
        <v>178</v>
      </c>
      <c r="E613" t="s">
        <v>52</v>
      </c>
      <c r="F613" t="s">
        <v>16</v>
      </c>
      <c r="G613">
        <v>7.9860999999999994E-3</v>
      </c>
      <c r="H613">
        <v>1.47575E-2</v>
      </c>
      <c r="I613">
        <v>7.1513999999999996E-3</v>
      </c>
    </row>
    <row r="614" spans="1:9" x14ac:dyDescent="0.25">
      <c r="A614" s="104" t="str">
        <f t="shared" si="9"/>
        <v>Pakistan2012.5NationalPub_OutreachIUD</v>
      </c>
      <c r="B614" t="s">
        <v>146</v>
      </c>
      <c r="C614">
        <v>2012.5</v>
      </c>
      <c r="D614" t="s">
        <v>178</v>
      </c>
      <c r="E614" t="s">
        <v>54</v>
      </c>
      <c r="F614" t="s">
        <v>16</v>
      </c>
      <c r="G614">
        <v>2.7883000000000001E-3</v>
      </c>
      <c r="H614">
        <v>2.9134999999999999E-3</v>
      </c>
      <c r="I614">
        <v>1.6922E-3</v>
      </c>
    </row>
    <row r="615" spans="1:9" x14ac:dyDescent="0.25">
      <c r="A615" s="104" t="str">
        <f t="shared" si="9"/>
        <v>Pakistan2012.5NationalNGOIUD</v>
      </c>
      <c r="B615" t="s">
        <v>146</v>
      </c>
      <c r="C615">
        <v>2012.5</v>
      </c>
      <c r="D615" t="s">
        <v>178</v>
      </c>
      <c r="E615" t="s">
        <v>170</v>
      </c>
      <c r="F615" t="s">
        <v>16</v>
      </c>
      <c r="G615">
        <v>6.9524000000000001E-3</v>
      </c>
      <c r="H615">
        <v>8.3476000000000002E-3</v>
      </c>
      <c r="I615">
        <v>9.5542999999999999E-3</v>
      </c>
    </row>
    <row r="616" spans="1:9" x14ac:dyDescent="0.25">
      <c r="A616" s="104" t="str">
        <f t="shared" si="9"/>
        <v>Pakistan2012.5NationalCommercialIUD</v>
      </c>
      <c r="B616" t="s">
        <v>146</v>
      </c>
      <c r="C616">
        <v>2012.5</v>
      </c>
      <c r="D616" t="s">
        <v>178</v>
      </c>
      <c r="E616" t="s">
        <v>59</v>
      </c>
      <c r="F616" t="s">
        <v>16</v>
      </c>
      <c r="G616">
        <v>2.4943000000000001E-3</v>
      </c>
      <c r="H616">
        <v>8.4610000000000002E-4</v>
      </c>
      <c r="I616">
        <v>3.3781000000000002E-3</v>
      </c>
    </row>
    <row r="617" spans="1:9" x14ac:dyDescent="0.25">
      <c r="A617" s="104" t="str">
        <f t="shared" si="9"/>
        <v>Pakistan2012.5NationalOtherIUD</v>
      </c>
      <c r="B617" t="s">
        <v>146</v>
      </c>
      <c r="C617">
        <v>2012.5</v>
      </c>
      <c r="D617" t="s">
        <v>178</v>
      </c>
      <c r="E617" t="s">
        <v>116</v>
      </c>
      <c r="F617" t="s">
        <v>16</v>
      </c>
      <c r="I617">
        <v>2.6729999999999999E-4</v>
      </c>
    </row>
    <row r="618" spans="1:9" x14ac:dyDescent="0.25">
      <c r="A618" s="104" t="str">
        <f t="shared" si="9"/>
        <v>Pakistan2012.5UrbanPub_MedIUD</v>
      </c>
      <c r="B618" t="s">
        <v>146</v>
      </c>
      <c r="C618">
        <v>2012.5</v>
      </c>
      <c r="D618" t="s">
        <v>20</v>
      </c>
      <c r="E618" t="s">
        <v>52</v>
      </c>
      <c r="F618" t="s">
        <v>16</v>
      </c>
      <c r="G618">
        <v>9.7461000000000006E-3</v>
      </c>
      <c r="H618">
        <v>1.7274399999999999E-2</v>
      </c>
      <c r="I618">
        <v>2.4875000000000001E-3</v>
      </c>
    </row>
    <row r="619" spans="1:9" x14ac:dyDescent="0.25">
      <c r="A619" s="104" t="str">
        <f t="shared" si="9"/>
        <v>Pakistan2012.5UrbanPub_OutreachIUD</v>
      </c>
      <c r="B619" t="s">
        <v>146</v>
      </c>
      <c r="C619">
        <v>2012.5</v>
      </c>
      <c r="D619" t="s">
        <v>20</v>
      </c>
      <c r="E619" t="s">
        <v>54</v>
      </c>
      <c r="F619" t="s">
        <v>16</v>
      </c>
      <c r="G619">
        <v>1.5927000000000001E-3</v>
      </c>
      <c r="I619">
        <v>2.8584000000000001E-3</v>
      </c>
    </row>
    <row r="620" spans="1:9" x14ac:dyDescent="0.25">
      <c r="A620" s="104" t="str">
        <f t="shared" si="9"/>
        <v>Pakistan2012.5UrbanNGOIUD</v>
      </c>
      <c r="B620" t="s">
        <v>146</v>
      </c>
      <c r="C620">
        <v>2012.5</v>
      </c>
      <c r="D620" t="s">
        <v>20</v>
      </c>
      <c r="E620" t="s">
        <v>170</v>
      </c>
      <c r="F620" t="s">
        <v>16</v>
      </c>
      <c r="G620">
        <v>7.0213000000000003E-3</v>
      </c>
      <c r="H620">
        <v>1.07767E-2</v>
      </c>
      <c r="I620">
        <v>1.5832599999999999E-2</v>
      </c>
    </row>
    <row r="621" spans="1:9" x14ac:dyDescent="0.25">
      <c r="A621" s="104" t="str">
        <f t="shared" si="9"/>
        <v>Pakistan2012.5UrbanCommercialIUD</v>
      </c>
      <c r="B621" t="s">
        <v>146</v>
      </c>
      <c r="C621">
        <v>2012.5</v>
      </c>
      <c r="D621" t="s">
        <v>20</v>
      </c>
      <c r="E621" t="s">
        <v>59</v>
      </c>
      <c r="F621" t="s">
        <v>16</v>
      </c>
      <c r="G621">
        <v>4.5231000000000004E-3</v>
      </c>
      <c r="H621">
        <v>2.5265999999999999E-3</v>
      </c>
      <c r="I621">
        <v>3.5477E-3</v>
      </c>
    </row>
    <row r="622" spans="1:9" x14ac:dyDescent="0.25">
      <c r="A622" s="104" t="str">
        <f t="shared" si="9"/>
        <v>Pakistan2012.5RuralPub_MedIUD</v>
      </c>
      <c r="B622" t="s">
        <v>146</v>
      </c>
      <c r="C622">
        <v>2012.5</v>
      </c>
      <c r="D622" t="s">
        <v>21</v>
      </c>
      <c r="E622" t="s">
        <v>52</v>
      </c>
      <c r="F622" t="s">
        <v>16</v>
      </c>
      <c r="G622">
        <v>7.0908999999999998E-3</v>
      </c>
      <c r="H622">
        <v>1.3490200000000001E-2</v>
      </c>
      <c r="I622">
        <v>9.4164999999999995E-3</v>
      </c>
    </row>
    <row r="623" spans="1:9" x14ac:dyDescent="0.25">
      <c r="A623" s="104" t="str">
        <f t="shared" si="9"/>
        <v>Pakistan2012.5RuralPub_OutreachIUD</v>
      </c>
      <c r="B623" t="s">
        <v>146</v>
      </c>
      <c r="C623">
        <v>2012.5</v>
      </c>
      <c r="D623" t="s">
        <v>21</v>
      </c>
      <c r="E623" t="s">
        <v>54</v>
      </c>
      <c r="F623" t="s">
        <v>16</v>
      </c>
      <c r="G623">
        <v>3.3963999999999999E-3</v>
      </c>
      <c r="H623">
        <v>4.3803999999999996E-3</v>
      </c>
      <c r="I623">
        <v>1.1257999999999999E-3</v>
      </c>
    </row>
    <row r="624" spans="1:9" x14ac:dyDescent="0.25">
      <c r="A624" s="104" t="str">
        <f t="shared" si="9"/>
        <v>Pakistan2012.5RuralNGOIUD</v>
      </c>
      <c r="B624" t="s">
        <v>146</v>
      </c>
      <c r="C624">
        <v>2012.5</v>
      </c>
      <c r="D624" t="s">
        <v>21</v>
      </c>
      <c r="E624" t="s">
        <v>170</v>
      </c>
      <c r="F624" t="s">
        <v>16</v>
      </c>
      <c r="G624">
        <v>6.9173999999999998E-3</v>
      </c>
      <c r="H624">
        <v>7.1247000000000003E-3</v>
      </c>
      <c r="I624">
        <v>6.5050000000000004E-3</v>
      </c>
    </row>
    <row r="625" spans="1:9" x14ac:dyDescent="0.25">
      <c r="A625" s="104" t="str">
        <f t="shared" si="9"/>
        <v>Pakistan2012.5RuralCommercialIUD</v>
      </c>
      <c r="B625" t="s">
        <v>146</v>
      </c>
      <c r="C625">
        <v>2012.5</v>
      </c>
      <c r="D625" t="s">
        <v>21</v>
      </c>
      <c r="E625" t="s">
        <v>59</v>
      </c>
      <c r="F625" t="s">
        <v>16</v>
      </c>
      <c r="G625">
        <v>1.4622999999999999E-3</v>
      </c>
      <c r="I625">
        <v>3.2956999999999999E-3</v>
      </c>
    </row>
    <row r="626" spans="1:9" x14ac:dyDescent="0.25">
      <c r="A626" s="104" t="str">
        <f t="shared" si="9"/>
        <v>Pakistan2012.5RuralOtherIUD</v>
      </c>
      <c r="B626" t="s">
        <v>146</v>
      </c>
      <c r="C626">
        <v>2012.5</v>
      </c>
      <c r="D626" t="s">
        <v>21</v>
      </c>
      <c r="E626" t="s">
        <v>116</v>
      </c>
      <c r="F626" t="s">
        <v>16</v>
      </c>
      <c r="I626">
        <v>3.971E-4</v>
      </c>
    </row>
    <row r="627" spans="1:9" x14ac:dyDescent="0.25">
      <c r="A627" s="104" t="str">
        <f t="shared" si="9"/>
        <v>Pakistan2012.5NationalPub_MedInjectable</v>
      </c>
      <c r="B627" t="s">
        <v>146</v>
      </c>
      <c r="C627">
        <v>2012.5</v>
      </c>
      <c r="D627" t="s">
        <v>178</v>
      </c>
      <c r="E627" t="s">
        <v>52</v>
      </c>
      <c r="F627" t="s">
        <v>22</v>
      </c>
      <c r="G627">
        <v>9.4804999999999993E-3</v>
      </c>
      <c r="H627">
        <v>1.2745100000000001E-2</v>
      </c>
      <c r="I627">
        <v>2.8075999999999999E-3</v>
      </c>
    </row>
    <row r="628" spans="1:9" x14ac:dyDescent="0.25">
      <c r="A628" s="104" t="str">
        <f t="shared" si="9"/>
        <v>Pakistan2012.5NationalPub_OutreachInjectable</v>
      </c>
      <c r="B628" t="s">
        <v>146</v>
      </c>
      <c r="C628">
        <v>2012.5</v>
      </c>
      <c r="D628" t="s">
        <v>178</v>
      </c>
      <c r="E628" t="s">
        <v>54</v>
      </c>
      <c r="F628" t="s">
        <v>22</v>
      </c>
      <c r="G628">
        <v>5.5595999999999996E-3</v>
      </c>
      <c r="H628">
        <v>7.4336999999999997E-3</v>
      </c>
      <c r="I628">
        <v>6.1336000000000003E-3</v>
      </c>
    </row>
    <row r="629" spans="1:9" x14ac:dyDescent="0.25">
      <c r="A629" s="104" t="str">
        <f t="shared" si="9"/>
        <v>Pakistan2012.5NationalNGOInjectable</v>
      </c>
      <c r="B629" t="s">
        <v>146</v>
      </c>
      <c r="C629">
        <v>2012.5</v>
      </c>
      <c r="D629" t="s">
        <v>178</v>
      </c>
      <c r="E629" t="s">
        <v>170</v>
      </c>
      <c r="F629" t="s">
        <v>22</v>
      </c>
      <c r="G629">
        <v>7.0651999999999998E-3</v>
      </c>
      <c r="H629">
        <v>6.1865000000000002E-3</v>
      </c>
      <c r="I629">
        <v>3.8544E-3</v>
      </c>
    </row>
    <row r="630" spans="1:9" x14ac:dyDescent="0.25">
      <c r="A630" s="104" t="str">
        <f t="shared" si="9"/>
        <v>Pakistan2012.5NationalCommercialInjectable</v>
      </c>
      <c r="B630" t="s">
        <v>146</v>
      </c>
      <c r="C630">
        <v>2012.5</v>
      </c>
      <c r="D630" t="s">
        <v>178</v>
      </c>
      <c r="E630" t="s">
        <v>59</v>
      </c>
      <c r="F630" t="s">
        <v>22</v>
      </c>
      <c r="G630">
        <v>5.9601000000000003E-3</v>
      </c>
      <c r="H630">
        <v>3.8327000000000001E-3</v>
      </c>
      <c r="I630">
        <v>2.4091E-3</v>
      </c>
    </row>
    <row r="631" spans="1:9" x14ac:dyDescent="0.25">
      <c r="A631" s="104" t="str">
        <f t="shared" si="9"/>
        <v>Pakistan2012.5NationalNonTradInjectable</v>
      </c>
      <c r="B631" t="s">
        <v>146</v>
      </c>
      <c r="C631">
        <v>2012.5</v>
      </c>
      <c r="D631" t="s">
        <v>178</v>
      </c>
      <c r="E631" t="s">
        <v>171</v>
      </c>
      <c r="F631" t="s">
        <v>22</v>
      </c>
      <c r="G631">
        <v>5.3330000000000001E-4</v>
      </c>
      <c r="H631">
        <v>2.8949999999999999E-4</v>
      </c>
    </row>
    <row r="632" spans="1:9" x14ac:dyDescent="0.25">
      <c r="A632" s="104" t="str">
        <f t="shared" si="9"/>
        <v>Pakistan2012.5NationalOtherInjectable</v>
      </c>
      <c r="B632" t="s">
        <v>146</v>
      </c>
      <c r="C632">
        <v>2012.5</v>
      </c>
      <c r="D632" t="s">
        <v>178</v>
      </c>
      <c r="E632" t="s">
        <v>116</v>
      </c>
      <c r="F632" t="s">
        <v>22</v>
      </c>
      <c r="G632">
        <v>1.228E-4</v>
      </c>
      <c r="I632">
        <v>7.0500000000000006E-5</v>
      </c>
    </row>
    <row r="633" spans="1:9" x14ac:dyDescent="0.25">
      <c r="A633" s="104" t="str">
        <f t="shared" si="9"/>
        <v>Pakistan2012.5UrbanPub_MedInjectable</v>
      </c>
      <c r="B633" t="s">
        <v>146</v>
      </c>
      <c r="C633">
        <v>2012.5</v>
      </c>
      <c r="D633" t="s">
        <v>20</v>
      </c>
      <c r="E633" t="s">
        <v>52</v>
      </c>
      <c r="F633" t="s">
        <v>22</v>
      </c>
      <c r="G633">
        <v>1.02332E-2</v>
      </c>
      <c r="H633">
        <v>8.5602999999999999E-3</v>
      </c>
      <c r="I633">
        <v>1.022E-4</v>
      </c>
    </row>
    <row r="634" spans="1:9" x14ac:dyDescent="0.25">
      <c r="A634" s="104" t="str">
        <f t="shared" si="9"/>
        <v>Pakistan2012.5UrbanPub_OutreachInjectable</v>
      </c>
      <c r="B634" t="s">
        <v>146</v>
      </c>
      <c r="C634">
        <v>2012.5</v>
      </c>
      <c r="D634" t="s">
        <v>20</v>
      </c>
      <c r="E634" t="s">
        <v>54</v>
      </c>
      <c r="F634" t="s">
        <v>22</v>
      </c>
      <c r="G634">
        <v>3.5097000000000001E-3</v>
      </c>
      <c r="H634">
        <v>6.9760000000000004E-3</v>
      </c>
      <c r="I634">
        <v>2.0639E-3</v>
      </c>
    </row>
    <row r="635" spans="1:9" x14ac:dyDescent="0.25">
      <c r="A635" s="104" t="str">
        <f t="shared" si="9"/>
        <v>Pakistan2012.5UrbanNGOInjectable</v>
      </c>
      <c r="B635" t="s">
        <v>146</v>
      </c>
      <c r="C635">
        <v>2012.5</v>
      </c>
      <c r="D635" t="s">
        <v>20</v>
      </c>
      <c r="E635" t="s">
        <v>170</v>
      </c>
      <c r="F635" t="s">
        <v>22</v>
      </c>
      <c r="G635">
        <v>1.14904E-2</v>
      </c>
      <c r="H635">
        <v>4.7740999999999999E-3</v>
      </c>
      <c r="I635">
        <v>1.8868999999999999E-3</v>
      </c>
    </row>
    <row r="636" spans="1:9" x14ac:dyDescent="0.25">
      <c r="A636" s="104" t="str">
        <f t="shared" si="9"/>
        <v>Pakistan2012.5UrbanCommercialInjectable</v>
      </c>
      <c r="B636" t="s">
        <v>146</v>
      </c>
      <c r="C636">
        <v>2012.5</v>
      </c>
      <c r="D636" t="s">
        <v>20</v>
      </c>
      <c r="E636" t="s">
        <v>59</v>
      </c>
      <c r="F636" t="s">
        <v>22</v>
      </c>
      <c r="G636">
        <v>4.7293999999999999E-3</v>
      </c>
      <c r="I636">
        <v>1.6872E-3</v>
      </c>
    </row>
    <row r="637" spans="1:9" x14ac:dyDescent="0.25">
      <c r="A637" s="104" t="str">
        <f t="shared" si="9"/>
        <v>Pakistan2012.5UrbanNonTradInjectable</v>
      </c>
      <c r="B637" t="s">
        <v>146</v>
      </c>
      <c r="C637">
        <v>2012.5</v>
      </c>
      <c r="D637" t="s">
        <v>20</v>
      </c>
      <c r="E637" t="s">
        <v>171</v>
      </c>
      <c r="F637" t="s">
        <v>22</v>
      </c>
      <c r="H637">
        <v>8.6459999999999998E-4</v>
      </c>
    </row>
    <row r="638" spans="1:9" x14ac:dyDescent="0.25">
      <c r="A638" s="104" t="str">
        <f t="shared" si="9"/>
        <v>Pakistan2012.5UrbanOtherInjectable</v>
      </c>
      <c r="B638" t="s">
        <v>146</v>
      </c>
      <c r="C638">
        <v>2012.5</v>
      </c>
      <c r="D638" t="s">
        <v>20</v>
      </c>
      <c r="E638" t="s">
        <v>116</v>
      </c>
      <c r="F638" t="s">
        <v>22</v>
      </c>
      <c r="G638">
        <v>6.6400000000000001E-5</v>
      </c>
      <c r="I638">
        <v>2.1570000000000001E-4</v>
      </c>
    </row>
    <row r="639" spans="1:9" x14ac:dyDescent="0.25">
      <c r="A639" s="104" t="str">
        <f t="shared" si="9"/>
        <v>Pakistan2012.5RuralPub_MedInjectable</v>
      </c>
      <c r="B639" t="s">
        <v>146</v>
      </c>
      <c r="C639">
        <v>2012.5</v>
      </c>
      <c r="D639" t="s">
        <v>21</v>
      </c>
      <c r="E639" t="s">
        <v>52</v>
      </c>
      <c r="F639" t="s">
        <v>22</v>
      </c>
      <c r="G639">
        <v>9.0976000000000008E-3</v>
      </c>
      <c r="H639">
        <v>1.48521E-2</v>
      </c>
      <c r="I639">
        <v>4.1215999999999996E-3</v>
      </c>
    </row>
    <row r="640" spans="1:9" x14ac:dyDescent="0.25">
      <c r="A640" s="104" t="str">
        <f t="shared" si="9"/>
        <v>Pakistan2012.5RuralPub_OutreachInjectable</v>
      </c>
      <c r="B640" t="s">
        <v>146</v>
      </c>
      <c r="C640">
        <v>2012.5</v>
      </c>
      <c r="D640" t="s">
        <v>21</v>
      </c>
      <c r="E640" t="s">
        <v>54</v>
      </c>
      <c r="F640" t="s">
        <v>22</v>
      </c>
      <c r="G640">
        <v>6.6023000000000002E-3</v>
      </c>
      <c r="H640">
        <v>7.6642000000000004E-3</v>
      </c>
      <c r="I640">
        <v>8.1101999999999997E-3</v>
      </c>
    </row>
    <row r="641" spans="1:9" x14ac:dyDescent="0.25">
      <c r="A641" s="104" t="str">
        <f t="shared" si="9"/>
        <v>Pakistan2012.5RuralNGOInjectable</v>
      </c>
      <c r="B641" t="s">
        <v>146</v>
      </c>
      <c r="C641">
        <v>2012.5</v>
      </c>
      <c r="D641" t="s">
        <v>21</v>
      </c>
      <c r="E641" t="s">
        <v>170</v>
      </c>
      <c r="F641" t="s">
        <v>22</v>
      </c>
      <c r="G641">
        <v>4.8142000000000002E-3</v>
      </c>
      <c r="H641">
        <v>6.8976000000000003E-3</v>
      </c>
      <c r="I641">
        <v>4.81E-3</v>
      </c>
    </row>
    <row r="642" spans="1:9" x14ac:dyDescent="0.25">
      <c r="A642" s="104" t="str">
        <f t="shared" si="9"/>
        <v>Pakistan2012.5RuralCommercialInjectable</v>
      </c>
      <c r="B642" t="s">
        <v>146</v>
      </c>
      <c r="C642">
        <v>2012.5</v>
      </c>
      <c r="D642" t="s">
        <v>21</v>
      </c>
      <c r="E642" t="s">
        <v>59</v>
      </c>
      <c r="F642" t="s">
        <v>22</v>
      </c>
      <c r="G642">
        <v>6.5862000000000004E-3</v>
      </c>
      <c r="H642">
        <v>5.7624E-3</v>
      </c>
      <c r="I642">
        <v>2.7596999999999999E-3</v>
      </c>
    </row>
    <row r="643" spans="1:9" x14ac:dyDescent="0.25">
      <c r="A643" s="104" t="str">
        <f t="shared" ref="A643:A706" si="10">B643&amp;C643&amp;D643&amp;E643&amp;F643</f>
        <v>Pakistan2012.5RuralNonTradInjectable</v>
      </c>
      <c r="B643" t="s">
        <v>146</v>
      </c>
      <c r="C643">
        <v>2012.5</v>
      </c>
      <c r="D643" t="s">
        <v>21</v>
      </c>
      <c r="E643" t="s">
        <v>171</v>
      </c>
      <c r="F643" t="s">
        <v>22</v>
      </c>
      <c r="G643">
        <v>8.0449999999999999E-4</v>
      </c>
    </row>
    <row r="644" spans="1:9" x14ac:dyDescent="0.25">
      <c r="A644" s="104" t="str">
        <f t="shared" si="10"/>
        <v>Pakistan2012.5RuralOtherInjectable</v>
      </c>
      <c r="B644" t="s">
        <v>146</v>
      </c>
      <c r="C644">
        <v>2012.5</v>
      </c>
      <c r="D644" t="s">
        <v>21</v>
      </c>
      <c r="E644" t="s">
        <v>116</v>
      </c>
      <c r="F644" t="s">
        <v>22</v>
      </c>
      <c r="G644">
        <v>1.515E-4</v>
      </c>
    </row>
    <row r="645" spans="1:9" x14ac:dyDescent="0.25">
      <c r="A645" s="104" t="str">
        <f t="shared" si="10"/>
        <v>Pakistan2012.5NationalPub_MedCondom</v>
      </c>
      <c r="B645" t="s">
        <v>146</v>
      </c>
      <c r="C645">
        <v>2012.5</v>
      </c>
      <c r="D645" t="s">
        <v>178</v>
      </c>
      <c r="E645" t="s">
        <v>52</v>
      </c>
      <c r="F645" t="s">
        <v>25</v>
      </c>
      <c r="G645">
        <v>1.663E-3</v>
      </c>
      <c r="H645">
        <v>5.5770999999999998E-3</v>
      </c>
      <c r="I645">
        <v>2.8213000000000001E-3</v>
      </c>
    </row>
    <row r="646" spans="1:9" x14ac:dyDescent="0.25">
      <c r="A646" s="104" t="str">
        <f t="shared" si="10"/>
        <v>Pakistan2012.5NationalPub_OutreachCondom</v>
      </c>
      <c r="B646" t="s">
        <v>146</v>
      </c>
      <c r="C646">
        <v>2012.5</v>
      </c>
      <c r="D646" t="s">
        <v>178</v>
      </c>
      <c r="E646" t="s">
        <v>54</v>
      </c>
      <c r="F646" t="s">
        <v>25</v>
      </c>
      <c r="G646">
        <v>9.1245000000000007E-3</v>
      </c>
      <c r="H646">
        <v>1.70241E-2</v>
      </c>
      <c r="I646">
        <v>1.6332300000000001E-2</v>
      </c>
    </row>
    <row r="647" spans="1:9" x14ac:dyDescent="0.25">
      <c r="A647" s="104" t="str">
        <f t="shared" si="10"/>
        <v>Pakistan2012.5NationalNGOCondom</v>
      </c>
      <c r="B647" t="s">
        <v>146</v>
      </c>
      <c r="C647">
        <v>2012.5</v>
      </c>
      <c r="D647" t="s">
        <v>178</v>
      </c>
      <c r="E647" t="s">
        <v>170</v>
      </c>
      <c r="F647" t="s">
        <v>25</v>
      </c>
      <c r="G647">
        <v>1.0949E-3</v>
      </c>
      <c r="H647">
        <v>2.1010999999999998E-3</v>
      </c>
      <c r="I647">
        <v>1.7262E-3</v>
      </c>
    </row>
    <row r="648" spans="1:9" x14ac:dyDescent="0.25">
      <c r="A648" s="104" t="str">
        <f t="shared" si="10"/>
        <v>Pakistan2012.5NationalCommercialCondom</v>
      </c>
      <c r="B648" t="s">
        <v>146</v>
      </c>
      <c r="C648">
        <v>2012.5</v>
      </c>
      <c r="D648" t="s">
        <v>178</v>
      </c>
      <c r="E648" t="s">
        <v>59</v>
      </c>
      <c r="F648" t="s">
        <v>25</v>
      </c>
      <c r="G648">
        <v>1.7413100000000001E-2</v>
      </c>
      <c r="H648">
        <v>3.4332300000000003E-2</v>
      </c>
      <c r="I648">
        <v>5.17192E-2</v>
      </c>
    </row>
    <row r="649" spans="1:9" x14ac:dyDescent="0.25">
      <c r="A649" s="104" t="str">
        <f t="shared" si="10"/>
        <v>Pakistan2012.5NationalNonTradCondom</v>
      </c>
      <c r="B649" t="s">
        <v>146</v>
      </c>
      <c r="C649">
        <v>2012.5</v>
      </c>
      <c r="D649" t="s">
        <v>178</v>
      </c>
      <c r="E649" t="s">
        <v>171</v>
      </c>
      <c r="F649" t="s">
        <v>25</v>
      </c>
      <c r="G649">
        <v>1.84356E-2</v>
      </c>
      <c r="H649">
        <v>2.63205E-2</v>
      </c>
      <c r="I649">
        <v>3.0765299999999999E-2</v>
      </c>
    </row>
    <row r="650" spans="1:9" x14ac:dyDescent="0.25">
      <c r="A650" s="104" t="str">
        <f t="shared" si="10"/>
        <v>Pakistan2012.5NationalOtherCondom</v>
      </c>
      <c r="B650" t="s">
        <v>146</v>
      </c>
      <c r="C650">
        <v>2012.5</v>
      </c>
      <c r="D650" t="s">
        <v>178</v>
      </c>
      <c r="E650" t="s">
        <v>116</v>
      </c>
      <c r="F650" t="s">
        <v>25</v>
      </c>
      <c r="G650">
        <v>1.46404E-2</v>
      </c>
      <c r="H650">
        <v>1.8140900000000001E-2</v>
      </c>
      <c r="I650">
        <v>2.3931899999999999E-2</v>
      </c>
    </row>
    <row r="651" spans="1:9" x14ac:dyDescent="0.25">
      <c r="A651" s="104" t="str">
        <f t="shared" si="10"/>
        <v>Pakistan2012.5UrbanPub_MedCondom</v>
      </c>
      <c r="B651" t="s">
        <v>146</v>
      </c>
      <c r="C651">
        <v>2012.5</v>
      </c>
      <c r="D651" t="s">
        <v>20</v>
      </c>
      <c r="E651" t="s">
        <v>52</v>
      </c>
      <c r="F651" t="s">
        <v>25</v>
      </c>
      <c r="G651">
        <v>2.9537000000000001E-3</v>
      </c>
      <c r="H651">
        <v>7.9664000000000002E-3</v>
      </c>
      <c r="I651">
        <v>2.7623999999999999E-3</v>
      </c>
    </row>
    <row r="652" spans="1:9" x14ac:dyDescent="0.25">
      <c r="A652" s="104" t="str">
        <f t="shared" si="10"/>
        <v>Pakistan2012.5UrbanPub_OutreachCondom</v>
      </c>
      <c r="B652" t="s">
        <v>146</v>
      </c>
      <c r="C652">
        <v>2012.5</v>
      </c>
      <c r="D652" t="s">
        <v>20</v>
      </c>
      <c r="E652" t="s">
        <v>54</v>
      </c>
      <c r="F652" t="s">
        <v>25</v>
      </c>
      <c r="G652">
        <v>1.29774E-2</v>
      </c>
      <c r="H652">
        <v>1.1750999999999999E-2</v>
      </c>
      <c r="I652">
        <v>8.1945999999999998E-3</v>
      </c>
    </row>
    <row r="653" spans="1:9" x14ac:dyDescent="0.25">
      <c r="A653" s="104" t="str">
        <f t="shared" si="10"/>
        <v>Pakistan2012.5UrbanNGOCondom</v>
      </c>
      <c r="B653" t="s">
        <v>146</v>
      </c>
      <c r="C653">
        <v>2012.5</v>
      </c>
      <c r="D653" t="s">
        <v>20</v>
      </c>
      <c r="E653" t="s">
        <v>170</v>
      </c>
      <c r="F653" t="s">
        <v>25</v>
      </c>
      <c r="G653">
        <v>3.1200999999999998E-3</v>
      </c>
      <c r="H653">
        <v>5.5459999999999997E-3</v>
      </c>
      <c r="I653">
        <v>1.5995E-3</v>
      </c>
    </row>
    <row r="654" spans="1:9" x14ac:dyDescent="0.25">
      <c r="A654" s="104" t="str">
        <f t="shared" si="10"/>
        <v>Pakistan2012.5UrbanCommercialCondom</v>
      </c>
      <c r="B654" t="s">
        <v>146</v>
      </c>
      <c r="C654">
        <v>2012.5</v>
      </c>
      <c r="D654" t="s">
        <v>20</v>
      </c>
      <c r="E654" t="s">
        <v>59</v>
      </c>
      <c r="F654" t="s">
        <v>25</v>
      </c>
      <c r="G654">
        <v>4.2970700000000001E-2</v>
      </c>
      <c r="H654">
        <v>7.14418E-2</v>
      </c>
      <c r="I654">
        <v>0.1181352</v>
      </c>
    </row>
    <row r="655" spans="1:9" x14ac:dyDescent="0.25">
      <c r="A655" s="104" t="str">
        <f t="shared" si="10"/>
        <v>Pakistan2012.5UrbanNonTradCondom</v>
      </c>
      <c r="B655" t="s">
        <v>146</v>
      </c>
      <c r="C655">
        <v>2012.5</v>
      </c>
      <c r="D655" t="s">
        <v>20</v>
      </c>
      <c r="E655" t="s">
        <v>171</v>
      </c>
      <c r="F655" t="s">
        <v>25</v>
      </c>
      <c r="G655">
        <v>3.0827199999999999E-2</v>
      </c>
      <c r="H655">
        <v>1.9204200000000001E-2</v>
      </c>
      <c r="I655">
        <v>1.8381999999999999E-2</v>
      </c>
    </row>
    <row r="656" spans="1:9" x14ac:dyDescent="0.25">
      <c r="A656" s="104" t="str">
        <f t="shared" si="10"/>
        <v>Pakistan2012.5UrbanOtherCondom</v>
      </c>
      <c r="B656" t="s">
        <v>146</v>
      </c>
      <c r="C656">
        <v>2012.5</v>
      </c>
      <c r="D656" t="s">
        <v>20</v>
      </c>
      <c r="E656" t="s">
        <v>116</v>
      </c>
      <c r="F656" t="s">
        <v>25</v>
      </c>
      <c r="G656">
        <v>3.2765799999999998E-2</v>
      </c>
      <c r="H656">
        <v>2.5562700000000001E-2</v>
      </c>
      <c r="I656">
        <v>3.2732600000000001E-2</v>
      </c>
    </row>
    <row r="657" spans="1:9" x14ac:dyDescent="0.25">
      <c r="A657" s="104" t="str">
        <f t="shared" si="10"/>
        <v>Pakistan2012.5RuralPub_MedCondom</v>
      </c>
      <c r="B657" t="s">
        <v>146</v>
      </c>
      <c r="C657">
        <v>2012.5</v>
      </c>
      <c r="D657" t="s">
        <v>21</v>
      </c>
      <c r="E657" t="s">
        <v>52</v>
      </c>
      <c r="F657" t="s">
        <v>25</v>
      </c>
      <c r="G657">
        <v>1.0064E-3</v>
      </c>
      <c r="H657">
        <v>4.3742E-3</v>
      </c>
      <c r="I657">
        <v>2.8500000000000001E-3</v>
      </c>
    </row>
    <row r="658" spans="1:9" x14ac:dyDescent="0.25">
      <c r="A658" s="104" t="str">
        <f t="shared" si="10"/>
        <v>Pakistan2012.5RuralPub_OutreachCondom</v>
      </c>
      <c r="B658" t="s">
        <v>146</v>
      </c>
      <c r="C658">
        <v>2012.5</v>
      </c>
      <c r="D658" t="s">
        <v>21</v>
      </c>
      <c r="E658" t="s">
        <v>54</v>
      </c>
      <c r="F658" t="s">
        <v>25</v>
      </c>
      <c r="G658">
        <v>7.1646000000000001E-3</v>
      </c>
      <c r="H658">
        <v>1.9678899999999999E-2</v>
      </c>
      <c r="I658">
        <v>2.0284699999999999E-2</v>
      </c>
    </row>
    <row r="659" spans="1:9" x14ac:dyDescent="0.25">
      <c r="A659" s="104" t="str">
        <f t="shared" si="10"/>
        <v>Pakistan2012.5RuralNGOCondom</v>
      </c>
      <c r="B659" t="s">
        <v>146</v>
      </c>
      <c r="C659">
        <v>2012.5</v>
      </c>
      <c r="D659" t="s">
        <v>21</v>
      </c>
      <c r="E659" t="s">
        <v>170</v>
      </c>
      <c r="F659" t="s">
        <v>25</v>
      </c>
      <c r="G659">
        <v>6.4700000000000001E-5</v>
      </c>
      <c r="H659">
        <v>3.6660000000000002E-4</v>
      </c>
      <c r="I659">
        <v>1.7878E-3</v>
      </c>
    </row>
    <row r="660" spans="1:9" x14ac:dyDescent="0.25">
      <c r="A660" s="104" t="str">
        <f t="shared" si="10"/>
        <v>Pakistan2012.5RuralCommercialCondom</v>
      </c>
      <c r="B660" t="s">
        <v>146</v>
      </c>
      <c r="C660">
        <v>2012.5</v>
      </c>
      <c r="D660" t="s">
        <v>21</v>
      </c>
      <c r="E660" t="s">
        <v>59</v>
      </c>
      <c r="F660" t="s">
        <v>25</v>
      </c>
      <c r="G660">
        <v>4.4130999999999997E-3</v>
      </c>
      <c r="H660">
        <v>1.5648599999999999E-2</v>
      </c>
      <c r="I660">
        <v>1.9461800000000001E-2</v>
      </c>
    </row>
    <row r="661" spans="1:9" x14ac:dyDescent="0.25">
      <c r="A661" s="104" t="str">
        <f t="shared" si="10"/>
        <v>Pakistan2012.5RuralNonTradCondom</v>
      </c>
      <c r="B661" t="s">
        <v>146</v>
      </c>
      <c r="C661">
        <v>2012.5</v>
      </c>
      <c r="D661" t="s">
        <v>21</v>
      </c>
      <c r="E661" t="s">
        <v>171</v>
      </c>
      <c r="F661" t="s">
        <v>25</v>
      </c>
      <c r="G661">
        <v>1.2132499999999999E-2</v>
      </c>
      <c r="H661">
        <v>2.9903300000000001E-2</v>
      </c>
      <c r="I661">
        <v>3.6779699999999999E-2</v>
      </c>
    </row>
    <row r="662" spans="1:9" x14ac:dyDescent="0.25">
      <c r="A662" s="104" t="str">
        <f t="shared" si="10"/>
        <v>Pakistan2012.5RuralOtherCondom</v>
      </c>
      <c r="B662" t="s">
        <v>146</v>
      </c>
      <c r="C662">
        <v>2012.5</v>
      </c>
      <c r="D662" t="s">
        <v>21</v>
      </c>
      <c r="E662" t="s">
        <v>116</v>
      </c>
      <c r="F662" t="s">
        <v>25</v>
      </c>
      <c r="G662">
        <v>5.4206999999999997E-3</v>
      </c>
      <c r="H662">
        <v>1.4404200000000001E-2</v>
      </c>
      <c r="I662">
        <v>1.9657500000000001E-2</v>
      </c>
    </row>
    <row r="663" spans="1:9" x14ac:dyDescent="0.25">
      <c r="A663" s="104" t="str">
        <f t="shared" si="10"/>
        <v>Pakistan2012.5NationalPub_MedImplant</v>
      </c>
      <c r="B663" t="s">
        <v>146</v>
      </c>
      <c r="C663">
        <v>2012.5</v>
      </c>
      <c r="D663" t="s">
        <v>178</v>
      </c>
      <c r="E663" t="s">
        <v>52</v>
      </c>
      <c r="F663" t="s">
        <v>23</v>
      </c>
      <c r="G663">
        <v>2.33E-4</v>
      </c>
      <c r="H663">
        <v>5.4960000000000002E-4</v>
      </c>
      <c r="I663">
        <v>2.631E-4</v>
      </c>
    </row>
    <row r="664" spans="1:9" x14ac:dyDescent="0.25">
      <c r="A664" s="104" t="str">
        <f t="shared" si="10"/>
        <v>Pakistan2012.5NationalNGOImplant</v>
      </c>
      <c r="B664" t="s">
        <v>146</v>
      </c>
      <c r="C664">
        <v>2012.5</v>
      </c>
      <c r="D664" t="s">
        <v>178</v>
      </c>
      <c r="E664" t="s">
        <v>170</v>
      </c>
      <c r="F664" t="s">
        <v>23</v>
      </c>
      <c r="G664">
        <v>6.8899999999999994E-5</v>
      </c>
      <c r="H664">
        <v>7.9920000000000002E-4</v>
      </c>
      <c r="I664">
        <v>3.5340000000000002E-4</v>
      </c>
    </row>
    <row r="665" spans="1:9" x14ac:dyDescent="0.25">
      <c r="A665" s="104" t="str">
        <f t="shared" si="10"/>
        <v>Pakistan2012.5NationalCommercialImplant</v>
      </c>
      <c r="B665" t="s">
        <v>146</v>
      </c>
      <c r="C665">
        <v>2012.5</v>
      </c>
      <c r="D665" t="s">
        <v>178</v>
      </c>
      <c r="E665" t="s">
        <v>59</v>
      </c>
      <c r="F665" t="s">
        <v>23</v>
      </c>
      <c r="H665">
        <v>1.5119999999999999E-4</v>
      </c>
    </row>
    <row r="666" spans="1:9" x14ac:dyDescent="0.25">
      <c r="A666" s="104" t="str">
        <f t="shared" si="10"/>
        <v>Pakistan2012.5UrbanPub_MedImplant</v>
      </c>
      <c r="B666" t="s">
        <v>146</v>
      </c>
      <c r="C666">
        <v>2012.5</v>
      </c>
      <c r="D666" t="s">
        <v>20</v>
      </c>
      <c r="E666" t="s">
        <v>52</v>
      </c>
      <c r="F666" t="s">
        <v>23</v>
      </c>
      <c r="G666">
        <v>1.7399999999999999E-5</v>
      </c>
      <c r="H666">
        <v>1.6413000000000001E-3</v>
      </c>
      <c r="I666">
        <v>7.1230000000000002E-4</v>
      </c>
    </row>
    <row r="667" spans="1:9" x14ac:dyDescent="0.25">
      <c r="A667" s="104" t="str">
        <f t="shared" si="10"/>
        <v>Pakistan2012.5UrbanNGOImplant</v>
      </c>
      <c r="B667" t="s">
        <v>146</v>
      </c>
      <c r="C667">
        <v>2012.5</v>
      </c>
      <c r="D667" t="s">
        <v>20</v>
      </c>
      <c r="E667" t="s">
        <v>170</v>
      </c>
      <c r="F667" t="s">
        <v>23</v>
      </c>
      <c r="G667">
        <v>2.0430000000000001E-4</v>
      </c>
      <c r="H667">
        <v>3.8559999999999999E-4</v>
      </c>
      <c r="I667">
        <v>6.3119999999999995E-4</v>
      </c>
    </row>
    <row r="668" spans="1:9" x14ac:dyDescent="0.25">
      <c r="A668" s="104" t="str">
        <f t="shared" si="10"/>
        <v>Pakistan2012.5RuralPub_MedImplant</v>
      </c>
      <c r="B668" t="s">
        <v>146</v>
      </c>
      <c r="C668">
        <v>2012.5</v>
      </c>
      <c r="D668" t="s">
        <v>21</v>
      </c>
      <c r="E668" t="s">
        <v>52</v>
      </c>
      <c r="F668" t="s">
        <v>23</v>
      </c>
      <c r="G668">
        <v>3.4269999999999998E-4</v>
      </c>
      <c r="I668">
        <v>4.49E-5</v>
      </c>
    </row>
    <row r="669" spans="1:9" x14ac:dyDescent="0.25">
      <c r="A669" s="104" t="str">
        <f t="shared" si="10"/>
        <v>Pakistan2012.5RuralNGOImplant</v>
      </c>
      <c r="B669" t="s">
        <v>146</v>
      </c>
      <c r="C669">
        <v>2012.5</v>
      </c>
      <c r="D669" t="s">
        <v>21</v>
      </c>
      <c r="E669" t="s">
        <v>170</v>
      </c>
      <c r="F669" t="s">
        <v>23</v>
      </c>
      <c r="H669">
        <v>1.0074000000000001E-3</v>
      </c>
      <c r="I669">
        <v>2.185E-4</v>
      </c>
    </row>
    <row r="670" spans="1:9" x14ac:dyDescent="0.25">
      <c r="A670" s="104" t="str">
        <f t="shared" si="10"/>
        <v>Pakistan2012.5RuralCommercialImplant</v>
      </c>
      <c r="B670" t="s">
        <v>146</v>
      </c>
      <c r="C670">
        <v>2012.5</v>
      </c>
      <c r="D670" t="s">
        <v>21</v>
      </c>
      <c r="E670" t="s">
        <v>59</v>
      </c>
      <c r="F670" t="s">
        <v>23</v>
      </c>
      <c r="H670">
        <v>2.273E-4</v>
      </c>
    </row>
    <row r="671" spans="1:9" x14ac:dyDescent="0.25">
      <c r="A671" s="104" t="str">
        <f t="shared" si="10"/>
        <v>Pakistan2017.5NationalPub_MedPill</v>
      </c>
      <c r="B671" t="s">
        <v>146</v>
      </c>
      <c r="C671">
        <v>2017.5</v>
      </c>
      <c r="D671" t="s">
        <v>178</v>
      </c>
      <c r="E671" t="s">
        <v>52</v>
      </c>
      <c r="F671" t="s">
        <v>12</v>
      </c>
      <c r="G671">
        <v>2.3463999999999998E-3</v>
      </c>
      <c r="H671">
        <v>8.6430000000000003E-4</v>
      </c>
      <c r="I671">
        <v>5.1079999999999995E-4</v>
      </c>
    </row>
    <row r="672" spans="1:9" x14ac:dyDescent="0.25">
      <c r="A672" s="104" t="str">
        <f t="shared" si="10"/>
        <v>Pakistan2017.5NationalPub_OutreachPill</v>
      </c>
      <c r="B672" t="s">
        <v>146</v>
      </c>
      <c r="C672">
        <v>2017.5</v>
      </c>
      <c r="D672" t="s">
        <v>178</v>
      </c>
      <c r="E672" t="s">
        <v>54</v>
      </c>
      <c r="F672" t="s">
        <v>12</v>
      </c>
      <c r="G672">
        <v>3.7526999999999999E-3</v>
      </c>
      <c r="H672">
        <v>5.9629000000000001E-3</v>
      </c>
      <c r="I672">
        <v>4.2687999999999997E-3</v>
      </c>
    </row>
    <row r="673" spans="1:9" x14ac:dyDescent="0.25">
      <c r="A673" s="104" t="str">
        <f t="shared" si="10"/>
        <v>Pakistan2017.5NationalNGOPill</v>
      </c>
      <c r="B673" t="s">
        <v>146</v>
      </c>
      <c r="C673">
        <v>2017.5</v>
      </c>
      <c r="D673" t="s">
        <v>178</v>
      </c>
      <c r="E673" t="s">
        <v>170</v>
      </c>
      <c r="F673" t="s">
        <v>12</v>
      </c>
      <c r="G673">
        <v>1.092E-4</v>
      </c>
      <c r="H673">
        <v>4.2959999999999998E-4</v>
      </c>
      <c r="I673">
        <v>1.8755E-3</v>
      </c>
    </row>
    <row r="674" spans="1:9" x14ac:dyDescent="0.25">
      <c r="A674" s="104" t="str">
        <f t="shared" si="10"/>
        <v>Pakistan2017.5NationalCommercialPill</v>
      </c>
      <c r="B674" t="s">
        <v>146</v>
      </c>
      <c r="C674">
        <v>2017.5</v>
      </c>
      <c r="D674" t="s">
        <v>178</v>
      </c>
      <c r="E674" t="s">
        <v>59</v>
      </c>
      <c r="F674" t="s">
        <v>12</v>
      </c>
      <c r="G674">
        <v>5.5012000000000004E-3</v>
      </c>
      <c r="H674">
        <v>8.0595000000000007E-3</v>
      </c>
      <c r="I674">
        <v>1.11664E-2</v>
      </c>
    </row>
    <row r="675" spans="1:9" x14ac:dyDescent="0.25">
      <c r="A675" s="104" t="str">
        <f t="shared" si="10"/>
        <v>Pakistan2017.5NationalNonTradPill</v>
      </c>
      <c r="B675" t="s">
        <v>146</v>
      </c>
      <c r="C675">
        <v>2017.5</v>
      </c>
      <c r="D675" t="s">
        <v>178</v>
      </c>
      <c r="E675" t="s">
        <v>171</v>
      </c>
      <c r="F675" t="s">
        <v>12</v>
      </c>
      <c r="G675">
        <v>1.8805E-3</v>
      </c>
      <c r="H675">
        <v>1.7168000000000001E-3</v>
      </c>
      <c r="I675">
        <v>4.282E-4</v>
      </c>
    </row>
    <row r="676" spans="1:9" x14ac:dyDescent="0.25">
      <c r="A676" s="104" t="str">
        <f t="shared" si="10"/>
        <v>Pakistan2017.5NationalOtherPill</v>
      </c>
      <c r="B676" t="s">
        <v>146</v>
      </c>
      <c r="C676">
        <v>2017.5</v>
      </c>
      <c r="D676" t="s">
        <v>178</v>
      </c>
      <c r="E676" t="s">
        <v>116</v>
      </c>
      <c r="F676" t="s">
        <v>12</v>
      </c>
      <c r="G676">
        <v>6.399E-4</v>
      </c>
      <c r="H676">
        <v>1.2889999999999999E-4</v>
      </c>
      <c r="I676">
        <v>1.3129999999999999E-4</v>
      </c>
    </row>
    <row r="677" spans="1:9" x14ac:dyDescent="0.25">
      <c r="A677" s="104" t="str">
        <f t="shared" si="10"/>
        <v>Pakistan2017.5NationalPill</v>
      </c>
      <c r="B677" t="s">
        <v>146</v>
      </c>
      <c r="C677">
        <v>2017.5</v>
      </c>
      <c r="D677" t="s">
        <v>178</v>
      </c>
      <c r="F677" t="s">
        <v>12</v>
      </c>
      <c r="G677">
        <v>3.2949999999999999E-4</v>
      </c>
      <c r="H677">
        <v>9.4500000000000007E-5</v>
      </c>
    </row>
    <row r="678" spans="1:9" x14ac:dyDescent="0.25">
      <c r="A678" s="104" t="str">
        <f t="shared" si="10"/>
        <v>Pakistan2017.5UrbanPub_MedPill</v>
      </c>
      <c r="B678" t="s">
        <v>146</v>
      </c>
      <c r="C678">
        <v>2017.5</v>
      </c>
      <c r="D678" t="s">
        <v>20</v>
      </c>
      <c r="E678" t="s">
        <v>52</v>
      </c>
      <c r="F678" t="s">
        <v>12</v>
      </c>
      <c r="G678">
        <v>1.3247999999999999E-3</v>
      </c>
      <c r="H678">
        <v>1.9303E-3</v>
      </c>
      <c r="I678">
        <v>4.85E-5</v>
      </c>
    </row>
    <row r="679" spans="1:9" x14ac:dyDescent="0.25">
      <c r="A679" s="104" t="str">
        <f t="shared" si="10"/>
        <v>Pakistan2017.5UrbanPub_OutreachPill</v>
      </c>
      <c r="B679" t="s">
        <v>146</v>
      </c>
      <c r="C679">
        <v>2017.5</v>
      </c>
      <c r="D679" t="s">
        <v>20</v>
      </c>
      <c r="E679" t="s">
        <v>54</v>
      </c>
      <c r="F679" t="s">
        <v>12</v>
      </c>
      <c r="G679">
        <v>3.9221999999999998E-3</v>
      </c>
      <c r="H679">
        <v>6.5136999999999999E-3</v>
      </c>
      <c r="I679">
        <v>2.5479999999999999E-3</v>
      </c>
    </row>
    <row r="680" spans="1:9" x14ac:dyDescent="0.25">
      <c r="A680" s="104" t="str">
        <f t="shared" si="10"/>
        <v>Pakistan2017.5UrbanNGOPill</v>
      </c>
      <c r="B680" t="s">
        <v>146</v>
      </c>
      <c r="C680">
        <v>2017.5</v>
      </c>
      <c r="D680" t="s">
        <v>20</v>
      </c>
      <c r="E680" t="s">
        <v>170</v>
      </c>
      <c r="F680" t="s">
        <v>12</v>
      </c>
      <c r="G680">
        <v>2.8939999999999999E-4</v>
      </c>
      <c r="H680">
        <v>9.3399999999999993E-5</v>
      </c>
      <c r="I680">
        <v>2.4156E-3</v>
      </c>
    </row>
    <row r="681" spans="1:9" x14ac:dyDescent="0.25">
      <c r="A681" s="104" t="str">
        <f t="shared" si="10"/>
        <v>Pakistan2017.5UrbanCommercialPill</v>
      </c>
      <c r="B681" t="s">
        <v>146</v>
      </c>
      <c r="C681">
        <v>2017.5</v>
      </c>
      <c r="D681" t="s">
        <v>20</v>
      </c>
      <c r="E681" t="s">
        <v>59</v>
      </c>
      <c r="F681" t="s">
        <v>12</v>
      </c>
      <c r="G681">
        <v>3.7735999999999998E-3</v>
      </c>
      <c r="H681">
        <v>3.8235999999999999E-3</v>
      </c>
      <c r="I681">
        <v>1.2437E-2</v>
      </c>
    </row>
    <row r="682" spans="1:9" x14ac:dyDescent="0.25">
      <c r="A682" s="104" t="str">
        <f t="shared" si="10"/>
        <v>Pakistan2017.5UrbanNonTradPill</v>
      </c>
      <c r="B682" t="s">
        <v>146</v>
      </c>
      <c r="C682">
        <v>2017.5</v>
      </c>
      <c r="D682" t="s">
        <v>20</v>
      </c>
      <c r="E682" t="s">
        <v>171</v>
      </c>
      <c r="F682" t="s">
        <v>12</v>
      </c>
      <c r="G682">
        <v>3.3536999999999998E-3</v>
      </c>
      <c r="H682">
        <v>1.3485999999999999E-3</v>
      </c>
      <c r="I682">
        <v>7.1779999999999999E-4</v>
      </c>
    </row>
    <row r="683" spans="1:9" x14ac:dyDescent="0.25">
      <c r="A683" s="104" t="str">
        <f t="shared" si="10"/>
        <v>Pakistan2017.5UrbanOtherPill</v>
      </c>
      <c r="B683" t="s">
        <v>146</v>
      </c>
      <c r="C683">
        <v>2017.5</v>
      </c>
      <c r="D683" t="s">
        <v>20</v>
      </c>
      <c r="E683" t="s">
        <v>116</v>
      </c>
      <c r="F683" t="s">
        <v>12</v>
      </c>
      <c r="G683">
        <v>1.6009999999999999E-4</v>
      </c>
      <c r="H683">
        <v>3.4729999999999999E-4</v>
      </c>
    </row>
    <row r="684" spans="1:9" x14ac:dyDescent="0.25">
      <c r="A684" s="104" t="str">
        <f t="shared" si="10"/>
        <v>Pakistan2017.5UrbanPill</v>
      </c>
      <c r="B684" t="s">
        <v>146</v>
      </c>
      <c r="C684">
        <v>2017.5</v>
      </c>
      <c r="D684" t="s">
        <v>20</v>
      </c>
      <c r="F684" t="s">
        <v>12</v>
      </c>
      <c r="G684">
        <v>8.7290000000000002E-4</v>
      </c>
      <c r="H684">
        <v>2.5470000000000001E-4</v>
      </c>
    </row>
    <row r="685" spans="1:9" x14ac:dyDescent="0.25">
      <c r="A685" s="104" t="str">
        <f t="shared" si="10"/>
        <v>Pakistan2017.5RuralPub_MedPill</v>
      </c>
      <c r="B685" t="s">
        <v>146</v>
      </c>
      <c r="C685">
        <v>2017.5</v>
      </c>
      <c r="D685" t="s">
        <v>21</v>
      </c>
      <c r="E685" t="s">
        <v>52</v>
      </c>
      <c r="F685" t="s">
        <v>12</v>
      </c>
      <c r="G685">
        <v>2.9659E-3</v>
      </c>
      <c r="H685">
        <v>2.3489999999999999E-4</v>
      </c>
      <c r="I685">
        <v>7.4750000000000001E-4</v>
      </c>
    </row>
    <row r="686" spans="1:9" x14ac:dyDescent="0.25">
      <c r="A686" s="104" t="str">
        <f t="shared" si="10"/>
        <v>Pakistan2017.5RuralPub_OutreachPill</v>
      </c>
      <c r="B686" t="s">
        <v>146</v>
      </c>
      <c r="C686">
        <v>2017.5</v>
      </c>
      <c r="D686" t="s">
        <v>21</v>
      </c>
      <c r="E686" t="s">
        <v>54</v>
      </c>
      <c r="F686" t="s">
        <v>12</v>
      </c>
      <c r="G686">
        <v>3.65E-3</v>
      </c>
      <c r="H686">
        <v>5.6376999999999998E-3</v>
      </c>
      <c r="I686">
        <v>5.1497000000000001E-3</v>
      </c>
    </row>
    <row r="687" spans="1:9" x14ac:dyDescent="0.25">
      <c r="A687" s="104" t="str">
        <f t="shared" si="10"/>
        <v>Pakistan2017.5RuralNGOPill</v>
      </c>
      <c r="B687" t="s">
        <v>146</v>
      </c>
      <c r="C687">
        <v>2017.5</v>
      </c>
      <c r="D687" t="s">
        <v>21</v>
      </c>
      <c r="E687" t="s">
        <v>170</v>
      </c>
      <c r="F687" t="s">
        <v>12</v>
      </c>
      <c r="H687">
        <v>6.2799999999999998E-4</v>
      </c>
      <c r="I687">
        <v>1.5991E-3</v>
      </c>
    </row>
    <row r="688" spans="1:9" x14ac:dyDescent="0.25">
      <c r="A688" s="104" t="str">
        <f t="shared" si="10"/>
        <v>Pakistan2017.5RuralCommercialPill</v>
      </c>
      <c r="B688" t="s">
        <v>146</v>
      </c>
      <c r="C688">
        <v>2017.5</v>
      </c>
      <c r="D688" t="s">
        <v>21</v>
      </c>
      <c r="E688" t="s">
        <v>59</v>
      </c>
      <c r="F688" t="s">
        <v>12</v>
      </c>
      <c r="G688">
        <v>6.5488999999999999E-3</v>
      </c>
      <c r="H688">
        <v>1.0560099999999999E-2</v>
      </c>
      <c r="I688">
        <v>1.05159E-2</v>
      </c>
    </row>
    <row r="689" spans="1:9" x14ac:dyDescent="0.25">
      <c r="A689" s="104" t="str">
        <f t="shared" si="10"/>
        <v>Pakistan2017.5RuralNonTradPill</v>
      </c>
      <c r="B689" t="s">
        <v>146</v>
      </c>
      <c r="C689">
        <v>2017.5</v>
      </c>
      <c r="D689" t="s">
        <v>21</v>
      </c>
      <c r="E689" t="s">
        <v>171</v>
      </c>
      <c r="F689" t="s">
        <v>12</v>
      </c>
      <c r="G689">
        <v>9.8719999999999993E-4</v>
      </c>
      <c r="H689">
        <v>1.9341E-3</v>
      </c>
      <c r="I689">
        <v>2.7999999999999998E-4</v>
      </c>
    </row>
    <row r="690" spans="1:9" x14ac:dyDescent="0.25">
      <c r="A690" s="104" t="str">
        <f t="shared" si="10"/>
        <v>Pakistan2017.5RuralOtherPill</v>
      </c>
      <c r="B690" t="s">
        <v>146</v>
      </c>
      <c r="C690">
        <v>2017.5</v>
      </c>
      <c r="D690" t="s">
        <v>21</v>
      </c>
      <c r="E690" t="s">
        <v>116</v>
      </c>
      <c r="F690" t="s">
        <v>12</v>
      </c>
      <c r="G690">
        <v>9.3090000000000002E-4</v>
      </c>
      <c r="I690">
        <v>1.985E-4</v>
      </c>
    </row>
    <row r="691" spans="1:9" x14ac:dyDescent="0.25">
      <c r="A691" s="104" t="str">
        <f t="shared" si="10"/>
        <v>Pakistan2017.5NationalPub_MedIUD</v>
      </c>
      <c r="B691" t="s">
        <v>146</v>
      </c>
      <c r="C691">
        <v>2017.5</v>
      </c>
      <c r="D691" t="s">
        <v>178</v>
      </c>
      <c r="E691" t="s">
        <v>52</v>
      </c>
      <c r="F691" t="s">
        <v>16</v>
      </c>
      <c r="G691">
        <v>1.2322899999999999E-2</v>
      </c>
      <c r="H691">
        <v>1.4542599999999999E-2</v>
      </c>
      <c r="I691">
        <v>8.9307999999999992E-3</v>
      </c>
    </row>
    <row r="692" spans="1:9" x14ac:dyDescent="0.25">
      <c r="A692" s="104" t="str">
        <f t="shared" si="10"/>
        <v>Pakistan2017.5NationalPub_OutreachIUD</v>
      </c>
      <c r="B692" t="s">
        <v>146</v>
      </c>
      <c r="C692">
        <v>2017.5</v>
      </c>
      <c r="D692" t="s">
        <v>178</v>
      </c>
      <c r="E692" t="s">
        <v>54</v>
      </c>
      <c r="F692" t="s">
        <v>16</v>
      </c>
      <c r="G692">
        <v>1.2235E-3</v>
      </c>
      <c r="H692">
        <v>6.7219999999999997E-4</v>
      </c>
      <c r="I692">
        <v>1.2714E-3</v>
      </c>
    </row>
    <row r="693" spans="1:9" x14ac:dyDescent="0.25">
      <c r="A693" s="104" t="str">
        <f t="shared" si="10"/>
        <v>Pakistan2017.5NationalNGOIUD</v>
      </c>
      <c r="B693" t="s">
        <v>146</v>
      </c>
      <c r="C693">
        <v>2017.5</v>
      </c>
      <c r="D693" t="s">
        <v>178</v>
      </c>
      <c r="E693" t="s">
        <v>170</v>
      </c>
      <c r="F693" t="s">
        <v>16</v>
      </c>
      <c r="G693">
        <v>3.5744000000000001E-3</v>
      </c>
      <c r="H693">
        <v>7.0377E-3</v>
      </c>
      <c r="I693">
        <v>6.0403000000000002E-3</v>
      </c>
    </row>
    <row r="694" spans="1:9" x14ac:dyDescent="0.25">
      <c r="A694" s="104" t="str">
        <f t="shared" si="10"/>
        <v>Pakistan2017.5NationalCommercialIUD</v>
      </c>
      <c r="B694" t="s">
        <v>146</v>
      </c>
      <c r="C694">
        <v>2017.5</v>
      </c>
      <c r="D694" t="s">
        <v>178</v>
      </c>
      <c r="E694" t="s">
        <v>59</v>
      </c>
      <c r="F694" t="s">
        <v>16</v>
      </c>
      <c r="G694">
        <v>1.9277000000000001E-3</v>
      </c>
      <c r="H694">
        <v>4.0308000000000002E-3</v>
      </c>
      <c r="I694">
        <v>2.5014999999999998E-3</v>
      </c>
    </row>
    <row r="695" spans="1:9" x14ac:dyDescent="0.25">
      <c r="A695" s="104" t="str">
        <f t="shared" si="10"/>
        <v>Pakistan2017.5UrbanPub_MedIUD</v>
      </c>
      <c r="B695" t="s">
        <v>146</v>
      </c>
      <c r="C695">
        <v>2017.5</v>
      </c>
      <c r="D695" t="s">
        <v>20</v>
      </c>
      <c r="E695" t="s">
        <v>52</v>
      </c>
      <c r="F695" t="s">
        <v>16</v>
      </c>
      <c r="G695">
        <v>1.3373299999999999E-2</v>
      </c>
      <c r="H695">
        <v>1.35607E-2</v>
      </c>
      <c r="I695">
        <v>8.0342999999999994E-3</v>
      </c>
    </row>
    <row r="696" spans="1:9" x14ac:dyDescent="0.25">
      <c r="A696" s="104" t="str">
        <f t="shared" si="10"/>
        <v>Pakistan2017.5UrbanPub_OutreachIUD</v>
      </c>
      <c r="B696" t="s">
        <v>146</v>
      </c>
      <c r="C696">
        <v>2017.5</v>
      </c>
      <c r="D696" t="s">
        <v>20</v>
      </c>
      <c r="E696" t="s">
        <v>54</v>
      </c>
      <c r="F696" t="s">
        <v>16</v>
      </c>
      <c r="G696">
        <v>2.8579999999999999E-3</v>
      </c>
      <c r="H696">
        <v>8.8579999999999996E-4</v>
      </c>
      <c r="I696">
        <v>2.0538000000000002E-3</v>
      </c>
    </row>
    <row r="697" spans="1:9" x14ac:dyDescent="0.25">
      <c r="A697" s="104" t="str">
        <f t="shared" si="10"/>
        <v>Pakistan2017.5UrbanNGOIUD</v>
      </c>
      <c r="B697" t="s">
        <v>146</v>
      </c>
      <c r="C697">
        <v>2017.5</v>
      </c>
      <c r="D697" t="s">
        <v>20</v>
      </c>
      <c r="E697" t="s">
        <v>170</v>
      </c>
      <c r="F697" t="s">
        <v>16</v>
      </c>
      <c r="G697">
        <v>2.9155000000000001E-3</v>
      </c>
      <c r="H697">
        <v>9.0317999999999996E-3</v>
      </c>
      <c r="I697">
        <v>4.5570999999999997E-3</v>
      </c>
    </row>
    <row r="698" spans="1:9" x14ac:dyDescent="0.25">
      <c r="A698" s="104" t="str">
        <f t="shared" si="10"/>
        <v>Pakistan2017.5UrbanCommercialIUD</v>
      </c>
      <c r="B698" t="s">
        <v>146</v>
      </c>
      <c r="C698">
        <v>2017.5</v>
      </c>
      <c r="D698" t="s">
        <v>20</v>
      </c>
      <c r="E698" t="s">
        <v>59</v>
      </c>
      <c r="F698" t="s">
        <v>16</v>
      </c>
      <c r="G698">
        <v>7.7439999999999996E-4</v>
      </c>
      <c r="H698">
        <v>6.8155999999999998E-3</v>
      </c>
      <c r="I698">
        <v>6.8840000000000004E-4</v>
      </c>
    </row>
    <row r="699" spans="1:9" x14ac:dyDescent="0.25">
      <c r="A699" s="104" t="str">
        <f t="shared" si="10"/>
        <v>Pakistan2017.5RuralPub_MedIUD</v>
      </c>
      <c r="B699" t="s">
        <v>146</v>
      </c>
      <c r="C699">
        <v>2017.5</v>
      </c>
      <c r="D699" t="s">
        <v>21</v>
      </c>
      <c r="E699" t="s">
        <v>52</v>
      </c>
      <c r="F699" t="s">
        <v>16</v>
      </c>
      <c r="G699">
        <v>1.1686E-2</v>
      </c>
      <c r="H699">
        <v>1.5122200000000001E-2</v>
      </c>
      <c r="I699">
        <v>9.3897000000000008E-3</v>
      </c>
    </row>
    <row r="700" spans="1:9" x14ac:dyDescent="0.25">
      <c r="A700" s="104" t="str">
        <f t="shared" si="10"/>
        <v>Pakistan2017.5RuralPub_OutreachIUD</v>
      </c>
      <c r="B700" t="s">
        <v>146</v>
      </c>
      <c r="C700">
        <v>2017.5</v>
      </c>
      <c r="D700" t="s">
        <v>21</v>
      </c>
      <c r="E700" t="s">
        <v>54</v>
      </c>
      <c r="F700" t="s">
        <v>16</v>
      </c>
      <c r="G700">
        <v>2.3230000000000001E-4</v>
      </c>
      <c r="H700">
        <v>5.4609999999999999E-4</v>
      </c>
      <c r="I700">
        <v>8.7069999999999997E-4</v>
      </c>
    </row>
    <row r="701" spans="1:9" x14ac:dyDescent="0.25">
      <c r="A701" s="104" t="str">
        <f t="shared" si="10"/>
        <v>Pakistan2017.5RuralNGOIUD</v>
      </c>
      <c r="B701" t="s">
        <v>146</v>
      </c>
      <c r="C701">
        <v>2017.5</v>
      </c>
      <c r="D701" t="s">
        <v>21</v>
      </c>
      <c r="E701" t="s">
        <v>170</v>
      </c>
      <c r="F701" t="s">
        <v>16</v>
      </c>
      <c r="G701">
        <v>3.9740000000000001E-3</v>
      </c>
      <c r="H701">
        <v>5.8605000000000003E-3</v>
      </c>
      <c r="I701">
        <v>6.7996000000000003E-3</v>
      </c>
    </row>
    <row r="702" spans="1:9" x14ac:dyDescent="0.25">
      <c r="A702" s="104" t="str">
        <f t="shared" si="10"/>
        <v>Pakistan2017.5RuralCommercialIUD</v>
      </c>
      <c r="B702" t="s">
        <v>146</v>
      </c>
      <c r="C702">
        <v>2017.5</v>
      </c>
      <c r="D702" t="s">
        <v>21</v>
      </c>
      <c r="E702" t="s">
        <v>59</v>
      </c>
      <c r="F702" t="s">
        <v>16</v>
      </c>
      <c r="G702">
        <v>2.6270999999999998E-3</v>
      </c>
      <c r="H702">
        <v>2.3869E-3</v>
      </c>
      <c r="I702">
        <v>3.4298000000000002E-3</v>
      </c>
    </row>
    <row r="703" spans="1:9" x14ac:dyDescent="0.25">
      <c r="A703" s="104" t="str">
        <f t="shared" si="10"/>
        <v>Pakistan2017.5NationalPub_MedInjectable</v>
      </c>
      <c r="B703" t="s">
        <v>146</v>
      </c>
      <c r="C703">
        <v>2017.5</v>
      </c>
      <c r="D703" t="s">
        <v>178</v>
      </c>
      <c r="E703" t="s">
        <v>52</v>
      </c>
      <c r="F703" t="s">
        <v>22</v>
      </c>
      <c r="G703">
        <v>1.315E-2</v>
      </c>
      <c r="H703">
        <v>6.3191000000000002E-3</v>
      </c>
      <c r="I703">
        <v>3.5252E-3</v>
      </c>
    </row>
    <row r="704" spans="1:9" x14ac:dyDescent="0.25">
      <c r="A704" s="104" t="str">
        <f t="shared" si="10"/>
        <v>Pakistan2017.5NationalPub_OutreachInjectable</v>
      </c>
      <c r="B704" t="s">
        <v>146</v>
      </c>
      <c r="C704">
        <v>2017.5</v>
      </c>
      <c r="D704" t="s">
        <v>178</v>
      </c>
      <c r="E704" t="s">
        <v>54</v>
      </c>
      <c r="F704" t="s">
        <v>22</v>
      </c>
      <c r="G704">
        <v>4.8079999999999998E-3</v>
      </c>
      <c r="H704">
        <v>7.2654E-3</v>
      </c>
      <c r="I704">
        <v>3.5690000000000001E-3</v>
      </c>
    </row>
    <row r="705" spans="1:9" x14ac:dyDescent="0.25">
      <c r="A705" s="104" t="str">
        <f t="shared" si="10"/>
        <v>Pakistan2017.5NationalNGOInjectable</v>
      </c>
      <c r="B705" t="s">
        <v>146</v>
      </c>
      <c r="C705">
        <v>2017.5</v>
      </c>
      <c r="D705" t="s">
        <v>178</v>
      </c>
      <c r="E705" t="s">
        <v>170</v>
      </c>
      <c r="F705" t="s">
        <v>22</v>
      </c>
      <c r="G705">
        <v>2.9118E-3</v>
      </c>
      <c r="H705">
        <v>2.4646999999999998E-3</v>
      </c>
      <c r="I705">
        <v>1.763E-3</v>
      </c>
    </row>
    <row r="706" spans="1:9" x14ac:dyDescent="0.25">
      <c r="A706" s="104" t="str">
        <f t="shared" si="10"/>
        <v>Pakistan2017.5NationalCommercialInjectable</v>
      </c>
      <c r="B706" t="s">
        <v>146</v>
      </c>
      <c r="C706">
        <v>2017.5</v>
      </c>
      <c r="D706" t="s">
        <v>178</v>
      </c>
      <c r="E706" t="s">
        <v>59</v>
      </c>
      <c r="F706" t="s">
        <v>22</v>
      </c>
      <c r="G706">
        <v>7.0207999999999998E-3</v>
      </c>
      <c r="H706">
        <v>5.9871999999999998E-3</v>
      </c>
      <c r="I706">
        <v>2.0883E-3</v>
      </c>
    </row>
    <row r="707" spans="1:9" x14ac:dyDescent="0.25">
      <c r="A707" s="104" t="str">
        <f t="shared" ref="A707:A770" si="11">B707&amp;C707&amp;D707&amp;E707&amp;F707</f>
        <v>Pakistan2017.5NationalNonTradInjectable</v>
      </c>
      <c r="B707" t="s">
        <v>146</v>
      </c>
      <c r="C707">
        <v>2017.5</v>
      </c>
      <c r="D707" t="s">
        <v>178</v>
      </c>
      <c r="E707" t="s">
        <v>171</v>
      </c>
      <c r="F707" t="s">
        <v>22</v>
      </c>
      <c r="G707">
        <v>2.4580000000000001E-4</v>
      </c>
    </row>
    <row r="708" spans="1:9" x14ac:dyDescent="0.25">
      <c r="A708" s="104" t="str">
        <f t="shared" si="11"/>
        <v>Pakistan2017.5NationalOtherInjectable</v>
      </c>
      <c r="B708" t="s">
        <v>146</v>
      </c>
      <c r="C708">
        <v>2017.5</v>
      </c>
      <c r="D708" t="s">
        <v>178</v>
      </c>
      <c r="E708" t="s">
        <v>116</v>
      </c>
      <c r="F708" t="s">
        <v>22</v>
      </c>
      <c r="G708">
        <v>7.8240000000000004E-4</v>
      </c>
    </row>
    <row r="709" spans="1:9" x14ac:dyDescent="0.25">
      <c r="A709" s="104" t="str">
        <f t="shared" si="11"/>
        <v>Pakistan2017.5NationalInjectable</v>
      </c>
      <c r="B709" t="s">
        <v>146</v>
      </c>
      <c r="C709">
        <v>2017.5</v>
      </c>
      <c r="D709" t="s">
        <v>178</v>
      </c>
      <c r="F709" t="s">
        <v>22</v>
      </c>
      <c r="H709">
        <v>1.0349999999999999E-3</v>
      </c>
    </row>
    <row r="710" spans="1:9" x14ac:dyDescent="0.25">
      <c r="A710" s="104" t="str">
        <f t="shared" si="11"/>
        <v>Pakistan2017.5UrbanPub_MedInjectable</v>
      </c>
      <c r="B710" t="s">
        <v>146</v>
      </c>
      <c r="C710">
        <v>2017.5</v>
      </c>
      <c r="D710" t="s">
        <v>20</v>
      </c>
      <c r="E710" t="s">
        <v>52</v>
      </c>
      <c r="F710" t="s">
        <v>22</v>
      </c>
      <c r="G710">
        <v>9.8198999999999995E-3</v>
      </c>
      <c r="H710">
        <v>1.9599999999999999E-3</v>
      </c>
      <c r="I710">
        <v>3.2732E-3</v>
      </c>
    </row>
    <row r="711" spans="1:9" x14ac:dyDescent="0.25">
      <c r="A711" s="104" t="str">
        <f t="shared" si="11"/>
        <v>Pakistan2017.5UrbanPub_OutreachInjectable</v>
      </c>
      <c r="B711" t="s">
        <v>146</v>
      </c>
      <c r="C711">
        <v>2017.5</v>
      </c>
      <c r="D711" t="s">
        <v>20</v>
      </c>
      <c r="E711" t="s">
        <v>54</v>
      </c>
      <c r="F711" t="s">
        <v>22</v>
      </c>
      <c r="G711">
        <v>4.8804E-3</v>
      </c>
      <c r="H711">
        <v>2.8065999999999998E-3</v>
      </c>
      <c r="I711">
        <v>3.1827000000000001E-3</v>
      </c>
    </row>
    <row r="712" spans="1:9" x14ac:dyDescent="0.25">
      <c r="A712" s="104" t="str">
        <f t="shared" si="11"/>
        <v>Pakistan2017.5UrbanNGOInjectable</v>
      </c>
      <c r="B712" t="s">
        <v>146</v>
      </c>
      <c r="C712">
        <v>2017.5</v>
      </c>
      <c r="D712" t="s">
        <v>20</v>
      </c>
      <c r="E712" t="s">
        <v>170</v>
      </c>
      <c r="F712" t="s">
        <v>22</v>
      </c>
      <c r="G712">
        <v>2.2323999999999998E-3</v>
      </c>
    </row>
    <row r="713" spans="1:9" x14ac:dyDescent="0.25">
      <c r="A713" s="104" t="str">
        <f t="shared" si="11"/>
        <v>Pakistan2017.5UrbanCommercialInjectable</v>
      </c>
      <c r="B713" t="s">
        <v>146</v>
      </c>
      <c r="C713">
        <v>2017.5</v>
      </c>
      <c r="D713" t="s">
        <v>20</v>
      </c>
      <c r="E713" t="s">
        <v>59</v>
      </c>
      <c r="F713" t="s">
        <v>22</v>
      </c>
      <c r="G713">
        <v>3.2125000000000001E-3</v>
      </c>
      <c r="H713">
        <v>2.6865999999999999E-3</v>
      </c>
      <c r="I713">
        <v>1.5686000000000001E-3</v>
      </c>
    </row>
    <row r="714" spans="1:9" x14ac:dyDescent="0.25">
      <c r="A714" s="104" t="str">
        <f t="shared" si="11"/>
        <v>Pakistan2017.5UrbanNonTradInjectable</v>
      </c>
      <c r="B714" t="s">
        <v>146</v>
      </c>
      <c r="C714">
        <v>2017.5</v>
      </c>
      <c r="D714" t="s">
        <v>20</v>
      </c>
      <c r="E714" t="s">
        <v>171</v>
      </c>
      <c r="F714" t="s">
        <v>22</v>
      </c>
      <c r="G714">
        <v>1.7009999999999999E-4</v>
      </c>
    </row>
    <row r="715" spans="1:9" x14ac:dyDescent="0.25">
      <c r="A715" s="104" t="str">
        <f t="shared" si="11"/>
        <v>Pakistan2017.5UrbanOtherInjectable</v>
      </c>
      <c r="B715" t="s">
        <v>146</v>
      </c>
      <c r="C715">
        <v>2017.5</v>
      </c>
      <c r="D715" t="s">
        <v>20</v>
      </c>
      <c r="E715" t="s">
        <v>116</v>
      </c>
      <c r="F715" t="s">
        <v>22</v>
      </c>
      <c r="G715">
        <v>4.3800000000000002E-4</v>
      </c>
    </row>
    <row r="716" spans="1:9" x14ac:dyDescent="0.25">
      <c r="A716" s="104" t="str">
        <f t="shared" si="11"/>
        <v>Pakistan2017.5RuralPub_MedInjectable</v>
      </c>
      <c r="B716" t="s">
        <v>146</v>
      </c>
      <c r="C716">
        <v>2017.5</v>
      </c>
      <c r="D716" t="s">
        <v>21</v>
      </c>
      <c r="E716" t="s">
        <v>52</v>
      </c>
      <c r="F716" t="s">
        <v>22</v>
      </c>
      <c r="G716">
        <v>1.51693E-2</v>
      </c>
      <c r="H716">
        <v>8.8924999999999994E-3</v>
      </c>
      <c r="I716">
        <v>3.6541999999999998E-3</v>
      </c>
    </row>
    <row r="717" spans="1:9" x14ac:dyDescent="0.25">
      <c r="A717" s="104" t="str">
        <f t="shared" si="11"/>
        <v>Pakistan2017.5RuralPub_OutreachInjectable</v>
      </c>
      <c r="B717" t="s">
        <v>146</v>
      </c>
      <c r="C717">
        <v>2017.5</v>
      </c>
      <c r="D717" t="s">
        <v>21</v>
      </c>
      <c r="E717" t="s">
        <v>54</v>
      </c>
      <c r="F717" t="s">
        <v>22</v>
      </c>
      <c r="G717">
        <v>4.7641000000000003E-3</v>
      </c>
      <c r="H717">
        <v>9.8975E-3</v>
      </c>
      <c r="I717">
        <v>3.7669000000000001E-3</v>
      </c>
    </row>
    <row r="718" spans="1:9" x14ac:dyDescent="0.25">
      <c r="A718" s="104" t="str">
        <f t="shared" si="11"/>
        <v>Pakistan2017.5RuralNGOInjectable</v>
      </c>
      <c r="B718" t="s">
        <v>146</v>
      </c>
      <c r="C718">
        <v>2017.5</v>
      </c>
      <c r="D718" t="s">
        <v>21</v>
      </c>
      <c r="E718" t="s">
        <v>170</v>
      </c>
      <c r="F718" t="s">
        <v>22</v>
      </c>
      <c r="G718">
        <v>3.3238E-3</v>
      </c>
      <c r="H718">
        <v>3.9196999999999999E-3</v>
      </c>
      <c r="I718">
        <v>2.6657E-3</v>
      </c>
    </row>
    <row r="719" spans="1:9" x14ac:dyDescent="0.25">
      <c r="A719" s="104" t="str">
        <f t="shared" si="11"/>
        <v>Pakistan2017.5RuralCommercialInjectable</v>
      </c>
      <c r="B719" t="s">
        <v>146</v>
      </c>
      <c r="C719">
        <v>2017.5</v>
      </c>
      <c r="D719" t="s">
        <v>21</v>
      </c>
      <c r="E719" t="s">
        <v>59</v>
      </c>
      <c r="F719" t="s">
        <v>22</v>
      </c>
      <c r="G719">
        <v>9.3300999999999992E-3</v>
      </c>
      <c r="H719">
        <v>7.9355999999999993E-3</v>
      </c>
      <c r="I719">
        <v>2.3543000000000001E-3</v>
      </c>
    </row>
    <row r="720" spans="1:9" x14ac:dyDescent="0.25">
      <c r="A720" s="104" t="str">
        <f t="shared" si="11"/>
        <v>Pakistan2017.5RuralNonTradInjectable</v>
      </c>
      <c r="B720" t="s">
        <v>146</v>
      </c>
      <c r="C720">
        <v>2017.5</v>
      </c>
      <c r="D720" t="s">
        <v>21</v>
      </c>
      <c r="E720" t="s">
        <v>171</v>
      </c>
      <c r="F720" t="s">
        <v>22</v>
      </c>
      <c r="G720">
        <v>2.9169999999999999E-4</v>
      </c>
    </row>
    <row r="721" spans="1:9" x14ac:dyDescent="0.25">
      <c r="A721" s="104" t="str">
        <f t="shared" si="11"/>
        <v>Pakistan2017.5RuralOtherInjectable</v>
      </c>
      <c r="B721" t="s">
        <v>146</v>
      </c>
      <c r="C721">
        <v>2017.5</v>
      </c>
      <c r="D721" t="s">
        <v>21</v>
      </c>
      <c r="E721" t="s">
        <v>116</v>
      </c>
      <c r="F721" t="s">
        <v>22</v>
      </c>
      <c r="G721">
        <v>9.9130000000000008E-4</v>
      </c>
    </row>
    <row r="722" spans="1:9" x14ac:dyDescent="0.25">
      <c r="A722" s="104" t="str">
        <f t="shared" si="11"/>
        <v>Pakistan2017.5RuralInjectable</v>
      </c>
      <c r="B722" t="s">
        <v>146</v>
      </c>
      <c r="C722">
        <v>2017.5</v>
      </c>
      <c r="D722" t="s">
        <v>21</v>
      </c>
      <c r="F722" t="s">
        <v>22</v>
      </c>
      <c r="H722">
        <v>1.6459999999999999E-3</v>
      </c>
    </row>
    <row r="723" spans="1:9" x14ac:dyDescent="0.25">
      <c r="A723" s="104" t="str">
        <f t="shared" si="11"/>
        <v>Pakistan2017.5NationalPub_MedCondom</v>
      </c>
      <c r="B723" t="s">
        <v>146</v>
      </c>
      <c r="C723">
        <v>2017.5</v>
      </c>
      <c r="D723" t="s">
        <v>178</v>
      </c>
      <c r="E723" t="s">
        <v>52</v>
      </c>
      <c r="F723" t="s">
        <v>25</v>
      </c>
      <c r="G723">
        <v>2.5666E-3</v>
      </c>
      <c r="H723">
        <v>3.0477999999999998E-3</v>
      </c>
      <c r="I723">
        <v>4.0892999999999997E-3</v>
      </c>
    </row>
    <row r="724" spans="1:9" x14ac:dyDescent="0.25">
      <c r="A724" s="104" t="str">
        <f t="shared" si="11"/>
        <v>Pakistan2017.5NationalPub_OutreachCondom</v>
      </c>
      <c r="B724" t="s">
        <v>146</v>
      </c>
      <c r="C724">
        <v>2017.5</v>
      </c>
      <c r="D724" t="s">
        <v>178</v>
      </c>
      <c r="E724" t="s">
        <v>54</v>
      </c>
      <c r="F724" t="s">
        <v>25</v>
      </c>
      <c r="G724">
        <v>7.6556999999999997E-3</v>
      </c>
      <c r="H724">
        <v>2.7754500000000001E-2</v>
      </c>
      <c r="I724">
        <v>1.87867E-2</v>
      </c>
    </row>
    <row r="725" spans="1:9" x14ac:dyDescent="0.25">
      <c r="A725" s="104" t="str">
        <f t="shared" si="11"/>
        <v>Pakistan2017.5NationalNGOCondom</v>
      </c>
      <c r="B725" t="s">
        <v>146</v>
      </c>
      <c r="C725">
        <v>2017.5</v>
      </c>
      <c r="D725" t="s">
        <v>178</v>
      </c>
      <c r="E725" t="s">
        <v>170</v>
      </c>
      <c r="F725" t="s">
        <v>25</v>
      </c>
      <c r="G725">
        <v>6.4249999999999995E-4</v>
      </c>
      <c r="H725">
        <v>2.7185E-3</v>
      </c>
      <c r="I725">
        <v>2.6358000000000002E-3</v>
      </c>
    </row>
    <row r="726" spans="1:9" x14ac:dyDescent="0.25">
      <c r="A726" s="104" t="str">
        <f t="shared" si="11"/>
        <v>Pakistan2017.5NationalCommercialCondom</v>
      </c>
      <c r="B726" t="s">
        <v>146</v>
      </c>
      <c r="C726">
        <v>2017.5</v>
      </c>
      <c r="D726" t="s">
        <v>178</v>
      </c>
      <c r="E726" t="s">
        <v>59</v>
      </c>
      <c r="F726" t="s">
        <v>25</v>
      </c>
      <c r="G726">
        <v>2.8093400000000001E-2</v>
      </c>
      <c r="H726">
        <v>4.1252999999999998E-2</v>
      </c>
      <c r="I726">
        <v>8.0438599999999999E-2</v>
      </c>
    </row>
    <row r="727" spans="1:9" x14ac:dyDescent="0.25">
      <c r="A727" s="104" t="str">
        <f t="shared" si="11"/>
        <v>Pakistan2017.5NationalNonTradCondom</v>
      </c>
      <c r="B727" t="s">
        <v>146</v>
      </c>
      <c r="C727">
        <v>2017.5</v>
      </c>
      <c r="D727" t="s">
        <v>178</v>
      </c>
      <c r="E727" t="s">
        <v>171</v>
      </c>
      <c r="F727" t="s">
        <v>25</v>
      </c>
      <c r="G727">
        <v>2.22989E-2</v>
      </c>
      <c r="H727">
        <v>2.4357299999999998E-2</v>
      </c>
      <c r="I727">
        <v>3.10584E-2</v>
      </c>
    </row>
    <row r="728" spans="1:9" x14ac:dyDescent="0.25">
      <c r="A728" s="104" t="str">
        <f t="shared" si="11"/>
        <v>Pakistan2017.5NationalOtherCondom</v>
      </c>
      <c r="B728" t="s">
        <v>146</v>
      </c>
      <c r="C728">
        <v>2017.5</v>
      </c>
      <c r="D728" t="s">
        <v>178</v>
      </c>
      <c r="E728" t="s">
        <v>116</v>
      </c>
      <c r="F728" t="s">
        <v>25</v>
      </c>
      <c r="G728">
        <v>2.4228000000000001E-3</v>
      </c>
      <c r="H728">
        <v>3.4548999999999999E-3</v>
      </c>
      <c r="I728">
        <v>4.3274999999999997E-3</v>
      </c>
    </row>
    <row r="729" spans="1:9" x14ac:dyDescent="0.25">
      <c r="A729" s="104" t="str">
        <f t="shared" si="11"/>
        <v>Pakistan2017.5NationalCondom</v>
      </c>
      <c r="B729" t="s">
        <v>146</v>
      </c>
      <c r="C729">
        <v>2017.5</v>
      </c>
      <c r="D729" t="s">
        <v>178</v>
      </c>
      <c r="F729" t="s">
        <v>25</v>
      </c>
      <c r="G729">
        <v>3.0300000000000001E-5</v>
      </c>
      <c r="H729">
        <v>9.8430000000000002E-4</v>
      </c>
    </row>
    <row r="730" spans="1:9" x14ac:dyDescent="0.25">
      <c r="A730" s="104" t="str">
        <f t="shared" si="11"/>
        <v>Pakistan2017.5UrbanPub_MedCondom</v>
      </c>
      <c r="B730" t="s">
        <v>146</v>
      </c>
      <c r="C730">
        <v>2017.5</v>
      </c>
      <c r="D730" t="s">
        <v>20</v>
      </c>
      <c r="E730" t="s">
        <v>52</v>
      </c>
      <c r="F730" t="s">
        <v>25</v>
      </c>
      <c r="G730">
        <v>3.6440999999999999E-3</v>
      </c>
      <c r="H730">
        <v>1.3531000000000001E-3</v>
      </c>
      <c r="I730">
        <v>1.2308E-3</v>
      </c>
    </row>
    <row r="731" spans="1:9" x14ac:dyDescent="0.25">
      <c r="A731" s="104" t="str">
        <f t="shared" si="11"/>
        <v>Pakistan2017.5UrbanPub_OutreachCondom</v>
      </c>
      <c r="B731" t="s">
        <v>146</v>
      </c>
      <c r="C731">
        <v>2017.5</v>
      </c>
      <c r="D731" t="s">
        <v>20</v>
      </c>
      <c r="E731" t="s">
        <v>54</v>
      </c>
      <c r="F731" t="s">
        <v>25</v>
      </c>
      <c r="G731">
        <v>1.0141900000000001E-2</v>
      </c>
      <c r="H731">
        <v>1.67437E-2</v>
      </c>
      <c r="I731">
        <v>1.27102E-2</v>
      </c>
    </row>
    <row r="732" spans="1:9" x14ac:dyDescent="0.25">
      <c r="A732" s="104" t="str">
        <f t="shared" si="11"/>
        <v>Pakistan2017.5UrbanNGOCondom</v>
      </c>
      <c r="B732" t="s">
        <v>146</v>
      </c>
      <c r="C732">
        <v>2017.5</v>
      </c>
      <c r="D732" t="s">
        <v>20</v>
      </c>
      <c r="E732" t="s">
        <v>170</v>
      </c>
      <c r="F732" t="s">
        <v>25</v>
      </c>
      <c r="G732">
        <v>1.5402E-3</v>
      </c>
      <c r="H732">
        <v>6.3690999999999999E-3</v>
      </c>
      <c r="I732">
        <v>7.7840000000000001E-3</v>
      </c>
    </row>
    <row r="733" spans="1:9" x14ac:dyDescent="0.25">
      <c r="A733" s="104" t="str">
        <f t="shared" si="11"/>
        <v>Pakistan2017.5UrbanCommercialCondom</v>
      </c>
      <c r="B733" t="s">
        <v>146</v>
      </c>
      <c r="C733">
        <v>2017.5</v>
      </c>
      <c r="D733" t="s">
        <v>20</v>
      </c>
      <c r="E733" t="s">
        <v>59</v>
      </c>
      <c r="F733" t="s">
        <v>25</v>
      </c>
      <c r="G733">
        <v>5.3268799999999998E-2</v>
      </c>
      <c r="H733">
        <v>6.3677399999999995E-2</v>
      </c>
      <c r="I733">
        <v>9.2235600000000001E-2</v>
      </c>
    </row>
    <row r="734" spans="1:9" x14ac:dyDescent="0.25">
      <c r="A734" s="104" t="str">
        <f t="shared" si="11"/>
        <v>Pakistan2017.5UrbanNonTradCondom</v>
      </c>
      <c r="B734" t="s">
        <v>146</v>
      </c>
      <c r="C734">
        <v>2017.5</v>
      </c>
      <c r="D734" t="s">
        <v>20</v>
      </c>
      <c r="E734" t="s">
        <v>171</v>
      </c>
      <c r="F734" t="s">
        <v>25</v>
      </c>
      <c r="G734">
        <v>3.17285E-2</v>
      </c>
      <c r="H734">
        <v>3.3787600000000001E-2</v>
      </c>
      <c r="I734">
        <v>4.9130600000000003E-2</v>
      </c>
    </row>
    <row r="735" spans="1:9" x14ac:dyDescent="0.25">
      <c r="A735" s="104" t="str">
        <f t="shared" si="11"/>
        <v>Pakistan2017.5UrbanOtherCondom</v>
      </c>
      <c r="B735" t="s">
        <v>146</v>
      </c>
      <c r="C735">
        <v>2017.5</v>
      </c>
      <c r="D735" t="s">
        <v>20</v>
      </c>
      <c r="E735" t="s">
        <v>116</v>
      </c>
      <c r="F735" t="s">
        <v>25</v>
      </c>
      <c r="G735">
        <v>4.6455000000000003E-3</v>
      </c>
      <c r="H735">
        <v>4.2880000000000001E-3</v>
      </c>
      <c r="I735">
        <v>7.9316999999999999E-3</v>
      </c>
    </row>
    <row r="736" spans="1:9" x14ac:dyDescent="0.25">
      <c r="A736" s="104" t="str">
        <f t="shared" si="11"/>
        <v>Pakistan2017.5UrbanCondom</v>
      </c>
      <c r="B736" t="s">
        <v>146</v>
      </c>
      <c r="C736">
        <v>2017.5</v>
      </c>
      <c r="D736" t="s">
        <v>20</v>
      </c>
      <c r="F736" t="s">
        <v>25</v>
      </c>
      <c r="G736">
        <v>8.03E-5</v>
      </c>
      <c r="H736">
        <v>2.6516000000000001E-3</v>
      </c>
    </row>
    <row r="737" spans="1:9" x14ac:dyDescent="0.25">
      <c r="A737" s="104" t="str">
        <f t="shared" si="11"/>
        <v>Pakistan2017.5RuralPub_MedCondom</v>
      </c>
      <c r="B737" t="s">
        <v>146</v>
      </c>
      <c r="C737">
        <v>2017.5</v>
      </c>
      <c r="D737" t="s">
        <v>21</v>
      </c>
      <c r="E737" t="s">
        <v>52</v>
      </c>
      <c r="F737" t="s">
        <v>25</v>
      </c>
      <c r="G737">
        <v>1.9132000000000001E-3</v>
      </c>
      <c r="H737">
        <v>4.0482000000000001E-3</v>
      </c>
      <c r="I737">
        <v>5.5528000000000001E-3</v>
      </c>
    </row>
    <row r="738" spans="1:9" x14ac:dyDescent="0.25">
      <c r="A738" s="104" t="str">
        <f t="shared" si="11"/>
        <v>Pakistan2017.5RuralPub_OutreachCondom</v>
      </c>
      <c r="B738" t="s">
        <v>146</v>
      </c>
      <c r="C738">
        <v>2017.5</v>
      </c>
      <c r="D738" t="s">
        <v>21</v>
      </c>
      <c r="E738" t="s">
        <v>54</v>
      </c>
      <c r="F738" t="s">
        <v>25</v>
      </c>
      <c r="G738">
        <v>6.1481000000000001E-3</v>
      </c>
      <c r="H738">
        <v>3.42545E-2</v>
      </c>
      <c r="I738">
        <v>2.1897799999999999E-2</v>
      </c>
    </row>
    <row r="739" spans="1:9" x14ac:dyDescent="0.25">
      <c r="A739" s="104" t="str">
        <f t="shared" si="11"/>
        <v>Pakistan2017.5RuralNGOCondom</v>
      </c>
      <c r="B739" t="s">
        <v>146</v>
      </c>
      <c r="C739">
        <v>2017.5</v>
      </c>
      <c r="D739" t="s">
        <v>21</v>
      </c>
      <c r="E739" t="s">
        <v>170</v>
      </c>
      <c r="F739" t="s">
        <v>25</v>
      </c>
      <c r="G739">
        <v>9.8099999999999999E-5</v>
      </c>
      <c r="H739">
        <v>5.6340000000000003E-4</v>
      </c>
    </row>
    <row r="740" spans="1:9" x14ac:dyDescent="0.25">
      <c r="A740" s="104" t="str">
        <f t="shared" si="11"/>
        <v>Pakistan2017.5RuralCommercialCondom</v>
      </c>
      <c r="B740" t="s">
        <v>146</v>
      </c>
      <c r="C740">
        <v>2017.5</v>
      </c>
      <c r="D740" t="s">
        <v>21</v>
      </c>
      <c r="E740" t="s">
        <v>59</v>
      </c>
      <c r="F740" t="s">
        <v>25</v>
      </c>
      <c r="G740">
        <v>1.2827E-2</v>
      </c>
      <c r="H740">
        <v>2.8015200000000001E-2</v>
      </c>
      <c r="I740">
        <v>7.4398800000000001E-2</v>
      </c>
    </row>
    <row r="741" spans="1:9" x14ac:dyDescent="0.25">
      <c r="A741" s="104" t="str">
        <f t="shared" si="11"/>
        <v>Pakistan2017.5RuralNonTradCondom</v>
      </c>
      <c r="B741" t="s">
        <v>146</v>
      </c>
      <c r="C741">
        <v>2017.5</v>
      </c>
      <c r="D741" t="s">
        <v>21</v>
      </c>
      <c r="E741" t="s">
        <v>171</v>
      </c>
      <c r="F741" t="s">
        <v>25</v>
      </c>
      <c r="G741">
        <v>1.65808E-2</v>
      </c>
      <c r="H741">
        <v>1.8790299999999999E-2</v>
      </c>
      <c r="I741">
        <v>2.18059E-2</v>
      </c>
    </row>
    <row r="742" spans="1:9" x14ac:dyDescent="0.25">
      <c r="A742" s="104" t="str">
        <f t="shared" si="11"/>
        <v>Pakistan2017.5RuralOtherCondom</v>
      </c>
      <c r="B742" t="s">
        <v>146</v>
      </c>
      <c r="C742">
        <v>2017.5</v>
      </c>
      <c r="D742" t="s">
        <v>21</v>
      </c>
      <c r="E742" t="s">
        <v>116</v>
      </c>
      <c r="F742" t="s">
        <v>25</v>
      </c>
      <c r="G742">
        <v>1.075E-3</v>
      </c>
      <c r="H742">
        <v>2.9631000000000002E-3</v>
      </c>
      <c r="I742">
        <v>2.4821000000000001E-3</v>
      </c>
    </row>
    <row r="743" spans="1:9" x14ac:dyDescent="0.25">
      <c r="A743" s="104" t="str">
        <f t="shared" si="11"/>
        <v>Pakistan2017.5NationalPub_MedImplant</v>
      </c>
      <c r="B743" t="s">
        <v>146</v>
      </c>
      <c r="C743">
        <v>2017.5</v>
      </c>
      <c r="D743" t="s">
        <v>178</v>
      </c>
      <c r="E743" t="s">
        <v>52</v>
      </c>
      <c r="F743" t="s">
        <v>23</v>
      </c>
      <c r="G743">
        <v>4.6284999999999998E-3</v>
      </c>
      <c r="H743">
        <v>2.2501000000000001E-3</v>
      </c>
      <c r="I743">
        <v>2.0139999999999999E-4</v>
      </c>
    </row>
    <row r="744" spans="1:9" x14ac:dyDescent="0.25">
      <c r="A744" s="104" t="str">
        <f t="shared" si="11"/>
        <v>Pakistan2017.5NationalPub_OutreachImplant</v>
      </c>
      <c r="B744" t="s">
        <v>146</v>
      </c>
      <c r="C744">
        <v>2017.5</v>
      </c>
      <c r="D744" t="s">
        <v>178</v>
      </c>
      <c r="E744" t="s">
        <v>54</v>
      </c>
      <c r="F744" t="s">
        <v>23</v>
      </c>
      <c r="G744">
        <v>7.8810000000000002E-4</v>
      </c>
    </row>
    <row r="745" spans="1:9" x14ac:dyDescent="0.25">
      <c r="A745" s="104" t="str">
        <f t="shared" si="11"/>
        <v>Pakistan2017.5NationalNGOImplant</v>
      </c>
      <c r="B745" t="s">
        <v>146</v>
      </c>
      <c r="C745">
        <v>2017.5</v>
      </c>
      <c r="D745" t="s">
        <v>178</v>
      </c>
      <c r="E745" t="s">
        <v>170</v>
      </c>
      <c r="F745" t="s">
        <v>23</v>
      </c>
      <c r="G745">
        <v>5.5480000000000004E-4</v>
      </c>
      <c r="H745">
        <v>4.0860000000000001E-4</v>
      </c>
      <c r="I745">
        <v>3.8440000000000002E-4</v>
      </c>
    </row>
    <row r="746" spans="1:9" x14ac:dyDescent="0.25">
      <c r="A746" s="104" t="str">
        <f t="shared" si="11"/>
        <v>Pakistan2017.5NationalCommercialImplant</v>
      </c>
      <c r="B746" t="s">
        <v>146</v>
      </c>
      <c r="C746">
        <v>2017.5</v>
      </c>
      <c r="D746" t="s">
        <v>178</v>
      </c>
      <c r="E746" t="s">
        <v>59</v>
      </c>
      <c r="F746" t="s">
        <v>23</v>
      </c>
      <c r="H746">
        <v>4.1859999999999998E-4</v>
      </c>
      <c r="I746">
        <v>1.4909999999999999E-4</v>
      </c>
    </row>
    <row r="747" spans="1:9" x14ac:dyDescent="0.25">
      <c r="A747" s="104" t="str">
        <f t="shared" si="11"/>
        <v>Pakistan2017.5UrbanPub_MedImplant</v>
      </c>
      <c r="B747" t="s">
        <v>146</v>
      </c>
      <c r="C747">
        <v>2017.5</v>
      </c>
      <c r="D747" t="s">
        <v>20</v>
      </c>
      <c r="E747" t="s">
        <v>52</v>
      </c>
      <c r="F747" t="s">
        <v>23</v>
      </c>
      <c r="G747">
        <v>4.0244E-3</v>
      </c>
      <c r="H747">
        <v>2.7780000000000001E-3</v>
      </c>
      <c r="I747">
        <v>3.3839999999999999E-4</v>
      </c>
    </row>
    <row r="748" spans="1:9" x14ac:dyDescent="0.25">
      <c r="A748" s="104" t="str">
        <f t="shared" si="11"/>
        <v>Pakistan2017.5UrbanPub_OutreachImplant</v>
      </c>
      <c r="B748" t="s">
        <v>146</v>
      </c>
      <c r="C748">
        <v>2017.5</v>
      </c>
      <c r="D748" t="s">
        <v>20</v>
      </c>
      <c r="E748" t="s">
        <v>54</v>
      </c>
      <c r="F748" t="s">
        <v>23</v>
      </c>
      <c r="G748">
        <v>1.1640000000000001E-3</v>
      </c>
    </row>
    <row r="749" spans="1:9" x14ac:dyDescent="0.25">
      <c r="A749" s="104" t="str">
        <f t="shared" si="11"/>
        <v>Pakistan2017.5UrbanNGOImplant</v>
      </c>
      <c r="B749" t="s">
        <v>146</v>
      </c>
      <c r="C749">
        <v>2017.5</v>
      </c>
      <c r="D749" t="s">
        <v>20</v>
      </c>
      <c r="E749" t="s">
        <v>170</v>
      </c>
      <c r="F749" t="s">
        <v>23</v>
      </c>
      <c r="H749">
        <v>1.1008000000000001E-3</v>
      </c>
      <c r="I749">
        <v>1.1352999999999999E-3</v>
      </c>
    </row>
    <row r="750" spans="1:9" x14ac:dyDescent="0.25">
      <c r="A750" s="104" t="str">
        <f t="shared" si="11"/>
        <v>Pakistan2017.5RuralPub_MedImplant</v>
      </c>
      <c r="B750" t="s">
        <v>146</v>
      </c>
      <c r="C750">
        <v>2017.5</v>
      </c>
      <c r="D750" t="s">
        <v>21</v>
      </c>
      <c r="E750" t="s">
        <v>52</v>
      </c>
      <c r="F750" t="s">
        <v>23</v>
      </c>
      <c r="G750">
        <v>4.9947999999999998E-3</v>
      </c>
      <c r="H750">
        <v>1.9384000000000001E-3</v>
      </c>
      <c r="I750">
        <v>1.3129999999999999E-4</v>
      </c>
    </row>
    <row r="751" spans="1:9" x14ac:dyDescent="0.25">
      <c r="A751" s="104" t="str">
        <f t="shared" si="11"/>
        <v>Pakistan2017.5RuralPub_OutreachImplant</v>
      </c>
      <c r="B751" t="s">
        <v>146</v>
      </c>
      <c r="C751">
        <v>2017.5</v>
      </c>
      <c r="D751" t="s">
        <v>21</v>
      </c>
      <c r="E751" t="s">
        <v>54</v>
      </c>
      <c r="F751" t="s">
        <v>23</v>
      </c>
      <c r="G751">
        <v>5.6019999999999996E-4</v>
      </c>
    </row>
    <row r="752" spans="1:9" x14ac:dyDescent="0.25">
      <c r="A752" s="104" t="str">
        <f t="shared" si="11"/>
        <v>Pakistan2017.5RuralNGOImplant</v>
      </c>
      <c r="B752" t="s">
        <v>146</v>
      </c>
      <c r="C752">
        <v>2017.5</v>
      </c>
      <c r="D752" t="s">
        <v>21</v>
      </c>
      <c r="E752" t="s">
        <v>170</v>
      </c>
      <c r="F752" t="s">
        <v>23</v>
      </c>
      <c r="G752">
        <v>8.9119999999999998E-4</v>
      </c>
    </row>
    <row r="753" spans="1:9" x14ac:dyDescent="0.25">
      <c r="A753" s="104" t="str">
        <f t="shared" si="11"/>
        <v>Pakistan2017.5RuralCommercialImplant</v>
      </c>
      <c r="B753" t="s">
        <v>146</v>
      </c>
      <c r="C753">
        <v>2017.5</v>
      </c>
      <c r="D753" t="s">
        <v>21</v>
      </c>
      <c r="E753" t="s">
        <v>59</v>
      </c>
      <c r="F753" t="s">
        <v>23</v>
      </c>
      <c r="H753">
        <v>6.6569999999999997E-4</v>
      </c>
      <c r="I753">
        <v>2.254E-4</v>
      </c>
    </row>
    <row r="754" spans="1:9" x14ac:dyDescent="0.25">
      <c r="A754" s="104" t="str">
        <f t="shared" si="11"/>
        <v>Philippines2013NationalPub_MedPill</v>
      </c>
      <c r="B754" t="s">
        <v>148</v>
      </c>
      <c r="C754">
        <v>2013</v>
      </c>
      <c r="D754" t="s">
        <v>178</v>
      </c>
      <c r="E754" t="s">
        <v>52</v>
      </c>
      <c r="F754" t="s">
        <v>12</v>
      </c>
      <c r="G754">
        <v>4.0270899999999998E-2</v>
      </c>
      <c r="H754">
        <v>2.2320599999999999E-2</v>
      </c>
      <c r="I754">
        <v>6.1307000000000002E-3</v>
      </c>
    </row>
    <row r="755" spans="1:9" x14ac:dyDescent="0.25">
      <c r="A755" s="104" t="str">
        <f t="shared" si="11"/>
        <v>Philippines2013NationalPub_OutreachPill</v>
      </c>
      <c r="B755" t="s">
        <v>148</v>
      </c>
      <c r="C755">
        <v>2013</v>
      </c>
      <c r="D755" t="s">
        <v>178</v>
      </c>
      <c r="E755" t="s">
        <v>54</v>
      </c>
      <c r="F755" t="s">
        <v>12</v>
      </c>
      <c r="G755">
        <v>1.6819000000000001E-3</v>
      </c>
      <c r="H755">
        <v>8.5019999999999996E-4</v>
      </c>
      <c r="I755">
        <v>9.9240000000000005E-4</v>
      </c>
    </row>
    <row r="756" spans="1:9" x14ac:dyDescent="0.25">
      <c r="A756" s="104" t="str">
        <f t="shared" si="11"/>
        <v>Philippines2013NationalNGOPill</v>
      </c>
      <c r="B756" t="s">
        <v>148</v>
      </c>
      <c r="C756">
        <v>2013</v>
      </c>
      <c r="D756" t="s">
        <v>178</v>
      </c>
      <c r="E756" t="s">
        <v>170</v>
      </c>
      <c r="F756" t="s">
        <v>12</v>
      </c>
      <c r="G756">
        <v>1.451E-4</v>
      </c>
      <c r="I756">
        <v>3.503E-4</v>
      </c>
    </row>
    <row r="757" spans="1:9" x14ac:dyDescent="0.25">
      <c r="A757" s="104" t="str">
        <f t="shared" si="11"/>
        <v>Philippines2013NationalCommercialPill</v>
      </c>
      <c r="B757" t="s">
        <v>148</v>
      </c>
      <c r="C757">
        <v>2013</v>
      </c>
      <c r="D757" t="s">
        <v>178</v>
      </c>
      <c r="E757" t="s">
        <v>59</v>
      </c>
      <c r="F757" t="s">
        <v>12</v>
      </c>
      <c r="G757">
        <v>8.2598599999999994E-2</v>
      </c>
      <c r="H757">
        <v>8.9280999999999999E-2</v>
      </c>
      <c r="I757">
        <v>6.6445699999999996E-2</v>
      </c>
    </row>
    <row r="758" spans="1:9" x14ac:dyDescent="0.25">
      <c r="A758" s="104" t="str">
        <f t="shared" si="11"/>
        <v>Philippines2013NationalNonTradPill</v>
      </c>
      <c r="B758" t="s">
        <v>148</v>
      </c>
      <c r="C758">
        <v>2013</v>
      </c>
      <c r="D758" t="s">
        <v>178</v>
      </c>
      <c r="E758" t="s">
        <v>171</v>
      </c>
      <c r="F758" t="s">
        <v>12</v>
      </c>
      <c r="G758">
        <v>9.3670999999999997E-3</v>
      </c>
      <c r="H758">
        <v>5.0194000000000003E-3</v>
      </c>
      <c r="I758">
        <v>2.2249000000000001E-3</v>
      </c>
    </row>
    <row r="759" spans="1:9" x14ac:dyDescent="0.25">
      <c r="A759" s="104" t="str">
        <f t="shared" si="11"/>
        <v>Philippines2013NationalOtherPill</v>
      </c>
      <c r="B759" t="s">
        <v>148</v>
      </c>
      <c r="C759">
        <v>2013</v>
      </c>
      <c r="D759" t="s">
        <v>178</v>
      </c>
      <c r="E759" t="s">
        <v>116</v>
      </c>
      <c r="F759" t="s">
        <v>12</v>
      </c>
      <c r="G759">
        <v>7.3990000000000004E-4</v>
      </c>
      <c r="H759">
        <v>9.6829999999999996E-4</v>
      </c>
      <c r="I759">
        <v>2.1188000000000001E-3</v>
      </c>
    </row>
    <row r="760" spans="1:9" x14ac:dyDescent="0.25">
      <c r="A760" s="104" t="str">
        <f t="shared" si="11"/>
        <v>Philippines2013UrbanPub_MedPill</v>
      </c>
      <c r="B760" t="s">
        <v>148</v>
      </c>
      <c r="C760">
        <v>2013</v>
      </c>
      <c r="D760" t="s">
        <v>20</v>
      </c>
      <c r="E760" t="s">
        <v>52</v>
      </c>
      <c r="F760" t="s">
        <v>12</v>
      </c>
      <c r="G760">
        <v>3.0667300000000002E-2</v>
      </c>
      <c r="H760">
        <v>1.51568E-2</v>
      </c>
      <c r="I760">
        <v>2.3368999999999998E-3</v>
      </c>
    </row>
    <row r="761" spans="1:9" x14ac:dyDescent="0.25">
      <c r="A761" s="104" t="str">
        <f t="shared" si="11"/>
        <v>Philippines2013UrbanPub_OutreachPill</v>
      </c>
      <c r="B761" t="s">
        <v>148</v>
      </c>
      <c r="C761">
        <v>2013</v>
      </c>
      <c r="D761" t="s">
        <v>20</v>
      </c>
      <c r="E761" t="s">
        <v>54</v>
      </c>
      <c r="F761" t="s">
        <v>12</v>
      </c>
      <c r="G761">
        <v>1.1167E-3</v>
      </c>
      <c r="H761">
        <v>1.5792E-3</v>
      </c>
      <c r="I761">
        <v>6.5899999999999997E-4</v>
      </c>
    </row>
    <row r="762" spans="1:9" x14ac:dyDescent="0.25">
      <c r="A762" s="104" t="str">
        <f t="shared" si="11"/>
        <v>Philippines2013UrbanNGOPill</v>
      </c>
      <c r="B762" t="s">
        <v>148</v>
      </c>
      <c r="C762">
        <v>2013</v>
      </c>
      <c r="D762" t="s">
        <v>20</v>
      </c>
      <c r="E762" t="s">
        <v>170</v>
      </c>
      <c r="F762" t="s">
        <v>12</v>
      </c>
      <c r="G762">
        <v>2.744E-4</v>
      </c>
      <c r="I762">
        <v>6.5899999999999997E-4</v>
      </c>
    </row>
    <row r="763" spans="1:9" x14ac:dyDescent="0.25">
      <c r="A763" s="104" t="str">
        <f t="shared" si="11"/>
        <v>Philippines2013UrbanCommercialPill</v>
      </c>
      <c r="B763" t="s">
        <v>148</v>
      </c>
      <c r="C763">
        <v>2013</v>
      </c>
      <c r="D763" t="s">
        <v>20</v>
      </c>
      <c r="E763" t="s">
        <v>59</v>
      </c>
      <c r="F763" t="s">
        <v>12</v>
      </c>
      <c r="G763">
        <v>8.6799299999999996E-2</v>
      </c>
      <c r="H763">
        <v>7.7747899999999995E-2</v>
      </c>
      <c r="I763">
        <v>5.4068999999999999E-2</v>
      </c>
    </row>
    <row r="764" spans="1:9" x14ac:dyDescent="0.25">
      <c r="A764" s="104" t="str">
        <f t="shared" si="11"/>
        <v>Philippines2013UrbanNonTradPill</v>
      </c>
      <c r="B764" t="s">
        <v>148</v>
      </c>
      <c r="C764">
        <v>2013</v>
      </c>
      <c r="D764" t="s">
        <v>20</v>
      </c>
      <c r="E764" t="s">
        <v>171</v>
      </c>
      <c r="F764" t="s">
        <v>12</v>
      </c>
      <c r="G764">
        <v>4.1860999999999999E-3</v>
      </c>
      <c r="H764">
        <v>1.4724E-3</v>
      </c>
      <c r="I764">
        <v>1.689E-3</v>
      </c>
    </row>
    <row r="765" spans="1:9" x14ac:dyDescent="0.25">
      <c r="A765" s="104" t="str">
        <f t="shared" si="11"/>
        <v>Philippines2013UrbanOtherPill</v>
      </c>
      <c r="B765" t="s">
        <v>148</v>
      </c>
      <c r="C765">
        <v>2013</v>
      </c>
      <c r="D765" t="s">
        <v>20</v>
      </c>
      <c r="E765" t="s">
        <v>116</v>
      </c>
      <c r="F765" t="s">
        <v>12</v>
      </c>
      <c r="G765">
        <v>6.9399999999999996E-4</v>
      </c>
      <c r="H765">
        <v>1.3933999999999999E-3</v>
      </c>
      <c r="I765">
        <v>2.8116E-3</v>
      </c>
    </row>
    <row r="766" spans="1:9" x14ac:dyDescent="0.25">
      <c r="A766" s="104" t="str">
        <f t="shared" si="11"/>
        <v>Philippines2013RuralPub_MedPill</v>
      </c>
      <c r="B766" t="s">
        <v>148</v>
      </c>
      <c r="C766">
        <v>2013</v>
      </c>
      <c r="D766" t="s">
        <v>21</v>
      </c>
      <c r="E766" t="s">
        <v>52</v>
      </c>
      <c r="F766" t="s">
        <v>12</v>
      </c>
      <c r="G766">
        <v>5.1043600000000001E-2</v>
      </c>
      <c r="H766">
        <v>3.06763E-2</v>
      </c>
      <c r="I766">
        <v>1.04361E-2</v>
      </c>
    </row>
    <row r="767" spans="1:9" x14ac:dyDescent="0.25">
      <c r="A767" s="104" t="str">
        <f t="shared" si="11"/>
        <v>Philippines2013RuralPub_OutreachPill</v>
      </c>
      <c r="B767" t="s">
        <v>148</v>
      </c>
      <c r="C767">
        <v>2013</v>
      </c>
      <c r="D767" t="s">
        <v>21</v>
      </c>
      <c r="E767" t="s">
        <v>54</v>
      </c>
      <c r="F767" t="s">
        <v>12</v>
      </c>
      <c r="G767">
        <v>2.3159000000000001E-3</v>
      </c>
      <c r="I767">
        <v>1.3707000000000001E-3</v>
      </c>
    </row>
    <row r="768" spans="1:9" x14ac:dyDescent="0.25">
      <c r="A768" s="104" t="str">
        <f t="shared" si="11"/>
        <v>Philippines2013RuralCommercialPill</v>
      </c>
      <c r="B768" t="s">
        <v>148</v>
      </c>
      <c r="C768">
        <v>2013</v>
      </c>
      <c r="D768" t="s">
        <v>21</v>
      </c>
      <c r="E768" t="s">
        <v>59</v>
      </c>
      <c r="F768" t="s">
        <v>12</v>
      </c>
      <c r="G768">
        <v>7.7886499999999997E-2</v>
      </c>
      <c r="H768">
        <v>0.10273309999999999</v>
      </c>
      <c r="I768">
        <v>8.0491300000000002E-2</v>
      </c>
    </row>
    <row r="769" spans="1:9" x14ac:dyDescent="0.25">
      <c r="A769" s="104" t="str">
        <f t="shared" si="11"/>
        <v>Philippines2013RuralNonTradPill</v>
      </c>
      <c r="B769" t="s">
        <v>148</v>
      </c>
      <c r="C769">
        <v>2013</v>
      </c>
      <c r="D769" t="s">
        <v>21</v>
      </c>
      <c r="E769" t="s">
        <v>171</v>
      </c>
      <c r="F769" t="s">
        <v>12</v>
      </c>
      <c r="G769">
        <v>1.5178799999999999E-2</v>
      </c>
      <c r="H769">
        <v>9.1564999999999997E-3</v>
      </c>
      <c r="I769">
        <v>2.8330999999999999E-3</v>
      </c>
    </row>
    <row r="770" spans="1:9" x14ac:dyDescent="0.25">
      <c r="A770" s="104" t="str">
        <f t="shared" si="11"/>
        <v>Philippines2013RuralOtherPill</v>
      </c>
      <c r="B770" t="s">
        <v>148</v>
      </c>
      <c r="C770">
        <v>2013</v>
      </c>
      <c r="D770" t="s">
        <v>21</v>
      </c>
      <c r="E770" t="s">
        <v>116</v>
      </c>
      <c r="F770" t="s">
        <v>12</v>
      </c>
      <c r="G770">
        <v>7.9149999999999999E-4</v>
      </c>
      <c r="H770">
        <v>4.7249999999999999E-4</v>
      </c>
      <c r="I770">
        <v>1.3326E-3</v>
      </c>
    </row>
    <row r="771" spans="1:9" x14ac:dyDescent="0.25">
      <c r="A771" s="104" t="str">
        <f t="shared" ref="A771:A834" si="12">B771&amp;C771&amp;D771&amp;E771&amp;F771</f>
        <v>Philippines2013NationalPub_MedIUD</v>
      </c>
      <c r="B771" t="s">
        <v>148</v>
      </c>
      <c r="C771">
        <v>2013</v>
      </c>
      <c r="D771" t="s">
        <v>178</v>
      </c>
      <c r="E771" t="s">
        <v>52</v>
      </c>
      <c r="F771" t="s">
        <v>16</v>
      </c>
      <c r="G771">
        <v>2.2981399999999999E-2</v>
      </c>
      <c r="H771">
        <v>1.26024E-2</v>
      </c>
      <c r="I771">
        <v>1.0000200000000001E-2</v>
      </c>
    </row>
    <row r="772" spans="1:9" x14ac:dyDescent="0.25">
      <c r="A772" s="104" t="str">
        <f t="shared" si="12"/>
        <v>Philippines2013NationalPub_OutreachIUD</v>
      </c>
      <c r="B772" t="s">
        <v>148</v>
      </c>
      <c r="C772">
        <v>2013</v>
      </c>
      <c r="D772" t="s">
        <v>178</v>
      </c>
      <c r="E772" t="s">
        <v>54</v>
      </c>
      <c r="F772" t="s">
        <v>16</v>
      </c>
      <c r="G772">
        <v>2.901E-4</v>
      </c>
    </row>
    <row r="773" spans="1:9" x14ac:dyDescent="0.25">
      <c r="A773" s="104" t="str">
        <f t="shared" si="12"/>
        <v>Philippines2013NationalNGOIUD</v>
      </c>
      <c r="B773" t="s">
        <v>148</v>
      </c>
      <c r="C773">
        <v>2013</v>
      </c>
      <c r="D773" t="s">
        <v>178</v>
      </c>
      <c r="E773" t="s">
        <v>170</v>
      </c>
      <c r="F773" t="s">
        <v>16</v>
      </c>
      <c r="G773">
        <v>1.098E-4</v>
      </c>
    </row>
    <row r="774" spans="1:9" x14ac:dyDescent="0.25">
      <c r="A774" s="104" t="str">
        <f t="shared" si="12"/>
        <v>Philippines2013NationalCommercialIUD</v>
      </c>
      <c r="B774" t="s">
        <v>148</v>
      </c>
      <c r="C774">
        <v>2013</v>
      </c>
      <c r="D774" t="s">
        <v>178</v>
      </c>
      <c r="E774" t="s">
        <v>59</v>
      </c>
      <c r="F774" t="s">
        <v>16</v>
      </c>
      <c r="G774">
        <v>2.8555E-3</v>
      </c>
      <c r="H774">
        <v>3.8703000000000001E-3</v>
      </c>
      <c r="I774">
        <v>4.7384000000000003E-3</v>
      </c>
    </row>
    <row r="775" spans="1:9" x14ac:dyDescent="0.25">
      <c r="A775" s="104" t="str">
        <f t="shared" si="12"/>
        <v>Philippines2013NationalOtherIUD</v>
      </c>
      <c r="B775" t="s">
        <v>148</v>
      </c>
      <c r="C775">
        <v>2013</v>
      </c>
      <c r="D775" t="s">
        <v>178</v>
      </c>
      <c r="E775" t="s">
        <v>116</v>
      </c>
      <c r="F775" t="s">
        <v>16</v>
      </c>
      <c r="G775">
        <v>3.5320000000000002E-4</v>
      </c>
      <c r="H775">
        <v>2.22E-4</v>
      </c>
    </row>
    <row r="776" spans="1:9" x14ac:dyDescent="0.25">
      <c r="A776" s="104" t="str">
        <f t="shared" si="12"/>
        <v>Philippines2013UrbanPub_MedIUD</v>
      </c>
      <c r="B776" t="s">
        <v>148</v>
      </c>
      <c r="C776">
        <v>2013</v>
      </c>
      <c r="D776" t="s">
        <v>20</v>
      </c>
      <c r="E776" t="s">
        <v>52</v>
      </c>
      <c r="F776" t="s">
        <v>16</v>
      </c>
      <c r="G776">
        <v>2.2074900000000001E-2</v>
      </c>
      <c r="H776">
        <v>7.5858000000000002E-3</v>
      </c>
      <c r="I776">
        <v>5.8123999999999997E-3</v>
      </c>
    </row>
    <row r="777" spans="1:9" x14ac:dyDescent="0.25">
      <c r="A777" s="104" t="str">
        <f t="shared" si="12"/>
        <v>Philippines2013UrbanPub_OutreachIUD</v>
      </c>
      <c r="B777" t="s">
        <v>148</v>
      </c>
      <c r="C777">
        <v>2013</v>
      </c>
      <c r="D777" t="s">
        <v>20</v>
      </c>
      <c r="E777" t="s">
        <v>54</v>
      </c>
      <c r="F777" t="s">
        <v>16</v>
      </c>
      <c r="G777">
        <v>5.488E-4</v>
      </c>
    </row>
    <row r="778" spans="1:9" x14ac:dyDescent="0.25">
      <c r="A778" s="104" t="str">
        <f t="shared" si="12"/>
        <v>Philippines2013UrbanCommercialIUD</v>
      </c>
      <c r="B778" t="s">
        <v>148</v>
      </c>
      <c r="C778">
        <v>2013</v>
      </c>
      <c r="D778" t="s">
        <v>20</v>
      </c>
      <c r="E778" t="s">
        <v>59</v>
      </c>
      <c r="F778" t="s">
        <v>16</v>
      </c>
      <c r="G778">
        <v>4.1393999999999997E-3</v>
      </c>
      <c r="H778">
        <v>4.7293999999999999E-3</v>
      </c>
      <c r="I778">
        <v>4.4561000000000002E-3</v>
      </c>
    </row>
    <row r="779" spans="1:9" x14ac:dyDescent="0.25">
      <c r="A779" s="104" t="str">
        <f t="shared" si="12"/>
        <v>Philippines2013UrbanOtherIUD</v>
      </c>
      <c r="B779" t="s">
        <v>148</v>
      </c>
      <c r="C779">
        <v>2013</v>
      </c>
      <c r="D779" t="s">
        <v>20</v>
      </c>
      <c r="E779" t="s">
        <v>116</v>
      </c>
      <c r="F779" t="s">
        <v>16</v>
      </c>
      <c r="G779">
        <v>1.649E-4</v>
      </c>
    </row>
    <row r="780" spans="1:9" x14ac:dyDescent="0.25">
      <c r="A780" s="104" t="str">
        <f t="shared" si="12"/>
        <v>Philippines2013RuralPub_MedIUD</v>
      </c>
      <c r="B780" t="s">
        <v>148</v>
      </c>
      <c r="C780">
        <v>2013</v>
      </c>
      <c r="D780" t="s">
        <v>21</v>
      </c>
      <c r="E780" t="s">
        <v>52</v>
      </c>
      <c r="F780" t="s">
        <v>16</v>
      </c>
      <c r="G780">
        <v>2.3998200000000001E-2</v>
      </c>
      <c r="H780">
        <v>1.8453600000000001E-2</v>
      </c>
      <c r="I780">
        <v>1.4752700000000001E-2</v>
      </c>
    </row>
    <row r="781" spans="1:9" x14ac:dyDescent="0.25">
      <c r="A781" s="104" t="str">
        <f t="shared" si="12"/>
        <v>Philippines2013RuralNGOIUD</v>
      </c>
      <c r="B781" t="s">
        <v>148</v>
      </c>
      <c r="C781">
        <v>2013</v>
      </c>
      <c r="D781" t="s">
        <v>21</v>
      </c>
      <c r="E781" t="s">
        <v>170</v>
      </c>
      <c r="F781" t="s">
        <v>16</v>
      </c>
      <c r="G781">
        <v>2.329E-4</v>
      </c>
    </row>
    <row r="782" spans="1:9" x14ac:dyDescent="0.25">
      <c r="A782" s="104" t="str">
        <f t="shared" si="12"/>
        <v>Philippines2013RuralCommercialIUD</v>
      </c>
      <c r="B782" t="s">
        <v>148</v>
      </c>
      <c r="C782">
        <v>2013</v>
      </c>
      <c r="D782" t="s">
        <v>21</v>
      </c>
      <c r="E782" t="s">
        <v>59</v>
      </c>
      <c r="F782" t="s">
        <v>16</v>
      </c>
      <c r="G782">
        <v>1.4153E-3</v>
      </c>
      <c r="H782">
        <v>2.8682999999999998E-3</v>
      </c>
      <c r="I782">
        <v>5.0587999999999996E-3</v>
      </c>
    </row>
    <row r="783" spans="1:9" x14ac:dyDescent="0.25">
      <c r="A783" s="104" t="str">
        <f t="shared" si="12"/>
        <v>Philippines2013RuralOtherIUD</v>
      </c>
      <c r="B783" t="s">
        <v>148</v>
      </c>
      <c r="C783">
        <v>2013</v>
      </c>
      <c r="D783" t="s">
        <v>21</v>
      </c>
      <c r="E783" t="s">
        <v>116</v>
      </c>
      <c r="F783" t="s">
        <v>16</v>
      </c>
      <c r="G783">
        <v>5.6439999999999995E-4</v>
      </c>
      <c r="H783">
        <v>4.8099999999999998E-4</v>
      </c>
    </row>
    <row r="784" spans="1:9" x14ac:dyDescent="0.25">
      <c r="A784" s="104" t="str">
        <f t="shared" si="12"/>
        <v>Philippines2013NationalPub_MedInjectable</v>
      </c>
      <c r="B784" t="s">
        <v>148</v>
      </c>
      <c r="C784">
        <v>2013</v>
      </c>
      <c r="D784" t="s">
        <v>178</v>
      </c>
      <c r="E784" t="s">
        <v>52</v>
      </c>
      <c r="F784" t="s">
        <v>22</v>
      </c>
      <c r="G784">
        <v>2.4322699999999999E-2</v>
      </c>
      <c r="H784">
        <v>1.4157899999999999E-2</v>
      </c>
      <c r="I784">
        <v>7.2166000000000001E-3</v>
      </c>
    </row>
    <row r="785" spans="1:9" x14ac:dyDescent="0.25">
      <c r="A785" s="104" t="str">
        <f t="shared" si="12"/>
        <v>Philippines2013NationalPub_OutreachInjectable</v>
      </c>
      <c r="B785" t="s">
        <v>148</v>
      </c>
      <c r="C785">
        <v>2013</v>
      </c>
      <c r="D785" t="s">
        <v>178</v>
      </c>
      <c r="E785" t="s">
        <v>54</v>
      </c>
      <c r="F785" t="s">
        <v>22</v>
      </c>
      <c r="G785">
        <v>4.1090000000000001E-4</v>
      </c>
      <c r="I785">
        <v>3.6059999999999998E-4</v>
      </c>
    </row>
    <row r="786" spans="1:9" x14ac:dyDescent="0.25">
      <c r="A786" s="104" t="str">
        <f t="shared" si="12"/>
        <v>Philippines2013NationalNGOInjectable</v>
      </c>
      <c r="B786" t="s">
        <v>148</v>
      </c>
      <c r="C786">
        <v>2013</v>
      </c>
      <c r="D786" t="s">
        <v>178</v>
      </c>
      <c r="E786" t="s">
        <v>170</v>
      </c>
      <c r="F786" t="s">
        <v>22</v>
      </c>
      <c r="G786">
        <v>2.901E-4</v>
      </c>
    </row>
    <row r="787" spans="1:9" x14ac:dyDescent="0.25">
      <c r="A787" s="104" t="str">
        <f t="shared" si="12"/>
        <v>Philippines2013NationalCommercialInjectable</v>
      </c>
      <c r="B787" t="s">
        <v>148</v>
      </c>
      <c r="C787">
        <v>2013</v>
      </c>
      <c r="D787" t="s">
        <v>178</v>
      </c>
      <c r="E787" t="s">
        <v>59</v>
      </c>
      <c r="F787" t="s">
        <v>22</v>
      </c>
      <c r="G787">
        <v>2.7880000000000001E-3</v>
      </c>
      <c r="H787">
        <v>3.1034000000000001E-3</v>
      </c>
      <c r="I787">
        <v>6.9021999999999998E-3</v>
      </c>
    </row>
    <row r="788" spans="1:9" x14ac:dyDescent="0.25">
      <c r="A788" s="104" t="str">
        <f t="shared" si="12"/>
        <v>Philippines2013NationalNonTradInjectable</v>
      </c>
      <c r="B788" t="s">
        <v>148</v>
      </c>
      <c r="C788">
        <v>2013</v>
      </c>
      <c r="D788" t="s">
        <v>178</v>
      </c>
      <c r="E788" t="s">
        <v>171</v>
      </c>
      <c r="F788" t="s">
        <v>22</v>
      </c>
      <c r="G788">
        <v>2.163E-4</v>
      </c>
    </row>
    <row r="789" spans="1:9" x14ac:dyDescent="0.25">
      <c r="A789" s="104" t="str">
        <f t="shared" si="12"/>
        <v>Philippines2013NationalOtherInjectable</v>
      </c>
      <c r="B789" t="s">
        <v>148</v>
      </c>
      <c r="C789">
        <v>2013</v>
      </c>
      <c r="D789" t="s">
        <v>178</v>
      </c>
      <c r="E789" t="s">
        <v>116</v>
      </c>
      <c r="F789" t="s">
        <v>22</v>
      </c>
      <c r="G789">
        <v>1.07E-4</v>
      </c>
    </row>
    <row r="790" spans="1:9" x14ac:dyDescent="0.25">
      <c r="A790" s="104" t="str">
        <f t="shared" si="12"/>
        <v>Philippines2013UrbanPub_MedInjectable</v>
      </c>
      <c r="B790" t="s">
        <v>148</v>
      </c>
      <c r="C790">
        <v>2013</v>
      </c>
      <c r="D790" t="s">
        <v>20</v>
      </c>
      <c r="E790" t="s">
        <v>52</v>
      </c>
      <c r="F790" t="s">
        <v>22</v>
      </c>
      <c r="G790">
        <v>2.1124199999999999E-2</v>
      </c>
      <c r="H790">
        <v>8.9607000000000003E-3</v>
      </c>
      <c r="I790">
        <v>6.4793000000000003E-3</v>
      </c>
    </row>
    <row r="791" spans="1:9" x14ac:dyDescent="0.25">
      <c r="A791" s="104" t="str">
        <f t="shared" si="12"/>
        <v>Philippines2013UrbanPub_OutreachInjectable</v>
      </c>
      <c r="B791" t="s">
        <v>148</v>
      </c>
      <c r="C791">
        <v>2013</v>
      </c>
      <c r="D791" t="s">
        <v>20</v>
      </c>
      <c r="E791" t="s">
        <v>54</v>
      </c>
      <c r="F791" t="s">
        <v>22</v>
      </c>
      <c r="G791">
        <v>4.8420000000000001E-4</v>
      </c>
    </row>
    <row r="792" spans="1:9" x14ac:dyDescent="0.25">
      <c r="A792" s="104" t="str">
        <f t="shared" si="12"/>
        <v>Philippines2013UrbanNGOInjectable</v>
      </c>
      <c r="B792" t="s">
        <v>148</v>
      </c>
      <c r="C792">
        <v>2013</v>
      </c>
      <c r="D792" t="s">
        <v>20</v>
      </c>
      <c r="E792" t="s">
        <v>170</v>
      </c>
      <c r="F792" t="s">
        <v>22</v>
      </c>
      <c r="G792">
        <v>5.488E-4</v>
      </c>
    </row>
    <row r="793" spans="1:9" x14ac:dyDescent="0.25">
      <c r="A793" s="104" t="str">
        <f t="shared" si="12"/>
        <v>Philippines2013UrbanCommercialInjectable</v>
      </c>
      <c r="B793" t="s">
        <v>148</v>
      </c>
      <c r="C793">
        <v>2013</v>
      </c>
      <c r="D793" t="s">
        <v>20</v>
      </c>
      <c r="E793" t="s">
        <v>59</v>
      </c>
      <c r="F793" t="s">
        <v>22</v>
      </c>
      <c r="G793">
        <v>3.2225999999999999E-3</v>
      </c>
      <c r="H793">
        <v>2.6549999999999998E-3</v>
      </c>
      <c r="I793">
        <v>6.6184E-3</v>
      </c>
    </row>
    <row r="794" spans="1:9" x14ac:dyDescent="0.25">
      <c r="A794" s="104" t="str">
        <f t="shared" si="12"/>
        <v>Philippines2013UrbanNonTradInjectable</v>
      </c>
      <c r="B794" t="s">
        <v>148</v>
      </c>
      <c r="C794">
        <v>2013</v>
      </c>
      <c r="D794" t="s">
        <v>20</v>
      </c>
      <c r="E794" t="s">
        <v>171</v>
      </c>
      <c r="F794" t="s">
        <v>22</v>
      </c>
      <c r="G794">
        <v>2.744E-4</v>
      </c>
    </row>
    <row r="795" spans="1:9" x14ac:dyDescent="0.25">
      <c r="A795" s="104" t="str">
        <f t="shared" si="12"/>
        <v>Philippines2013RuralPub_MedInjectable</v>
      </c>
      <c r="B795" t="s">
        <v>148</v>
      </c>
      <c r="C795">
        <v>2013</v>
      </c>
      <c r="D795" t="s">
        <v>21</v>
      </c>
      <c r="E795" t="s">
        <v>52</v>
      </c>
      <c r="F795" t="s">
        <v>22</v>
      </c>
      <c r="G795">
        <v>2.7910600000000001E-2</v>
      </c>
      <c r="H795">
        <v>2.0219999999999998E-2</v>
      </c>
      <c r="I795">
        <v>8.0532999999999993E-3</v>
      </c>
    </row>
    <row r="796" spans="1:9" x14ac:dyDescent="0.25">
      <c r="A796" s="104" t="str">
        <f t="shared" si="12"/>
        <v>Philippines2013RuralPub_OutreachInjectable</v>
      </c>
      <c r="B796" t="s">
        <v>148</v>
      </c>
      <c r="C796">
        <v>2013</v>
      </c>
      <c r="D796" t="s">
        <v>21</v>
      </c>
      <c r="E796" t="s">
        <v>54</v>
      </c>
      <c r="F796" t="s">
        <v>22</v>
      </c>
      <c r="G796">
        <v>3.2860000000000002E-4</v>
      </c>
      <c r="I796">
        <v>7.6990000000000001E-4</v>
      </c>
    </row>
    <row r="797" spans="1:9" x14ac:dyDescent="0.25">
      <c r="A797" s="104" t="str">
        <f t="shared" si="12"/>
        <v>Philippines2013RuralCommercialInjectable</v>
      </c>
      <c r="B797" t="s">
        <v>148</v>
      </c>
      <c r="C797">
        <v>2013</v>
      </c>
      <c r="D797" t="s">
        <v>21</v>
      </c>
      <c r="E797" t="s">
        <v>59</v>
      </c>
      <c r="F797" t="s">
        <v>22</v>
      </c>
      <c r="G797">
        <v>2.3004000000000002E-3</v>
      </c>
      <c r="H797">
        <v>3.6264000000000001E-3</v>
      </c>
      <c r="I797">
        <v>7.2243000000000003E-3</v>
      </c>
    </row>
    <row r="798" spans="1:9" x14ac:dyDescent="0.25">
      <c r="A798" s="104" t="str">
        <f t="shared" si="12"/>
        <v>Philippines2013RuralNonTradInjectable</v>
      </c>
      <c r="B798" t="s">
        <v>148</v>
      </c>
      <c r="C798">
        <v>2013</v>
      </c>
      <c r="D798" t="s">
        <v>21</v>
      </c>
      <c r="E798" t="s">
        <v>171</v>
      </c>
      <c r="F798" t="s">
        <v>22</v>
      </c>
      <c r="G798">
        <v>1.5119999999999999E-4</v>
      </c>
    </row>
    <row r="799" spans="1:9" x14ac:dyDescent="0.25">
      <c r="A799" s="104" t="str">
        <f t="shared" si="12"/>
        <v>Philippines2013RuralOtherInjectable</v>
      </c>
      <c r="B799" t="s">
        <v>148</v>
      </c>
      <c r="C799">
        <v>2013</v>
      </c>
      <c r="D799" t="s">
        <v>21</v>
      </c>
      <c r="E799" t="s">
        <v>116</v>
      </c>
      <c r="F799" t="s">
        <v>22</v>
      </c>
      <c r="G799">
        <v>2.2709999999999999E-4</v>
      </c>
    </row>
    <row r="800" spans="1:9" x14ac:dyDescent="0.25">
      <c r="A800" s="104" t="str">
        <f t="shared" si="12"/>
        <v>Philippines2013NationalPub_MedCondom</v>
      </c>
      <c r="B800" t="s">
        <v>148</v>
      </c>
      <c r="C800">
        <v>2013</v>
      </c>
      <c r="D800" t="s">
        <v>178</v>
      </c>
      <c r="E800" t="s">
        <v>52</v>
      </c>
      <c r="F800" t="s">
        <v>25</v>
      </c>
      <c r="G800">
        <v>2.4429E-3</v>
      </c>
      <c r="H800">
        <v>1.1267E-3</v>
      </c>
      <c r="I800">
        <v>1.3456E-3</v>
      </c>
    </row>
    <row r="801" spans="1:9" x14ac:dyDescent="0.25">
      <c r="A801" s="104" t="str">
        <f t="shared" si="12"/>
        <v>Philippines2013NationalPub_OutreachCondom</v>
      </c>
      <c r="B801" t="s">
        <v>148</v>
      </c>
      <c r="C801">
        <v>2013</v>
      </c>
      <c r="D801" t="s">
        <v>178</v>
      </c>
      <c r="E801" t="s">
        <v>54</v>
      </c>
      <c r="F801" t="s">
        <v>25</v>
      </c>
      <c r="I801">
        <v>2.5849999999999999E-4</v>
      </c>
    </row>
    <row r="802" spans="1:9" x14ac:dyDescent="0.25">
      <c r="A802" s="104" t="str">
        <f t="shared" si="12"/>
        <v>Philippines2013NationalCommercialCondom</v>
      </c>
      <c r="B802" t="s">
        <v>148</v>
      </c>
      <c r="C802">
        <v>2013</v>
      </c>
      <c r="D802" t="s">
        <v>178</v>
      </c>
      <c r="E802" t="s">
        <v>59</v>
      </c>
      <c r="F802" t="s">
        <v>25</v>
      </c>
      <c r="G802">
        <v>7.6375999999999996E-3</v>
      </c>
      <c r="H802">
        <v>1.30554E-2</v>
      </c>
      <c r="I802">
        <v>1.1812700000000001E-2</v>
      </c>
    </row>
    <row r="803" spans="1:9" x14ac:dyDescent="0.25">
      <c r="A803" s="104" t="str">
        <f t="shared" si="12"/>
        <v>Philippines2013NationalNonTradCondom</v>
      </c>
      <c r="B803" t="s">
        <v>148</v>
      </c>
      <c r="C803">
        <v>2013</v>
      </c>
      <c r="D803" t="s">
        <v>178</v>
      </c>
      <c r="E803" t="s">
        <v>171</v>
      </c>
      <c r="F803" t="s">
        <v>25</v>
      </c>
      <c r="G803">
        <v>1.1150999999999999E-3</v>
      </c>
      <c r="H803">
        <v>2.4532999999999998E-3</v>
      </c>
      <c r="I803">
        <v>1.3484E-3</v>
      </c>
    </row>
    <row r="804" spans="1:9" x14ac:dyDescent="0.25">
      <c r="A804" s="104" t="str">
        <f t="shared" si="12"/>
        <v>Philippines2013NationalOtherCondom</v>
      </c>
      <c r="B804" t="s">
        <v>148</v>
      </c>
      <c r="C804">
        <v>2013</v>
      </c>
      <c r="D804" t="s">
        <v>178</v>
      </c>
      <c r="E804" t="s">
        <v>116</v>
      </c>
      <c r="F804" t="s">
        <v>25</v>
      </c>
      <c r="G804">
        <v>2.6469999999999998E-4</v>
      </c>
      <c r="H804">
        <v>6.6189999999999999E-4</v>
      </c>
      <c r="I804">
        <v>3.503E-4</v>
      </c>
    </row>
    <row r="805" spans="1:9" x14ac:dyDescent="0.25">
      <c r="A805" s="104" t="str">
        <f t="shared" si="12"/>
        <v>Philippines2013UrbanPub_MedCondom</v>
      </c>
      <c r="B805" t="s">
        <v>148</v>
      </c>
      <c r="C805">
        <v>2013</v>
      </c>
      <c r="D805" t="s">
        <v>20</v>
      </c>
      <c r="E805" t="s">
        <v>52</v>
      </c>
      <c r="F805" t="s">
        <v>25</v>
      </c>
      <c r="G805">
        <v>2.3156000000000001E-3</v>
      </c>
      <c r="I805">
        <v>8.2479999999999999E-4</v>
      </c>
    </row>
    <row r="806" spans="1:9" x14ac:dyDescent="0.25">
      <c r="A806" s="104" t="str">
        <f t="shared" si="12"/>
        <v>Philippines2013UrbanCommercialCondom</v>
      </c>
      <c r="B806" t="s">
        <v>148</v>
      </c>
      <c r="C806">
        <v>2013</v>
      </c>
      <c r="D806" t="s">
        <v>20</v>
      </c>
      <c r="E806" t="s">
        <v>59</v>
      </c>
      <c r="F806" t="s">
        <v>25</v>
      </c>
      <c r="G806">
        <v>1.01049E-2</v>
      </c>
      <c r="H806">
        <v>1.51924E-2</v>
      </c>
      <c r="I806">
        <v>1.1336799999999999E-2</v>
      </c>
    </row>
    <row r="807" spans="1:9" x14ac:dyDescent="0.25">
      <c r="A807" s="104" t="str">
        <f t="shared" si="12"/>
        <v>Philippines2013UrbanNonTradCondom</v>
      </c>
      <c r="B807" t="s">
        <v>148</v>
      </c>
      <c r="C807">
        <v>2013</v>
      </c>
      <c r="D807" t="s">
        <v>20</v>
      </c>
      <c r="E807" t="s">
        <v>171</v>
      </c>
      <c r="F807" t="s">
        <v>25</v>
      </c>
      <c r="G807">
        <v>1.5693E-3</v>
      </c>
      <c r="H807">
        <v>3.9055000000000001E-3</v>
      </c>
      <c r="I807">
        <v>1.3048000000000001E-3</v>
      </c>
    </row>
    <row r="808" spans="1:9" x14ac:dyDescent="0.25">
      <c r="A808" s="104" t="str">
        <f t="shared" si="12"/>
        <v>Philippines2013UrbanOtherCondom</v>
      </c>
      <c r="B808" t="s">
        <v>148</v>
      </c>
      <c r="C808">
        <v>2013</v>
      </c>
      <c r="D808" t="s">
        <v>20</v>
      </c>
      <c r="E808" t="s">
        <v>116</v>
      </c>
      <c r="F808" t="s">
        <v>25</v>
      </c>
      <c r="G808">
        <v>2.744E-4</v>
      </c>
      <c r="H808">
        <v>1.2294000000000001E-3</v>
      </c>
      <c r="I808">
        <v>6.5899999999999997E-4</v>
      </c>
    </row>
    <row r="809" spans="1:9" x14ac:dyDescent="0.25">
      <c r="A809" s="104" t="str">
        <f t="shared" si="12"/>
        <v>Philippines2013RuralPub_MedCondom</v>
      </c>
      <c r="B809" t="s">
        <v>148</v>
      </c>
      <c r="C809">
        <v>2013</v>
      </c>
      <c r="D809" t="s">
        <v>21</v>
      </c>
      <c r="E809" t="s">
        <v>52</v>
      </c>
      <c r="F809" t="s">
        <v>25</v>
      </c>
      <c r="G809">
        <v>2.5856999999999998E-3</v>
      </c>
      <c r="H809">
        <v>2.4407999999999999E-3</v>
      </c>
      <c r="I809">
        <v>1.9367E-3</v>
      </c>
    </row>
    <row r="810" spans="1:9" x14ac:dyDescent="0.25">
      <c r="A810" s="104" t="str">
        <f t="shared" si="12"/>
        <v>Philippines2013RuralPub_OutreachCondom</v>
      </c>
      <c r="B810" t="s">
        <v>148</v>
      </c>
      <c r="C810">
        <v>2013</v>
      </c>
      <c r="D810" t="s">
        <v>21</v>
      </c>
      <c r="E810" t="s">
        <v>54</v>
      </c>
      <c r="F810" t="s">
        <v>25</v>
      </c>
      <c r="I810">
        <v>5.5179999999999997E-4</v>
      </c>
    </row>
    <row r="811" spans="1:9" x14ac:dyDescent="0.25">
      <c r="A811" s="104" t="str">
        <f t="shared" si="12"/>
        <v>Philippines2013RuralCommercialCondom</v>
      </c>
      <c r="B811" t="s">
        <v>148</v>
      </c>
      <c r="C811">
        <v>2013</v>
      </c>
      <c r="D811" t="s">
        <v>21</v>
      </c>
      <c r="E811" t="s">
        <v>59</v>
      </c>
      <c r="F811" t="s">
        <v>25</v>
      </c>
      <c r="G811">
        <v>4.8698999999999999E-3</v>
      </c>
      <c r="H811">
        <v>1.0562800000000001E-2</v>
      </c>
      <c r="I811">
        <v>1.2352800000000001E-2</v>
      </c>
    </row>
    <row r="812" spans="1:9" x14ac:dyDescent="0.25">
      <c r="A812" s="104" t="str">
        <f t="shared" si="12"/>
        <v>Philippines2013RuralNonTradCondom</v>
      </c>
      <c r="B812" t="s">
        <v>148</v>
      </c>
      <c r="C812">
        <v>2013</v>
      </c>
      <c r="D812" t="s">
        <v>21</v>
      </c>
      <c r="E812" t="s">
        <v>171</v>
      </c>
      <c r="F812" t="s">
        <v>25</v>
      </c>
      <c r="G812">
        <v>6.0570000000000003E-4</v>
      </c>
      <c r="H812">
        <v>7.5949999999999998E-4</v>
      </c>
      <c r="I812">
        <v>1.3978E-3</v>
      </c>
    </row>
    <row r="813" spans="1:9" x14ac:dyDescent="0.25">
      <c r="A813" s="104" t="str">
        <f t="shared" si="12"/>
        <v>Philippines2013RuralOtherCondom</v>
      </c>
      <c r="B813" t="s">
        <v>148</v>
      </c>
      <c r="C813">
        <v>2013</v>
      </c>
      <c r="D813" t="s">
        <v>21</v>
      </c>
      <c r="E813" t="s">
        <v>116</v>
      </c>
      <c r="F813" t="s">
        <v>25</v>
      </c>
      <c r="G813">
        <v>2.5389999999999999E-4</v>
      </c>
    </row>
    <row r="814" spans="1:9" x14ac:dyDescent="0.25">
      <c r="A814" s="104" t="str">
        <f t="shared" si="12"/>
        <v>Philippines2013NationalPub_MedImplant</v>
      </c>
      <c r="B814" t="s">
        <v>148</v>
      </c>
      <c r="C814">
        <v>2013</v>
      </c>
      <c r="D814" t="s">
        <v>178</v>
      </c>
      <c r="E814" t="s">
        <v>52</v>
      </c>
      <c r="F814" t="s">
        <v>23</v>
      </c>
      <c r="G814">
        <v>4.2200000000000003E-5</v>
      </c>
      <c r="H814">
        <v>4.8420000000000001E-4</v>
      </c>
    </row>
    <row r="815" spans="1:9" x14ac:dyDescent="0.25">
      <c r="A815" s="104" t="str">
        <f t="shared" si="12"/>
        <v>Philippines2013UrbanPub_MedImplant</v>
      </c>
      <c r="B815" t="s">
        <v>148</v>
      </c>
      <c r="C815">
        <v>2013</v>
      </c>
      <c r="D815" t="s">
        <v>20</v>
      </c>
      <c r="E815" t="s">
        <v>52</v>
      </c>
      <c r="F815" t="s">
        <v>23</v>
      </c>
      <c r="H815">
        <v>6.9669999999999997E-4</v>
      </c>
    </row>
    <row r="816" spans="1:9" x14ac:dyDescent="0.25">
      <c r="A816" s="104" t="str">
        <f t="shared" si="12"/>
        <v>Philippines2013RuralPub_MedImplant</v>
      </c>
      <c r="B816" t="s">
        <v>148</v>
      </c>
      <c r="C816">
        <v>2013</v>
      </c>
      <c r="D816" t="s">
        <v>21</v>
      </c>
      <c r="E816" t="s">
        <v>52</v>
      </c>
      <c r="F816" t="s">
        <v>23</v>
      </c>
      <c r="G816">
        <v>8.9499999999999994E-5</v>
      </c>
      <c r="H816">
        <v>2.362E-4</v>
      </c>
    </row>
    <row r="817" spans="1:9" x14ac:dyDescent="0.25">
      <c r="A817" s="104" t="str">
        <f t="shared" si="12"/>
        <v>Philippines2017NationalPub_MedPill</v>
      </c>
      <c r="B817" t="s">
        <v>148</v>
      </c>
      <c r="C817">
        <v>2017</v>
      </c>
      <c r="D817" t="s">
        <v>178</v>
      </c>
      <c r="E817" t="s">
        <v>52</v>
      </c>
      <c r="F817" t="s">
        <v>12</v>
      </c>
      <c r="G817">
        <v>5.9203899999999997E-2</v>
      </c>
      <c r="H817">
        <v>1.9263800000000001E-2</v>
      </c>
      <c r="I817">
        <v>1.0689000000000001E-2</v>
      </c>
    </row>
    <row r="818" spans="1:9" x14ac:dyDescent="0.25">
      <c r="A818" s="104" t="str">
        <f t="shared" si="12"/>
        <v>Philippines2017NationalPub_OutreachPill</v>
      </c>
      <c r="B818" t="s">
        <v>148</v>
      </c>
      <c r="C818">
        <v>2017</v>
      </c>
      <c r="D818" t="s">
        <v>178</v>
      </c>
      <c r="E818" t="s">
        <v>54</v>
      </c>
      <c r="F818" t="s">
        <v>12</v>
      </c>
      <c r="G818">
        <v>5.1662000000000001E-3</v>
      </c>
      <c r="H818">
        <v>2.3571999999999998E-3</v>
      </c>
      <c r="I818">
        <v>3.9340000000000002E-4</v>
      </c>
    </row>
    <row r="819" spans="1:9" x14ac:dyDescent="0.25">
      <c r="A819" s="104" t="str">
        <f t="shared" si="12"/>
        <v>Philippines2017NationalCommercialPill</v>
      </c>
      <c r="B819" t="s">
        <v>148</v>
      </c>
      <c r="C819">
        <v>2017</v>
      </c>
      <c r="D819" t="s">
        <v>178</v>
      </c>
      <c r="E819" t="s">
        <v>59</v>
      </c>
      <c r="F819" t="s">
        <v>12</v>
      </c>
      <c r="G819">
        <v>6.9699200000000003E-2</v>
      </c>
      <c r="H819">
        <v>6.0309799999999997E-2</v>
      </c>
      <c r="I819">
        <v>7.5372499999999995E-2</v>
      </c>
    </row>
    <row r="820" spans="1:9" x14ac:dyDescent="0.25">
      <c r="A820" s="104" t="str">
        <f t="shared" si="12"/>
        <v>Philippines2017NationalNonTradPill</v>
      </c>
      <c r="B820" t="s">
        <v>148</v>
      </c>
      <c r="C820">
        <v>2017</v>
      </c>
      <c r="D820" t="s">
        <v>178</v>
      </c>
      <c r="E820" t="s">
        <v>171</v>
      </c>
      <c r="F820" t="s">
        <v>12</v>
      </c>
      <c r="G820">
        <v>1.70248E-2</v>
      </c>
      <c r="H820">
        <v>1.43982E-2</v>
      </c>
      <c r="I820">
        <v>8.6324999999999995E-3</v>
      </c>
    </row>
    <row r="821" spans="1:9" x14ac:dyDescent="0.25">
      <c r="A821" s="104" t="str">
        <f t="shared" si="12"/>
        <v>Philippines2017NationalOtherPill</v>
      </c>
      <c r="B821" t="s">
        <v>148</v>
      </c>
      <c r="C821">
        <v>2017</v>
      </c>
      <c r="D821" t="s">
        <v>178</v>
      </c>
      <c r="E821" t="s">
        <v>116</v>
      </c>
      <c r="F821" t="s">
        <v>12</v>
      </c>
      <c r="G821">
        <v>9.31E-5</v>
      </c>
      <c r="H821">
        <v>2.3300000000000001E-5</v>
      </c>
    </row>
    <row r="822" spans="1:9" x14ac:dyDescent="0.25">
      <c r="A822" s="104" t="str">
        <f t="shared" si="12"/>
        <v>Philippines2017UrbanPub_MedPill</v>
      </c>
      <c r="B822" t="s">
        <v>148</v>
      </c>
      <c r="C822">
        <v>2017</v>
      </c>
      <c r="D822" t="s">
        <v>20</v>
      </c>
      <c r="E822" t="s">
        <v>52</v>
      </c>
      <c r="F822" t="s">
        <v>12</v>
      </c>
      <c r="G822">
        <v>3.6970599999999999E-2</v>
      </c>
      <c r="H822">
        <v>7.3489000000000002E-3</v>
      </c>
      <c r="I822">
        <v>8.1402999999999996E-3</v>
      </c>
    </row>
    <row r="823" spans="1:9" x14ac:dyDescent="0.25">
      <c r="A823" s="104" t="str">
        <f t="shared" si="12"/>
        <v>Philippines2017UrbanPub_OutreachPill</v>
      </c>
      <c r="B823" t="s">
        <v>148</v>
      </c>
      <c r="C823">
        <v>2017</v>
      </c>
      <c r="D823" t="s">
        <v>20</v>
      </c>
      <c r="E823" t="s">
        <v>54</v>
      </c>
      <c r="F823" t="s">
        <v>12</v>
      </c>
      <c r="G823">
        <v>4.2354000000000003E-3</v>
      </c>
      <c r="H823">
        <v>5.6930000000000001E-4</v>
      </c>
      <c r="I823">
        <v>2.7569999999999998E-4</v>
      </c>
    </row>
    <row r="824" spans="1:9" x14ac:dyDescent="0.25">
      <c r="A824" s="104" t="str">
        <f t="shared" si="12"/>
        <v>Philippines2017UrbanCommercialPill</v>
      </c>
      <c r="B824" t="s">
        <v>148</v>
      </c>
      <c r="C824">
        <v>2017</v>
      </c>
      <c r="D824" t="s">
        <v>20</v>
      </c>
      <c r="E824" t="s">
        <v>59</v>
      </c>
      <c r="F824" t="s">
        <v>12</v>
      </c>
      <c r="G824">
        <v>7.6392500000000002E-2</v>
      </c>
      <c r="H824">
        <v>6.15179E-2</v>
      </c>
      <c r="I824">
        <v>6.7654000000000006E-2</v>
      </c>
    </row>
    <row r="825" spans="1:9" x14ac:dyDescent="0.25">
      <c r="A825" s="104" t="str">
        <f t="shared" si="12"/>
        <v>Philippines2017UrbanNonTradPill</v>
      </c>
      <c r="B825" t="s">
        <v>148</v>
      </c>
      <c r="C825">
        <v>2017</v>
      </c>
      <c r="D825" t="s">
        <v>20</v>
      </c>
      <c r="E825" t="s">
        <v>171</v>
      </c>
      <c r="F825" t="s">
        <v>12</v>
      </c>
      <c r="G825">
        <v>1.0657099999999999E-2</v>
      </c>
      <c r="H825">
        <v>7.9891000000000007E-3</v>
      </c>
      <c r="I825">
        <v>5.6797000000000002E-3</v>
      </c>
    </row>
    <row r="826" spans="1:9" x14ac:dyDescent="0.25">
      <c r="A826" s="104" t="str">
        <f t="shared" si="12"/>
        <v>Philippines2017UrbanOtherPill</v>
      </c>
      <c r="B826" t="s">
        <v>148</v>
      </c>
      <c r="C826">
        <v>2017</v>
      </c>
      <c r="D826" t="s">
        <v>20</v>
      </c>
      <c r="E826" t="s">
        <v>116</v>
      </c>
      <c r="F826" t="s">
        <v>12</v>
      </c>
      <c r="G826">
        <v>5.1600000000000001E-5</v>
      </c>
    </row>
    <row r="827" spans="1:9" x14ac:dyDescent="0.25">
      <c r="A827" s="104" t="str">
        <f t="shared" si="12"/>
        <v>Philippines2017RuralPub_MedPill</v>
      </c>
      <c r="B827" t="s">
        <v>148</v>
      </c>
      <c r="C827">
        <v>2017</v>
      </c>
      <c r="D827" t="s">
        <v>21</v>
      </c>
      <c r="E827" t="s">
        <v>52</v>
      </c>
      <c r="F827" t="s">
        <v>12</v>
      </c>
      <c r="G827">
        <v>8.0356999999999998E-2</v>
      </c>
      <c r="H827">
        <v>3.1037499999999999E-2</v>
      </c>
      <c r="I827">
        <v>1.3073899999999999E-2</v>
      </c>
    </row>
    <row r="828" spans="1:9" x14ac:dyDescent="0.25">
      <c r="A828" s="104" t="str">
        <f t="shared" si="12"/>
        <v>Philippines2017RuralPub_OutreachPill</v>
      </c>
      <c r="B828" t="s">
        <v>148</v>
      </c>
      <c r="C828">
        <v>2017</v>
      </c>
      <c r="D828" t="s">
        <v>21</v>
      </c>
      <c r="E828" t="s">
        <v>54</v>
      </c>
      <c r="F828" t="s">
        <v>12</v>
      </c>
      <c r="G828">
        <v>6.0517000000000001E-3</v>
      </c>
      <c r="H828">
        <v>4.1238999999999998E-3</v>
      </c>
      <c r="I828">
        <v>5.0339999999999998E-4</v>
      </c>
    </row>
    <row r="829" spans="1:9" x14ac:dyDescent="0.25">
      <c r="A829" s="104" t="str">
        <f t="shared" si="12"/>
        <v>Philippines2017RuralCommercialPill</v>
      </c>
      <c r="B829" t="s">
        <v>148</v>
      </c>
      <c r="C829">
        <v>2017</v>
      </c>
      <c r="D829" t="s">
        <v>21</v>
      </c>
      <c r="E829" t="s">
        <v>59</v>
      </c>
      <c r="F829" t="s">
        <v>12</v>
      </c>
      <c r="G829">
        <v>6.3331100000000001E-2</v>
      </c>
      <c r="H829">
        <v>5.9116000000000002E-2</v>
      </c>
      <c r="I829">
        <v>8.2594799999999996E-2</v>
      </c>
    </row>
    <row r="830" spans="1:9" x14ac:dyDescent="0.25">
      <c r="A830" s="104" t="str">
        <f t="shared" si="12"/>
        <v>Philippines2017RuralNonTradPill</v>
      </c>
      <c r="B830" t="s">
        <v>148</v>
      </c>
      <c r="C830">
        <v>2017</v>
      </c>
      <c r="D830" t="s">
        <v>21</v>
      </c>
      <c r="E830" t="s">
        <v>171</v>
      </c>
      <c r="F830" t="s">
        <v>12</v>
      </c>
      <c r="G830">
        <v>2.3083099999999999E-2</v>
      </c>
      <c r="H830">
        <v>2.07315E-2</v>
      </c>
      <c r="I830">
        <v>1.13954E-2</v>
      </c>
    </row>
    <row r="831" spans="1:9" x14ac:dyDescent="0.25">
      <c r="A831" s="104" t="str">
        <f t="shared" si="12"/>
        <v>Philippines2017RuralOtherPill</v>
      </c>
      <c r="B831" t="s">
        <v>148</v>
      </c>
      <c r="C831">
        <v>2017</v>
      </c>
      <c r="D831" t="s">
        <v>21</v>
      </c>
      <c r="E831" t="s">
        <v>116</v>
      </c>
      <c r="F831" t="s">
        <v>12</v>
      </c>
      <c r="G831">
        <v>1.326E-4</v>
      </c>
      <c r="H831">
        <v>4.6400000000000003E-5</v>
      </c>
    </row>
    <row r="832" spans="1:9" x14ac:dyDescent="0.25">
      <c r="A832" s="104" t="str">
        <f t="shared" si="12"/>
        <v>Philippines2017NationalPub_MedIUD</v>
      </c>
      <c r="B832" t="s">
        <v>148</v>
      </c>
      <c r="C832">
        <v>2017</v>
      </c>
      <c r="D832" t="s">
        <v>178</v>
      </c>
      <c r="E832" t="s">
        <v>52</v>
      </c>
      <c r="F832" t="s">
        <v>16</v>
      </c>
      <c r="G832">
        <v>2.6183499999999998E-2</v>
      </c>
      <c r="H832">
        <v>1.42209E-2</v>
      </c>
      <c r="I832">
        <v>5.2559E-3</v>
      </c>
    </row>
    <row r="833" spans="1:9" x14ac:dyDescent="0.25">
      <c r="A833" s="104" t="str">
        <f t="shared" si="12"/>
        <v>Philippines2017NationalPub_OutreachIUD</v>
      </c>
      <c r="B833" t="s">
        <v>148</v>
      </c>
      <c r="C833">
        <v>2017</v>
      </c>
      <c r="D833" t="s">
        <v>178</v>
      </c>
      <c r="E833" t="s">
        <v>54</v>
      </c>
      <c r="F833" t="s">
        <v>16</v>
      </c>
      <c r="G833">
        <v>3.1849999999999999E-4</v>
      </c>
      <c r="H833">
        <v>5.4500000000000003E-5</v>
      </c>
    </row>
    <row r="834" spans="1:9" x14ac:dyDescent="0.25">
      <c r="A834" s="104" t="str">
        <f t="shared" si="12"/>
        <v>Philippines2017NationalNGOIUD</v>
      </c>
      <c r="B834" t="s">
        <v>148</v>
      </c>
      <c r="C834">
        <v>2017</v>
      </c>
      <c r="D834" t="s">
        <v>178</v>
      </c>
      <c r="E834" t="s">
        <v>170</v>
      </c>
      <c r="F834" t="s">
        <v>16</v>
      </c>
      <c r="G834">
        <v>1.47E-5</v>
      </c>
    </row>
    <row r="835" spans="1:9" x14ac:dyDescent="0.25">
      <c r="A835" s="104" t="str">
        <f t="shared" ref="A835:A898" si="13">B835&amp;C835&amp;D835&amp;E835&amp;F835</f>
        <v>Philippines2017NationalCommercialIUD</v>
      </c>
      <c r="B835" t="s">
        <v>148</v>
      </c>
      <c r="C835">
        <v>2017</v>
      </c>
      <c r="D835" t="s">
        <v>178</v>
      </c>
      <c r="E835" t="s">
        <v>59</v>
      </c>
      <c r="F835" t="s">
        <v>16</v>
      </c>
      <c r="G835">
        <v>1.8756000000000001E-3</v>
      </c>
      <c r="H835">
        <v>3.5119000000000001E-3</v>
      </c>
      <c r="I835">
        <v>2.0403999999999999E-3</v>
      </c>
    </row>
    <row r="836" spans="1:9" x14ac:dyDescent="0.25">
      <c r="A836" s="104" t="str">
        <f t="shared" si="13"/>
        <v>Philippines2017NationalOtherIUD</v>
      </c>
      <c r="B836" t="s">
        <v>148</v>
      </c>
      <c r="C836">
        <v>2017</v>
      </c>
      <c r="D836" t="s">
        <v>178</v>
      </c>
      <c r="E836" t="s">
        <v>116</v>
      </c>
      <c r="F836" t="s">
        <v>16</v>
      </c>
      <c r="H836">
        <v>2.2000000000000001E-4</v>
      </c>
    </row>
    <row r="837" spans="1:9" x14ac:dyDescent="0.25">
      <c r="A837" s="104" t="str">
        <f t="shared" si="13"/>
        <v>Philippines2017UrbanPub_MedIUD</v>
      </c>
      <c r="B837" t="s">
        <v>148</v>
      </c>
      <c r="C837">
        <v>2017</v>
      </c>
      <c r="D837" t="s">
        <v>20</v>
      </c>
      <c r="E837" t="s">
        <v>52</v>
      </c>
      <c r="F837" t="s">
        <v>16</v>
      </c>
      <c r="G837">
        <v>2.09518E-2</v>
      </c>
      <c r="H837">
        <v>8.2944999999999998E-3</v>
      </c>
      <c r="I837">
        <v>4.0724999999999997E-3</v>
      </c>
    </row>
    <row r="838" spans="1:9" x14ac:dyDescent="0.25">
      <c r="A838" s="104" t="str">
        <f t="shared" si="13"/>
        <v>Philippines2017UrbanPub_OutreachIUD</v>
      </c>
      <c r="B838" t="s">
        <v>148</v>
      </c>
      <c r="C838">
        <v>2017</v>
      </c>
      <c r="D838" t="s">
        <v>20</v>
      </c>
      <c r="E838" t="s">
        <v>54</v>
      </c>
      <c r="F838" t="s">
        <v>16</v>
      </c>
      <c r="G838">
        <v>5.3370000000000002E-4</v>
      </c>
    </row>
    <row r="839" spans="1:9" x14ac:dyDescent="0.25">
      <c r="A839" s="104" t="str">
        <f t="shared" si="13"/>
        <v>Philippines2017UrbanCommercialIUD</v>
      </c>
      <c r="B839" t="s">
        <v>148</v>
      </c>
      <c r="C839">
        <v>2017</v>
      </c>
      <c r="D839" t="s">
        <v>20</v>
      </c>
      <c r="E839" t="s">
        <v>59</v>
      </c>
      <c r="F839" t="s">
        <v>16</v>
      </c>
      <c r="G839">
        <v>1.9567999999999999E-3</v>
      </c>
      <c r="H839">
        <v>1.6027000000000001E-3</v>
      </c>
      <c r="I839">
        <v>1.7899999999999999E-3</v>
      </c>
    </row>
    <row r="840" spans="1:9" x14ac:dyDescent="0.25">
      <c r="A840" s="104" t="str">
        <f t="shared" si="13"/>
        <v>Philippines2017UrbanOtherIUD</v>
      </c>
      <c r="B840" t="s">
        <v>148</v>
      </c>
      <c r="C840">
        <v>2017</v>
      </c>
      <c r="D840" t="s">
        <v>20</v>
      </c>
      <c r="E840" t="s">
        <v>116</v>
      </c>
      <c r="F840" t="s">
        <v>16</v>
      </c>
      <c r="H840">
        <v>3.991E-4</v>
      </c>
    </row>
    <row r="841" spans="1:9" x14ac:dyDescent="0.25">
      <c r="A841" s="104" t="str">
        <f t="shared" si="13"/>
        <v>Philippines2017RuralPub_MedIUD</v>
      </c>
      <c r="B841" t="s">
        <v>148</v>
      </c>
      <c r="C841">
        <v>2017</v>
      </c>
      <c r="D841" t="s">
        <v>21</v>
      </c>
      <c r="E841" t="s">
        <v>52</v>
      </c>
      <c r="F841" t="s">
        <v>16</v>
      </c>
      <c r="G841">
        <v>3.1161000000000001E-2</v>
      </c>
      <c r="H841">
        <v>2.00772E-2</v>
      </c>
      <c r="I841">
        <v>6.3631E-3</v>
      </c>
    </row>
    <row r="842" spans="1:9" x14ac:dyDescent="0.25">
      <c r="A842" s="104" t="str">
        <f t="shared" si="13"/>
        <v>Philippines2017RuralPub_OutreachIUD</v>
      </c>
      <c r="B842" t="s">
        <v>148</v>
      </c>
      <c r="C842">
        <v>2017</v>
      </c>
      <c r="D842" t="s">
        <v>21</v>
      </c>
      <c r="E842" t="s">
        <v>54</v>
      </c>
      <c r="F842" t="s">
        <v>16</v>
      </c>
      <c r="G842">
        <v>1.138E-4</v>
      </c>
      <c r="H842">
        <v>1.083E-4</v>
      </c>
    </row>
    <row r="843" spans="1:9" x14ac:dyDescent="0.25">
      <c r="A843" s="104" t="str">
        <f t="shared" si="13"/>
        <v>Philippines2017RuralNGOIUD</v>
      </c>
      <c r="B843" t="s">
        <v>148</v>
      </c>
      <c r="C843">
        <v>2017</v>
      </c>
      <c r="D843" t="s">
        <v>21</v>
      </c>
      <c r="E843" t="s">
        <v>170</v>
      </c>
      <c r="F843" t="s">
        <v>16</v>
      </c>
      <c r="G843">
        <v>2.87E-5</v>
      </c>
    </row>
    <row r="844" spans="1:9" x14ac:dyDescent="0.25">
      <c r="A844" s="104" t="str">
        <f t="shared" si="13"/>
        <v>Philippines2017RuralCommercialIUD</v>
      </c>
      <c r="B844" t="s">
        <v>148</v>
      </c>
      <c r="C844">
        <v>2017</v>
      </c>
      <c r="D844" t="s">
        <v>21</v>
      </c>
      <c r="E844" t="s">
        <v>59</v>
      </c>
      <c r="F844" t="s">
        <v>16</v>
      </c>
      <c r="G844">
        <v>1.7983999999999999E-3</v>
      </c>
      <c r="H844">
        <v>5.3984999999999997E-3</v>
      </c>
      <c r="I844">
        <v>2.2747000000000002E-3</v>
      </c>
    </row>
    <row r="845" spans="1:9" x14ac:dyDescent="0.25">
      <c r="A845" s="104" t="str">
        <f t="shared" si="13"/>
        <v>Philippines2017RuralOtherIUD</v>
      </c>
      <c r="B845" t="s">
        <v>148</v>
      </c>
      <c r="C845">
        <v>2017</v>
      </c>
      <c r="D845" t="s">
        <v>21</v>
      </c>
      <c r="E845" t="s">
        <v>116</v>
      </c>
      <c r="F845" t="s">
        <v>16</v>
      </c>
      <c r="H845">
        <v>4.3000000000000002E-5</v>
      </c>
    </row>
    <row r="846" spans="1:9" x14ac:dyDescent="0.25">
      <c r="A846" s="104" t="str">
        <f t="shared" si="13"/>
        <v>Philippines2017NationalPub_MedInjectable</v>
      </c>
      <c r="B846" t="s">
        <v>148</v>
      </c>
      <c r="C846">
        <v>2017</v>
      </c>
      <c r="D846" t="s">
        <v>178</v>
      </c>
      <c r="E846" t="s">
        <v>52</v>
      </c>
      <c r="F846" t="s">
        <v>22</v>
      </c>
      <c r="G846">
        <v>3.58249E-2</v>
      </c>
      <c r="H846">
        <v>2.36975E-2</v>
      </c>
      <c r="I846">
        <v>8.1353999999999992E-3</v>
      </c>
    </row>
    <row r="847" spans="1:9" x14ac:dyDescent="0.25">
      <c r="A847" s="104" t="str">
        <f t="shared" si="13"/>
        <v>Philippines2017NationalPub_OutreachInjectable</v>
      </c>
      <c r="B847" t="s">
        <v>148</v>
      </c>
      <c r="C847">
        <v>2017</v>
      </c>
      <c r="D847" t="s">
        <v>178</v>
      </c>
      <c r="E847" t="s">
        <v>54</v>
      </c>
      <c r="F847" t="s">
        <v>22</v>
      </c>
      <c r="G847">
        <v>1.9172E-3</v>
      </c>
      <c r="H847">
        <v>3.3E-4</v>
      </c>
      <c r="I847">
        <v>2.6299999999999999E-5</v>
      </c>
    </row>
    <row r="848" spans="1:9" x14ac:dyDescent="0.25">
      <c r="A848" s="104" t="str">
        <f t="shared" si="13"/>
        <v>Philippines2017NationalNGOInjectable</v>
      </c>
      <c r="B848" t="s">
        <v>148</v>
      </c>
      <c r="C848">
        <v>2017</v>
      </c>
      <c r="D848" t="s">
        <v>178</v>
      </c>
      <c r="E848" t="s">
        <v>170</v>
      </c>
      <c r="F848" t="s">
        <v>22</v>
      </c>
      <c r="H848">
        <v>1.471E-4</v>
      </c>
    </row>
    <row r="849" spans="1:9" x14ac:dyDescent="0.25">
      <c r="A849" s="104" t="str">
        <f t="shared" si="13"/>
        <v>Philippines2017NationalCommercialInjectable</v>
      </c>
      <c r="B849" t="s">
        <v>148</v>
      </c>
      <c r="C849">
        <v>2017</v>
      </c>
      <c r="D849" t="s">
        <v>178</v>
      </c>
      <c r="E849" t="s">
        <v>59</v>
      </c>
      <c r="F849" t="s">
        <v>22</v>
      </c>
      <c r="G849">
        <v>1.2101E-3</v>
      </c>
      <c r="H849">
        <v>3.3525E-3</v>
      </c>
      <c r="I849">
        <v>2.2085999999999998E-3</v>
      </c>
    </row>
    <row r="850" spans="1:9" x14ac:dyDescent="0.25">
      <c r="A850" s="104" t="str">
        <f t="shared" si="13"/>
        <v>Philippines2017NationalNonTradInjectable</v>
      </c>
      <c r="B850" t="s">
        <v>148</v>
      </c>
      <c r="C850">
        <v>2017</v>
      </c>
      <c r="D850" t="s">
        <v>178</v>
      </c>
      <c r="E850" t="s">
        <v>171</v>
      </c>
      <c r="F850" t="s">
        <v>22</v>
      </c>
      <c r="G850">
        <v>6.8300000000000007E-5</v>
      </c>
      <c r="H850">
        <v>1.2019999999999999E-4</v>
      </c>
    </row>
    <row r="851" spans="1:9" x14ac:dyDescent="0.25">
      <c r="A851" s="104" t="str">
        <f t="shared" si="13"/>
        <v>Philippines2017NationalOtherInjectable</v>
      </c>
      <c r="B851" t="s">
        <v>148</v>
      </c>
      <c r="C851">
        <v>2017</v>
      </c>
      <c r="D851" t="s">
        <v>178</v>
      </c>
      <c r="E851" t="s">
        <v>116</v>
      </c>
      <c r="F851" t="s">
        <v>22</v>
      </c>
      <c r="G851">
        <v>5.4400000000000001E-5</v>
      </c>
      <c r="H851">
        <v>4.8859999999999995E-4</v>
      </c>
      <c r="I851">
        <v>4.8299999999999998E-4</v>
      </c>
    </row>
    <row r="852" spans="1:9" x14ac:dyDescent="0.25">
      <c r="A852" s="104" t="str">
        <f t="shared" si="13"/>
        <v>Philippines2017UrbanPub_MedInjectable</v>
      </c>
      <c r="B852" t="s">
        <v>148</v>
      </c>
      <c r="C852">
        <v>2017</v>
      </c>
      <c r="D852" t="s">
        <v>20</v>
      </c>
      <c r="E852" t="s">
        <v>52</v>
      </c>
      <c r="F852" t="s">
        <v>22</v>
      </c>
      <c r="G852">
        <v>2.8632100000000001E-2</v>
      </c>
      <c r="H852">
        <v>1.9118199999999998E-2</v>
      </c>
      <c r="I852">
        <v>7.6138000000000004E-3</v>
      </c>
    </row>
    <row r="853" spans="1:9" x14ac:dyDescent="0.25">
      <c r="A853" s="104" t="str">
        <f t="shared" si="13"/>
        <v>Philippines2017UrbanPub_OutreachInjectable</v>
      </c>
      <c r="B853" t="s">
        <v>148</v>
      </c>
      <c r="C853">
        <v>2017</v>
      </c>
      <c r="D853" t="s">
        <v>20</v>
      </c>
      <c r="E853" t="s">
        <v>54</v>
      </c>
      <c r="F853" t="s">
        <v>22</v>
      </c>
      <c r="G853">
        <v>1.9634000000000001E-3</v>
      </c>
    </row>
    <row r="854" spans="1:9" x14ac:dyDescent="0.25">
      <c r="A854" s="104" t="str">
        <f t="shared" si="13"/>
        <v>Philippines2017UrbanNGOInjectable</v>
      </c>
      <c r="B854" t="s">
        <v>148</v>
      </c>
      <c r="C854">
        <v>2017</v>
      </c>
      <c r="D854" t="s">
        <v>20</v>
      </c>
      <c r="E854" t="s">
        <v>170</v>
      </c>
      <c r="F854" t="s">
        <v>22</v>
      </c>
      <c r="H854">
        <v>2.9599999999999998E-4</v>
      </c>
    </row>
    <row r="855" spans="1:9" x14ac:dyDescent="0.25">
      <c r="A855" s="104" t="str">
        <f t="shared" si="13"/>
        <v>Philippines2017UrbanCommercialInjectable</v>
      </c>
      <c r="B855" t="s">
        <v>148</v>
      </c>
      <c r="C855">
        <v>2017</v>
      </c>
      <c r="D855" t="s">
        <v>20</v>
      </c>
      <c r="E855" t="s">
        <v>59</v>
      </c>
      <c r="F855" t="s">
        <v>22</v>
      </c>
      <c r="G855">
        <v>1.2545E-3</v>
      </c>
      <c r="H855">
        <v>2.3251000000000001E-3</v>
      </c>
      <c r="I855">
        <v>1.7833E-3</v>
      </c>
    </row>
    <row r="856" spans="1:9" x14ac:dyDescent="0.25">
      <c r="A856" s="104" t="str">
        <f t="shared" si="13"/>
        <v>Philippines2017UrbanNonTradInjectable</v>
      </c>
      <c r="B856" t="s">
        <v>148</v>
      </c>
      <c r="C856">
        <v>2017</v>
      </c>
      <c r="D856" t="s">
        <v>20</v>
      </c>
      <c r="E856" t="s">
        <v>171</v>
      </c>
      <c r="F856" t="s">
        <v>22</v>
      </c>
      <c r="H856">
        <v>2.419E-4</v>
      </c>
    </row>
    <row r="857" spans="1:9" x14ac:dyDescent="0.25">
      <c r="A857" s="104" t="str">
        <f t="shared" si="13"/>
        <v>Philippines2017UrbanOtherInjectable</v>
      </c>
      <c r="B857" t="s">
        <v>148</v>
      </c>
      <c r="C857">
        <v>2017</v>
      </c>
      <c r="D857" t="s">
        <v>20</v>
      </c>
      <c r="E857" t="s">
        <v>116</v>
      </c>
      <c r="F857" t="s">
        <v>22</v>
      </c>
      <c r="G857">
        <v>1.116E-4</v>
      </c>
    </row>
    <row r="858" spans="1:9" x14ac:dyDescent="0.25">
      <c r="A858" s="104" t="str">
        <f t="shared" si="13"/>
        <v>Philippines2017RuralPub_MedInjectable</v>
      </c>
      <c r="B858" t="s">
        <v>148</v>
      </c>
      <c r="C858">
        <v>2017</v>
      </c>
      <c r="D858" t="s">
        <v>21</v>
      </c>
      <c r="E858" t="s">
        <v>52</v>
      </c>
      <c r="F858" t="s">
        <v>22</v>
      </c>
      <c r="G858">
        <v>4.2668200000000003E-2</v>
      </c>
      <c r="H858">
        <v>2.82226E-2</v>
      </c>
      <c r="I858">
        <v>8.6234999999999992E-3</v>
      </c>
    </row>
    <row r="859" spans="1:9" x14ac:dyDescent="0.25">
      <c r="A859" s="104" t="str">
        <f t="shared" si="13"/>
        <v>Philippines2017RuralPub_OutreachInjectable</v>
      </c>
      <c r="B859" t="s">
        <v>148</v>
      </c>
      <c r="C859">
        <v>2017</v>
      </c>
      <c r="D859" t="s">
        <v>21</v>
      </c>
      <c r="E859" t="s">
        <v>54</v>
      </c>
      <c r="F859" t="s">
        <v>22</v>
      </c>
      <c r="G859">
        <v>1.8733000000000001E-3</v>
      </c>
      <c r="H859">
        <v>6.5609999999999996E-4</v>
      </c>
      <c r="I859">
        <v>5.0899999999999997E-5</v>
      </c>
    </row>
    <row r="860" spans="1:9" x14ac:dyDescent="0.25">
      <c r="A860" s="104" t="str">
        <f t="shared" si="13"/>
        <v>Philippines2017RuralCommercialInjectable</v>
      </c>
      <c r="B860" t="s">
        <v>148</v>
      </c>
      <c r="C860">
        <v>2017</v>
      </c>
      <c r="D860" t="s">
        <v>21</v>
      </c>
      <c r="E860" t="s">
        <v>59</v>
      </c>
      <c r="F860" t="s">
        <v>22</v>
      </c>
      <c r="G860">
        <v>1.1678999999999999E-3</v>
      </c>
      <c r="H860">
        <v>4.3677999999999998E-3</v>
      </c>
      <c r="I860">
        <v>2.6064999999999999E-3</v>
      </c>
    </row>
    <row r="861" spans="1:9" x14ac:dyDescent="0.25">
      <c r="A861" s="104" t="str">
        <f t="shared" si="13"/>
        <v>Philippines2017RuralNonTradInjectable</v>
      </c>
      <c r="B861" t="s">
        <v>148</v>
      </c>
      <c r="C861">
        <v>2017</v>
      </c>
      <c r="D861" t="s">
        <v>21</v>
      </c>
      <c r="E861" t="s">
        <v>171</v>
      </c>
      <c r="F861" t="s">
        <v>22</v>
      </c>
      <c r="G861">
        <v>1.3339999999999999E-4</v>
      </c>
    </row>
    <row r="862" spans="1:9" x14ac:dyDescent="0.25">
      <c r="A862" s="104" t="str">
        <f t="shared" si="13"/>
        <v>Philippines2017RuralOtherInjectable</v>
      </c>
      <c r="B862" t="s">
        <v>148</v>
      </c>
      <c r="C862">
        <v>2017</v>
      </c>
      <c r="D862" t="s">
        <v>21</v>
      </c>
      <c r="E862" t="s">
        <v>116</v>
      </c>
      <c r="F862" t="s">
        <v>22</v>
      </c>
      <c r="H862">
        <v>9.7130000000000003E-4</v>
      </c>
      <c r="I862">
        <v>9.3490000000000001E-4</v>
      </c>
    </row>
    <row r="863" spans="1:9" x14ac:dyDescent="0.25">
      <c r="A863" s="104" t="str">
        <f t="shared" si="13"/>
        <v>Philippines2017NationalPub_MedCondom</v>
      </c>
      <c r="B863" t="s">
        <v>148</v>
      </c>
      <c r="C863">
        <v>2017</v>
      </c>
      <c r="D863" t="s">
        <v>178</v>
      </c>
      <c r="E863" t="s">
        <v>52</v>
      </c>
      <c r="F863" t="s">
        <v>25</v>
      </c>
      <c r="G863">
        <v>4.1003999999999997E-3</v>
      </c>
      <c r="H863">
        <v>2.9477000000000001E-3</v>
      </c>
      <c r="I863">
        <v>1.0184E-3</v>
      </c>
    </row>
    <row r="864" spans="1:9" x14ac:dyDescent="0.25">
      <c r="A864" s="104" t="str">
        <f t="shared" si="13"/>
        <v>Philippines2017NationalPub_OutreachCondom</v>
      </c>
      <c r="B864" t="s">
        <v>148</v>
      </c>
      <c r="C864">
        <v>2017</v>
      </c>
      <c r="D864" t="s">
        <v>178</v>
      </c>
      <c r="E864" t="s">
        <v>54</v>
      </c>
      <c r="F864" t="s">
        <v>25</v>
      </c>
      <c r="G864">
        <v>6.4700000000000001E-5</v>
      </c>
      <c r="I864">
        <v>3.5710000000000001E-4</v>
      </c>
    </row>
    <row r="865" spans="1:9" x14ac:dyDescent="0.25">
      <c r="A865" s="104" t="str">
        <f t="shared" si="13"/>
        <v>Philippines2017NationalCommercialCondom</v>
      </c>
      <c r="B865" t="s">
        <v>148</v>
      </c>
      <c r="C865">
        <v>2017</v>
      </c>
      <c r="D865" t="s">
        <v>178</v>
      </c>
      <c r="E865" t="s">
        <v>59</v>
      </c>
      <c r="F865" t="s">
        <v>25</v>
      </c>
      <c r="G865">
        <v>4.9630000000000004E-3</v>
      </c>
      <c r="H865">
        <v>6.3197000000000001E-3</v>
      </c>
      <c r="I865">
        <v>9.8858999999999995E-3</v>
      </c>
    </row>
    <row r="866" spans="1:9" x14ac:dyDescent="0.25">
      <c r="A866" s="104" t="str">
        <f t="shared" si="13"/>
        <v>Philippines2017NationalNonTradCondom</v>
      </c>
      <c r="B866" t="s">
        <v>148</v>
      </c>
      <c r="C866">
        <v>2017</v>
      </c>
      <c r="D866" t="s">
        <v>178</v>
      </c>
      <c r="E866" t="s">
        <v>171</v>
      </c>
      <c r="F866" t="s">
        <v>25</v>
      </c>
      <c r="G866">
        <v>9.2179999999999996E-4</v>
      </c>
      <c r="H866">
        <v>1.7443000000000001E-3</v>
      </c>
      <c r="I866">
        <v>1.6739999999999999E-3</v>
      </c>
    </row>
    <row r="867" spans="1:9" x14ac:dyDescent="0.25">
      <c r="A867" s="104" t="str">
        <f t="shared" si="13"/>
        <v>Philippines2017NationalOtherCondom</v>
      </c>
      <c r="B867" t="s">
        <v>148</v>
      </c>
      <c r="C867">
        <v>2017</v>
      </c>
      <c r="D867" t="s">
        <v>178</v>
      </c>
      <c r="E867" t="s">
        <v>116</v>
      </c>
      <c r="F867" t="s">
        <v>25</v>
      </c>
      <c r="G867">
        <v>2.4399999999999999E-4</v>
      </c>
      <c r="H867">
        <v>3.9300000000000001E-4</v>
      </c>
      <c r="I867">
        <v>1.305E-4</v>
      </c>
    </row>
    <row r="868" spans="1:9" x14ac:dyDescent="0.25">
      <c r="A868" s="104" t="str">
        <f t="shared" si="13"/>
        <v>Philippines2017UrbanPub_MedCondom</v>
      </c>
      <c r="B868" t="s">
        <v>148</v>
      </c>
      <c r="C868">
        <v>2017</v>
      </c>
      <c r="D868" t="s">
        <v>20</v>
      </c>
      <c r="E868" t="s">
        <v>52</v>
      </c>
      <c r="F868" t="s">
        <v>25</v>
      </c>
      <c r="G868">
        <v>2.8153000000000002E-3</v>
      </c>
      <c r="H868">
        <v>2.9764000000000001E-3</v>
      </c>
      <c r="I868">
        <v>3.6440000000000002E-4</v>
      </c>
    </row>
    <row r="869" spans="1:9" x14ac:dyDescent="0.25">
      <c r="A869" s="104" t="str">
        <f t="shared" si="13"/>
        <v>Philippines2017UrbanPub_OutreachCondom</v>
      </c>
      <c r="B869" t="s">
        <v>148</v>
      </c>
      <c r="C869">
        <v>2017</v>
      </c>
      <c r="D869" t="s">
        <v>20</v>
      </c>
      <c r="E869" t="s">
        <v>54</v>
      </c>
      <c r="F869" t="s">
        <v>25</v>
      </c>
      <c r="G869">
        <v>3.3800000000000002E-5</v>
      </c>
    </row>
    <row r="870" spans="1:9" x14ac:dyDescent="0.25">
      <c r="A870" s="104" t="str">
        <f t="shared" si="13"/>
        <v>Philippines2017UrbanCommercialCondom</v>
      </c>
      <c r="B870" t="s">
        <v>148</v>
      </c>
      <c r="C870">
        <v>2017</v>
      </c>
      <c r="D870" t="s">
        <v>20</v>
      </c>
      <c r="E870" t="s">
        <v>59</v>
      </c>
      <c r="F870" t="s">
        <v>25</v>
      </c>
      <c r="G870">
        <v>6.0013000000000002E-3</v>
      </c>
      <c r="H870">
        <v>6.6463E-3</v>
      </c>
      <c r="I870">
        <v>1.1711900000000001E-2</v>
      </c>
    </row>
    <row r="871" spans="1:9" x14ac:dyDescent="0.25">
      <c r="A871" s="104" t="str">
        <f t="shared" si="13"/>
        <v>Philippines2017UrbanNonTradCondom</v>
      </c>
      <c r="B871" t="s">
        <v>148</v>
      </c>
      <c r="C871">
        <v>2017</v>
      </c>
      <c r="D871" t="s">
        <v>20</v>
      </c>
      <c r="E871" t="s">
        <v>171</v>
      </c>
      <c r="F871" t="s">
        <v>25</v>
      </c>
      <c r="G871">
        <v>1.1203000000000001E-3</v>
      </c>
      <c r="H871">
        <v>1.9954999999999999E-3</v>
      </c>
      <c r="I871">
        <v>3.0870000000000002E-4</v>
      </c>
    </row>
    <row r="872" spans="1:9" x14ac:dyDescent="0.25">
      <c r="A872" s="104" t="str">
        <f t="shared" si="13"/>
        <v>Philippines2017UrbanOtherCondom</v>
      </c>
      <c r="B872" t="s">
        <v>148</v>
      </c>
      <c r="C872">
        <v>2017</v>
      </c>
      <c r="D872" t="s">
        <v>20</v>
      </c>
      <c r="E872" t="s">
        <v>116</v>
      </c>
      <c r="F872" t="s">
        <v>25</v>
      </c>
      <c r="G872">
        <v>3.3490000000000001E-4</v>
      </c>
      <c r="I872">
        <v>2.699E-4</v>
      </c>
    </row>
    <row r="873" spans="1:9" x14ac:dyDescent="0.25">
      <c r="A873" s="104" t="str">
        <f t="shared" si="13"/>
        <v>Philippines2017RuralPub_MedCondom</v>
      </c>
      <c r="B873" t="s">
        <v>148</v>
      </c>
      <c r="C873">
        <v>2017</v>
      </c>
      <c r="D873" t="s">
        <v>21</v>
      </c>
      <c r="E873" t="s">
        <v>52</v>
      </c>
      <c r="F873" t="s">
        <v>25</v>
      </c>
      <c r="G873">
        <v>5.3229999999999996E-3</v>
      </c>
      <c r="H873">
        <v>2.9193000000000001E-3</v>
      </c>
      <c r="I873">
        <v>1.6303999999999999E-3</v>
      </c>
    </row>
    <row r="874" spans="1:9" x14ac:dyDescent="0.25">
      <c r="A874" s="104" t="str">
        <f t="shared" si="13"/>
        <v>Philippines2017RuralPub_OutreachCondom</v>
      </c>
      <c r="B874" t="s">
        <v>148</v>
      </c>
      <c r="C874">
        <v>2017</v>
      </c>
      <c r="D874" t="s">
        <v>21</v>
      </c>
      <c r="E874" t="s">
        <v>54</v>
      </c>
      <c r="F874" t="s">
        <v>25</v>
      </c>
      <c r="G874">
        <v>9.4099999999999997E-5</v>
      </c>
      <c r="I874">
        <v>6.912E-4</v>
      </c>
    </row>
    <row r="875" spans="1:9" x14ac:dyDescent="0.25">
      <c r="A875" s="104" t="str">
        <f t="shared" si="13"/>
        <v>Philippines2017RuralCommercialCondom</v>
      </c>
      <c r="B875" t="s">
        <v>148</v>
      </c>
      <c r="C875">
        <v>2017</v>
      </c>
      <c r="D875" t="s">
        <v>21</v>
      </c>
      <c r="E875" t="s">
        <v>59</v>
      </c>
      <c r="F875" t="s">
        <v>25</v>
      </c>
      <c r="G875">
        <v>3.9751999999999999E-3</v>
      </c>
      <c r="H875">
        <v>5.9969999999999997E-3</v>
      </c>
      <c r="I875">
        <v>8.1773000000000002E-3</v>
      </c>
    </row>
    <row r="876" spans="1:9" x14ac:dyDescent="0.25">
      <c r="A876" s="104" t="str">
        <f t="shared" si="13"/>
        <v>Philippines2017RuralNonTradCondom</v>
      </c>
      <c r="B876" t="s">
        <v>148</v>
      </c>
      <c r="C876">
        <v>2017</v>
      </c>
      <c r="D876" t="s">
        <v>21</v>
      </c>
      <c r="E876" t="s">
        <v>171</v>
      </c>
      <c r="F876" t="s">
        <v>25</v>
      </c>
      <c r="G876">
        <v>7.3289999999999998E-4</v>
      </c>
      <c r="H876">
        <v>1.4962E-3</v>
      </c>
      <c r="I876">
        <v>2.9515000000000001E-3</v>
      </c>
    </row>
    <row r="877" spans="1:9" x14ac:dyDescent="0.25">
      <c r="A877" s="104" t="str">
        <f t="shared" si="13"/>
        <v>Philippines2017RuralOtherCondom</v>
      </c>
      <c r="B877" t="s">
        <v>148</v>
      </c>
      <c r="C877">
        <v>2017</v>
      </c>
      <c r="D877" t="s">
        <v>21</v>
      </c>
      <c r="E877" t="s">
        <v>116</v>
      </c>
      <c r="F877" t="s">
        <v>25</v>
      </c>
      <c r="G877">
        <v>1.5750000000000001E-4</v>
      </c>
      <c r="H877">
        <v>7.8129999999999996E-4</v>
      </c>
    </row>
    <row r="878" spans="1:9" x14ac:dyDescent="0.25">
      <c r="A878" s="104" t="str">
        <f t="shared" si="13"/>
        <v>Philippines2017NationalPub_MedImplant</v>
      </c>
      <c r="B878" t="s">
        <v>148</v>
      </c>
      <c r="C878">
        <v>2017</v>
      </c>
      <c r="D878" t="s">
        <v>178</v>
      </c>
      <c r="E878" t="s">
        <v>52</v>
      </c>
      <c r="F878" t="s">
        <v>23</v>
      </c>
      <c r="G878">
        <v>6.9137000000000001E-3</v>
      </c>
      <c r="H878">
        <v>3.9309000000000002E-3</v>
      </c>
      <c r="I878">
        <v>1.2972000000000001E-3</v>
      </c>
    </row>
    <row r="879" spans="1:9" x14ac:dyDescent="0.25">
      <c r="A879" s="104" t="str">
        <f t="shared" si="13"/>
        <v>Philippines2017NationalPub_OutreachImplant</v>
      </c>
      <c r="B879" t="s">
        <v>148</v>
      </c>
      <c r="C879">
        <v>2017</v>
      </c>
      <c r="D879" t="s">
        <v>178</v>
      </c>
      <c r="E879" t="s">
        <v>54</v>
      </c>
      <c r="F879" t="s">
        <v>23</v>
      </c>
      <c r="G879">
        <v>3.6519999999999999E-4</v>
      </c>
    </row>
    <row r="880" spans="1:9" x14ac:dyDescent="0.25">
      <c r="A880" s="104" t="str">
        <f t="shared" si="13"/>
        <v>Philippines2017NationalNGOImplant</v>
      </c>
      <c r="B880" t="s">
        <v>148</v>
      </c>
      <c r="C880">
        <v>2017</v>
      </c>
      <c r="D880" t="s">
        <v>178</v>
      </c>
      <c r="E880" t="s">
        <v>170</v>
      </c>
      <c r="F880" t="s">
        <v>23</v>
      </c>
      <c r="G880">
        <v>7.4649999999999998E-4</v>
      </c>
      <c r="I880">
        <v>2.0340000000000001E-4</v>
      </c>
    </row>
    <row r="881" spans="1:9" x14ac:dyDescent="0.25">
      <c r="A881" s="104" t="str">
        <f t="shared" si="13"/>
        <v>Philippines2017NationalCommercialImplant</v>
      </c>
      <c r="B881" t="s">
        <v>148</v>
      </c>
      <c r="C881">
        <v>2017</v>
      </c>
      <c r="D881" t="s">
        <v>178</v>
      </c>
      <c r="E881" t="s">
        <v>59</v>
      </c>
      <c r="F881" t="s">
        <v>23</v>
      </c>
      <c r="G881">
        <v>1.7599E-3</v>
      </c>
      <c r="H881">
        <v>6.4610000000000004E-4</v>
      </c>
      <c r="I881">
        <v>1.0459999999999999E-4</v>
      </c>
    </row>
    <row r="882" spans="1:9" x14ac:dyDescent="0.25">
      <c r="A882" s="104" t="str">
        <f t="shared" si="13"/>
        <v>Philippines2017NationalOtherImplant</v>
      </c>
      <c r="B882" t="s">
        <v>148</v>
      </c>
      <c r="C882">
        <v>2017</v>
      </c>
      <c r="D882" t="s">
        <v>178</v>
      </c>
      <c r="E882" t="s">
        <v>116</v>
      </c>
      <c r="F882" t="s">
        <v>23</v>
      </c>
      <c r="G882">
        <v>2.1249999999999999E-4</v>
      </c>
    </row>
    <row r="883" spans="1:9" x14ac:dyDescent="0.25">
      <c r="A883" s="104" t="str">
        <f t="shared" si="13"/>
        <v>Philippines2017UrbanPub_MedImplant</v>
      </c>
      <c r="B883" t="s">
        <v>148</v>
      </c>
      <c r="C883">
        <v>2017</v>
      </c>
      <c r="D883" t="s">
        <v>20</v>
      </c>
      <c r="E883" t="s">
        <v>52</v>
      </c>
      <c r="F883" t="s">
        <v>23</v>
      </c>
      <c r="G883">
        <v>4.3668999999999999E-3</v>
      </c>
      <c r="H883">
        <v>3.3689000000000002E-3</v>
      </c>
      <c r="I883">
        <v>1.3814999999999999E-3</v>
      </c>
    </row>
    <row r="884" spans="1:9" x14ac:dyDescent="0.25">
      <c r="A884" s="104" t="str">
        <f t="shared" si="13"/>
        <v>Philippines2017UrbanPub_OutreachImplant</v>
      </c>
      <c r="B884" t="s">
        <v>148</v>
      </c>
      <c r="C884">
        <v>2017</v>
      </c>
      <c r="D884" t="s">
        <v>20</v>
      </c>
      <c r="E884" t="s">
        <v>54</v>
      </c>
      <c r="F884" t="s">
        <v>23</v>
      </c>
      <c r="G884">
        <v>5.4310000000000003E-4</v>
      </c>
    </row>
    <row r="885" spans="1:9" x14ac:dyDescent="0.25">
      <c r="A885" s="104" t="str">
        <f t="shared" si="13"/>
        <v>Philippines2017UrbanNGOImplant</v>
      </c>
      <c r="B885" t="s">
        <v>148</v>
      </c>
      <c r="C885">
        <v>2017</v>
      </c>
      <c r="D885" t="s">
        <v>20</v>
      </c>
      <c r="E885" t="s">
        <v>170</v>
      </c>
      <c r="F885" t="s">
        <v>23</v>
      </c>
      <c r="G885">
        <v>1.2218000000000001E-3</v>
      </c>
    </row>
    <row r="886" spans="1:9" x14ac:dyDescent="0.25">
      <c r="A886" s="104" t="str">
        <f t="shared" si="13"/>
        <v>Philippines2017UrbanCommercialImplant</v>
      </c>
      <c r="B886" t="s">
        <v>148</v>
      </c>
      <c r="C886">
        <v>2017</v>
      </c>
      <c r="D886" t="s">
        <v>20</v>
      </c>
      <c r="E886" t="s">
        <v>59</v>
      </c>
      <c r="F886" t="s">
        <v>23</v>
      </c>
      <c r="G886">
        <v>2.4816E-3</v>
      </c>
      <c r="H886">
        <v>1.2606E-3</v>
      </c>
      <c r="I886">
        <v>1.6190000000000001E-4</v>
      </c>
    </row>
    <row r="887" spans="1:9" x14ac:dyDescent="0.25">
      <c r="A887" s="104" t="str">
        <f t="shared" si="13"/>
        <v>Philippines2017RuralPub_MedImplant</v>
      </c>
      <c r="B887" t="s">
        <v>148</v>
      </c>
      <c r="C887">
        <v>2017</v>
      </c>
      <c r="D887" t="s">
        <v>21</v>
      </c>
      <c r="E887" t="s">
        <v>52</v>
      </c>
      <c r="F887" t="s">
        <v>23</v>
      </c>
      <c r="G887">
        <v>9.3366999999999999E-3</v>
      </c>
      <c r="H887">
        <v>4.4863000000000004E-3</v>
      </c>
      <c r="I887">
        <v>1.2183000000000001E-3</v>
      </c>
    </row>
    <row r="888" spans="1:9" x14ac:dyDescent="0.25">
      <c r="A888" s="104" t="str">
        <f t="shared" si="13"/>
        <v>Philippines2017RuralPub_OutreachImplant</v>
      </c>
      <c r="B888" t="s">
        <v>148</v>
      </c>
      <c r="C888">
        <v>2017</v>
      </c>
      <c r="D888" t="s">
        <v>21</v>
      </c>
      <c r="E888" t="s">
        <v>54</v>
      </c>
      <c r="F888" t="s">
        <v>23</v>
      </c>
      <c r="G888">
        <v>1.9589999999999999E-4</v>
      </c>
    </row>
    <row r="889" spans="1:9" x14ac:dyDescent="0.25">
      <c r="A889" s="104" t="str">
        <f t="shared" si="13"/>
        <v>Philippines2017RuralNGOImplant</v>
      </c>
      <c r="B889" t="s">
        <v>148</v>
      </c>
      <c r="C889">
        <v>2017</v>
      </c>
      <c r="D889" t="s">
        <v>21</v>
      </c>
      <c r="E889" t="s">
        <v>170</v>
      </c>
      <c r="F889" t="s">
        <v>23</v>
      </c>
      <c r="G889">
        <v>2.943E-4</v>
      </c>
      <c r="I889">
        <v>3.9379999999999998E-4</v>
      </c>
    </row>
    <row r="890" spans="1:9" x14ac:dyDescent="0.25">
      <c r="A890" s="104" t="str">
        <f t="shared" si="13"/>
        <v>Philippines2017RuralCommercialImplant</v>
      </c>
      <c r="B890" t="s">
        <v>148</v>
      </c>
      <c r="C890">
        <v>2017</v>
      </c>
      <c r="D890" t="s">
        <v>21</v>
      </c>
      <c r="E890" t="s">
        <v>59</v>
      </c>
      <c r="F890" t="s">
        <v>23</v>
      </c>
      <c r="G890">
        <v>1.0732999999999999E-3</v>
      </c>
      <c r="H890">
        <v>3.8999999999999999E-5</v>
      </c>
      <c r="I890">
        <v>5.0899999999999997E-5</v>
      </c>
    </row>
    <row r="891" spans="1:9" x14ac:dyDescent="0.25">
      <c r="A891" s="104" t="str">
        <f t="shared" si="13"/>
        <v>Philippines2017RuralOtherImplant</v>
      </c>
      <c r="B891" t="s">
        <v>148</v>
      </c>
      <c r="C891">
        <v>2017</v>
      </c>
      <c r="D891" t="s">
        <v>21</v>
      </c>
      <c r="E891" t="s">
        <v>116</v>
      </c>
      <c r="F891" t="s">
        <v>23</v>
      </c>
      <c r="G891">
        <v>4.1459999999999999E-4</v>
      </c>
    </row>
    <row r="892" spans="1:9" x14ac:dyDescent="0.25">
      <c r="A892" s="104" t="str">
        <f t="shared" si="13"/>
        <v>Senegal2016NationalPub_MedPill</v>
      </c>
      <c r="B892" t="s">
        <v>150</v>
      </c>
      <c r="C892">
        <v>2016</v>
      </c>
      <c r="D892" t="s">
        <v>178</v>
      </c>
      <c r="E892" t="s">
        <v>52</v>
      </c>
      <c r="F892" t="s">
        <v>12</v>
      </c>
      <c r="G892">
        <v>1.61776E-2</v>
      </c>
      <c r="H892">
        <v>2.9076000000000001E-2</v>
      </c>
      <c r="I892">
        <v>3.5052399999999997E-2</v>
      </c>
    </row>
    <row r="893" spans="1:9" x14ac:dyDescent="0.25">
      <c r="A893" s="104" t="str">
        <f t="shared" si="13"/>
        <v>Senegal2016NationalPub_OutreachPill</v>
      </c>
      <c r="B893" t="s">
        <v>150</v>
      </c>
      <c r="C893">
        <v>2016</v>
      </c>
      <c r="D893" t="s">
        <v>178</v>
      </c>
      <c r="E893" t="s">
        <v>54</v>
      </c>
      <c r="F893" t="s">
        <v>12</v>
      </c>
      <c r="G893">
        <v>1.3895999999999999E-3</v>
      </c>
      <c r="H893">
        <v>4.4396000000000001E-3</v>
      </c>
      <c r="I893">
        <v>5.308E-4</v>
      </c>
    </row>
    <row r="894" spans="1:9" x14ac:dyDescent="0.25">
      <c r="A894" s="104" t="str">
        <f t="shared" si="13"/>
        <v>Senegal2016NationalCommercialPill</v>
      </c>
      <c r="B894" t="s">
        <v>150</v>
      </c>
      <c r="C894">
        <v>2016</v>
      </c>
      <c r="D894" t="s">
        <v>178</v>
      </c>
      <c r="E894" t="s">
        <v>59</v>
      </c>
      <c r="F894" t="s">
        <v>12</v>
      </c>
      <c r="G894">
        <v>5.7219999999999997E-3</v>
      </c>
      <c r="H894">
        <v>6.1922000000000001E-3</v>
      </c>
      <c r="I894">
        <v>7.1110000000000001E-3</v>
      </c>
    </row>
    <row r="895" spans="1:9" x14ac:dyDescent="0.25">
      <c r="A895" s="104" t="str">
        <f t="shared" si="13"/>
        <v>Senegal2016UrbanPub_MedPill</v>
      </c>
      <c r="B895" t="s">
        <v>150</v>
      </c>
      <c r="C895">
        <v>2016</v>
      </c>
      <c r="D895" t="s">
        <v>20</v>
      </c>
      <c r="E895" t="s">
        <v>52</v>
      </c>
      <c r="F895" t="s">
        <v>12</v>
      </c>
      <c r="G895">
        <v>2.5828199999999999E-2</v>
      </c>
      <c r="H895">
        <v>2.4761200000000001E-2</v>
      </c>
      <c r="I895">
        <v>3.0074300000000002E-2</v>
      </c>
    </row>
    <row r="896" spans="1:9" x14ac:dyDescent="0.25">
      <c r="A896" s="104" t="str">
        <f t="shared" si="13"/>
        <v>Senegal2016UrbanPub_OutreachPill</v>
      </c>
      <c r="B896" t="s">
        <v>150</v>
      </c>
      <c r="C896">
        <v>2016</v>
      </c>
      <c r="D896" t="s">
        <v>20</v>
      </c>
      <c r="E896" t="s">
        <v>54</v>
      </c>
      <c r="F896" t="s">
        <v>12</v>
      </c>
      <c r="G896">
        <v>3.5570000000000003E-4</v>
      </c>
      <c r="H896">
        <v>5.2077E-3</v>
      </c>
    </row>
    <row r="897" spans="1:9" x14ac:dyDescent="0.25">
      <c r="A897" s="104" t="str">
        <f t="shared" si="13"/>
        <v>Senegal2016UrbanCommercialPill</v>
      </c>
      <c r="B897" t="s">
        <v>150</v>
      </c>
      <c r="C897">
        <v>2016</v>
      </c>
      <c r="D897" t="s">
        <v>20</v>
      </c>
      <c r="E897" t="s">
        <v>59</v>
      </c>
      <c r="F897" t="s">
        <v>12</v>
      </c>
      <c r="G897">
        <v>1.0937199999999999E-2</v>
      </c>
      <c r="H897">
        <v>1.2407899999999999E-2</v>
      </c>
      <c r="I897">
        <v>1.2485700000000001E-2</v>
      </c>
    </row>
    <row r="898" spans="1:9" x14ac:dyDescent="0.25">
      <c r="A898" s="104" t="str">
        <f t="shared" si="13"/>
        <v>Senegal2016RuralPub_MedPill</v>
      </c>
      <c r="B898" t="s">
        <v>150</v>
      </c>
      <c r="C898">
        <v>2016</v>
      </c>
      <c r="D898" t="s">
        <v>21</v>
      </c>
      <c r="E898" t="s">
        <v>52</v>
      </c>
      <c r="F898" t="s">
        <v>12</v>
      </c>
      <c r="G898">
        <v>6.3121999999999996E-3</v>
      </c>
      <c r="H898">
        <v>3.3374399999999999E-2</v>
      </c>
      <c r="I898">
        <v>3.9077800000000003E-2</v>
      </c>
    </row>
    <row r="899" spans="1:9" x14ac:dyDescent="0.25">
      <c r="A899" s="104" t="str">
        <f t="shared" ref="A899:A962" si="14">B899&amp;C899&amp;D899&amp;E899&amp;F899</f>
        <v>Senegal2016RuralPub_OutreachPill</v>
      </c>
      <c r="B899" t="s">
        <v>150</v>
      </c>
      <c r="C899">
        <v>2016</v>
      </c>
      <c r="D899" t="s">
        <v>21</v>
      </c>
      <c r="E899" t="s">
        <v>54</v>
      </c>
      <c r="F899" t="s">
        <v>12</v>
      </c>
      <c r="G899">
        <v>2.4466000000000002E-3</v>
      </c>
      <c r="H899">
        <v>3.6744E-3</v>
      </c>
      <c r="I899">
        <v>9.5989999999999997E-4</v>
      </c>
    </row>
    <row r="900" spans="1:9" x14ac:dyDescent="0.25">
      <c r="A900" s="104" t="str">
        <f t="shared" si="14"/>
        <v>Senegal2016RuralCommercialPill</v>
      </c>
      <c r="B900" t="s">
        <v>150</v>
      </c>
      <c r="C900">
        <v>2016</v>
      </c>
      <c r="D900" t="s">
        <v>21</v>
      </c>
      <c r="E900" t="s">
        <v>59</v>
      </c>
      <c r="F900" t="s">
        <v>12</v>
      </c>
      <c r="G900">
        <v>3.9060000000000001E-4</v>
      </c>
      <c r="I900">
        <v>2.7648999999999998E-3</v>
      </c>
    </row>
    <row r="901" spans="1:9" x14ac:dyDescent="0.25">
      <c r="A901" s="104" t="str">
        <f t="shared" si="14"/>
        <v>Senegal2016NationalPub_MedIUD</v>
      </c>
      <c r="B901" t="s">
        <v>150</v>
      </c>
      <c r="C901">
        <v>2016</v>
      </c>
      <c r="D901" t="s">
        <v>178</v>
      </c>
      <c r="E901" t="s">
        <v>52</v>
      </c>
      <c r="F901" t="s">
        <v>16</v>
      </c>
      <c r="G901">
        <v>7.7117000000000002E-3</v>
      </c>
      <c r="H901">
        <v>1.0775399999999999E-2</v>
      </c>
      <c r="I901">
        <v>1.0960599999999999E-2</v>
      </c>
    </row>
    <row r="902" spans="1:9" x14ac:dyDescent="0.25">
      <c r="A902" s="104" t="str">
        <f t="shared" si="14"/>
        <v>Senegal2016NationalPub_OutreachIUD</v>
      </c>
      <c r="B902" t="s">
        <v>150</v>
      </c>
      <c r="C902">
        <v>2016</v>
      </c>
      <c r="D902" t="s">
        <v>178</v>
      </c>
      <c r="E902" t="s">
        <v>54</v>
      </c>
      <c r="F902" t="s">
        <v>16</v>
      </c>
      <c r="H902">
        <v>5.8810000000000004E-4</v>
      </c>
      <c r="I902">
        <v>2.1947999999999998E-3</v>
      </c>
    </row>
    <row r="903" spans="1:9" x14ac:dyDescent="0.25">
      <c r="A903" s="104" t="str">
        <f t="shared" si="14"/>
        <v>Senegal2016NationalCommercialIUD</v>
      </c>
      <c r="B903" t="s">
        <v>150</v>
      </c>
      <c r="C903">
        <v>2016</v>
      </c>
      <c r="D903" t="s">
        <v>178</v>
      </c>
      <c r="E903" t="s">
        <v>59</v>
      </c>
      <c r="F903" t="s">
        <v>16</v>
      </c>
      <c r="G903">
        <v>9.3900000000000006E-5</v>
      </c>
      <c r="I903">
        <v>2.4840000000000002E-4</v>
      </c>
    </row>
    <row r="904" spans="1:9" x14ac:dyDescent="0.25">
      <c r="A904" s="104" t="str">
        <f t="shared" si="14"/>
        <v>Senegal2016NationalIUD</v>
      </c>
      <c r="B904" t="s">
        <v>150</v>
      </c>
      <c r="C904">
        <v>2016</v>
      </c>
      <c r="D904" t="s">
        <v>178</v>
      </c>
      <c r="F904" t="s">
        <v>16</v>
      </c>
      <c r="G904">
        <v>8.2549999999999995E-4</v>
      </c>
      <c r="H904">
        <v>6.3388000000000003E-3</v>
      </c>
      <c r="I904">
        <v>5.3939999999999999E-4</v>
      </c>
    </row>
    <row r="905" spans="1:9" x14ac:dyDescent="0.25">
      <c r="A905" s="104" t="str">
        <f t="shared" si="14"/>
        <v>Senegal2016UrbanPub_MedIUD</v>
      </c>
      <c r="B905" t="s">
        <v>150</v>
      </c>
      <c r="C905">
        <v>2016</v>
      </c>
      <c r="D905" t="s">
        <v>20</v>
      </c>
      <c r="E905" t="s">
        <v>52</v>
      </c>
      <c r="F905" t="s">
        <v>16</v>
      </c>
      <c r="G905">
        <v>9.4018000000000001E-3</v>
      </c>
      <c r="H905">
        <v>1.88416E-2</v>
      </c>
      <c r="I905">
        <v>1.8838400000000002E-2</v>
      </c>
    </row>
    <row r="906" spans="1:9" x14ac:dyDescent="0.25">
      <c r="A906" s="104" t="str">
        <f t="shared" si="14"/>
        <v>Senegal2016UrbanPub_OutreachIUD</v>
      </c>
      <c r="B906" t="s">
        <v>150</v>
      </c>
      <c r="C906">
        <v>2016</v>
      </c>
      <c r="D906" t="s">
        <v>20</v>
      </c>
      <c r="E906" t="s">
        <v>54</v>
      </c>
      <c r="F906" t="s">
        <v>16</v>
      </c>
      <c r="I906">
        <v>4.9090000000000002E-3</v>
      </c>
    </row>
    <row r="907" spans="1:9" x14ac:dyDescent="0.25">
      <c r="A907" s="104" t="str">
        <f t="shared" si="14"/>
        <v>Senegal2016UrbanCommercialIUD</v>
      </c>
      <c r="B907" t="s">
        <v>150</v>
      </c>
      <c r="C907">
        <v>2016</v>
      </c>
      <c r="D907" t="s">
        <v>20</v>
      </c>
      <c r="E907" t="s">
        <v>59</v>
      </c>
      <c r="F907" t="s">
        <v>16</v>
      </c>
      <c r="G907">
        <v>1.8579999999999999E-4</v>
      </c>
      <c r="I907">
        <v>5.5559999999999995E-4</v>
      </c>
    </row>
    <row r="908" spans="1:9" x14ac:dyDescent="0.25">
      <c r="A908" s="104" t="str">
        <f t="shared" si="14"/>
        <v>Senegal2016UrbanIUD</v>
      </c>
      <c r="B908" t="s">
        <v>150</v>
      </c>
      <c r="C908">
        <v>2016</v>
      </c>
      <c r="D908" t="s">
        <v>20</v>
      </c>
      <c r="F908" t="s">
        <v>16</v>
      </c>
      <c r="G908">
        <v>1.14E-3</v>
      </c>
      <c r="H908">
        <v>9.4888999999999998E-3</v>
      </c>
    </row>
    <row r="909" spans="1:9" x14ac:dyDescent="0.25">
      <c r="A909" s="104" t="str">
        <f t="shared" si="14"/>
        <v>Senegal2016RuralPub_MedIUD</v>
      </c>
      <c r="B909" t="s">
        <v>150</v>
      </c>
      <c r="C909">
        <v>2016</v>
      </c>
      <c r="D909" t="s">
        <v>21</v>
      </c>
      <c r="E909" t="s">
        <v>52</v>
      </c>
      <c r="F909" t="s">
        <v>16</v>
      </c>
      <c r="G909">
        <v>5.9839000000000003E-3</v>
      </c>
      <c r="H909">
        <v>2.7396999999999999E-3</v>
      </c>
      <c r="I909">
        <v>4.5903000000000003E-3</v>
      </c>
    </row>
    <row r="910" spans="1:9" x14ac:dyDescent="0.25">
      <c r="A910" s="104" t="str">
        <f t="shared" si="14"/>
        <v>Senegal2016RuralPub_OutreachIUD</v>
      </c>
      <c r="B910" t="s">
        <v>150</v>
      </c>
      <c r="C910">
        <v>2016</v>
      </c>
      <c r="D910" t="s">
        <v>21</v>
      </c>
      <c r="E910" t="s">
        <v>54</v>
      </c>
      <c r="F910" t="s">
        <v>16</v>
      </c>
      <c r="H910">
        <v>1.1739999999999999E-3</v>
      </c>
    </row>
    <row r="911" spans="1:9" x14ac:dyDescent="0.25">
      <c r="A911" s="104" t="str">
        <f t="shared" si="14"/>
        <v>Senegal2016RuralIUD</v>
      </c>
      <c r="B911" t="s">
        <v>150</v>
      </c>
      <c r="C911">
        <v>2016</v>
      </c>
      <c r="D911" t="s">
        <v>21</v>
      </c>
      <c r="F911" t="s">
        <v>16</v>
      </c>
      <c r="G911">
        <v>5.0390000000000005E-4</v>
      </c>
      <c r="H911">
        <v>3.2006000000000001E-3</v>
      </c>
      <c r="I911">
        <v>9.7559999999999997E-4</v>
      </c>
    </row>
    <row r="912" spans="1:9" x14ac:dyDescent="0.25">
      <c r="A912" s="104" t="str">
        <f t="shared" si="14"/>
        <v>Senegal2016NationalPub_MedInjectable</v>
      </c>
      <c r="B912" t="s">
        <v>150</v>
      </c>
      <c r="C912">
        <v>2016</v>
      </c>
      <c r="D912" t="s">
        <v>178</v>
      </c>
      <c r="E912" t="s">
        <v>52</v>
      </c>
      <c r="F912" t="s">
        <v>22</v>
      </c>
      <c r="G912">
        <v>5.4649499999999997E-2</v>
      </c>
      <c r="H912">
        <v>5.53943E-2</v>
      </c>
      <c r="I912">
        <v>4.7182200000000001E-2</v>
      </c>
    </row>
    <row r="913" spans="1:9" x14ac:dyDescent="0.25">
      <c r="A913" s="104" t="str">
        <f t="shared" si="14"/>
        <v>Senegal2016NationalPub_OutreachInjectable</v>
      </c>
      <c r="B913" t="s">
        <v>150</v>
      </c>
      <c r="C913">
        <v>2016</v>
      </c>
      <c r="D913" t="s">
        <v>178</v>
      </c>
      <c r="E913" t="s">
        <v>54</v>
      </c>
      <c r="F913" t="s">
        <v>22</v>
      </c>
      <c r="G913">
        <v>2.2625000000000002E-3</v>
      </c>
      <c r="H913">
        <v>6.0077000000000004E-3</v>
      </c>
      <c r="I913">
        <v>3.1765999999999999E-3</v>
      </c>
    </row>
    <row r="914" spans="1:9" x14ac:dyDescent="0.25">
      <c r="A914" s="104" t="str">
        <f t="shared" si="14"/>
        <v>Senegal2016NationalCommercialInjectable</v>
      </c>
      <c r="B914" t="s">
        <v>150</v>
      </c>
      <c r="C914">
        <v>2016</v>
      </c>
      <c r="D914" t="s">
        <v>178</v>
      </c>
      <c r="E914" t="s">
        <v>59</v>
      </c>
      <c r="F914" t="s">
        <v>22</v>
      </c>
      <c r="G914">
        <v>4.6010000000000002E-4</v>
      </c>
      <c r="I914">
        <v>3.4681E-3</v>
      </c>
    </row>
    <row r="915" spans="1:9" x14ac:dyDescent="0.25">
      <c r="A915" s="104" t="str">
        <f t="shared" si="14"/>
        <v>Senegal2016NationalOtherInjectable</v>
      </c>
      <c r="B915" t="s">
        <v>150</v>
      </c>
      <c r="C915">
        <v>2016</v>
      </c>
      <c r="D915" t="s">
        <v>178</v>
      </c>
      <c r="E915" t="s">
        <v>116</v>
      </c>
      <c r="F915" t="s">
        <v>22</v>
      </c>
      <c r="G915">
        <v>1.1349999999999999E-4</v>
      </c>
    </row>
    <row r="916" spans="1:9" x14ac:dyDescent="0.25">
      <c r="A916" s="104" t="str">
        <f t="shared" si="14"/>
        <v>Senegal2016NationalInjectable</v>
      </c>
      <c r="B916" t="s">
        <v>150</v>
      </c>
      <c r="C916">
        <v>2016</v>
      </c>
      <c r="D916" t="s">
        <v>178</v>
      </c>
      <c r="F916" t="s">
        <v>22</v>
      </c>
      <c r="G916">
        <v>1.2669999999999999E-4</v>
      </c>
    </row>
    <row r="917" spans="1:9" x14ac:dyDescent="0.25">
      <c r="A917" s="104" t="str">
        <f t="shared" si="14"/>
        <v>Senegal2016UrbanPub_MedInjectable</v>
      </c>
      <c r="B917" t="s">
        <v>150</v>
      </c>
      <c r="C917">
        <v>2016</v>
      </c>
      <c r="D917" t="s">
        <v>20</v>
      </c>
      <c r="E917" t="s">
        <v>52</v>
      </c>
      <c r="F917" t="s">
        <v>22</v>
      </c>
      <c r="G917">
        <v>6.3941200000000004E-2</v>
      </c>
      <c r="H917">
        <v>5.53704E-2</v>
      </c>
      <c r="I917">
        <v>4.2477500000000001E-2</v>
      </c>
    </row>
    <row r="918" spans="1:9" x14ac:dyDescent="0.25">
      <c r="A918" s="104" t="str">
        <f t="shared" si="14"/>
        <v>Senegal2016UrbanPub_OutreachInjectable</v>
      </c>
      <c r="B918" t="s">
        <v>150</v>
      </c>
      <c r="C918">
        <v>2016</v>
      </c>
      <c r="D918" t="s">
        <v>20</v>
      </c>
      <c r="E918" t="s">
        <v>54</v>
      </c>
      <c r="F918" t="s">
        <v>22</v>
      </c>
      <c r="G918">
        <v>3.5799999999999997E-4</v>
      </c>
      <c r="H918">
        <v>5.2077E-3</v>
      </c>
      <c r="I918">
        <v>5.2459999999999998E-3</v>
      </c>
    </row>
    <row r="919" spans="1:9" x14ac:dyDescent="0.25">
      <c r="A919" s="104" t="str">
        <f t="shared" si="14"/>
        <v>Senegal2016UrbanCommercialInjectable</v>
      </c>
      <c r="B919" t="s">
        <v>150</v>
      </c>
      <c r="C919">
        <v>2016</v>
      </c>
      <c r="D919" t="s">
        <v>20</v>
      </c>
      <c r="E919" t="s">
        <v>59</v>
      </c>
      <c r="F919" t="s">
        <v>22</v>
      </c>
      <c r="G919">
        <v>9.1020000000000001E-4</v>
      </c>
      <c r="I919">
        <v>3.6939999999999998E-3</v>
      </c>
    </row>
    <row r="920" spans="1:9" x14ac:dyDescent="0.25">
      <c r="A920" s="104" t="str">
        <f t="shared" si="14"/>
        <v>Senegal2016UrbanOtherInjectable</v>
      </c>
      <c r="B920" t="s">
        <v>150</v>
      </c>
      <c r="C920">
        <v>2016</v>
      </c>
      <c r="D920" t="s">
        <v>20</v>
      </c>
      <c r="E920" t="s">
        <v>116</v>
      </c>
      <c r="F920" t="s">
        <v>22</v>
      </c>
      <c r="G920">
        <v>2.2460000000000001E-4</v>
      </c>
    </row>
    <row r="921" spans="1:9" x14ac:dyDescent="0.25">
      <c r="A921" s="104" t="str">
        <f t="shared" si="14"/>
        <v>Senegal2016RuralPub_MedInjectable</v>
      </c>
      <c r="B921" t="s">
        <v>150</v>
      </c>
      <c r="C921">
        <v>2016</v>
      </c>
      <c r="D921" t="s">
        <v>21</v>
      </c>
      <c r="E921" t="s">
        <v>52</v>
      </c>
      <c r="F921" t="s">
        <v>22</v>
      </c>
      <c r="G921">
        <v>4.5150700000000002E-2</v>
      </c>
      <c r="H921">
        <v>5.5418099999999998E-2</v>
      </c>
      <c r="I921">
        <v>5.09866E-2</v>
      </c>
    </row>
    <row r="922" spans="1:9" x14ac:dyDescent="0.25">
      <c r="A922" s="104" t="str">
        <f t="shared" si="14"/>
        <v>Senegal2016RuralPub_OutreachInjectable</v>
      </c>
      <c r="B922" t="s">
        <v>150</v>
      </c>
      <c r="C922">
        <v>2016</v>
      </c>
      <c r="D922" t="s">
        <v>21</v>
      </c>
      <c r="E922" t="s">
        <v>54</v>
      </c>
      <c r="F922" t="s">
        <v>22</v>
      </c>
      <c r="G922">
        <v>4.2094000000000003E-3</v>
      </c>
      <c r="H922">
        <v>6.8046000000000001E-3</v>
      </c>
      <c r="I922">
        <v>1.5031999999999999E-3</v>
      </c>
    </row>
    <row r="923" spans="1:9" x14ac:dyDescent="0.25">
      <c r="A923" s="104" t="str">
        <f t="shared" si="14"/>
        <v>Senegal2016RuralCommercialInjectable</v>
      </c>
      <c r="B923" t="s">
        <v>150</v>
      </c>
      <c r="C923">
        <v>2016</v>
      </c>
      <c r="D923" t="s">
        <v>21</v>
      </c>
      <c r="E923" t="s">
        <v>59</v>
      </c>
      <c r="F923" t="s">
        <v>22</v>
      </c>
      <c r="I923">
        <v>3.2854E-3</v>
      </c>
    </row>
    <row r="924" spans="1:9" x14ac:dyDescent="0.25">
      <c r="A924" s="104" t="str">
        <f t="shared" si="14"/>
        <v>Senegal2016RuralInjectable</v>
      </c>
      <c r="B924" t="s">
        <v>150</v>
      </c>
      <c r="C924">
        <v>2016</v>
      </c>
      <c r="D924" t="s">
        <v>21</v>
      </c>
      <c r="F924" t="s">
        <v>22</v>
      </c>
      <c r="G924">
        <v>2.563E-4</v>
      </c>
    </row>
    <row r="925" spans="1:9" x14ac:dyDescent="0.25">
      <c r="A925" s="104" t="str">
        <f t="shared" si="14"/>
        <v>Senegal2016NationalPub_MedCondom</v>
      </c>
      <c r="B925" t="s">
        <v>150</v>
      </c>
      <c r="C925">
        <v>2016</v>
      </c>
      <c r="D925" t="s">
        <v>178</v>
      </c>
      <c r="E925" t="s">
        <v>52</v>
      </c>
      <c r="F925" t="s">
        <v>25</v>
      </c>
      <c r="G925">
        <v>1.4669999999999999E-4</v>
      </c>
    </row>
    <row r="926" spans="1:9" x14ac:dyDescent="0.25">
      <c r="A926" s="104" t="str">
        <f t="shared" si="14"/>
        <v>Senegal2016NationalPub_OutreachCondom</v>
      </c>
      <c r="B926" t="s">
        <v>150</v>
      </c>
      <c r="C926">
        <v>2016</v>
      </c>
      <c r="D926" t="s">
        <v>178</v>
      </c>
      <c r="E926" t="s">
        <v>54</v>
      </c>
      <c r="F926" t="s">
        <v>25</v>
      </c>
      <c r="G926">
        <v>1.6868E-3</v>
      </c>
      <c r="H926">
        <v>5.9770000000000005E-4</v>
      </c>
      <c r="I926">
        <v>1.0642E-3</v>
      </c>
    </row>
    <row r="927" spans="1:9" x14ac:dyDescent="0.25">
      <c r="A927" s="104" t="str">
        <f t="shared" si="14"/>
        <v>Senegal2016NationalCommercialCondom</v>
      </c>
      <c r="B927" t="s">
        <v>150</v>
      </c>
      <c r="C927">
        <v>2016</v>
      </c>
      <c r="D927" t="s">
        <v>178</v>
      </c>
      <c r="E927" t="s">
        <v>59</v>
      </c>
      <c r="F927" t="s">
        <v>25</v>
      </c>
      <c r="G927">
        <v>2.2464999999999998E-3</v>
      </c>
      <c r="H927">
        <v>2.2420000000000001E-3</v>
      </c>
      <c r="I927">
        <v>6.2284999999999997E-3</v>
      </c>
    </row>
    <row r="928" spans="1:9" x14ac:dyDescent="0.25">
      <c r="A928" s="104" t="str">
        <f t="shared" si="14"/>
        <v>Senegal2016NationalNonTradCondom</v>
      </c>
      <c r="B928" t="s">
        <v>150</v>
      </c>
      <c r="C928">
        <v>2016</v>
      </c>
      <c r="D928" t="s">
        <v>178</v>
      </c>
      <c r="E928" t="s">
        <v>171</v>
      </c>
      <c r="F928" t="s">
        <v>25</v>
      </c>
      <c r="G928">
        <v>1.4669999999999999E-4</v>
      </c>
      <c r="I928">
        <v>1.6516E-3</v>
      </c>
    </row>
    <row r="929" spans="1:9" x14ac:dyDescent="0.25">
      <c r="A929" s="104" t="str">
        <f t="shared" si="14"/>
        <v>Senegal2016NationalOtherCondom</v>
      </c>
      <c r="B929" t="s">
        <v>150</v>
      </c>
      <c r="C929">
        <v>2016</v>
      </c>
      <c r="D929" t="s">
        <v>178</v>
      </c>
      <c r="E929" t="s">
        <v>116</v>
      </c>
      <c r="F929" t="s">
        <v>25</v>
      </c>
      <c r="G929">
        <v>1.5835999999999999E-3</v>
      </c>
      <c r="H929">
        <v>1.7057000000000001E-3</v>
      </c>
      <c r="I929">
        <v>2.028E-4</v>
      </c>
    </row>
    <row r="930" spans="1:9" x14ac:dyDescent="0.25">
      <c r="A930" s="104" t="str">
        <f t="shared" si="14"/>
        <v>Senegal2016UrbanPub_MedCondom</v>
      </c>
      <c r="B930" t="s">
        <v>150</v>
      </c>
      <c r="C930">
        <v>2016</v>
      </c>
      <c r="D930" t="s">
        <v>20</v>
      </c>
      <c r="E930" t="s">
        <v>52</v>
      </c>
      <c r="F930" t="s">
        <v>25</v>
      </c>
      <c r="G930">
        <v>2.9030000000000001E-4</v>
      </c>
    </row>
    <row r="931" spans="1:9" x14ac:dyDescent="0.25">
      <c r="A931" s="104" t="str">
        <f t="shared" si="14"/>
        <v>Senegal2016UrbanPub_OutreachCondom</v>
      </c>
      <c r="B931" t="s">
        <v>150</v>
      </c>
      <c r="C931">
        <v>2016</v>
      </c>
      <c r="D931" t="s">
        <v>20</v>
      </c>
      <c r="E931" t="s">
        <v>54</v>
      </c>
      <c r="F931" t="s">
        <v>25</v>
      </c>
      <c r="G931">
        <v>2.702E-3</v>
      </c>
      <c r="I931">
        <v>2.3803000000000001E-3</v>
      </c>
    </row>
    <row r="932" spans="1:9" x14ac:dyDescent="0.25">
      <c r="A932" s="104" t="str">
        <f t="shared" si="14"/>
        <v>Senegal2016UrbanCommercialCondom</v>
      </c>
      <c r="B932" t="s">
        <v>150</v>
      </c>
      <c r="C932">
        <v>2016</v>
      </c>
      <c r="D932" t="s">
        <v>20</v>
      </c>
      <c r="E932" t="s">
        <v>59</v>
      </c>
      <c r="F932" t="s">
        <v>25</v>
      </c>
      <c r="G932">
        <v>3.4567000000000001E-3</v>
      </c>
      <c r="H932">
        <v>2.0726E-3</v>
      </c>
      <c r="I932">
        <v>1.3931199999999999E-2</v>
      </c>
    </row>
    <row r="933" spans="1:9" x14ac:dyDescent="0.25">
      <c r="A933" s="104" t="str">
        <f t="shared" si="14"/>
        <v>Senegal2016UrbanNonTradCondom</v>
      </c>
      <c r="B933" t="s">
        <v>150</v>
      </c>
      <c r="C933">
        <v>2016</v>
      </c>
      <c r="D933" t="s">
        <v>20</v>
      </c>
      <c r="E933" t="s">
        <v>171</v>
      </c>
      <c r="F933" t="s">
        <v>25</v>
      </c>
      <c r="G933">
        <v>2.9030000000000001E-4</v>
      </c>
      <c r="I933">
        <v>3.6939999999999998E-3</v>
      </c>
    </row>
    <row r="934" spans="1:9" x14ac:dyDescent="0.25">
      <c r="A934" s="104" t="str">
        <f t="shared" si="14"/>
        <v>Senegal2016UrbanOtherCondom</v>
      </c>
      <c r="B934" t="s">
        <v>150</v>
      </c>
      <c r="C934">
        <v>2016</v>
      </c>
      <c r="D934" t="s">
        <v>20</v>
      </c>
      <c r="E934" t="s">
        <v>116</v>
      </c>
      <c r="F934" t="s">
        <v>25</v>
      </c>
      <c r="G934">
        <v>1.5516E-3</v>
      </c>
      <c r="H934">
        <v>7.8910000000000004E-4</v>
      </c>
    </row>
    <row r="935" spans="1:9" x14ac:dyDescent="0.25">
      <c r="A935" s="104" t="str">
        <f t="shared" si="14"/>
        <v>Senegal2016RuralPub_OutreachCondom</v>
      </c>
      <c r="B935" t="s">
        <v>150</v>
      </c>
      <c r="C935">
        <v>2016</v>
      </c>
      <c r="D935" t="s">
        <v>21</v>
      </c>
      <c r="E935" t="s">
        <v>54</v>
      </c>
      <c r="F935" t="s">
        <v>25</v>
      </c>
      <c r="G935">
        <v>6.4899999999999995E-4</v>
      </c>
      <c r="H935">
        <v>1.1931999999999999E-3</v>
      </c>
    </row>
    <row r="936" spans="1:9" x14ac:dyDescent="0.25">
      <c r="A936" s="104" t="str">
        <f t="shared" si="14"/>
        <v>Senegal2016RuralCommercialCondom</v>
      </c>
      <c r="B936" t="s">
        <v>150</v>
      </c>
      <c r="C936">
        <v>2016</v>
      </c>
      <c r="D936" t="s">
        <v>21</v>
      </c>
      <c r="E936" t="s">
        <v>59</v>
      </c>
      <c r="F936" t="s">
        <v>25</v>
      </c>
      <c r="G936">
        <v>1.0093999999999999E-3</v>
      </c>
      <c r="H936">
        <v>2.4107999999999998E-3</v>
      </c>
    </row>
    <row r="937" spans="1:9" x14ac:dyDescent="0.25">
      <c r="A937" s="104" t="str">
        <f t="shared" si="14"/>
        <v>Senegal2016RuralOtherCondom</v>
      </c>
      <c r="B937" t="s">
        <v>150</v>
      </c>
      <c r="C937">
        <v>2016</v>
      </c>
      <c r="D937" t="s">
        <v>21</v>
      </c>
      <c r="E937" t="s">
        <v>116</v>
      </c>
      <c r="F937" t="s">
        <v>25</v>
      </c>
      <c r="G937">
        <v>1.6164E-3</v>
      </c>
      <c r="H937">
        <v>2.6189E-3</v>
      </c>
      <c r="I937">
        <v>3.6670000000000002E-4</v>
      </c>
    </row>
    <row r="938" spans="1:9" x14ac:dyDescent="0.25">
      <c r="A938" s="104" t="str">
        <f t="shared" si="14"/>
        <v>Senegal2016NationalPub_MedImplant</v>
      </c>
      <c r="B938" t="s">
        <v>150</v>
      </c>
      <c r="C938">
        <v>2016</v>
      </c>
      <c r="D938" t="s">
        <v>178</v>
      </c>
      <c r="E938" t="s">
        <v>52</v>
      </c>
      <c r="F938" t="s">
        <v>23</v>
      </c>
      <c r="G938">
        <v>5.3464900000000003E-2</v>
      </c>
      <c r="H938">
        <v>5.5475499999999997E-2</v>
      </c>
      <c r="I938">
        <v>2.4133399999999999E-2</v>
      </c>
    </row>
    <row r="939" spans="1:9" x14ac:dyDescent="0.25">
      <c r="A939" s="104" t="str">
        <f t="shared" si="14"/>
        <v>Senegal2016NationalPub_OutreachImplant</v>
      </c>
      <c r="B939" t="s">
        <v>150</v>
      </c>
      <c r="C939">
        <v>2016</v>
      </c>
      <c r="D939" t="s">
        <v>178</v>
      </c>
      <c r="E939" t="s">
        <v>54</v>
      </c>
      <c r="F939" t="s">
        <v>23</v>
      </c>
      <c r="G939">
        <v>1.5509E-3</v>
      </c>
      <c r="H939">
        <v>1.7642999999999999E-3</v>
      </c>
      <c r="I939">
        <v>5.308E-4</v>
      </c>
    </row>
    <row r="940" spans="1:9" x14ac:dyDescent="0.25">
      <c r="A940" s="104" t="str">
        <f t="shared" si="14"/>
        <v>Senegal2016NationalCommercialImplant</v>
      </c>
      <c r="B940" t="s">
        <v>150</v>
      </c>
      <c r="C940">
        <v>2016</v>
      </c>
      <c r="D940" t="s">
        <v>178</v>
      </c>
      <c r="E940" t="s">
        <v>59</v>
      </c>
      <c r="F940" t="s">
        <v>23</v>
      </c>
      <c r="G940">
        <v>2.1131000000000001E-3</v>
      </c>
      <c r="I940">
        <v>1.5211999999999999E-3</v>
      </c>
    </row>
    <row r="941" spans="1:9" x14ac:dyDescent="0.25">
      <c r="A941" s="104" t="str">
        <f t="shared" si="14"/>
        <v>Senegal2016NationalImplant</v>
      </c>
      <c r="B941" t="s">
        <v>150</v>
      </c>
      <c r="C941">
        <v>2016</v>
      </c>
      <c r="D941" t="s">
        <v>178</v>
      </c>
      <c r="F941" t="s">
        <v>23</v>
      </c>
      <c r="G941">
        <v>1.4063999999999999E-3</v>
      </c>
      <c r="H941">
        <v>3.4102999999999998E-3</v>
      </c>
      <c r="I941">
        <v>2.2785000000000001E-3</v>
      </c>
    </row>
    <row r="942" spans="1:9" x14ac:dyDescent="0.25">
      <c r="A942" s="104" t="str">
        <f t="shared" si="14"/>
        <v>Senegal2016UrbanPub_MedImplant</v>
      </c>
      <c r="B942" t="s">
        <v>150</v>
      </c>
      <c r="C942">
        <v>2016</v>
      </c>
      <c r="D942" t="s">
        <v>20</v>
      </c>
      <c r="E942" t="s">
        <v>52</v>
      </c>
      <c r="F942" t="s">
        <v>23</v>
      </c>
      <c r="G942">
        <v>6.2003900000000001E-2</v>
      </c>
      <c r="H942">
        <v>5.60878E-2</v>
      </c>
      <c r="I942">
        <v>2.5924599999999999E-2</v>
      </c>
    </row>
    <row r="943" spans="1:9" x14ac:dyDescent="0.25">
      <c r="A943" s="104" t="str">
        <f t="shared" si="14"/>
        <v>Senegal2016UrbanPub_OutreachImplant</v>
      </c>
      <c r="B943" t="s">
        <v>150</v>
      </c>
      <c r="C943">
        <v>2016</v>
      </c>
      <c r="D943" t="s">
        <v>20</v>
      </c>
      <c r="E943" t="s">
        <v>54</v>
      </c>
      <c r="F943" t="s">
        <v>23</v>
      </c>
      <c r="G943">
        <v>2.7809999999999998E-4</v>
      </c>
    </row>
    <row r="944" spans="1:9" x14ac:dyDescent="0.25">
      <c r="A944" s="104" t="str">
        <f t="shared" si="14"/>
        <v>Senegal2016UrbanCommercialImplant</v>
      </c>
      <c r="B944" t="s">
        <v>150</v>
      </c>
      <c r="C944">
        <v>2016</v>
      </c>
      <c r="D944" t="s">
        <v>20</v>
      </c>
      <c r="E944" t="s">
        <v>59</v>
      </c>
      <c r="F944" t="s">
        <v>23</v>
      </c>
      <c r="G944">
        <v>3.9211000000000003E-3</v>
      </c>
      <c r="I944">
        <v>2.8072000000000001E-3</v>
      </c>
    </row>
    <row r="945" spans="1:9" x14ac:dyDescent="0.25">
      <c r="A945" s="104" t="str">
        <f t="shared" si="14"/>
        <v>Senegal2016UrbanImplant</v>
      </c>
      <c r="B945" t="s">
        <v>150</v>
      </c>
      <c r="C945">
        <v>2016</v>
      </c>
      <c r="D945" t="s">
        <v>20</v>
      </c>
      <c r="F945" t="s">
        <v>23</v>
      </c>
      <c r="G945">
        <v>1.9791000000000001E-3</v>
      </c>
      <c r="H945">
        <v>9.6380000000000001E-4</v>
      </c>
      <c r="I945">
        <v>5.0962000000000004E-3</v>
      </c>
    </row>
    <row r="946" spans="1:9" x14ac:dyDescent="0.25">
      <c r="A946" s="104" t="str">
        <f t="shared" si="14"/>
        <v>Senegal2016RuralPub_MedImplant</v>
      </c>
      <c r="B946" t="s">
        <v>150</v>
      </c>
      <c r="C946">
        <v>2016</v>
      </c>
      <c r="D946" t="s">
        <v>21</v>
      </c>
      <c r="E946" t="s">
        <v>52</v>
      </c>
      <c r="F946" t="s">
        <v>23</v>
      </c>
      <c r="G946">
        <v>4.4735700000000003E-2</v>
      </c>
      <c r="H946">
        <v>5.48656E-2</v>
      </c>
      <c r="I946">
        <v>2.2685E-2</v>
      </c>
    </row>
    <row r="947" spans="1:9" x14ac:dyDescent="0.25">
      <c r="A947" s="104" t="str">
        <f t="shared" si="14"/>
        <v>Senegal2016RuralPub_OutreachImplant</v>
      </c>
      <c r="B947" t="s">
        <v>150</v>
      </c>
      <c r="C947">
        <v>2016</v>
      </c>
      <c r="D947" t="s">
        <v>21</v>
      </c>
      <c r="E947" t="s">
        <v>54</v>
      </c>
      <c r="F947" t="s">
        <v>23</v>
      </c>
      <c r="G947">
        <v>2.8519999999999999E-3</v>
      </c>
      <c r="H947">
        <v>3.522E-3</v>
      </c>
      <c r="I947">
        <v>9.5989999999999997E-4</v>
      </c>
    </row>
    <row r="948" spans="1:9" x14ac:dyDescent="0.25">
      <c r="A948" s="104" t="str">
        <f t="shared" si="14"/>
        <v>Senegal2016RuralCommercialImplant</v>
      </c>
      <c r="B948" t="s">
        <v>150</v>
      </c>
      <c r="C948">
        <v>2016</v>
      </c>
      <c r="D948" t="s">
        <v>21</v>
      </c>
      <c r="E948" t="s">
        <v>59</v>
      </c>
      <c r="F948" t="s">
        <v>23</v>
      </c>
      <c r="G948">
        <v>2.6489999999999999E-4</v>
      </c>
      <c r="I948">
        <v>4.8129999999999999E-4</v>
      </c>
    </row>
    <row r="949" spans="1:9" x14ac:dyDescent="0.25">
      <c r="A949" s="104" t="str">
        <f t="shared" si="14"/>
        <v>Senegal2016RuralImplant</v>
      </c>
      <c r="B949" t="s">
        <v>150</v>
      </c>
      <c r="C949">
        <v>2016</v>
      </c>
      <c r="D949" t="s">
        <v>21</v>
      </c>
      <c r="F949" t="s">
        <v>23</v>
      </c>
      <c r="G949">
        <v>8.2089999999999995E-4</v>
      </c>
      <c r="H949">
        <v>5.8475999999999997E-3</v>
      </c>
    </row>
    <row r="950" spans="1:9" x14ac:dyDescent="0.25">
      <c r="A950" s="104" t="str">
        <f t="shared" si="14"/>
        <v>Senegal2017NationalPub_MedPill</v>
      </c>
      <c r="B950" t="s">
        <v>150</v>
      </c>
      <c r="C950">
        <v>2017</v>
      </c>
      <c r="D950" t="s">
        <v>178</v>
      </c>
      <c r="E950" t="s">
        <v>52</v>
      </c>
      <c r="F950" t="s">
        <v>12</v>
      </c>
      <c r="G950">
        <v>1.9115E-2</v>
      </c>
      <c r="H950">
        <v>2.5503100000000001E-2</v>
      </c>
      <c r="I950">
        <v>2.1443400000000001E-2</v>
      </c>
    </row>
    <row r="951" spans="1:9" x14ac:dyDescent="0.25">
      <c r="A951" s="104" t="str">
        <f t="shared" si="14"/>
        <v>Senegal2017NationalPub_OutreachPill</v>
      </c>
      <c r="B951" t="s">
        <v>150</v>
      </c>
      <c r="C951">
        <v>2017</v>
      </c>
      <c r="D951" t="s">
        <v>178</v>
      </c>
      <c r="E951" t="s">
        <v>54</v>
      </c>
      <c r="F951" t="s">
        <v>12</v>
      </c>
      <c r="G951">
        <v>1.4413E-3</v>
      </c>
      <c r="H951">
        <v>1.1620999999999999E-3</v>
      </c>
      <c r="I951">
        <v>1.6146000000000001E-3</v>
      </c>
    </row>
    <row r="952" spans="1:9" x14ac:dyDescent="0.25">
      <c r="A952" s="104" t="str">
        <f t="shared" si="14"/>
        <v>Senegal2017NationalNGOPill</v>
      </c>
      <c r="B952" t="s">
        <v>150</v>
      </c>
      <c r="C952">
        <v>2017</v>
      </c>
      <c r="D952" t="s">
        <v>178</v>
      </c>
      <c r="E952" t="s">
        <v>170</v>
      </c>
      <c r="F952" t="s">
        <v>12</v>
      </c>
      <c r="I952">
        <v>1.2319E-3</v>
      </c>
    </row>
    <row r="953" spans="1:9" x14ac:dyDescent="0.25">
      <c r="A953" s="104" t="str">
        <f t="shared" si="14"/>
        <v>Senegal2017NationalCommercialPill</v>
      </c>
      <c r="B953" t="s">
        <v>150</v>
      </c>
      <c r="C953">
        <v>2017</v>
      </c>
      <c r="D953" t="s">
        <v>178</v>
      </c>
      <c r="E953" t="s">
        <v>59</v>
      </c>
      <c r="F953" t="s">
        <v>12</v>
      </c>
      <c r="G953">
        <v>2.2636000000000002E-3</v>
      </c>
      <c r="H953">
        <v>6.2344999999999996E-3</v>
      </c>
      <c r="I953">
        <v>1.6673E-2</v>
      </c>
    </row>
    <row r="954" spans="1:9" x14ac:dyDescent="0.25">
      <c r="A954" s="104" t="str">
        <f t="shared" si="14"/>
        <v>Senegal2017NationalNonTradPill</v>
      </c>
      <c r="B954" t="s">
        <v>150</v>
      </c>
      <c r="C954">
        <v>2017</v>
      </c>
      <c r="D954" t="s">
        <v>178</v>
      </c>
      <c r="E954" t="s">
        <v>171</v>
      </c>
      <c r="F954" t="s">
        <v>12</v>
      </c>
      <c r="G954">
        <v>9.5500000000000004E-5</v>
      </c>
    </row>
    <row r="955" spans="1:9" x14ac:dyDescent="0.25">
      <c r="A955" s="104" t="str">
        <f t="shared" si="14"/>
        <v>Senegal2017NationalOtherPill</v>
      </c>
      <c r="B955" t="s">
        <v>150</v>
      </c>
      <c r="C955">
        <v>2017</v>
      </c>
      <c r="D955" t="s">
        <v>178</v>
      </c>
      <c r="E955" t="s">
        <v>116</v>
      </c>
      <c r="F955" t="s">
        <v>12</v>
      </c>
      <c r="G955">
        <v>2.219E-4</v>
      </c>
      <c r="H955">
        <v>2.0210000000000001E-4</v>
      </c>
    </row>
    <row r="956" spans="1:9" x14ac:dyDescent="0.25">
      <c r="A956" s="104" t="str">
        <f t="shared" si="14"/>
        <v>Senegal2017UrbanPub_MedPill</v>
      </c>
      <c r="B956" t="s">
        <v>150</v>
      </c>
      <c r="C956">
        <v>2017</v>
      </c>
      <c r="D956" t="s">
        <v>20</v>
      </c>
      <c r="E956" t="s">
        <v>52</v>
      </c>
      <c r="F956" t="s">
        <v>12</v>
      </c>
      <c r="G956">
        <v>3.16853E-2</v>
      </c>
      <c r="H956">
        <v>2.88823E-2</v>
      </c>
      <c r="I956">
        <v>2.1056100000000001E-2</v>
      </c>
    </row>
    <row r="957" spans="1:9" x14ac:dyDescent="0.25">
      <c r="A957" s="104" t="str">
        <f t="shared" si="14"/>
        <v>Senegal2017UrbanPub_OutreachPill</v>
      </c>
      <c r="B957" t="s">
        <v>150</v>
      </c>
      <c r="C957">
        <v>2017</v>
      </c>
      <c r="D957" t="s">
        <v>20</v>
      </c>
      <c r="E957" t="s">
        <v>54</v>
      </c>
      <c r="F957" t="s">
        <v>12</v>
      </c>
      <c r="G957">
        <v>1.0569999999999999E-4</v>
      </c>
      <c r="H957">
        <v>3.5090000000000002E-4</v>
      </c>
      <c r="I957">
        <v>1.343E-3</v>
      </c>
    </row>
    <row r="958" spans="1:9" x14ac:dyDescent="0.25">
      <c r="A958" s="104" t="str">
        <f t="shared" si="14"/>
        <v>Senegal2017UrbanNGOPill</v>
      </c>
      <c r="B958" t="s">
        <v>150</v>
      </c>
      <c r="C958">
        <v>2017</v>
      </c>
      <c r="D958" t="s">
        <v>20</v>
      </c>
      <c r="E958" t="s">
        <v>170</v>
      </c>
      <c r="F958" t="s">
        <v>12</v>
      </c>
      <c r="I958">
        <v>1.2792999999999999E-3</v>
      </c>
    </row>
    <row r="959" spans="1:9" x14ac:dyDescent="0.25">
      <c r="A959" s="104" t="str">
        <f t="shared" si="14"/>
        <v>Senegal2017UrbanCommercialPill</v>
      </c>
      <c r="B959" t="s">
        <v>150</v>
      </c>
      <c r="C959">
        <v>2017</v>
      </c>
      <c r="D959" t="s">
        <v>20</v>
      </c>
      <c r="E959" t="s">
        <v>59</v>
      </c>
      <c r="F959" t="s">
        <v>12</v>
      </c>
      <c r="G959">
        <v>4.0932E-3</v>
      </c>
      <c r="H959">
        <v>1.09713E-2</v>
      </c>
      <c r="I959">
        <v>1.9828599999999998E-2</v>
      </c>
    </row>
    <row r="960" spans="1:9" x14ac:dyDescent="0.25">
      <c r="A960" s="104" t="str">
        <f t="shared" si="14"/>
        <v>Senegal2017UrbanOtherPill</v>
      </c>
      <c r="B960" t="s">
        <v>150</v>
      </c>
      <c r="C960">
        <v>2017</v>
      </c>
      <c r="D960" t="s">
        <v>20</v>
      </c>
      <c r="E960" t="s">
        <v>116</v>
      </c>
      <c r="F960" t="s">
        <v>12</v>
      </c>
      <c r="G960">
        <v>4.482E-4</v>
      </c>
    </row>
    <row r="961" spans="1:9" x14ac:dyDescent="0.25">
      <c r="A961" s="104" t="str">
        <f t="shared" si="14"/>
        <v>Senegal2017RuralPub_MedPill</v>
      </c>
      <c r="B961" t="s">
        <v>150</v>
      </c>
      <c r="C961">
        <v>2017</v>
      </c>
      <c r="D961" t="s">
        <v>21</v>
      </c>
      <c r="E961" t="s">
        <v>52</v>
      </c>
      <c r="F961" t="s">
        <v>12</v>
      </c>
      <c r="G961">
        <v>6.7813999999999999E-3</v>
      </c>
      <c r="H961">
        <v>2.2050400000000001E-2</v>
      </c>
      <c r="I961">
        <v>2.1822999999999999E-2</v>
      </c>
    </row>
    <row r="962" spans="1:9" x14ac:dyDescent="0.25">
      <c r="A962" s="104" t="str">
        <f t="shared" si="14"/>
        <v>Senegal2017RuralPub_OutreachPill</v>
      </c>
      <c r="B962" t="s">
        <v>150</v>
      </c>
      <c r="C962">
        <v>2017</v>
      </c>
      <c r="D962" t="s">
        <v>21</v>
      </c>
      <c r="E962" t="s">
        <v>54</v>
      </c>
      <c r="F962" t="s">
        <v>12</v>
      </c>
      <c r="G962">
        <v>2.7517000000000002E-3</v>
      </c>
      <c r="H962">
        <v>1.9908999999999999E-3</v>
      </c>
      <c r="I962">
        <v>1.8808E-3</v>
      </c>
    </row>
    <row r="963" spans="1:9" x14ac:dyDescent="0.25">
      <c r="A963" s="104" t="str">
        <f t="shared" ref="A963:A1026" si="15">B963&amp;C963&amp;D963&amp;E963&amp;F963</f>
        <v>Senegal2017RuralNGOPill</v>
      </c>
      <c r="B963" t="s">
        <v>150</v>
      </c>
      <c r="C963">
        <v>2017</v>
      </c>
      <c r="D963" t="s">
        <v>21</v>
      </c>
      <c r="E963" t="s">
        <v>170</v>
      </c>
      <c r="F963" t="s">
        <v>12</v>
      </c>
      <c r="I963">
        <v>1.1854000000000001E-3</v>
      </c>
    </row>
    <row r="964" spans="1:9" x14ac:dyDescent="0.25">
      <c r="A964" s="104" t="str">
        <f t="shared" si="15"/>
        <v>Senegal2017RuralCommercialPill</v>
      </c>
      <c r="B964" t="s">
        <v>150</v>
      </c>
      <c r="C964">
        <v>2017</v>
      </c>
      <c r="D964" t="s">
        <v>21</v>
      </c>
      <c r="E964" t="s">
        <v>59</v>
      </c>
      <c r="F964" t="s">
        <v>12</v>
      </c>
      <c r="G964">
        <v>4.684E-4</v>
      </c>
      <c r="H964">
        <v>1.3946E-3</v>
      </c>
      <c r="I964">
        <v>1.3579600000000001E-2</v>
      </c>
    </row>
    <row r="965" spans="1:9" x14ac:dyDescent="0.25">
      <c r="A965" s="104" t="str">
        <f t="shared" si="15"/>
        <v>Senegal2017RuralNonTradPill</v>
      </c>
      <c r="B965" t="s">
        <v>150</v>
      </c>
      <c r="C965">
        <v>2017</v>
      </c>
      <c r="D965" t="s">
        <v>21</v>
      </c>
      <c r="E965" t="s">
        <v>171</v>
      </c>
      <c r="F965" t="s">
        <v>12</v>
      </c>
      <c r="G965">
        <v>1.8909999999999999E-4</v>
      </c>
    </row>
    <row r="966" spans="1:9" x14ac:dyDescent="0.25">
      <c r="A966" s="104" t="str">
        <f t="shared" si="15"/>
        <v>Senegal2017RuralOtherPill</v>
      </c>
      <c r="B966" t="s">
        <v>150</v>
      </c>
      <c r="C966">
        <v>2017</v>
      </c>
      <c r="D966" t="s">
        <v>21</v>
      </c>
      <c r="E966" t="s">
        <v>116</v>
      </c>
      <c r="F966" t="s">
        <v>12</v>
      </c>
      <c r="H966">
        <v>4.0870000000000001E-4</v>
      </c>
    </row>
    <row r="967" spans="1:9" x14ac:dyDescent="0.25">
      <c r="A967" s="104" t="str">
        <f t="shared" si="15"/>
        <v>Senegal2017NationalPub_MedIUD</v>
      </c>
      <c r="B967" t="s">
        <v>150</v>
      </c>
      <c r="C967">
        <v>2017</v>
      </c>
      <c r="D967" t="s">
        <v>178</v>
      </c>
      <c r="E967" t="s">
        <v>52</v>
      </c>
      <c r="F967" t="s">
        <v>16</v>
      </c>
      <c r="G967">
        <v>1.2149699999999999E-2</v>
      </c>
      <c r="H967">
        <v>1.4085800000000001E-2</v>
      </c>
      <c r="I967">
        <v>1.29274E-2</v>
      </c>
    </row>
    <row r="968" spans="1:9" x14ac:dyDescent="0.25">
      <c r="A968" s="104" t="str">
        <f t="shared" si="15"/>
        <v>Senegal2017NationalPub_OutreachIUD</v>
      </c>
      <c r="B968" t="s">
        <v>150</v>
      </c>
      <c r="C968">
        <v>2017</v>
      </c>
      <c r="D968" t="s">
        <v>178</v>
      </c>
      <c r="E968" t="s">
        <v>54</v>
      </c>
      <c r="F968" t="s">
        <v>16</v>
      </c>
      <c r="G968">
        <v>1.0624E-3</v>
      </c>
      <c r="H968">
        <v>1.2574000000000001E-3</v>
      </c>
      <c r="I968">
        <v>6.4119999999999997E-4</v>
      </c>
    </row>
    <row r="969" spans="1:9" x14ac:dyDescent="0.25">
      <c r="A969" s="104" t="str">
        <f t="shared" si="15"/>
        <v>Senegal2017NationalNGOIUD</v>
      </c>
      <c r="B969" t="s">
        <v>150</v>
      </c>
      <c r="C969">
        <v>2017</v>
      </c>
      <c r="D969" t="s">
        <v>178</v>
      </c>
      <c r="E969" t="s">
        <v>170</v>
      </c>
      <c r="F969" t="s">
        <v>16</v>
      </c>
      <c r="I969">
        <v>5.9860000000000002E-4</v>
      </c>
    </row>
    <row r="970" spans="1:9" x14ac:dyDescent="0.25">
      <c r="A970" s="104" t="str">
        <f t="shared" si="15"/>
        <v>Senegal2017NationalCommercialIUD</v>
      </c>
      <c r="B970" t="s">
        <v>150</v>
      </c>
      <c r="C970">
        <v>2017</v>
      </c>
      <c r="D970" t="s">
        <v>178</v>
      </c>
      <c r="E970" t="s">
        <v>59</v>
      </c>
      <c r="F970" t="s">
        <v>16</v>
      </c>
      <c r="G970">
        <v>1.427E-4</v>
      </c>
      <c r="H970">
        <v>1.1838E-3</v>
      </c>
      <c r="I970">
        <v>2.7463000000000001E-3</v>
      </c>
    </row>
    <row r="971" spans="1:9" x14ac:dyDescent="0.25">
      <c r="A971" s="104" t="str">
        <f t="shared" si="15"/>
        <v>Senegal2017UrbanPub_MedIUD</v>
      </c>
      <c r="B971" t="s">
        <v>150</v>
      </c>
      <c r="C971">
        <v>2017</v>
      </c>
      <c r="D971" t="s">
        <v>20</v>
      </c>
      <c r="E971" t="s">
        <v>52</v>
      </c>
      <c r="F971" t="s">
        <v>16</v>
      </c>
      <c r="G971">
        <v>1.76411E-2</v>
      </c>
      <c r="H971">
        <v>1.9985800000000001E-2</v>
      </c>
      <c r="I971">
        <v>2.0188299999999999E-2</v>
      </c>
    </row>
    <row r="972" spans="1:9" x14ac:dyDescent="0.25">
      <c r="A972" s="104" t="str">
        <f t="shared" si="15"/>
        <v>Senegal2017UrbanPub_OutreachIUD</v>
      </c>
      <c r="B972" t="s">
        <v>150</v>
      </c>
      <c r="C972">
        <v>2017</v>
      </c>
      <c r="D972" t="s">
        <v>20</v>
      </c>
      <c r="E972" t="s">
        <v>54</v>
      </c>
      <c r="F972" t="s">
        <v>16</v>
      </c>
      <c r="G972">
        <v>1.1372999999999999E-3</v>
      </c>
      <c r="H972">
        <v>1.5548000000000001E-3</v>
      </c>
      <c r="I972">
        <v>1.2953000000000001E-3</v>
      </c>
    </row>
    <row r="973" spans="1:9" x14ac:dyDescent="0.25">
      <c r="A973" s="104" t="str">
        <f t="shared" si="15"/>
        <v>Senegal2017UrbanCommercialIUD</v>
      </c>
      <c r="B973" t="s">
        <v>150</v>
      </c>
      <c r="C973">
        <v>2017</v>
      </c>
      <c r="D973" t="s">
        <v>20</v>
      </c>
      <c r="E973" t="s">
        <v>59</v>
      </c>
      <c r="F973" t="s">
        <v>16</v>
      </c>
      <c r="G973">
        <v>1.749E-4</v>
      </c>
      <c r="H973">
        <v>2.3424000000000001E-3</v>
      </c>
      <c r="I973">
        <v>5.0986E-3</v>
      </c>
    </row>
    <row r="974" spans="1:9" x14ac:dyDescent="0.25">
      <c r="A974" s="104" t="str">
        <f t="shared" si="15"/>
        <v>Senegal2017RuralPub_MedIUD</v>
      </c>
      <c r="B974" t="s">
        <v>150</v>
      </c>
      <c r="C974">
        <v>2017</v>
      </c>
      <c r="D974" t="s">
        <v>21</v>
      </c>
      <c r="E974" t="s">
        <v>52</v>
      </c>
      <c r="F974" t="s">
        <v>16</v>
      </c>
      <c r="G974">
        <v>6.7616000000000004E-3</v>
      </c>
      <c r="H974">
        <v>8.0573999999999993E-3</v>
      </c>
      <c r="I974">
        <v>5.8095000000000004E-3</v>
      </c>
    </row>
    <row r="975" spans="1:9" x14ac:dyDescent="0.25">
      <c r="A975" s="104" t="str">
        <f t="shared" si="15"/>
        <v>Senegal2017RuralPub_OutreachIUD</v>
      </c>
      <c r="B975" t="s">
        <v>150</v>
      </c>
      <c r="C975">
        <v>2017</v>
      </c>
      <c r="D975" t="s">
        <v>21</v>
      </c>
      <c r="E975" t="s">
        <v>54</v>
      </c>
      <c r="F975" t="s">
        <v>16</v>
      </c>
      <c r="G975">
        <v>9.8890000000000002E-4</v>
      </c>
      <c r="H975">
        <v>9.5339999999999997E-4</v>
      </c>
    </row>
    <row r="976" spans="1:9" x14ac:dyDescent="0.25">
      <c r="A976" s="104" t="str">
        <f t="shared" si="15"/>
        <v>Senegal2017RuralNGOIUD</v>
      </c>
      <c r="B976" t="s">
        <v>150</v>
      </c>
      <c r="C976">
        <v>2017</v>
      </c>
      <c r="D976" t="s">
        <v>21</v>
      </c>
      <c r="E976" t="s">
        <v>170</v>
      </c>
      <c r="F976" t="s">
        <v>16</v>
      </c>
      <c r="I976">
        <v>1.1854000000000001E-3</v>
      </c>
    </row>
    <row r="977" spans="1:9" x14ac:dyDescent="0.25">
      <c r="A977" s="104" t="str">
        <f t="shared" si="15"/>
        <v>Senegal2017RuralCommercialIUD</v>
      </c>
      <c r="B977" t="s">
        <v>150</v>
      </c>
      <c r="C977">
        <v>2017</v>
      </c>
      <c r="D977" t="s">
        <v>21</v>
      </c>
      <c r="E977" t="s">
        <v>59</v>
      </c>
      <c r="F977" t="s">
        <v>16</v>
      </c>
      <c r="G977">
        <v>1.111E-4</v>
      </c>
      <c r="I977">
        <v>4.4040000000000003E-4</v>
      </c>
    </row>
    <row r="978" spans="1:9" x14ac:dyDescent="0.25">
      <c r="A978" s="104" t="str">
        <f t="shared" si="15"/>
        <v>Senegal2017NationalPub_MedInjectable</v>
      </c>
      <c r="B978" t="s">
        <v>150</v>
      </c>
      <c r="C978">
        <v>2017</v>
      </c>
      <c r="D978" t="s">
        <v>178</v>
      </c>
      <c r="E978" t="s">
        <v>52</v>
      </c>
      <c r="F978" t="s">
        <v>22</v>
      </c>
      <c r="G978">
        <v>6.5074499999999993E-2</v>
      </c>
      <c r="H978">
        <v>6.6306400000000001E-2</v>
      </c>
      <c r="I978">
        <v>5.4799100000000003E-2</v>
      </c>
    </row>
    <row r="979" spans="1:9" x14ac:dyDescent="0.25">
      <c r="A979" s="104" t="str">
        <f t="shared" si="15"/>
        <v>Senegal2017NationalPub_OutreachInjectable</v>
      </c>
      <c r="B979" t="s">
        <v>150</v>
      </c>
      <c r="C979">
        <v>2017</v>
      </c>
      <c r="D979" t="s">
        <v>178</v>
      </c>
      <c r="E979" t="s">
        <v>54</v>
      </c>
      <c r="F979" t="s">
        <v>22</v>
      </c>
      <c r="G979">
        <v>3.5580999999999998E-3</v>
      </c>
      <c r="H979">
        <v>4.7407999999999999E-3</v>
      </c>
      <c r="I979">
        <v>3.1292E-3</v>
      </c>
    </row>
    <row r="980" spans="1:9" x14ac:dyDescent="0.25">
      <c r="A980" s="104" t="str">
        <f t="shared" si="15"/>
        <v>Senegal2017NationalNGOInjectable</v>
      </c>
      <c r="B980" t="s">
        <v>150</v>
      </c>
      <c r="C980">
        <v>2017</v>
      </c>
      <c r="D980" t="s">
        <v>178</v>
      </c>
      <c r="E980" t="s">
        <v>170</v>
      </c>
      <c r="F980" t="s">
        <v>22</v>
      </c>
      <c r="G980">
        <v>4.773E-4</v>
      </c>
    </row>
    <row r="981" spans="1:9" x14ac:dyDescent="0.25">
      <c r="A981" s="104" t="str">
        <f t="shared" si="15"/>
        <v>Senegal2017NationalCommercialInjectable</v>
      </c>
      <c r="B981" t="s">
        <v>150</v>
      </c>
      <c r="C981">
        <v>2017</v>
      </c>
      <c r="D981" t="s">
        <v>178</v>
      </c>
      <c r="E981" t="s">
        <v>59</v>
      </c>
      <c r="F981" t="s">
        <v>22</v>
      </c>
      <c r="G981">
        <v>3.3291000000000002E-3</v>
      </c>
      <c r="H981">
        <v>3.8024999999999999E-3</v>
      </c>
      <c r="I981">
        <v>5.7742000000000002E-3</v>
      </c>
    </row>
    <row r="982" spans="1:9" x14ac:dyDescent="0.25">
      <c r="A982" s="104" t="str">
        <f t="shared" si="15"/>
        <v>Senegal2017NationalOtherInjectable</v>
      </c>
      <c r="B982" t="s">
        <v>150</v>
      </c>
      <c r="C982">
        <v>2017</v>
      </c>
      <c r="D982" t="s">
        <v>178</v>
      </c>
      <c r="E982" t="s">
        <v>116</v>
      </c>
      <c r="F982" t="s">
        <v>22</v>
      </c>
      <c r="G982">
        <v>1.1900000000000001E-4</v>
      </c>
      <c r="H982">
        <v>3.7960000000000001E-4</v>
      </c>
    </row>
    <row r="983" spans="1:9" x14ac:dyDescent="0.25">
      <c r="A983" s="104" t="str">
        <f t="shared" si="15"/>
        <v>Senegal2017UrbanPub_MedInjectable</v>
      </c>
      <c r="B983" t="s">
        <v>150</v>
      </c>
      <c r="C983">
        <v>2017</v>
      </c>
      <c r="D983" t="s">
        <v>20</v>
      </c>
      <c r="E983" t="s">
        <v>52</v>
      </c>
      <c r="F983" t="s">
        <v>22</v>
      </c>
      <c r="G983">
        <v>8.0428799999999995E-2</v>
      </c>
      <c r="H983">
        <v>7.4291999999999997E-2</v>
      </c>
      <c r="I983">
        <v>3.8327E-2</v>
      </c>
    </row>
    <row r="984" spans="1:9" x14ac:dyDescent="0.25">
      <c r="A984" s="104" t="str">
        <f t="shared" si="15"/>
        <v>Senegal2017UrbanPub_OutreachInjectable</v>
      </c>
      <c r="B984" t="s">
        <v>150</v>
      </c>
      <c r="C984">
        <v>2017</v>
      </c>
      <c r="D984" t="s">
        <v>20</v>
      </c>
      <c r="E984" t="s">
        <v>54</v>
      </c>
      <c r="F984" t="s">
        <v>22</v>
      </c>
      <c r="G984">
        <v>1.6793000000000001E-3</v>
      </c>
      <c r="H984">
        <v>4.9549999999999996E-4</v>
      </c>
      <c r="I984">
        <v>2.7122000000000001E-3</v>
      </c>
    </row>
    <row r="985" spans="1:9" x14ac:dyDescent="0.25">
      <c r="A985" s="104" t="str">
        <f t="shared" si="15"/>
        <v>Senegal2017UrbanNGOInjectable</v>
      </c>
      <c r="B985" t="s">
        <v>150</v>
      </c>
      <c r="C985">
        <v>2017</v>
      </c>
      <c r="D985" t="s">
        <v>20</v>
      </c>
      <c r="E985" t="s">
        <v>170</v>
      </c>
      <c r="F985" t="s">
        <v>22</v>
      </c>
      <c r="G985">
        <v>9.6369999999999995E-4</v>
      </c>
    </row>
    <row r="986" spans="1:9" x14ac:dyDescent="0.25">
      <c r="A986" s="104" t="str">
        <f t="shared" si="15"/>
        <v>Senegal2017UrbanCommercialInjectable</v>
      </c>
      <c r="B986" t="s">
        <v>150</v>
      </c>
      <c r="C986">
        <v>2017</v>
      </c>
      <c r="D986" t="s">
        <v>20</v>
      </c>
      <c r="E986" t="s">
        <v>59</v>
      </c>
      <c r="F986" t="s">
        <v>22</v>
      </c>
      <c r="G986">
        <v>6.4454999999999998E-3</v>
      </c>
      <c r="H986">
        <v>6.5369E-3</v>
      </c>
      <c r="I986">
        <v>9.2984999999999995E-3</v>
      </c>
    </row>
    <row r="987" spans="1:9" x14ac:dyDescent="0.25">
      <c r="A987" s="104" t="str">
        <f t="shared" si="15"/>
        <v>Senegal2017UrbanOtherInjectable</v>
      </c>
      <c r="B987" t="s">
        <v>150</v>
      </c>
      <c r="C987">
        <v>2017</v>
      </c>
      <c r="D987" t="s">
        <v>20</v>
      </c>
      <c r="E987" t="s">
        <v>116</v>
      </c>
      <c r="F987" t="s">
        <v>22</v>
      </c>
      <c r="H987">
        <v>4.9310000000000001E-4</v>
      </c>
    </row>
    <row r="988" spans="1:9" x14ac:dyDescent="0.25">
      <c r="A988" s="104" t="str">
        <f t="shared" si="15"/>
        <v>Senegal2017RuralPub_MedInjectable</v>
      </c>
      <c r="B988" t="s">
        <v>150</v>
      </c>
      <c r="C988">
        <v>2017</v>
      </c>
      <c r="D988" t="s">
        <v>21</v>
      </c>
      <c r="E988" t="s">
        <v>52</v>
      </c>
      <c r="F988" t="s">
        <v>22</v>
      </c>
      <c r="G988">
        <v>5.0009100000000001E-2</v>
      </c>
      <c r="H988">
        <v>5.81471E-2</v>
      </c>
      <c r="I988">
        <v>7.0946899999999993E-2</v>
      </c>
    </row>
    <row r="989" spans="1:9" x14ac:dyDescent="0.25">
      <c r="A989" s="104" t="str">
        <f t="shared" si="15"/>
        <v>Senegal2017RuralPub_OutreachInjectable</v>
      </c>
      <c r="B989" t="s">
        <v>150</v>
      </c>
      <c r="C989">
        <v>2017</v>
      </c>
      <c r="D989" t="s">
        <v>21</v>
      </c>
      <c r="E989" t="s">
        <v>54</v>
      </c>
      <c r="F989" t="s">
        <v>22</v>
      </c>
      <c r="G989">
        <v>5.4015000000000001E-3</v>
      </c>
      <c r="H989">
        <v>9.0784000000000004E-3</v>
      </c>
      <c r="I989">
        <v>3.5379000000000001E-3</v>
      </c>
    </row>
    <row r="990" spans="1:9" x14ac:dyDescent="0.25">
      <c r="A990" s="104" t="str">
        <f t="shared" si="15"/>
        <v>Senegal2017RuralCommercialInjectable</v>
      </c>
      <c r="B990" t="s">
        <v>150</v>
      </c>
      <c r="C990">
        <v>2017</v>
      </c>
      <c r="D990" t="s">
        <v>21</v>
      </c>
      <c r="E990" t="s">
        <v>59</v>
      </c>
      <c r="F990" t="s">
        <v>22</v>
      </c>
      <c r="G990">
        <v>2.7139999999999998E-4</v>
      </c>
      <c r="H990">
        <v>1.0087E-3</v>
      </c>
      <c r="I990">
        <v>2.3194000000000001E-3</v>
      </c>
    </row>
    <row r="991" spans="1:9" x14ac:dyDescent="0.25">
      <c r="A991" s="104" t="str">
        <f t="shared" si="15"/>
        <v>Senegal2017RuralOtherInjectable</v>
      </c>
      <c r="B991" t="s">
        <v>150</v>
      </c>
      <c r="C991">
        <v>2017</v>
      </c>
      <c r="D991" t="s">
        <v>21</v>
      </c>
      <c r="E991" t="s">
        <v>116</v>
      </c>
      <c r="F991" t="s">
        <v>22</v>
      </c>
      <c r="G991">
        <v>2.3580000000000001E-4</v>
      </c>
      <c r="H991">
        <v>2.6360000000000001E-4</v>
      </c>
    </row>
    <row r="992" spans="1:9" x14ac:dyDescent="0.25">
      <c r="A992" s="104" t="str">
        <f t="shared" si="15"/>
        <v>Senegal2017NationalPub_MedCondom</v>
      </c>
      <c r="B992" t="s">
        <v>150</v>
      </c>
      <c r="C992">
        <v>2017</v>
      </c>
      <c r="D992" t="s">
        <v>178</v>
      </c>
      <c r="E992" t="s">
        <v>52</v>
      </c>
      <c r="F992" t="s">
        <v>25</v>
      </c>
      <c r="G992">
        <v>3.7649999999999999E-4</v>
      </c>
      <c r="H992">
        <v>7.1480000000000003E-4</v>
      </c>
      <c r="I992">
        <v>9.1009999999999995E-4</v>
      </c>
    </row>
    <row r="993" spans="1:9" x14ac:dyDescent="0.25">
      <c r="A993" s="104" t="str">
        <f t="shared" si="15"/>
        <v>Senegal2017NationalPub_OutreachCondom</v>
      </c>
      <c r="B993" t="s">
        <v>150</v>
      </c>
      <c r="C993">
        <v>2017</v>
      </c>
      <c r="D993" t="s">
        <v>178</v>
      </c>
      <c r="E993" t="s">
        <v>54</v>
      </c>
      <c r="F993" t="s">
        <v>25</v>
      </c>
      <c r="G993">
        <v>1.417E-4</v>
      </c>
      <c r="H993">
        <v>6.6580000000000003E-4</v>
      </c>
    </row>
    <row r="994" spans="1:9" x14ac:dyDescent="0.25">
      <c r="A994" s="104" t="str">
        <f t="shared" si="15"/>
        <v>Senegal2017NationalCommercialCondom</v>
      </c>
      <c r="B994" t="s">
        <v>150</v>
      </c>
      <c r="C994">
        <v>2017</v>
      </c>
      <c r="D994" t="s">
        <v>178</v>
      </c>
      <c r="E994" t="s">
        <v>59</v>
      </c>
      <c r="F994" t="s">
        <v>25</v>
      </c>
      <c r="G994">
        <v>4.9871999999999998E-3</v>
      </c>
      <c r="H994">
        <v>1.11974E-2</v>
      </c>
      <c r="I994">
        <v>1.43541E-2</v>
      </c>
    </row>
    <row r="995" spans="1:9" x14ac:dyDescent="0.25">
      <c r="A995" s="104" t="str">
        <f t="shared" si="15"/>
        <v>Senegal2017NationalOtherCondom</v>
      </c>
      <c r="B995" t="s">
        <v>150</v>
      </c>
      <c r="C995">
        <v>2017</v>
      </c>
      <c r="D995" t="s">
        <v>178</v>
      </c>
      <c r="E995" t="s">
        <v>116</v>
      </c>
      <c r="F995" t="s">
        <v>25</v>
      </c>
      <c r="G995">
        <v>1.4120999999999999E-3</v>
      </c>
      <c r="H995">
        <v>1.1936E-3</v>
      </c>
      <c r="I995">
        <v>1.5196000000000001E-3</v>
      </c>
    </row>
    <row r="996" spans="1:9" x14ac:dyDescent="0.25">
      <c r="A996" s="104" t="str">
        <f t="shared" si="15"/>
        <v>Senegal2017UrbanPub_MedCondom</v>
      </c>
      <c r="B996" t="s">
        <v>150</v>
      </c>
      <c r="C996">
        <v>2017</v>
      </c>
      <c r="D996" t="s">
        <v>20</v>
      </c>
      <c r="E996" t="s">
        <v>52</v>
      </c>
      <c r="F996" t="s">
        <v>25</v>
      </c>
      <c r="G996">
        <v>5.911E-4</v>
      </c>
      <c r="I996">
        <v>1.1123000000000001E-3</v>
      </c>
    </row>
    <row r="997" spans="1:9" x14ac:dyDescent="0.25">
      <c r="A997" s="104" t="str">
        <f t="shared" si="15"/>
        <v>Senegal2017UrbanPub_OutreachCondom</v>
      </c>
      <c r="B997" t="s">
        <v>150</v>
      </c>
      <c r="C997">
        <v>2017</v>
      </c>
      <c r="D997" t="s">
        <v>20</v>
      </c>
      <c r="E997" t="s">
        <v>54</v>
      </c>
      <c r="F997" t="s">
        <v>25</v>
      </c>
      <c r="G997">
        <v>2.8610000000000002E-4</v>
      </c>
      <c r="H997">
        <v>1.3175000000000001E-3</v>
      </c>
    </row>
    <row r="998" spans="1:9" x14ac:dyDescent="0.25">
      <c r="A998" s="104" t="str">
        <f t="shared" si="15"/>
        <v>Senegal2017UrbanCommercialCondom</v>
      </c>
      <c r="B998" t="s">
        <v>150</v>
      </c>
      <c r="C998">
        <v>2017</v>
      </c>
      <c r="D998" t="s">
        <v>20</v>
      </c>
      <c r="E998" t="s">
        <v>59</v>
      </c>
      <c r="F998" t="s">
        <v>25</v>
      </c>
      <c r="G998">
        <v>9.4447000000000003E-3</v>
      </c>
      <c r="H998">
        <v>2.2156200000000001E-2</v>
      </c>
      <c r="I998">
        <v>2.5426899999999999E-2</v>
      </c>
    </row>
    <row r="999" spans="1:9" x14ac:dyDescent="0.25">
      <c r="A999" s="104" t="str">
        <f t="shared" si="15"/>
        <v>Senegal2017UrbanOtherCondom</v>
      </c>
      <c r="B999" t="s">
        <v>150</v>
      </c>
      <c r="C999">
        <v>2017</v>
      </c>
      <c r="D999" t="s">
        <v>20</v>
      </c>
      <c r="E999" t="s">
        <v>116</v>
      </c>
      <c r="F999" t="s">
        <v>25</v>
      </c>
      <c r="G999">
        <v>1.3893E-3</v>
      </c>
      <c r="H999">
        <v>1.4681E-3</v>
      </c>
      <c r="I999">
        <v>1.024E-3</v>
      </c>
    </row>
    <row r="1000" spans="1:9" x14ac:dyDescent="0.25">
      <c r="A1000" s="104" t="str">
        <f t="shared" si="15"/>
        <v>Senegal2017RuralPub_MedCondom</v>
      </c>
      <c r="B1000" t="s">
        <v>150</v>
      </c>
      <c r="C1000">
        <v>2017</v>
      </c>
      <c r="D1000" t="s">
        <v>21</v>
      </c>
      <c r="E1000" t="s">
        <v>52</v>
      </c>
      <c r="F1000" t="s">
        <v>25</v>
      </c>
      <c r="G1000">
        <v>1.6589999999999999E-4</v>
      </c>
      <c r="H1000">
        <v>1.4452E-3</v>
      </c>
      <c r="I1000">
        <v>7.1190000000000001E-4</v>
      </c>
    </row>
    <row r="1001" spans="1:9" x14ac:dyDescent="0.25">
      <c r="A1001" s="104" t="str">
        <f t="shared" si="15"/>
        <v>Senegal2017RuralCommercialCondom</v>
      </c>
      <c r="B1001" t="s">
        <v>150</v>
      </c>
      <c r="C1001">
        <v>2017</v>
      </c>
      <c r="D1001" t="s">
        <v>21</v>
      </c>
      <c r="E1001" t="s">
        <v>59</v>
      </c>
      <c r="F1001" t="s">
        <v>25</v>
      </c>
      <c r="G1001">
        <v>6.1359999999999995E-4</v>
      </c>
      <c r="I1001">
        <v>3.4992000000000001E-3</v>
      </c>
    </row>
    <row r="1002" spans="1:9" x14ac:dyDescent="0.25">
      <c r="A1002" s="104" t="str">
        <f t="shared" si="15"/>
        <v>Senegal2017RuralOtherCondom</v>
      </c>
      <c r="B1002" t="s">
        <v>150</v>
      </c>
      <c r="C1002">
        <v>2017</v>
      </c>
      <c r="D1002" t="s">
        <v>21</v>
      </c>
      <c r="E1002" t="s">
        <v>116</v>
      </c>
      <c r="F1002" t="s">
        <v>25</v>
      </c>
      <c r="G1002">
        <v>1.4346000000000001E-3</v>
      </c>
      <c r="H1002">
        <v>9.1330000000000003E-4</v>
      </c>
      <c r="I1002">
        <v>2.0054999999999999E-3</v>
      </c>
    </row>
    <row r="1003" spans="1:9" x14ac:dyDescent="0.25">
      <c r="A1003" s="104" t="str">
        <f t="shared" si="15"/>
        <v>Senegal2017NationalPub_MedImplant</v>
      </c>
      <c r="B1003" t="s">
        <v>150</v>
      </c>
      <c r="C1003">
        <v>2017</v>
      </c>
      <c r="D1003" t="s">
        <v>178</v>
      </c>
      <c r="E1003" t="s">
        <v>52</v>
      </c>
      <c r="F1003" t="s">
        <v>23</v>
      </c>
      <c r="G1003">
        <v>6.4925899999999995E-2</v>
      </c>
      <c r="H1003">
        <v>3.99961E-2</v>
      </c>
      <c r="I1003">
        <v>3.7984999999999998E-2</v>
      </c>
    </row>
    <row r="1004" spans="1:9" x14ac:dyDescent="0.25">
      <c r="A1004" s="104" t="str">
        <f t="shared" si="15"/>
        <v>Senegal2017NationalPub_OutreachImplant</v>
      </c>
      <c r="B1004" t="s">
        <v>150</v>
      </c>
      <c r="C1004">
        <v>2017</v>
      </c>
      <c r="D1004" t="s">
        <v>178</v>
      </c>
      <c r="E1004" t="s">
        <v>54</v>
      </c>
      <c r="F1004" t="s">
        <v>23</v>
      </c>
      <c r="G1004">
        <v>4.0213999999999996E-3</v>
      </c>
      <c r="H1004">
        <v>2.7547000000000001E-3</v>
      </c>
      <c r="I1004">
        <v>1.1298E-3</v>
      </c>
    </row>
    <row r="1005" spans="1:9" x14ac:dyDescent="0.25">
      <c r="A1005" s="104" t="str">
        <f t="shared" si="15"/>
        <v>Senegal2017NationalNGOImplant</v>
      </c>
      <c r="B1005" t="s">
        <v>150</v>
      </c>
      <c r="C1005">
        <v>2017</v>
      </c>
      <c r="D1005" t="s">
        <v>178</v>
      </c>
      <c r="E1005" t="s">
        <v>170</v>
      </c>
      <c r="F1005" t="s">
        <v>23</v>
      </c>
      <c r="G1005">
        <v>1.2530000000000001E-4</v>
      </c>
      <c r="H1005">
        <v>8.7219999999999995E-4</v>
      </c>
      <c r="I1005">
        <v>1.9599999999999999E-4</v>
      </c>
    </row>
    <row r="1006" spans="1:9" x14ac:dyDescent="0.25">
      <c r="A1006" s="104" t="str">
        <f t="shared" si="15"/>
        <v>Senegal2017NationalCommercialImplant</v>
      </c>
      <c r="B1006" t="s">
        <v>150</v>
      </c>
      <c r="C1006">
        <v>2017</v>
      </c>
      <c r="D1006" t="s">
        <v>178</v>
      </c>
      <c r="E1006" t="s">
        <v>59</v>
      </c>
      <c r="F1006" t="s">
        <v>23</v>
      </c>
      <c r="G1006">
        <v>1.4992E-3</v>
      </c>
      <c r="H1006">
        <v>4.1860999999999999E-3</v>
      </c>
      <c r="I1006">
        <v>8.2319999999999995E-4</v>
      </c>
    </row>
    <row r="1007" spans="1:9" x14ac:dyDescent="0.25">
      <c r="A1007" s="104" t="str">
        <f t="shared" si="15"/>
        <v>Senegal2017NationalOtherImplant</v>
      </c>
      <c r="B1007" t="s">
        <v>150</v>
      </c>
      <c r="C1007">
        <v>2017</v>
      </c>
      <c r="D1007" t="s">
        <v>178</v>
      </c>
      <c r="E1007" t="s">
        <v>116</v>
      </c>
      <c r="F1007" t="s">
        <v>23</v>
      </c>
      <c r="G1007">
        <v>7.86E-5</v>
      </c>
      <c r="H1007">
        <v>7.4189999999999998E-4</v>
      </c>
    </row>
    <row r="1008" spans="1:9" x14ac:dyDescent="0.25">
      <c r="A1008" s="104" t="str">
        <f t="shared" si="15"/>
        <v>Senegal2017NationalImplant</v>
      </c>
      <c r="B1008" t="s">
        <v>150</v>
      </c>
      <c r="C1008">
        <v>2017</v>
      </c>
      <c r="D1008" t="s">
        <v>178</v>
      </c>
      <c r="F1008" t="s">
        <v>23</v>
      </c>
      <c r="H1008">
        <v>2.2819999999999999E-4</v>
      </c>
    </row>
    <row r="1009" spans="1:9" x14ac:dyDescent="0.25">
      <c r="A1009" s="104" t="str">
        <f t="shared" si="15"/>
        <v>Senegal2017UrbanPub_MedImplant</v>
      </c>
      <c r="B1009" t="s">
        <v>150</v>
      </c>
      <c r="C1009">
        <v>2017</v>
      </c>
      <c r="D1009" t="s">
        <v>20</v>
      </c>
      <c r="E1009" t="s">
        <v>52</v>
      </c>
      <c r="F1009" t="s">
        <v>23</v>
      </c>
      <c r="G1009">
        <v>6.8350599999999997E-2</v>
      </c>
      <c r="H1009">
        <v>4.5731000000000001E-2</v>
      </c>
      <c r="I1009">
        <v>3.9687100000000003E-2</v>
      </c>
    </row>
    <row r="1010" spans="1:9" x14ac:dyDescent="0.25">
      <c r="A1010" s="104" t="str">
        <f t="shared" si="15"/>
        <v>Senegal2017UrbanPub_OutreachImplant</v>
      </c>
      <c r="B1010" t="s">
        <v>150</v>
      </c>
      <c r="C1010">
        <v>2017</v>
      </c>
      <c r="D1010" t="s">
        <v>20</v>
      </c>
      <c r="E1010" t="s">
        <v>54</v>
      </c>
      <c r="F1010" t="s">
        <v>23</v>
      </c>
      <c r="G1010">
        <v>2.8335000000000001E-3</v>
      </c>
    </row>
    <row r="1011" spans="1:9" x14ac:dyDescent="0.25">
      <c r="A1011" s="104" t="str">
        <f t="shared" si="15"/>
        <v>Senegal2017UrbanNGOImplant</v>
      </c>
      <c r="B1011" t="s">
        <v>150</v>
      </c>
      <c r="C1011">
        <v>2017</v>
      </c>
      <c r="D1011" t="s">
        <v>20</v>
      </c>
      <c r="E1011" t="s">
        <v>170</v>
      </c>
      <c r="F1011" t="s">
        <v>23</v>
      </c>
      <c r="H1011">
        <v>1.7258E-3</v>
      </c>
    </row>
    <row r="1012" spans="1:9" x14ac:dyDescent="0.25">
      <c r="A1012" s="104" t="str">
        <f t="shared" si="15"/>
        <v>Senegal2017UrbanCommercialImplant</v>
      </c>
      <c r="B1012" t="s">
        <v>150</v>
      </c>
      <c r="C1012">
        <v>2017</v>
      </c>
      <c r="D1012" t="s">
        <v>20</v>
      </c>
      <c r="E1012" t="s">
        <v>59</v>
      </c>
      <c r="F1012" t="s">
        <v>23</v>
      </c>
      <c r="G1012">
        <v>2.3471999999999998E-3</v>
      </c>
      <c r="H1012">
        <v>7.3359000000000002E-3</v>
      </c>
      <c r="I1012">
        <v>1.663E-3</v>
      </c>
    </row>
    <row r="1013" spans="1:9" x14ac:dyDescent="0.25">
      <c r="A1013" s="104" t="str">
        <f t="shared" si="15"/>
        <v>Senegal2017UrbanOtherImplant</v>
      </c>
      <c r="B1013" t="s">
        <v>150</v>
      </c>
      <c r="C1013">
        <v>2017</v>
      </c>
      <c r="D1013" t="s">
        <v>20</v>
      </c>
      <c r="E1013" t="s">
        <v>116</v>
      </c>
      <c r="F1013" t="s">
        <v>23</v>
      </c>
      <c r="G1013">
        <v>1.5860000000000001E-4</v>
      </c>
      <c r="H1013">
        <v>1.4681E-3</v>
      </c>
    </row>
    <row r="1014" spans="1:9" x14ac:dyDescent="0.25">
      <c r="A1014" s="104" t="str">
        <f t="shared" si="15"/>
        <v>Senegal2017UrbanImplant</v>
      </c>
      <c r="B1014" t="s">
        <v>150</v>
      </c>
      <c r="C1014">
        <v>2017</v>
      </c>
      <c r="D1014" t="s">
        <v>20</v>
      </c>
      <c r="F1014" t="s">
        <v>23</v>
      </c>
      <c r="H1014">
        <v>4.5150000000000002E-4</v>
      </c>
    </row>
    <row r="1015" spans="1:9" x14ac:dyDescent="0.25">
      <c r="A1015" s="104" t="str">
        <f t="shared" si="15"/>
        <v>Senegal2017RuralPub_MedImplant</v>
      </c>
      <c r="B1015" t="s">
        <v>150</v>
      </c>
      <c r="C1015">
        <v>2017</v>
      </c>
      <c r="D1015" t="s">
        <v>21</v>
      </c>
      <c r="E1015" t="s">
        <v>52</v>
      </c>
      <c r="F1015" t="s">
        <v>23</v>
      </c>
      <c r="G1015">
        <v>6.1565700000000001E-2</v>
      </c>
      <c r="H1015">
        <v>3.4136399999999997E-2</v>
      </c>
      <c r="I1015">
        <v>3.6316399999999999E-2</v>
      </c>
    </row>
    <row r="1016" spans="1:9" x14ac:dyDescent="0.25">
      <c r="A1016" s="104" t="str">
        <f t="shared" si="15"/>
        <v>Senegal2017RuralPub_OutreachImplant</v>
      </c>
      <c r="B1016" t="s">
        <v>150</v>
      </c>
      <c r="C1016">
        <v>2017</v>
      </c>
      <c r="D1016" t="s">
        <v>21</v>
      </c>
      <c r="E1016" t="s">
        <v>54</v>
      </c>
      <c r="F1016" t="s">
        <v>23</v>
      </c>
      <c r="G1016">
        <v>5.1869000000000004E-3</v>
      </c>
      <c r="H1016">
        <v>5.5693000000000001E-3</v>
      </c>
      <c r="I1016">
        <v>2.2374000000000001E-3</v>
      </c>
    </row>
    <row r="1017" spans="1:9" x14ac:dyDescent="0.25">
      <c r="A1017" s="104" t="str">
        <f t="shared" si="15"/>
        <v>Senegal2017RuralNGOImplant</v>
      </c>
      <c r="B1017" t="s">
        <v>150</v>
      </c>
      <c r="C1017">
        <v>2017</v>
      </c>
      <c r="D1017" t="s">
        <v>21</v>
      </c>
      <c r="E1017" t="s">
        <v>170</v>
      </c>
      <c r="F1017" t="s">
        <v>23</v>
      </c>
      <c r="G1017">
        <v>2.4820000000000002E-4</v>
      </c>
      <c r="I1017">
        <v>3.882E-4</v>
      </c>
    </row>
    <row r="1018" spans="1:9" x14ac:dyDescent="0.25">
      <c r="A1018" s="104" t="str">
        <f t="shared" si="15"/>
        <v>Senegal2017RuralCommercialImplant</v>
      </c>
      <c r="B1018" t="s">
        <v>150</v>
      </c>
      <c r="C1018">
        <v>2017</v>
      </c>
      <c r="D1018" t="s">
        <v>21</v>
      </c>
      <c r="E1018" t="s">
        <v>59</v>
      </c>
      <c r="F1018" t="s">
        <v>23</v>
      </c>
      <c r="G1018">
        <v>6.6710000000000001E-4</v>
      </c>
      <c r="H1018">
        <v>9.6770000000000005E-4</v>
      </c>
    </row>
    <row r="1019" spans="1:9" x14ac:dyDescent="0.25">
      <c r="A1019" s="104" t="str">
        <f t="shared" si="15"/>
        <v>Tanzania2010NationalPub_MedPill</v>
      </c>
      <c r="B1019" t="s">
        <v>152</v>
      </c>
      <c r="C1019">
        <v>2010</v>
      </c>
      <c r="D1019" t="s">
        <v>178</v>
      </c>
      <c r="E1019" t="s">
        <v>52</v>
      </c>
      <c r="F1019" t="s">
        <v>12</v>
      </c>
      <c r="G1019">
        <v>1.05948E-2</v>
      </c>
      <c r="H1019">
        <v>1.3125599999999999E-2</v>
      </c>
      <c r="I1019">
        <v>8.9890000000000005E-3</v>
      </c>
    </row>
    <row r="1020" spans="1:9" x14ac:dyDescent="0.25">
      <c r="A1020" s="104" t="str">
        <f t="shared" si="15"/>
        <v>Tanzania2010NationalPub_OutreachPill</v>
      </c>
      <c r="B1020" t="s">
        <v>152</v>
      </c>
      <c r="C1020">
        <v>2010</v>
      </c>
      <c r="D1020" t="s">
        <v>178</v>
      </c>
      <c r="E1020" t="s">
        <v>54</v>
      </c>
      <c r="F1020" t="s">
        <v>12</v>
      </c>
      <c r="G1020">
        <v>2.7012899999999999E-2</v>
      </c>
      <c r="H1020">
        <v>3.3328400000000001E-2</v>
      </c>
      <c r="I1020">
        <v>2.15464E-2</v>
      </c>
    </row>
    <row r="1021" spans="1:9" x14ac:dyDescent="0.25">
      <c r="A1021" s="104" t="str">
        <f t="shared" si="15"/>
        <v>Tanzania2010NationalNGOPill</v>
      </c>
      <c r="B1021" t="s">
        <v>152</v>
      </c>
      <c r="C1021">
        <v>2010</v>
      </c>
      <c r="D1021" t="s">
        <v>178</v>
      </c>
      <c r="E1021" t="s">
        <v>170</v>
      </c>
      <c r="F1021" t="s">
        <v>12</v>
      </c>
      <c r="G1021">
        <v>3.0203000000000001E-3</v>
      </c>
      <c r="H1021">
        <v>4.6026000000000001E-3</v>
      </c>
      <c r="I1021">
        <v>6.5972000000000001E-3</v>
      </c>
    </row>
    <row r="1022" spans="1:9" x14ac:dyDescent="0.25">
      <c r="A1022" s="104" t="str">
        <f t="shared" si="15"/>
        <v>Tanzania2010NationalCommercialPill</v>
      </c>
      <c r="B1022" t="s">
        <v>152</v>
      </c>
      <c r="C1022">
        <v>2010</v>
      </c>
      <c r="D1022" t="s">
        <v>178</v>
      </c>
      <c r="E1022" t="s">
        <v>59</v>
      </c>
      <c r="F1022" t="s">
        <v>12</v>
      </c>
      <c r="G1022">
        <v>7.8256000000000003E-3</v>
      </c>
      <c r="H1022">
        <v>1.37448E-2</v>
      </c>
      <c r="I1022">
        <v>8.9037999999999999E-3</v>
      </c>
    </row>
    <row r="1023" spans="1:9" x14ac:dyDescent="0.25">
      <c r="A1023" s="104" t="str">
        <f t="shared" si="15"/>
        <v>Tanzania2010NationalOtherPill</v>
      </c>
      <c r="B1023" t="s">
        <v>152</v>
      </c>
      <c r="C1023">
        <v>2010</v>
      </c>
      <c r="D1023" t="s">
        <v>178</v>
      </c>
      <c r="E1023" t="s">
        <v>116</v>
      </c>
      <c r="F1023" t="s">
        <v>12</v>
      </c>
      <c r="G1023">
        <v>3.388E-4</v>
      </c>
    </row>
    <row r="1024" spans="1:9" x14ac:dyDescent="0.25">
      <c r="A1024" s="104" t="str">
        <f t="shared" si="15"/>
        <v>Tanzania2010UrbanPub_MedPill</v>
      </c>
      <c r="B1024" t="s">
        <v>152</v>
      </c>
      <c r="C1024">
        <v>2010</v>
      </c>
      <c r="D1024" t="s">
        <v>20</v>
      </c>
      <c r="E1024" t="s">
        <v>52</v>
      </c>
      <c r="F1024" t="s">
        <v>12</v>
      </c>
      <c r="G1024">
        <v>2.36911E-2</v>
      </c>
      <c r="H1024">
        <v>3.2756199999999999E-2</v>
      </c>
      <c r="I1024">
        <v>1.06315E-2</v>
      </c>
    </row>
    <row r="1025" spans="1:9" x14ac:dyDescent="0.25">
      <c r="A1025" s="104" t="str">
        <f t="shared" si="15"/>
        <v>Tanzania2010UrbanPub_OutreachPill</v>
      </c>
      <c r="B1025" t="s">
        <v>152</v>
      </c>
      <c r="C1025">
        <v>2010</v>
      </c>
      <c r="D1025" t="s">
        <v>20</v>
      </c>
      <c r="E1025" t="s">
        <v>54</v>
      </c>
      <c r="F1025" t="s">
        <v>12</v>
      </c>
      <c r="G1025">
        <v>1.02015E-2</v>
      </c>
      <c r="H1025">
        <v>1.6367400000000001E-2</v>
      </c>
      <c r="I1025">
        <v>5.5744999999999996E-3</v>
      </c>
    </row>
    <row r="1026" spans="1:9" x14ac:dyDescent="0.25">
      <c r="A1026" s="104" t="str">
        <f t="shared" si="15"/>
        <v>Tanzania2010UrbanNGOPill</v>
      </c>
      <c r="B1026" t="s">
        <v>152</v>
      </c>
      <c r="C1026">
        <v>2010</v>
      </c>
      <c r="D1026" t="s">
        <v>20</v>
      </c>
      <c r="E1026" t="s">
        <v>170</v>
      </c>
      <c r="F1026" t="s">
        <v>12</v>
      </c>
      <c r="G1026">
        <v>4.8129999999999996E-3</v>
      </c>
      <c r="H1026">
        <v>3.8896E-3</v>
      </c>
      <c r="I1026">
        <v>4.5529000000000003E-3</v>
      </c>
    </row>
    <row r="1027" spans="1:9" x14ac:dyDescent="0.25">
      <c r="A1027" s="104" t="str">
        <f t="shared" ref="A1027:A1090" si="16">B1027&amp;C1027&amp;D1027&amp;E1027&amp;F1027</f>
        <v>Tanzania2010UrbanCommercialPill</v>
      </c>
      <c r="B1027" t="s">
        <v>152</v>
      </c>
      <c r="C1027">
        <v>2010</v>
      </c>
      <c r="D1027" t="s">
        <v>20</v>
      </c>
      <c r="E1027" t="s">
        <v>59</v>
      </c>
      <c r="F1027" t="s">
        <v>12</v>
      </c>
      <c r="G1027">
        <v>1.8355E-2</v>
      </c>
      <c r="H1027">
        <v>2.3408100000000001E-2</v>
      </c>
      <c r="I1027">
        <v>1.95666E-2</v>
      </c>
    </row>
    <row r="1028" spans="1:9" x14ac:dyDescent="0.25">
      <c r="A1028" s="104" t="str">
        <f t="shared" si="16"/>
        <v>Tanzania2010UrbanOtherPill</v>
      </c>
      <c r="B1028" t="s">
        <v>152</v>
      </c>
      <c r="C1028">
        <v>2010</v>
      </c>
      <c r="D1028" t="s">
        <v>20</v>
      </c>
      <c r="E1028" t="s">
        <v>116</v>
      </c>
      <c r="F1028" t="s">
        <v>12</v>
      </c>
      <c r="G1028">
        <v>9.2920000000000003E-4</v>
      </c>
    </row>
    <row r="1029" spans="1:9" x14ac:dyDescent="0.25">
      <c r="A1029" s="104" t="str">
        <f t="shared" si="16"/>
        <v>Tanzania2010RuralPub_MedPill</v>
      </c>
      <c r="B1029" t="s">
        <v>152</v>
      </c>
      <c r="C1029">
        <v>2010</v>
      </c>
      <c r="D1029" t="s">
        <v>21</v>
      </c>
      <c r="E1029" t="s">
        <v>52</v>
      </c>
      <c r="F1029" t="s">
        <v>12</v>
      </c>
      <c r="G1029">
        <v>5.6591000000000002E-3</v>
      </c>
      <c r="H1029">
        <v>3.9430999999999997E-3</v>
      </c>
      <c r="I1029">
        <v>8.3359999999999997E-3</v>
      </c>
    </row>
    <row r="1030" spans="1:9" x14ac:dyDescent="0.25">
      <c r="A1030" s="104" t="str">
        <f t="shared" si="16"/>
        <v>Tanzania2010RuralPub_OutreachPill</v>
      </c>
      <c r="B1030" t="s">
        <v>152</v>
      </c>
      <c r="C1030">
        <v>2010</v>
      </c>
      <c r="D1030" t="s">
        <v>21</v>
      </c>
      <c r="E1030" t="s">
        <v>54</v>
      </c>
      <c r="F1030" t="s">
        <v>12</v>
      </c>
      <c r="G1030">
        <v>3.3348900000000001E-2</v>
      </c>
      <c r="H1030">
        <v>4.1262E-2</v>
      </c>
      <c r="I1030">
        <v>2.78955E-2</v>
      </c>
    </row>
    <row r="1031" spans="1:9" x14ac:dyDescent="0.25">
      <c r="A1031" s="104" t="str">
        <f t="shared" si="16"/>
        <v>Tanzania2010RuralNGOPill</v>
      </c>
      <c r="B1031" t="s">
        <v>152</v>
      </c>
      <c r="C1031">
        <v>2010</v>
      </c>
      <c r="D1031" t="s">
        <v>21</v>
      </c>
      <c r="E1031" t="s">
        <v>170</v>
      </c>
      <c r="F1031" t="s">
        <v>12</v>
      </c>
      <c r="G1031">
        <v>2.3446999999999999E-3</v>
      </c>
      <c r="H1031">
        <v>4.9360999999999997E-3</v>
      </c>
      <c r="I1031">
        <v>7.4098000000000002E-3</v>
      </c>
    </row>
    <row r="1032" spans="1:9" x14ac:dyDescent="0.25">
      <c r="A1032" s="104" t="str">
        <f t="shared" si="16"/>
        <v>Tanzania2010RuralCommercialPill</v>
      </c>
      <c r="B1032" t="s">
        <v>152</v>
      </c>
      <c r="C1032">
        <v>2010</v>
      </c>
      <c r="D1032" t="s">
        <v>21</v>
      </c>
      <c r="E1032" t="s">
        <v>59</v>
      </c>
      <c r="F1032" t="s">
        <v>12</v>
      </c>
      <c r="G1032">
        <v>3.8571999999999999E-3</v>
      </c>
      <c r="H1032">
        <v>9.2247000000000006E-3</v>
      </c>
      <c r="I1032">
        <v>4.6652000000000004E-3</v>
      </c>
    </row>
    <row r="1033" spans="1:9" x14ac:dyDescent="0.25">
      <c r="A1033" s="104" t="str">
        <f t="shared" si="16"/>
        <v>Tanzania2010RuralOtherPill</v>
      </c>
      <c r="B1033" t="s">
        <v>152</v>
      </c>
      <c r="C1033">
        <v>2010</v>
      </c>
      <c r="D1033" t="s">
        <v>21</v>
      </c>
      <c r="E1033" t="s">
        <v>116</v>
      </c>
      <c r="F1033" t="s">
        <v>12</v>
      </c>
      <c r="G1033">
        <v>1.1629999999999999E-4</v>
      </c>
    </row>
    <row r="1034" spans="1:9" x14ac:dyDescent="0.25">
      <c r="A1034" s="104" t="str">
        <f t="shared" si="16"/>
        <v>Tanzania2010NationalIUD</v>
      </c>
      <c r="B1034" t="s">
        <v>152</v>
      </c>
      <c r="C1034">
        <v>2010</v>
      </c>
      <c r="D1034" t="s">
        <v>178</v>
      </c>
      <c r="F1034" t="s">
        <v>16</v>
      </c>
      <c r="G1034">
        <v>4.0444000000000001E-3</v>
      </c>
      <c r="H1034">
        <v>3.4594999999999999E-3</v>
      </c>
      <c r="I1034">
        <v>5.9641E-3</v>
      </c>
    </row>
    <row r="1035" spans="1:9" x14ac:dyDescent="0.25">
      <c r="A1035" s="104" t="str">
        <f t="shared" si="16"/>
        <v>Tanzania2010UrbanIUD</v>
      </c>
      <c r="B1035" t="s">
        <v>152</v>
      </c>
      <c r="C1035">
        <v>2010</v>
      </c>
      <c r="D1035" t="s">
        <v>20</v>
      </c>
      <c r="F1035" t="s">
        <v>16</v>
      </c>
      <c r="G1035">
        <v>3.7785000000000002E-3</v>
      </c>
      <c r="H1035">
        <v>4.4289999999999998E-3</v>
      </c>
      <c r="I1035">
        <v>5.8544000000000001E-3</v>
      </c>
    </row>
    <row r="1036" spans="1:9" x14ac:dyDescent="0.25">
      <c r="A1036" s="104" t="str">
        <f t="shared" si="16"/>
        <v>Tanzania2010RuralIUD</v>
      </c>
      <c r="B1036" t="s">
        <v>152</v>
      </c>
      <c r="C1036">
        <v>2010</v>
      </c>
      <c r="D1036" t="s">
        <v>21</v>
      </c>
      <c r="F1036" t="s">
        <v>16</v>
      </c>
      <c r="G1036">
        <v>4.1446E-3</v>
      </c>
      <c r="H1036">
        <v>3.0060999999999998E-3</v>
      </c>
      <c r="I1036">
        <v>6.0077000000000004E-3</v>
      </c>
    </row>
    <row r="1037" spans="1:9" x14ac:dyDescent="0.25">
      <c r="A1037" s="104" t="str">
        <f t="shared" si="16"/>
        <v>Tanzania2010NationalPub_MedInjectable</v>
      </c>
      <c r="B1037" t="s">
        <v>152</v>
      </c>
      <c r="C1037">
        <v>2010</v>
      </c>
      <c r="D1037" t="s">
        <v>178</v>
      </c>
      <c r="E1037" t="s">
        <v>52</v>
      </c>
      <c r="F1037" t="s">
        <v>22</v>
      </c>
      <c r="G1037">
        <v>2.2018800000000002E-2</v>
      </c>
      <c r="H1037">
        <v>2.8443800000000002E-2</v>
      </c>
      <c r="I1037">
        <v>2.28598E-2</v>
      </c>
    </row>
    <row r="1038" spans="1:9" x14ac:dyDescent="0.25">
      <c r="A1038" s="104" t="str">
        <f t="shared" si="16"/>
        <v>Tanzania2010NationalPub_OutreachInjectable</v>
      </c>
      <c r="B1038" t="s">
        <v>152</v>
      </c>
      <c r="C1038">
        <v>2010</v>
      </c>
      <c r="D1038" t="s">
        <v>178</v>
      </c>
      <c r="E1038" t="s">
        <v>54</v>
      </c>
      <c r="F1038" t="s">
        <v>22</v>
      </c>
      <c r="G1038">
        <v>4.3183800000000001E-2</v>
      </c>
      <c r="H1038">
        <v>3.3941899999999997E-2</v>
      </c>
      <c r="I1038">
        <v>5.3820800000000002E-2</v>
      </c>
    </row>
    <row r="1039" spans="1:9" x14ac:dyDescent="0.25">
      <c r="A1039" s="104" t="str">
        <f t="shared" si="16"/>
        <v>Tanzania2010NationalNGOInjectable</v>
      </c>
      <c r="B1039" t="s">
        <v>152</v>
      </c>
      <c r="C1039">
        <v>2010</v>
      </c>
      <c r="D1039" t="s">
        <v>178</v>
      </c>
      <c r="E1039" t="s">
        <v>170</v>
      </c>
      <c r="F1039" t="s">
        <v>22</v>
      </c>
      <c r="G1039">
        <v>5.9142999999999999E-3</v>
      </c>
      <c r="H1039">
        <v>1.4698000000000001E-3</v>
      </c>
      <c r="I1039">
        <v>9.4908000000000006E-3</v>
      </c>
    </row>
    <row r="1040" spans="1:9" x14ac:dyDescent="0.25">
      <c r="A1040" s="104" t="str">
        <f t="shared" si="16"/>
        <v>Tanzania2010NationalCommercialInjectable</v>
      </c>
      <c r="B1040" t="s">
        <v>152</v>
      </c>
      <c r="C1040">
        <v>2010</v>
      </c>
      <c r="D1040" t="s">
        <v>178</v>
      </c>
      <c r="E1040" t="s">
        <v>59</v>
      </c>
      <c r="F1040" t="s">
        <v>22</v>
      </c>
      <c r="G1040">
        <v>8.8263999999999999E-3</v>
      </c>
      <c r="H1040">
        <v>7.9945999999999993E-3</v>
      </c>
      <c r="I1040">
        <v>1.7044699999999999E-2</v>
      </c>
    </row>
    <row r="1041" spans="1:9" x14ac:dyDescent="0.25">
      <c r="A1041" s="104" t="str">
        <f t="shared" si="16"/>
        <v>Tanzania2010NationalOtherInjectable</v>
      </c>
      <c r="B1041" t="s">
        <v>152</v>
      </c>
      <c r="C1041">
        <v>2010</v>
      </c>
      <c r="D1041" t="s">
        <v>178</v>
      </c>
      <c r="E1041" t="s">
        <v>116</v>
      </c>
      <c r="F1041" t="s">
        <v>22</v>
      </c>
      <c r="G1041">
        <v>1.1983E-3</v>
      </c>
      <c r="H1041">
        <v>5.7240000000000004E-4</v>
      </c>
      <c r="I1041">
        <v>2.0381000000000002E-3</v>
      </c>
    </row>
    <row r="1042" spans="1:9" x14ac:dyDescent="0.25">
      <c r="A1042" s="104" t="str">
        <f t="shared" si="16"/>
        <v>Tanzania2010UrbanPub_MedInjectable</v>
      </c>
      <c r="B1042" t="s">
        <v>152</v>
      </c>
      <c r="C1042">
        <v>2010</v>
      </c>
      <c r="D1042" t="s">
        <v>20</v>
      </c>
      <c r="E1042" t="s">
        <v>52</v>
      </c>
      <c r="F1042" t="s">
        <v>22</v>
      </c>
      <c r="G1042">
        <v>4.7976199999999997E-2</v>
      </c>
      <c r="H1042">
        <v>4.3776500000000003E-2</v>
      </c>
      <c r="I1042">
        <v>2.8098399999999999E-2</v>
      </c>
    </row>
    <row r="1043" spans="1:9" x14ac:dyDescent="0.25">
      <c r="A1043" s="104" t="str">
        <f t="shared" si="16"/>
        <v>Tanzania2010UrbanPub_OutreachInjectable</v>
      </c>
      <c r="B1043" t="s">
        <v>152</v>
      </c>
      <c r="C1043">
        <v>2010</v>
      </c>
      <c r="D1043" t="s">
        <v>20</v>
      </c>
      <c r="E1043" t="s">
        <v>54</v>
      </c>
      <c r="F1043" t="s">
        <v>22</v>
      </c>
      <c r="G1043">
        <v>3.03112E-2</v>
      </c>
      <c r="H1043">
        <v>1.16402E-2</v>
      </c>
      <c r="I1043">
        <v>2.9557E-2</v>
      </c>
    </row>
    <row r="1044" spans="1:9" x14ac:dyDescent="0.25">
      <c r="A1044" s="104" t="str">
        <f t="shared" si="16"/>
        <v>Tanzania2010UrbanNGOInjectable</v>
      </c>
      <c r="B1044" t="s">
        <v>152</v>
      </c>
      <c r="C1044">
        <v>2010</v>
      </c>
      <c r="D1044" t="s">
        <v>20</v>
      </c>
      <c r="E1044" t="s">
        <v>170</v>
      </c>
      <c r="F1044" t="s">
        <v>22</v>
      </c>
      <c r="G1044">
        <v>8.6791000000000004E-3</v>
      </c>
      <c r="H1044">
        <v>1.8763E-3</v>
      </c>
      <c r="I1044">
        <v>1.1324600000000001E-2</v>
      </c>
    </row>
    <row r="1045" spans="1:9" x14ac:dyDescent="0.25">
      <c r="A1045" s="104" t="str">
        <f t="shared" si="16"/>
        <v>Tanzania2010UrbanCommercialInjectable</v>
      </c>
      <c r="B1045" t="s">
        <v>152</v>
      </c>
      <c r="C1045">
        <v>2010</v>
      </c>
      <c r="D1045" t="s">
        <v>20</v>
      </c>
      <c r="E1045" t="s">
        <v>59</v>
      </c>
      <c r="F1045" t="s">
        <v>22</v>
      </c>
      <c r="G1045">
        <v>2.50517E-2</v>
      </c>
      <c r="H1045">
        <v>1.5186099999999999E-2</v>
      </c>
      <c r="I1045">
        <v>2.2462300000000001E-2</v>
      </c>
    </row>
    <row r="1046" spans="1:9" x14ac:dyDescent="0.25">
      <c r="A1046" s="104" t="str">
        <f t="shared" si="16"/>
        <v>Tanzania2010UrbanOtherInjectable</v>
      </c>
      <c r="B1046" t="s">
        <v>152</v>
      </c>
      <c r="C1046">
        <v>2010</v>
      </c>
      <c r="D1046" t="s">
        <v>20</v>
      </c>
      <c r="E1046" t="s">
        <v>116</v>
      </c>
      <c r="F1046" t="s">
        <v>22</v>
      </c>
      <c r="G1046">
        <v>6.533E-4</v>
      </c>
    </row>
    <row r="1047" spans="1:9" x14ac:dyDescent="0.25">
      <c r="A1047" s="104" t="str">
        <f t="shared" si="16"/>
        <v>Tanzania2010RuralPub_MedInjectable</v>
      </c>
      <c r="B1047" t="s">
        <v>152</v>
      </c>
      <c r="C1047">
        <v>2010</v>
      </c>
      <c r="D1047" t="s">
        <v>21</v>
      </c>
      <c r="E1047" t="s">
        <v>52</v>
      </c>
      <c r="F1047" t="s">
        <v>22</v>
      </c>
      <c r="G1047">
        <v>1.22358E-2</v>
      </c>
      <c r="H1047">
        <v>2.1271700000000001E-2</v>
      </c>
      <c r="I1047">
        <v>2.0777299999999999E-2</v>
      </c>
    </row>
    <row r="1048" spans="1:9" x14ac:dyDescent="0.25">
      <c r="A1048" s="104" t="str">
        <f t="shared" si="16"/>
        <v>Tanzania2010RuralPub_OutreachInjectable</v>
      </c>
      <c r="B1048" t="s">
        <v>152</v>
      </c>
      <c r="C1048">
        <v>2010</v>
      </c>
      <c r="D1048" t="s">
        <v>21</v>
      </c>
      <c r="E1048" t="s">
        <v>54</v>
      </c>
      <c r="F1048" t="s">
        <v>22</v>
      </c>
      <c r="G1048">
        <v>4.8035300000000003E-2</v>
      </c>
      <c r="H1048">
        <v>4.4373900000000001E-2</v>
      </c>
      <c r="I1048">
        <v>6.3465900000000006E-2</v>
      </c>
    </row>
    <row r="1049" spans="1:9" x14ac:dyDescent="0.25">
      <c r="A1049" s="104" t="str">
        <f t="shared" si="16"/>
        <v>Tanzania2010RuralNGOInjectable</v>
      </c>
      <c r="B1049" t="s">
        <v>152</v>
      </c>
      <c r="C1049">
        <v>2010</v>
      </c>
      <c r="D1049" t="s">
        <v>21</v>
      </c>
      <c r="E1049" t="s">
        <v>170</v>
      </c>
      <c r="F1049" t="s">
        <v>22</v>
      </c>
      <c r="G1049">
        <v>4.8723000000000004E-3</v>
      </c>
      <c r="H1049">
        <v>1.2796000000000001E-3</v>
      </c>
      <c r="I1049">
        <v>8.7618999999999995E-3</v>
      </c>
    </row>
    <row r="1050" spans="1:9" x14ac:dyDescent="0.25">
      <c r="A1050" s="104" t="str">
        <f t="shared" si="16"/>
        <v>Tanzania2010RuralCommercialInjectable</v>
      </c>
      <c r="B1050" t="s">
        <v>152</v>
      </c>
      <c r="C1050">
        <v>2010</v>
      </c>
      <c r="D1050" t="s">
        <v>21</v>
      </c>
      <c r="E1050" t="s">
        <v>59</v>
      </c>
      <c r="F1050" t="s">
        <v>22</v>
      </c>
      <c r="G1050">
        <v>2.7112999999999998E-3</v>
      </c>
      <c r="H1050">
        <v>4.6306000000000003E-3</v>
      </c>
      <c r="I1050">
        <v>1.4891100000000001E-2</v>
      </c>
    </row>
    <row r="1051" spans="1:9" x14ac:dyDescent="0.25">
      <c r="A1051" s="104" t="str">
        <f t="shared" si="16"/>
        <v>Tanzania2010RuralOtherInjectable</v>
      </c>
      <c r="B1051" t="s">
        <v>152</v>
      </c>
      <c r="C1051">
        <v>2010</v>
      </c>
      <c r="D1051" t="s">
        <v>21</v>
      </c>
      <c r="E1051" t="s">
        <v>116</v>
      </c>
      <c r="F1051" t="s">
        <v>22</v>
      </c>
      <c r="G1051">
        <v>1.4036999999999999E-3</v>
      </c>
      <c r="H1051">
        <v>8.4020000000000004E-4</v>
      </c>
      <c r="I1051">
        <v>2.8482999999999998E-3</v>
      </c>
    </row>
    <row r="1052" spans="1:9" x14ac:dyDescent="0.25">
      <c r="A1052" s="104" t="str">
        <f t="shared" si="16"/>
        <v>Tanzania2010NationalPub_MedCondom</v>
      </c>
      <c r="B1052" t="s">
        <v>152</v>
      </c>
      <c r="C1052">
        <v>2010</v>
      </c>
      <c r="D1052" t="s">
        <v>178</v>
      </c>
      <c r="E1052" t="s">
        <v>52</v>
      </c>
      <c r="F1052" t="s">
        <v>25</v>
      </c>
      <c r="G1052">
        <v>1.6609000000000001E-3</v>
      </c>
      <c r="H1052">
        <v>4.4784999999999998E-3</v>
      </c>
      <c r="I1052">
        <v>3.4818000000000002E-3</v>
      </c>
    </row>
    <row r="1053" spans="1:9" x14ac:dyDescent="0.25">
      <c r="A1053" s="104" t="str">
        <f t="shared" si="16"/>
        <v>Tanzania2010NationalPub_OutreachCondom</v>
      </c>
      <c r="B1053" t="s">
        <v>152</v>
      </c>
      <c r="C1053">
        <v>2010</v>
      </c>
      <c r="D1053" t="s">
        <v>178</v>
      </c>
      <c r="E1053" t="s">
        <v>54</v>
      </c>
      <c r="F1053" t="s">
        <v>25</v>
      </c>
      <c r="G1053">
        <v>3.4808999999999999E-3</v>
      </c>
      <c r="H1053">
        <v>5.8265000000000001E-3</v>
      </c>
      <c r="I1053">
        <v>5.7600000000000004E-3</v>
      </c>
    </row>
    <row r="1054" spans="1:9" x14ac:dyDescent="0.25">
      <c r="A1054" s="104" t="str">
        <f t="shared" si="16"/>
        <v>Tanzania2010NationalNGOCondom</v>
      </c>
      <c r="B1054" t="s">
        <v>152</v>
      </c>
      <c r="C1054">
        <v>2010</v>
      </c>
      <c r="D1054" t="s">
        <v>178</v>
      </c>
      <c r="E1054" t="s">
        <v>170</v>
      </c>
      <c r="F1054" t="s">
        <v>25</v>
      </c>
      <c r="G1054">
        <v>1.61759E-2</v>
      </c>
      <c r="H1054">
        <v>2.2834E-2</v>
      </c>
      <c r="I1054">
        <v>3.9922399999999997E-2</v>
      </c>
    </row>
    <row r="1055" spans="1:9" x14ac:dyDescent="0.25">
      <c r="A1055" s="104" t="str">
        <f t="shared" si="16"/>
        <v>Tanzania2010NationalCommercialCondom</v>
      </c>
      <c r="B1055" t="s">
        <v>152</v>
      </c>
      <c r="C1055">
        <v>2010</v>
      </c>
      <c r="D1055" t="s">
        <v>178</v>
      </c>
      <c r="E1055" t="s">
        <v>59</v>
      </c>
      <c r="F1055" t="s">
        <v>25</v>
      </c>
      <c r="G1055">
        <v>6.0648000000000004E-3</v>
      </c>
      <c r="H1055">
        <v>8.3759000000000004E-3</v>
      </c>
      <c r="I1055">
        <v>1.8929399999999999E-2</v>
      </c>
    </row>
    <row r="1056" spans="1:9" x14ac:dyDescent="0.25">
      <c r="A1056" s="104" t="str">
        <f t="shared" si="16"/>
        <v>Tanzania2010NationalOtherCondom</v>
      </c>
      <c r="B1056" t="s">
        <v>152</v>
      </c>
      <c r="C1056">
        <v>2010</v>
      </c>
      <c r="D1056" t="s">
        <v>178</v>
      </c>
      <c r="E1056" t="s">
        <v>116</v>
      </c>
      <c r="F1056" t="s">
        <v>25</v>
      </c>
      <c r="G1056">
        <v>1.6397E-3</v>
      </c>
      <c r="H1056">
        <v>5.4136000000000002E-3</v>
      </c>
      <c r="I1056">
        <v>3.6012000000000001E-3</v>
      </c>
    </row>
    <row r="1057" spans="1:9" x14ac:dyDescent="0.25">
      <c r="A1057" s="104" t="str">
        <f t="shared" si="16"/>
        <v>Tanzania2010UrbanPub_MedCondom</v>
      </c>
      <c r="B1057" t="s">
        <v>152</v>
      </c>
      <c r="C1057">
        <v>2010</v>
      </c>
      <c r="D1057" t="s">
        <v>20</v>
      </c>
      <c r="E1057" t="s">
        <v>52</v>
      </c>
      <c r="F1057" t="s">
        <v>25</v>
      </c>
      <c r="G1057">
        <v>4.0493999999999999E-3</v>
      </c>
      <c r="H1057">
        <v>5.9766999999999997E-3</v>
      </c>
    </row>
    <row r="1058" spans="1:9" x14ac:dyDescent="0.25">
      <c r="A1058" s="104" t="str">
        <f t="shared" si="16"/>
        <v>Tanzania2010UrbanPub_OutreachCondom</v>
      </c>
      <c r="B1058" t="s">
        <v>152</v>
      </c>
      <c r="C1058">
        <v>2010</v>
      </c>
      <c r="D1058" t="s">
        <v>20</v>
      </c>
      <c r="E1058" t="s">
        <v>54</v>
      </c>
      <c r="F1058" t="s">
        <v>25</v>
      </c>
      <c r="G1058">
        <v>1.9432E-3</v>
      </c>
      <c r="H1058">
        <v>1.4413E-3</v>
      </c>
      <c r="I1058">
        <v>5.9890000000000004E-3</v>
      </c>
    </row>
    <row r="1059" spans="1:9" x14ac:dyDescent="0.25">
      <c r="A1059" s="104" t="str">
        <f t="shared" si="16"/>
        <v>Tanzania2010UrbanNGOCondom</v>
      </c>
      <c r="B1059" t="s">
        <v>152</v>
      </c>
      <c r="C1059">
        <v>2010</v>
      </c>
      <c r="D1059" t="s">
        <v>20</v>
      </c>
      <c r="E1059" t="s">
        <v>170</v>
      </c>
      <c r="F1059" t="s">
        <v>25</v>
      </c>
      <c r="G1059">
        <v>2.7067399999999998E-2</v>
      </c>
      <c r="H1059">
        <v>2.11807E-2</v>
      </c>
      <c r="I1059">
        <v>3.4288600000000002E-2</v>
      </c>
    </row>
    <row r="1060" spans="1:9" x14ac:dyDescent="0.25">
      <c r="A1060" s="104" t="str">
        <f t="shared" si="16"/>
        <v>Tanzania2010UrbanCommercialCondom</v>
      </c>
      <c r="B1060" t="s">
        <v>152</v>
      </c>
      <c r="C1060">
        <v>2010</v>
      </c>
      <c r="D1060" t="s">
        <v>20</v>
      </c>
      <c r="E1060" t="s">
        <v>59</v>
      </c>
      <c r="F1060" t="s">
        <v>25</v>
      </c>
      <c r="G1060">
        <v>1.92453E-2</v>
      </c>
      <c r="H1060">
        <v>2.1196099999999999E-2</v>
      </c>
      <c r="I1060">
        <v>3.8444800000000001E-2</v>
      </c>
    </row>
    <row r="1061" spans="1:9" x14ac:dyDescent="0.25">
      <c r="A1061" s="104" t="str">
        <f t="shared" si="16"/>
        <v>Tanzania2010UrbanOtherCondom</v>
      </c>
      <c r="B1061" t="s">
        <v>152</v>
      </c>
      <c r="C1061">
        <v>2010</v>
      </c>
      <c r="D1061" t="s">
        <v>20</v>
      </c>
      <c r="E1061" t="s">
        <v>116</v>
      </c>
      <c r="F1061" t="s">
        <v>25</v>
      </c>
      <c r="G1061">
        <v>2.8059999999999999E-3</v>
      </c>
      <c r="H1061">
        <v>7.6315999999999997E-3</v>
      </c>
      <c r="I1061">
        <v>1.06412E-2</v>
      </c>
    </row>
    <row r="1062" spans="1:9" x14ac:dyDescent="0.25">
      <c r="A1062" s="104" t="str">
        <f t="shared" si="16"/>
        <v>Tanzania2010RuralPub_MedCondom</v>
      </c>
      <c r="B1062" t="s">
        <v>152</v>
      </c>
      <c r="C1062">
        <v>2010</v>
      </c>
      <c r="D1062" t="s">
        <v>21</v>
      </c>
      <c r="E1062" t="s">
        <v>52</v>
      </c>
      <c r="F1062" t="s">
        <v>25</v>
      </c>
      <c r="G1062">
        <v>7.6079999999999995E-4</v>
      </c>
      <c r="H1062">
        <v>3.7777000000000002E-3</v>
      </c>
      <c r="I1062">
        <v>4.8659000000000003E-3</v>
      </c>
    </row>
    <row r="1063" spans="1:9" x14ac:dyDescent="0.25">
      <c r="A1063" s="104" t="str">
        <f t="shared" si="16"/>
        <v>Tanzania2010RuralPub_OutreachCondom</v>
      </c>
      <c r="B1063" t="s">
        <v>152</v>
      </c>
      <c r="C1063">
        <v>2010</v>
      </c>
      <c r="D1063" t="s">
        <v>21</v>
      </c>
      <c r="E1063" t="s">
        <v>54</v>
      </c>
      <c r="F1063" t="s">
        <v>25</v>
      </c>
      <c r="G1063">
        <v>4.0604999999999999E-3</v>
      </c>
      <c r="H1063">
        <v>7.8778000000000008E-3</v>
      </c>
      <c r="I1063">
        <v>5.6690000000000004E-3</v>
      </c>
    </row>
    <row r="1064" spans="1:9" x14ac:dyDescent="0.25">
      <c r="A1064" s="104" t="str">
        <f t="shared" si="16"/>
        <v>Tanzania2010RuralNGOCondom</v>
      </c>
      <c r="B1064" t="s">
        <v>152</v>
      </c>
      <c r="C1064">
        <v>2010</v>
      </c>
      <c r="D1064" t="s">
        <v>21</v>
      </c>
      <c r="E1064" t="s">
        <v>170</v>
      </c>
      <c r="F1064" t="s">
        <v>25</v>
      </c>
      <c r="G1064">
        <v>1.20711E-2</v>
      </c>
      <c r="H1064">
        <v>2.3607400000000001E-2</v>
      </c>
      <c r="I1064">
        <v>4.2161900000000002E-2</v>
      </c>
    </row>
    <row r="1065" spans="1:9" x14ac:dyDescent="0.25">
      <c r="A1065" s="104" t="str">
        <f t="shared" si="16"/>
        <v>Tanzania2010RuralCommercialCondom</v>
      </c>
      <c r="B1065" t="s">
        <v>152</v>
      </c>
      <c r="C1065">
        <v>2010</v>
      </c>
      <c r="D1065" t="s">
        <v>21</v>
      </c>
      <c r="E1065" t="s">
        <v>59</v>
      </c>
      <c r="F1065" t="s">
        <v>25</v>
      </c>
      <c r="G1065">
        <v>1.0973000000000001E-3</v>
      </c>
      <c r="H1065">
        <v>2.3790999999999999E-3</v>
      </c>
      <c r="I1065">
        <v>1.1171800000000001E-2</v>
      </c>
    </row>
    <row r="1066" spans="1:9" x14ac:dyDescent="0.25">
      <c r="A1066" s="104" t="str">
        <f t="shared" si="16"/>
        <v>Tanzania2010RuralOtherCondom</v>
      </c>
      <c r="B1066" t="s">
        <v>152</v>
      </c>
      <c r="C1066">
        <v>2010</v>
      </c>
      <c r="D1066" t="s">
        <v>21</v>
      </c>
      <c r="E1066" t="s">
        <v>116</v>
      </c>
      <c r="F1066" t="s">
        <v>25</v>
      </c>
      <c r="G1066">
        <v>1.2001E-3</v>
      </c>
      <c r="H1066">
        <v>4.3761E-3</v>
      </c>
      <c r="I1066">
        <v>8.0270000000000005E-4</v>
      </c>
    </row>
    <row r="1067" spans="1:9" x14ac:dyDescent="0.25">
      <c r="A1067" s="104" t="str">
        <f t="shared" si="16"/>
        <v>Tanzania2010NationalNorplant</v>
      </c>
      <c r="B1067" t="s">
        <v>152</v>
      </c>
      <c r="C1067">
        <v>2010</v>
      </c>
      <c r="D1067" t="s">
        <v>178</v>
      </c>
      <c r="F1067" t="s">
        <v>263</v>
      </c>
      <c r="G1067">
        <v>1.4438100000000001E-2</v>
      </c>
      <c r="H1067">
        <v>2.1613799999999999E-2</v>
      </c>
      <c r="I1067">
        <v>2.4262599999999999E-2</v>
      </c>
    </row>
    <row r="1068" spans="1:9" x14ac:dyDescent="0.25">
      <c r="A1068" s="104" t="str">
        <f t="shared" si="16"/>
        <v>Tanzania2010UrbanNorplant</v>
      </c>
      <c r="B1068" t="s">
        <v>152</v>
      </c>
      <c r="C1068">
        <v>2010</v>
      </c>
      <c r="D1068" t="s">
        <v>20</v>
      </c>
      <c r="F1068" t="s">
        <v>263</v>
      </c>
      <c r="G1068">
        <v>1.9844000000000001E-2</v>
      </c>
      <c r="H1068">
        <v>1.66993E-2</v>
      </c>
      <c r="I1068">
        <v>2.4006300000000001E-2</v>
      </c>
    </row>
    <row r="1069" spans="1:9" x14ac:dyDescent="0.25">
      <c r="A1069" s="104" t="str">
        <f t="shared" si="16"/>
        <v>Tanzania2010RuralNorplant</v>
      </c>
      <c r="B1069" t="s">
        <v>152</v>
      </c>
      <c r="C1069">
        <v>2010</v>
      </c>
      <c r="D1069" t="s">
        <v>21</v>
      </c>
      <c r="F1069" t="s">
        <v>263</v>
      </c>
      <c r="G1069">
        <v>1.2400599999999999E-2</v>
      </c>
      <c r="H1069">
        <v>2.3912699999999999E-2</v>
      </c>
      <c r="I1069">
        <v>2.4364500000000001E-2</v>
      </c>
    </row>
    <row r="1070" spans="1:9" x14ac:dyDescent="0.25">
      <c r="A1070" s="104" t="str">
        <f t="shared" si="16"/>
        <v>Tanzania2015.5NationalPub_MedPill</v>
      </c>
      <c r="B1070" t="s">
        <v>152</v>
      </c>
      <c r="C1070">
        <v>2015.5</v>
      </c>
      <c r="D1070" t="s">
        <v>178</v>
      </c>
      <c r="E1070" t="s">
        <v>52</v>
      </c>
      <c r="F1070" t="s">
        <v>12</v>
      </c>
      <c r="G1070">
        <v>6.5329999999999997E-3</v>
      </c>
      <c r="H1070">
        <v>7.6252999999999998E-3</v>
      </c>
      <c r="I1070">
        <v>6.5154999999999996E-3</v>
      </c>
    </row>
    <row r="1071" spans="1:9" x14ac:dyDescent="0.25">
      <c r="A1071" s="104" t="str">
        <f t="shared" si="16"/>
        <v>Tanzania2015.5NationalPub_OutreachPill</v>
      </c>
      <c r="B1071" t="s">
        <v>152</v>
      </c>
      <c r="C1071">
        <v>2015.5</v>
      </c>
      <c r="D1071" t="s">
        <v>178</v>
      </c>
      <c r="E1071" t="s">
        <v>54</v>
      </c>
      <c r="F1071" t="s">
        <v>12</v>
      </c>
      <c r="G1071">
        <v>1.60111E-2</v>
      </c>
      <c r="H1071">
        <v>1.33908E-2</v>
      </c>
      <c r="I1071">
        <v>1.40593E-2</v>
      </c>
    </row>
    <row r="1072" spans="1:9" x14ac:dyDescent="0.25">
      <c r="A1072" s="104" t="str">
        <f t="shared" si="16"/>
        <v>Tanzania2015.5NationalNGOPill</v>
      </c>
      <c r="B1072" t="s">
        <v>152</v>
      </c>
      <c r="C1072">
        <v>2015.5</v>
      </c>
      <c r="D1072" t="s">
        <v>178</v>
      </c>
      <c r="E1072" t="s">
        <v>170</v>
      </c>
      <c r="F1072" t="s">
        <v>12</v>
      </c>
      <c r="G1072">
        <v>1.4208000000000001E-3</v>
      </c>
      <c r="H1072">
        <v>3.4326999999999999E-3</v>
      </c>
      <c r="I1072">
        <v>1.9201000000000001E-3</v>
      </c>
    </row>
    <row r="1073" spans="1:9" x14ac:dyDescent="0.25">
      <c r="A1073" s="104" t="str">
        <f t="shared" si="16"/>
        <v>Tanzania2015.5NationalCommercialPill</v>
      </c>
      <c r="B1073" t="s">
        <v>152</v>
      </c>
      <c r="C1073">
        <v>2015.5</v>
      </c>
      <c r="D1073" t="s">
        <v>178</v>
      </c>
      <c r="E1073" t="s">
        <v>59</v>
      </c>
      <c r="F1073" t="s">
        <v>12</v>
      </c>
      <c r="G1073">
        <v>1.32894E-2</v>
      </c>
      <c r="H1073">
        <v>2.0848599999999998E-2</v>
      </c>
      <c r="I1073">
        <v>2.0257500000000001E-2</v>
      </c>
    </row>
    <row r="1074" spans="1:9" x14ac:dyDescent="0.25">
      <c r="A1074" s="104" t="str">
        <f t="shared" si="16"/>
        <v>Tanzania2015.5NationalNonTradPill</v>
      </c>
      <c r="B1074" t="s">
        <v>152</v>
      </c>
      <c r="C1074">
        <v>2015.5</v>
      </c>
      <c r="D1074" t="s">
        <v>178</v>
      </c>
      <c r="E1074" t="s">
        <v>171</v>
      </c>
      <c r="F1074" t="s">
        <v>12</v>
      </c>
      <c r="G1074">
        <v>5.3529999999999995E-4</v>
      </c>
      <c r="H1074">
        <v>1.7991000000000001E-3</v>
      </c>
    </row>
    <row r="1075" spans="1:9" x14ac:dyDescent="0.25">
      <c r="A1075" s="104" t="str">
        <f t="shared" si="16"/>
        <v>Tanzania2015.5NationalOtherPill</v>
      </c>
      <c r="B1075" t="s">
        <v>152</v>
      </c>
      <c r="C1075">
        <v>2015.5</v>
      </c>
      <c r="D1075" t="s">
        <v>178</v>
      </c>
      <c r="E1075" t="s">
        <v>116</v>
      </c>
      <c r="F1075" t="s">
        <v>12</v>
      </c>
      <c r="G1075">
        <v>1.3909999999999999E-4</v>
      </c>
      <c r="H1075">
        <v>5.1700000000000003E-5</v>
      </c>
      <c r="I1075">
        <v>3.143E-4</v>
      </c>
    </row>
    <row r="1076" spans="1:9" x14ac:dyDescent="0.25">
      <c r="A1076" s="104" t="str">
        <f t="shared" si="16"/>
        <v>Tanzania2015.5NationalPill</v>
      </c>
      <c r="B1076" t="s">
        <v>152</v>
      </c>
      <c r="C1076">
        <v>2015.5</v>
      </c>
      <c r="D1076" t="s">
        <v>178</v>
      </c>
      <c r="F1076" t="s">
        <v>12</v>
      </c>
      <c r="G1076">
        <v>3.2249999999999998E-4</v>
      </c>
      <c r="H1076">
        <v>5.8430000000000005E-4</v>
      </c>
    </row>
    <row r="1077" spans="1:9" x14ac:dyDescent="0.25">
      <c r="A1077" s="104" t="str">
        <f t="shared" si="16"/>
        <v>Tanzania2015.5UrbanPub_MedPill</v>
      </c>
      <c r="B1077" t="s">
        <v>152</v>
      </c>
      <c r="C1077">
        <v>2015.5</v>
      </c>
      <c r="D1077" t="s">
        <v>20</v>
      </c>
      <c r="E1077" t="s">
        <v>52</v>
      </c>
      <c r="F1077" t="s">
        <v>12</v>
      </c>
      <c r="G1077">
        <v>1.09871E-2</v>
      </c>
      <c r="H1077">
        <v>1.38587E-2</v>
      </c>
      <c r="I1077">
        <v>6.0470999999999997E-3</v>
      </c>
    </row>
    <row r="1078" spans="1:9" x14ac:dyDescent="0.25">
      <c r="A1078" s="104" t="str">
        <f t="shared" si="16"/>
        <v>Tanzania2015.5UrbanPub_OutreachPill</v>
      </c>
      <c r="B1078" t="s">
        <v>152</v>
      </c>
      <c r="C1078">
        <v>2015.5</v>
      </c>
      <c r="D1078" t="s">
        <v>20</v>
      </c>
      <c r="E1078" t="s">
        <v>54</v>
      </c>
      <c r="F1078" t="s">
        <v>12</v>
      </c>
      <c r="G1078">
        <v>5.9227999999999998E-3</v>
      </c>
      <c r="H1078">
        <v>2.5404999999999998E-3</v>
      </c>
      <c r="I1078">
        <v>2.5525999999999999E-3</v>
      </c>
    </row>
    <row r="1079" spans="1:9" x14ac:dyDescent="0.25">
      <c r="A1079" s="104" t="str">
        <f t="shared" si="16"/>
        <v>Tanzania2015.5UrbanNGOPill</v>
      </c>
      <c r="B1079" t="s">
        <v>152</v>
      </c>
      <c r="C1079">
        <v>2015.5</v>
      </c>
      <c r="D1079" t="s">
        <v>20</v>
      </c>
      <c r="E1079" t="s">
        <v>170</v>
      </c>
      <c r="F1079" t="s">
        <v>12</v>
      </c>
      <c r="G1079">
        <v>2.0592000000000002E-3</v>
      </c>
      <c r="H1079">
        <v>4.7733999999999997E-3</v>
      </c>
      <c r="I1079">
        <v>3.6949999999999998E-4</v>
      </c>
    </row>
    <row r="1080" spans="1:9" x14ac:dyDescent="0.25">
      <c r="A1080" s="104" t="str">
        <f t="shared" si="16"/>
        <v>Tanzania2015.5UrbanCommercialPill</v>
      </c>
      <c r="B1080" t="s">
        <v>152</v>
      </c>
      <c r="C1080">
        <v>2015.5</v>
      </c>
      <c r="D1080" t="s">
        <v>20</v>
      </c>
      <c r="E1080" t="s">
        <v>59</v>
      </c>
      <c r="F1080" t="s">
        <v>12</v>
      </c>
      <c r="G1080">
        <v>2.6875599999999999E-2</v>
      </c>
      <c r="H1080">
        <v>3.5419600000000002E-2</v>
      </c>
      <c r="I1080">
        <v>2.7160900000000002E-2</v>
      </c>
    </row>
    <row r="1081" spans="1:9" x14ac:dyDescent="0.25">
      <c r="A1081" s="104" t="str">
        <f t="shared" si="16"/>
        <v>Tanzania2015.5UrbanOtherPill</v>
      </c>
      <c r="B1081" t="s">
        <v>152</v>
      </c>
      <c r="C1081">
        <v>2015.5</v>
      </c>
      <c r="D1081" t="s">
        <v>20</v>
      </c>
      <c r="E1081" t="s">
        <v>116</v>
      </c>
      <c r="F1081" t="s">
        <v>12</v>
      </c>
      <c r="G1081">
        <v>3.9730000000000001E-4</v>
      </c>
    </row>
    <row r="1082" spans="1:9" x14ac:dyDescent="0.25">
      <c r="A1082" s="104" t="str">
        <f t="shared" si="16"/>
        <v>Tanzania2015.5UrbanPill</v>
      </c>
      <c r="B1082" t="s">
        <v>152</v>
      </c>
      <c r="C1082">
        <v>2015.5</v>
      </c>
      <c r="D1082" t="s">
        <v>20</v>
      </c>
      <c r="F1082" t="s">
        <v>12</v>
      </c>
      <c r="G1082">
        <v>9.209E-4</v>
      </c>
      <c r="H1082">
        <v>1.4963000000000001E-3</v>
      </c>
    </row>
    <row r="1083" spans="1:9" x14ac:dyDescent="0.25">
      <c r="A1083" s="104" t="str">
        <f t="shared" si="16"/>
        <v>Tanzania2015.5RuralPub_MedPill</v>
      </c>
      <c r="B1083" t="s">
        <v>152</v>
      </c>
      <c r="C1083">
        <v>2015.5</v>
      </c>
      <c r="D1083" t="s">
        <v>21</v>
      </c>
      <c r="E1083" t="s">
        <v>52</v>
      </c>
      <c r="F1083" t="s">
        <v>12</v>
      </c>
      <c r="G1083">
        <v>4.1327999999999998E-3</v>
      </c>
      <c r="H1083">
        <v>3.6324E-3</v>
      </c>
      <c r="I1083">
        <v>6.7879999999999998E-3</v>
      </c>
    </row>
    <row r="1084" spans="1:9" x14ac:dyDescent="0.25">
      <c r="A1084" s="104" t="str">
        <f t="shared" si="16"/>
        <v>Tanzania2015.5RuralPub_OutreachPill</v>
      </c>
      <c r="B1084" t="s">
        <v>152</v>
      </c>
      <c r="C1084">
        <v>2015.5</v>
      </c>
      <c r="D1084" t="s">
        <v>21</v>
      </c>
      <c r="E1084" t="s">
        <v>54</v>
      </c>
      <c r="F1084" t="s">
        <v>12</v>
      </c>
      <c r="G1084">
        <v>2.1447299999999999E-2</v>
      </c>
      <c r="H1084">
        <v>2.03412E-2</v>
      </c>
      <c r="I1084">
        <v>2.07549E-2</v>
      </c>
    </row>
    <row r="1085" spans="1:9" x14ac:dyDescent="0.25">
      <c r="A1085" s="104" t="str">
        <f t="shared" si="16"/>
        <v>Tanzania2015.5RuralNGOPill</v>
      </c>
      <c r="B1085" t="s">
        <v>152</v>
      </c>
      <c r="C1085">
        <v>2015.5</v>
      </c>
      <c r="D1085" t="s">
        <v>21</v>
      </c>
      <c r="E1085" t="s">
        <v>170</v>
      </c>
      <c r="F1085" t="s">
        <v>12</v>
      </c>
      <c r="G1085">
        <v>1.0767999999999999E-3</v>
      </c>
      <c r="H1085">
        <v>2.5739000000000001E-3</v>
      </c>
      <c r="I1085">
        <v>2.8224000000000001E-3</v>
      </c>
    </row>
    <row r="1086" spans="1:9" x14ac:dyDescent="0.25">
      <c r="A1086" s="104" t="str">
        <f t="shared" si="16"/>
        <v>Tanzania2015.5RuralCommercialPill</v>
      </c>
      <c r="B1086" t="s">
        <v>152</v>
      </c>
      <c r="C1086">
        <v>2015.5</v>
      </c>
      <c r="D1086" t="s">
        <v>21</v>
      </c>
      <c r="E1086" t="s">
        <v>59</v>
      </c>
      <c r="F1086" t="s">
        <v>12</v>
      </c>
      <c r="G1086">
        <v>5.9683999999999996E-3</v>
      </c>
      <c r="H1086">
        <v>1.15148E-2</v>
      </c>
      <c r="I1086">
        <v>1.6240500000000001E-2</v>
      </c>
    </row>
    <row r="1087" spans="1:9" x14ac:dyDescent="0.25">
      <c r="A1087" s="104" t="str">
        <f t="shared" si="16"/>
        <v>Tanzania2015.5RuralNonTradPill</v>
      </c>
      <c r="B1087" t="s">
        <v>152</v>
      </c>
      <c r="C1087">
        <v>2015.5</v>
      </c>
      <c r="D1087" t="s">
        <v>21</v>
      </c>
      <c r="E1087" t="s">
        <v>171</v>
      </c>
      <c r="F1087" t="s">
        <v>12</v>
      </c>
      <c r="G1087">
        <v>8.2379999999999997E-4</v>
      </c>
      <c r="H1087">
        <v>2.9516E-3</v>
      </c>
    </row>
    <row r="1088" spans="1:9" x14ac:dyDescent="0.25">
      <c r="A1088" s="104" t="str">
        <f t="shared" si="16"/>
        <v>Tanzania2015.5RuralOtherPill</v>
      </c>
      <c r="B1088" t="s">
        <v>152</v>
      </c>
      <c r="C1088">
        <v>2015.5</v>
      </c>
      <c r="D1088" t="s">
        <v>21</v>
      </c>
      <c r="E1088" t="s">
        <v>116</v>
      </c>
      <c r="F1088" t="s">
        <v>12</v>
      </c>
      <c r="H1088">
        <v>8.4900000000000004E-5</v>
      </c>
      <c r="I1088">
        <v>4.9720000000000005E-4</v>
      </c>
    </row>
    <row r="1089" spans="1:9" x14ac:dyDescent="0.25">
      <c r="A1089" s="104" t="str">
        <f t="shared" si="16"/>
        <v>Tanzania2015.5NationalPub_MedIUD</v>
      </c>
      <c r="B1089" t="s">
        <v>152</v>
      </c>
      <c r="C1089">
        <v>2015.5</v>
      </c>
      <c r="D1089" t="s">
        <v>178</v>
      </c>
      <c r="E1089" t="s">
        <v>52</v>
      </c>
      <c r="F1089" t="s">
        <v>16</v>
      </c>
      <c r="G1089">
        <v>2.6226000000000001E-3</v>
      </c>
      <c r="H1089">
        <v>3.1193000000000002E-3</v>
      </c>
      <c r="I1089">
        <v>2.9639000000000002E-3</v>
      </c>
    </row>
    <row r="1090" spans="1:9" x14ac:dyDescent="0.25">
      <c r="A1090" s="104" t="str">
        <f t="shared" si="16"/>
        <v>Tanzania2015.5NationalPub_OutreachIUD</v>
      </c>
      <c r="B1090" t="s">
        <v>152</v>
      </c>
      <c r="C1090">
        <v>2015.5</v>
      </c>
      <c r="D1090" t="s">
        <v>178</v>
      </c>
      <c r="E1090" t="s">
        <v>54</v>
      </c>
      <c r="F1090" t="s">
        <v>16</v>
      </c>
      <c r="G1090">
        <v>2.0084999999999999E-3</v>
      </c>
      <c r="H1090">
        <v>1.7953999999999999E-3</v>
      </c>
      <c r="I1090">
        <v>1.2777000000000001E-3</v>
      </c>
    </row>
    <row r="1091" spans="1:9" x14ac:dyDescent="0.25">
      <c r="A1091" s="104" t="str">
        <f t="shared" ref="A1091:A1154" si="17">B1091&amp;C1091&amp;D1091&amp;E1091&amp;F1091</f>
        <v>Tanzania2015.5NationalNGOIUD</v>
      </c>
      <c r="B1091" t="s">
        <v>152</v>
      </c>
      <c r="C1091">
        <v>2015.5</v>
      </c>
      <c r="D1091" t="s">
        <v>178</v>
      </c>
      <c r="E1091" t="s">
        <v>170</v>
      </c>
      <c r="F1091" t="s">
        <v>16</v>
      </c>
      <c r="G1091">
        <v>9.9839999999999998E-4</v>
      </c>
      <c r="H1091">
        <v>2.7468000000000002E-3</v>
      </c>
      <c r="I1091">
        <v>1.1104000000000001E-3</v>
      </c>
    </row>
    <row r="1092" spans="1:9" x14ac:dyDescent="0.25">
      <c r="A1092" s="104" t="str">
        <f t="shared" si="17"/>
        <v>Tanzania2015.5NationalCommercialIUD</v>
      </c>
      <c r="B1092" t="s">
        <v>152</v>
      </c>
      <c r="C1092">
        <v>2015.5</v>
      </c>
      <c r="D1092" t="s">
        <v>178</v>
      </c>
      <c r="E1092" t="s">
        <v>59</v>
      </c>
      <c r="F1092" t="s">
        <v>16</v>
      </c>
      <c r="G1092">
        <v>9.0359999999999995E-4</v>
      </c>
      <c r="I1092">
        <v>1.1194E-3</v>
      </c>
    </row>
    <row r="1093" spans="1:9" x14ac:dyDescent="0.25">
      <c r="A1093" s="104" t="str">
        <f t="shared" si="17"/>
        <v>Tanzania2015.5NationalOtherIUD</v>
      </c>
      <c r="B1093" t="s">
        <v>152</v>
      </c>
      <c r="C1093">
        <v>2015.5</v>
      </c>
      <c r="D1093" t="s">
        <v>178</v>
      </c>
      <c r="E1093" t="s">
        <v>116</v>
      </c>
      <c r="F1093" t="s">
        <v>16</v>
      </c>
      <c r="G1093">
        <v>6.8200000000000004E-5</v>
      </c>
      <c r="I1093">
        <v>1.5789999999999999E-4</v>
      </c>
    </row>
    <row r="1094" spans="1:9" x14ac:dyDescent="0.25">
      <c r="A1094" s="104" t="str">
        <f t="shared" si="17"/>
        <v>Tanzania2015.5UrbanPub_MedIUD</v>
      </c>
      <c r="B1094" t="s">
        <v>152</v>
      </c>
      <c r="C1094">
        <v>2015.5</v>
      </c>
      <c r="D1094" t="s">
        <v>20</v>
      </c>
      <c r="E1094" t="s">
        <v>52</v>
      </c>
      <c r="F1094" t="s">
        <v>16</v>
      </c>
      <c r="G1094">
        <v>1.7468E-3</v>
      </c>
      <c r="H1094">
        <v>2.1318000000000001E-3</v>
      </c>
      <c r="I1094">
        <v>4.8040000000000002E-4</v>
      </c>
    </row>
    <row r="1095" spans="1:9" x14ac:dyDescent="0.25">
      <c r="A1095" s="104" t="str">
        <f t="shared" si="17"/>
        <v>Tanzania2015.5UrbanPub_OutreachIUD</v>
      </c>
      <c r="B1095" t="s">
        <v>152</v>
      </c>
      <c r="C1095">
        <v>2015.5</v>
      </c>
      <c r="D1095" t="s">
        <v>20</v>
      </c>
      <c r="E1095" t="s">
        <v>54</v>
      </c>
      <c r="F1095" t="s">
        <v>16</v>
      </c>
      <c r="G1095">
        <v>2.892E-3</v>
      </c>
    </row>
    <row r="1096" spans="1:9" x14ac:dyDescent="0.25">
      <c r="A1096" s="104" t="str">
        <f t="shared" si="17"/>
        <v>Tanzania2015.5UrbanNGOIUD</v>
      </c>
      <c r="B1096" t="s">
        <v>152</v>
      </c>
      <c r="C1096">
        <v>2015.5</v>
      </c>
      <c r="D1096" t="s">
        <v>20</v>
      </c>
      <c r="E1096" t="s">
        <v>170</v>
      </c>
      <c r="F1096" t="s">
        <v>16</v>
      </c>
      <c r="G1096">
        <v>4.5130000000000002E-4</v>
      </c>
      <c r="H1096">
        <v>2.3104000000000002E-3</v>
      </c>
    </row>
    <row r="1097" spans="1:9" x14ac:dyDescent="0.25">
      <c r="A1097" s="104" t="str">
        <f t="shared" si="17"/>
        <v>Tanzania2015.5UrbanCommercialIUD</v>
      </c>
      <c r="B1097" t="s">
        <v>152</v>
      </c>
      <c r="C1097">
        <v>2015.5</v>
      </c>
      <c r="D1097" t="s">
        <v>20</v>
      </c>
      <c r="E1097" t="s">
        <v>59</v>
      </c>
      <c r="F1097" t="s">
        <v>16</v>
      </c>
      <c r="G1097">
        <v>1.8703999999999999E-3</v>
      </c>
      <c r="I1097">
        <v>2.6434000000000002E-3</v>
      </c>
    </row>
    <row r="1098" spans="1:9" x14ac:dyDescent="0.25">
      <c r="A1098" s="104" t="str">
        <f t="shared" si="17"/>
        <v>Tanzania2015.5RuralPub_MedIUD</v>
      </c>
      <c r="B1098" t="s">
        <v>152</v>
      </c>
      <c r="C1098">
        <v>2015.5</v>
      </c>
      <c r="D1098" t="s">
        <v>21</v>
      </c>
      <c r="E1098" t="s">
        <v>52</v>
      </c>
      <c r="F1098" t="s">
        <v>16</v>
      </c>
      <c r="G1098">
        <v>3.0945E-3</v>
      </c>
      <c r="H1098">
        <v>3.7518E-3</v>
      </c>
      <c r="I1098">
        <v>4.4091E-3</v>
      </c>
    </row>
    <row r="1099" spans="1:9" x14ac:dyDescent="0.25">
      <c r="A1099" s="104" t="str">
        <f t="shared" si="17"/>
        <v>Tanzania2015.5RuralPub_OutreachIUD</v>
      </c>
      <c r="B1099" t="s">
        <v>152</v>
      </c>
      <c r="C1099">
        <v>2015.5</v>
      </c>
      <c r="D1099" t="s">
        <v>21</v>
      </c>
      <c r="E1099" t="s">
        <v>54</v>
      </c>
      <c r="F1099" t="s">
        <v>16</v>
      </c>
      <c r="G1099">
        <v>1.5324E-3</v>
      </c>
      <c r="H1099">
        <v>2.9453999999999999E-3</v>
      </c>
      <c r="I1099">
        <v>2.0211999999999999E-3</v>
      </c>
    </row>
    <row r="1100" spans="1:9" x14ac:dyDescent="0.25">
      <c r="A1100" s="104" t="str">
        <f t="shared" si="17"/>
        <v>Tanzania2015.5RuralNGOIUD</v>
      </c>
      <c r="B1100" t="s">
        <v>152</v>
      </c>
      <c r="C1100">
        <v>2015.5</v>
      </c>
      <c r="D1100" t="s">
        <v>21</v>
      </c>
      <c r="E1100" t="s">
        <v>170</v>
      </c>
      <c r="F1100" t="s">
        <v>16</v>
      </c>
      <c r="G1100">
        <v>1.2932E-3</v>
      </c>
      <c r="H1100">
        <v>3.0263999999999998E-3</v>
      </c>
      <c r="I1100">
        <v>1.7565E-3</v>
      </c>
    </row>
    <row r="1101" spans="1:9" x14ac:dyDescent="0.25">
      <c r="A1101" s="104" t="str">
        <f t="shared" si="17"/>
        <v>Tanzania2015.5RuralCommercialIUD</v>
      </c>
      <c r="B1101" t="s">
        <v>152</v>
      </c>
      <c r="C1101">
        <v>2015.5</v>
      </c>
      <c r="D1101" t="s">
        <v>21</v>
      </c>
      <c r="E1101" t="s">
        <v>59</v>
      </c>
      <c r="F1101" t="s">
        <v>16</v>
      </c>
      <c r="G1101">
        <v>3.8259999999999998E-4</v>
      </c>
      <c r="I1101">
        <v>2.3269999999999999E-4</v>
      </c>
    </row>
    <row r="1102" spans="1:9" x14ac:dyDescent="0.25">
      <c r="A1102" s="104" t="str">
        <f t="shared" si="17"/>
        <v>Tanzania2015.5RuralOtherIUD</v>
      </c>
      <c r="B1102" t="s">
        <v>152</v>
      </c>
      <c r="C1102">
        <v>2015.5</v>
      </c>
      <c r="D1102" t="s">
        <v>21</v>
      </c>
      <c r="E1102" t="s">
        <v>116</v>
      </c>
      <c r="F1102" t="s">
        <v>16</v>
      </c>
      <c r="G1102">
        <v>1.05E-4</v>
      </c>
      <c r="I1102">
        <v>2.497E-4</v>
      </c>
    </row>
    <row r="1103" spans="1:9" x14ac:dyDescent="0.25">
      <c r="A1103" s="104" t="str">
        <f t="shared" si="17"/>
        <v>Tanzania2015.5NationalPub_MedInjectable</v>
      </c>
      <c r="B1103" t="s">
        <v>152</v>
      </c>
      <c r="C1103">
        <v>2015.5</v>
      </c>
      <c r="D1103" t="s">
        <v>178</v>
      </c>
      <c r="E1103" t="s">
        <v>52</v>
      </c>
      <c r="F1103" t="s">
        <v>22</v>
      </c>
      <c r="G1103">
        <v>2.2361700000000002E-2</v>
      </c>
      <c r="H1103">
        <v>2.38376E-2</v>
      </c>
      <c r="I1103">
        <v>1.7765099999999999E-2</v>
      </c>
    </row>
    <row r="1104" spans="1:9" x14ac:dyDescent="0.25">
      <c r="A1104" s="104" t="str">
        <f t="shared" si="17"/>
        <v>Tanzania2015.5NationalPub_OutreachInjectable</v>
      </c>
      <c r="B1104" t="s">
        <v>152</v>
      </c>
      <c r="C1104">
        <v>2015.5</v>
      </c>
      <c r="D1104" t="s">
        <v>178</v>
      </c>
      <c r="E1104" t="s">
        <v>54</v>
      </c>
      <c r="F1104" t="s">
        <v>22</v>
      </c>
      <c r="G1104">
        <v>4.7848799999999997E-2</v>
      </c>
      <c r="H1104">
        <v>4.7343400000000001E-2</v>
      </c>
      <c r="I1104">
        <v>3.44736E-2</v>
      </c>
    </row>
    <row r="1105" spans="1:9" x14ac:dyDescent="0.25">
      <c r="A1105" s="104" t="str">
        <f t="shared" si="17"/>
        <v>Tanzania2015.5NationalNGOInjectable</v>
      </c>
      <c r="B1105" t="s">
        <v>152</v>
      </c>
      <c r="C1105">
        <v>2015.5</v>
      </c>
      <c r="D1105" t="s">
        <v>178</v>
      </c>
      <c r="E1105" t="s">
        <v>170</v>
      </c>
      <c r="F1105" t="s">
        <v>22</v>
      </c>
      <c r="G1105">
        <v>5.7473999999999997E-3</v>
      </c>
      <c r="H1105">
        <v>7.1469000000000003E-3</v>
      </c>
      <c r="I1105">
        <v>6.9871999999999998E-3</v>
      </c>
    </row>
    <row r="1106" spans="1:9" x14ac:dyDescent="0.25">
      <c r="A1106" s="104" t="str">
        <f t="shared" si="17"/>
        <v>Tanzania2015.5NationalCommercialInjectable</v>
      </c>
      <c r="B1106" t="s">
        <v>152</v>
      </c>
      <c r="C1106">
        <v>2015.5</v>
      </c>
      <c r="D1106" t="s">
        <v>178</v>
      </c>
      <c r="E1106" t="s">
        <v>59</v>
      </c>
      <c r="F1106" t="s">
        <v>22</v>
      </c>
      <c r="G1106">
        <v>2.4884099999999999E-2</v>
      </c>
      <c r="H1106">
        <v>3.2937599999999997E-2</v>
      </c>
      <c r="I1106">
        <v>2.1633599999999999E-2</v>
      </c>
    </row>
    <row r="1107" spans="1:9" x14ac:dyDescent="0.25">
      <c r="A1107" s="104" t="str">
        <f t="shared" si="17"/>
        <v>Tanzania2015.5NationalOtherInjectable</v>
      </c>
      <c r="B1107" t="s">
        <v>152</v>
      </c>
      <c r="C1107">
        <v>2015.5</v>
      </c>
      <c r="D1107" t="s">
        <v>178</v>
      </c>
      <c r="E1107" t="s">
        <v>116</v>
      </c>
      <c r="F1107" t="s">
        <v>22</v>
      </c>
      <c r="G1107">
        <v>1.1584E-3</v>
      </c>
      <c r="I1107">
        <v>1.3353E-3</v>
      </c>
    </row>
    <row r="1108" spans="1:9" x14ac:dyDescent="0.25">
      <c r="A1108" s="104" t="str">
        <f t="shared" si="17"/>
        <v>Tanzania2015.5UrbanPub_MedInjectable</v>
      </c>
      <c r="B1108" t="s">
        <v>152</v>
      </c>
      <c r="C1108">
        <v>2015.5</v>
      </c>
      <c r="D1108" t="s">
        <v>20</v>
      </c>
      <c r="E1108" t="s">
        <v>52</v>
      </c>
      <c r="F1108" t="s">
        <v>22</v>
      </c>
      <c r="G1108">
        <v>4.3524899999999998E-2</v>
      </c>
      <c r="H1108">
        <v>2.69819E-2</v>
      </c>
      <c r="I1108">
        <v>1.1334199999999999E-2</v>
      </c>
    </row>
    <row r="1109" spans="1:9" x14ac:dyDescent="0.25">
      <c r="A1109" s="104" t="str">
        <f t="shared" si="17"/>
        <v>Tanzania2015.5UrbanPub_OutreachInjectable</v>
      </c>
      <c r="B1109" t="s">
        <v>152</v>
      </c>
      <c r="C1109">
        <v>2015.5</v>
      </c>
      <c r="D1109" t="s">
        <v>20</v>
      </c>
      <c r="E1109" t="s">
        <v>54</v>
      </c>
      <c r="F1109" t="s">
        <v>22</v>
      </c>
      <c r="G1109">
        <v>2.79428E-2</v>
      </c>
      <c r="H1109">
        <v>1.8944800000000001E-2</v>
      </c>
      <c r="I1109">
        <v>4.7688000000000001E-3</v>
      </c>
    </row>
    <row r="1110" spans="1:9" x14ac:dyDescent="0.25">
      <c r="A1110" s="104" t="str">
        <f t="shared" si="17"/>
        <v>Tanzania2015.5UrbanNGOInjectable</v>
      </c>
      <c r="B1110" t="s">
        <v>152</v>
      </c>
      <c r="C1110">
        <v>2015.5</v>
      </c>
      <c r="D1110" t="s">
        <v>20</v>
      </c>
      <c r="E1110" t="s">
        <v>170</v>
      </c>
      <c r="F1110" t="s">
        <v>22</v>
      </c>
      <c r="G1110">
        <v>6.7683999999999999E-3</v>
      </c>
      <c r="H1110">
        <v>9.7959999999999992E-3</v>
      </c>
      <c r="I1110">
        <v>1.8251999999999999E-3</v>
      </c>
    </row>
    <row r="1111" spans="1:9" x14ac:dyDescent="0.25">
      <c r="A1111" s="104" t="str">
        <f t="shared" si="17"/>
        <v>Tanzania2015.5UrbanCommercialInjectable</v>
      </c>
      <c r="B1111" t="s">
        <v>152</v>
      </c>
      <c r="C1111">
        <v>2015.5</v>
      </c>
      <c r="D1111" t="s">
        <v>20</v>
      </c>
      <c r="E1111" t="s">
        <v>59</v>
      </c>
      <c r="F1111" t="s">
        <v>22</v>
      </c>
      <c r="G1111">
        <v>4.1231799999999999E-2</v>
      </c>
      <c r="H1111">
        <v>3.3371699999999997E-2</v>
      </c>
      <c r="I1111">
        <v>1.37967E-2</v>
      </c>
    </row>
    <row r="1112" spans="1:9" x14ac:dyDescent="0.25">
      <c r="A1112" s="104" t="str">
        <f t="shared" si="17"/>
        <v>Tanzania2015.5UrbanOtherInjectable</v>
      </c>
      <c r="B1112" t="s">
        <v>152</v>
      </c>
      <c r="C1112">
        <v>2015.5</v>
      </c>
      <c r="D1112" t="s">
        <v>20</v>
      </c>
      <c r="E1112" t="s">
        <v>116</v>
      </c>
      <c r="F1112" t="s">
        <v>22</v>
      </c>
      <c r="G1112">
        <v>1.3443000000000001E-3</v>
      </c>
    </row>
    <row r="1113" spans="1:9" x14ac:dyDescent="0.25">
      <c r="A1113" s="104" t="str">
        <f t="shared" si="17"/>
        <v>Tanzania2015.5RuralPub_MedInjectable</v>
      </c>
      <c r="B1113" t="s">
        <v>152</v>
      </c>
      <c r="C1113">
        <v>2015.5</v>
      </c>
      <c r="D1113" t="s">
        <v>21</v>
      </c>
      <c r="E1113" t="s">
        <v>52</v>
      </c>
      <c r="F1113" t="s">
        <v>22</v>
      </c>
      <c r="G1113">
        <v>1.0957700000000001E-2</v>
      </c>
      <c r="H1113">
        <v>2.18234E-2</v>
      </c>
      <c r="I1113">
        <v>2.1507200000000001E-2</v>
      </c>
    </row>
    <row r="1114" spans="1:9" x14ac:dyDescent="0.25">
      <c r="A1114" s="104" t="str">
        <f t="shared" si="17"/>
        <v>Tanzania2015.5RuralPub_OutreachInjectable</v>
      </c>
      <c r="B1114" t="s">
        <v>152</v>
      </c>
      <c r="C1114">
        <v>2015.5</v>
      </c>
      <c r="D1114" t="s">
        <v>21</v>
      </c>
      <c r="E1114" t="s">
        <v>54</v>
      </c>
      <c r="F1114" t="s">
        <v>22</v>
      </c>
      <c r="G1114">
        <v>5.8575200000000001E-2</v>
      </c>
      <c r="H1114">
        <v>6.5534700000000001E-2</v>
      </c>
      <c r="I1114">
        <v>5.1758699999999998E-2</v>
      </c>
    </row>
    <row r="1115" spans="1:9" x14ac:dyDescent="0.25">
      <c r="A1115" s="104" t="str">
        <f t="shared" si="17"/>
        <v>Tanzania2015.5RuralNGOInjectable</v>
      </c>
      <c r="B1115" t="s">
        <v>152</v>
      </c>
      <c r="C1115">
        <v>2015.5</v>
      </c>
      <c r="D1115" t="s">
        <v>21</v>
      </c>
      <c r="E1115" t="s">
        <v>170</v>
      </c>
      <c r="F1115" t="s">
        <v>22</v>
      </c>
      <c r="G1115">
        <v>5.1971999999999999E-3</v>
      </c>
      <c r="H1115">
        <v>5.4498999999999997E-3</v>
      </c>
      <c r="I1115">
        <v>9.9909999999999999E-3</v>
      </c>
    </row>
    <row r="1116" spans="1:9" x14ac:dyDescent="0.25">
      <c r="A1116" s="104" t="str">
        <f t="shared" si="17"/>
        <v>Tanzania2015.5RuralCommercialInjectable</v>
      </c>
      <c r="B1116" t="s">
        <v>152</v>
      </c>
      <c r="C1116">
        <v>2015.5</v>
      </c>
      <c r="D1116" t="s">
        <v>21</v>
      </c>
      <c r="E1116" t="s">
        <v>59</v>
      </c>
      <c r="F1116" t="s">
        <v>22</v>
      </c>
      <c r="G1116">
        <v>1.6075099999999998E-2</v>
      </c>
      <c r="H1116">
        <v>3.2659399999999998E-2</v>
      </c>
      <c r="I1116">
        <v>2.6193899999999999E-2</v>
      </c>
    </row>
    <row r="1117" spans="1:9" x14ac:dyDescent="0.25">
      <c r="A1117" s="104" t="str">
        <f t="shared" si="17"/>
        <v>Tanzania2015.5RuralOtherInjectable</v>
      </c>
      <c r="B1117" t="s">
        <v>152</v>
      </c>
      <c r="C1117">
        <v>2015.5</v>
      </c>
      <c r="D1117" t="s">
        <v>21</v>
      </c>
      <c r="E1117" t="s">
        <v>116</v>
      </c>
      <c r="F1117" t="s">
        <v>22</v>
      </c>
      <c r="G1117">
        <v>1.0582E-3</v>
      </c>
      <c r="I1117">
        <v>2.1124E-3</v>
      </c>
    </row>
    <row r="1118" spans="1:9" x14ac:dyDescent="0.25">
      <c r="A1118" s="104" t="str">
        <f t="shared" si="17"/>
        <v>Tanzania2015.5NationalPub_MedCondom</v>
      </c>
      <c r="B1118" t="s">
        <v>152</v>
      </c>
      <c r="C1118">
        <v>2015.5</v>
      </c>
      <c r="D1118" t="s">
        <v>178</v>
      </c>
      <c r="E1118" t="s">
        <v>52</v>
      </c>
      <c r="F1118" t="s">
        <v>25</v>
      </c>
      <c r="G1118">
        <v>1.3749000000000001E-3</v>
      </c>
      <c r="H1118">
        <v>1.8672000000000001E-3</v>
      </c>
      <c r="I1118">
        <v>2.1066000000000001E-3</v>
      </c>
    </row>
    <row r="1119" spans="1:9" x14ac:dyDescent="0.25">
      <c r="A1119" s="104" t="str">
        <f t="shared" si="17"/>
        <v>Tanzania2015.5NationalPub_OutreachCondom</v>
      </c>
      <c r="B1119" t="s">
        <v>152</v>
      </c>
      <c r="C1119">
        <v>2015.5</v>
      </c>
      <c r="D1119" t="s">
        <v>178</v>
      </c>
      <c r="E1119" t="s">
        <v>54</v>
      </c>
      <c r="F1119" t="s">
        <v>25</v>
      </c>
      <c r="G1119">
        <v>2.1792000000000001E-3</v>
      </c>
      <c r="H1119">
        <v>2.9994000000000002E-3</v>
      </c>
      <c r="I1119">
        <v>7.4359999999999997E-4</v>
      </c>
    </row>
    <row r="1120" spans="1:9" x14ac:dyDescent="0.25">
      <c r="A1120" s="104" t="str">
        <f t="shared" si="17"/>
        <v>Tanzania2015.5NationalNGOCondom</v>
      </c>
      <c r="B1120" t="s">
        <v>152</v>
      </c>
      <c r="C1120">
        <v>2015.5</v>
      </c>
      <c r="D1120" t="s">
        <v>178</v>
      </c>
      <c r="E1120" t="s">
        <v>170</v>
      </c>
      <c r="F1120" t="s">
        <v>25</v>
      </c>
      <c r="G1120">
        <v>1.5471E-3</v>
      </c>
      <c r="H1120">
        <v>1.6278E-3</v>
      </c>
    </row>
    <row r="1121" spans="1:9" x14ac:dyDescent="0.25">
      <c r="A1121" s="104" t="str">
        <f t="shared" si="17"/>
        <v>Tanzania2015.5NationalCommercialCondom</v>
      </c>
      <c r="B1121" t="s">
        <v>152</v>
      </c>
      <c r="C1121">
        <v>2015.5</v>
      </c>
      <c r="D1121" t="s">
        <v>178</v>
      </c>
      <c r="E1121" t="s">
        <v>59</v>
      </c>
      <c r="F1121" t="s">
        <v>25</v>
      </c>
      <c r="G1121">
        <v>1.36156E-2</v>
      </c>
      <c r="H1121">
        <v>3.10456E-2</v>
      </c>
      <c r="I1121">
        <v>3.4054800000000003E-2</v>
      </c>
    </row>
    <row r="1122" spans="1:9" x14ac:dyDescent="0.25">
      <c r="A1122" s="104" t="str">
        <f t="shared" si="17"/>
        <v>Tanzania2015.5NationalNonTradCondom</v>
      </c>
      <c r="B1122" t="s">
        <v>152</v>
      </c>
      <c r="C1122">
        <v>2015.5</v>
      </c>
      <c r="D1122" t="s">
        <v>178</v>
      </c>
      <c r="E1122" t="s">
        <v>171</v>
      </c>
      <c r="F1122" t="s">
        <v>25</v>
      </c>
      <c r="G1122">
        <v>7.8009000000000004E-3</v>
      </c>
      <c r="H1122">
        <v>6.9341999999999997E-3</v>
      </c>
      <c r="I1122">
        <v>1.29491E-2</v>
      </c>
    </row>
    <row r="1123" spans="1:9" x14ac:dyDescent="0.25">
      <c r="A1123" s="104" t="str">
        <f t="shared" si="17"/>
        <v>Tanzania2015.5NationalOtherCondom</v>
      </c>
      <c r="B1123" t="s">
        <v>152</v>
      </c>
      <c r="C1123">
        <v>2015.5</v>
      </c>
      <c r="D1123" t="s">
        <v>178</v>
      </c>
      <c r="E1123" t="s">
        <v>116</v>
      </c>
      <c r="F1123" t="s">
        <v>25</v>
      </c>
      <c r="G1123">
        <v>1.8845000000000001E-3</v>
      </c>
      <c r="H1123">
        <v>3.2439000000000001E-3</v>
      </c>
      <c r="I1123">
        <v>5.8757000000000002E-3</v>
      </c>
    </row>
    <row r="1124" spans="1:9" x14ac:dyDescent="0.25">
      <c r="A1124" s="104" t="str">
        <f t="shared" si="17"/>
        <v>Tanzania2015.5UrbanPub_MedCondom</v>
      </c>
      <c r="B1124" t="s">
        <v>152</v>
      </c>
      <c r="C1124">
        <v>2015.5</v>
      </c>
      <c r="D1124" t="s">
        <v>20</v>
      </c>
      <c r="E1124" t="s">
        <v>52</v>
      </c>
      <c r="F1124" t="s">
        <v>25</v>
      </c>
      <c r="G1124">
        <v>1.6145E-3</v>
      </c>
      <c r="H1124">
        <v>4.7819999999999998E-3</v>
      </c>
      <c r="I1124">
        <v>3.947E-4</v>
      </c>
    </row>
    <row r="1125" spans="1:9" x14ac:dyDescent="0.25">
      <c r="A1125" s="104" t="str">
        <f t="shared" si="17"/>
        <v>Tanzania2015.5UrbanPub_OutreachCondom</v>
      </c>
      <c r="B1125" t="s">
        <v>152</v>
      </c>
      <c r="C1125">
        <v>2015.5</v>
      </c>
      <c r="D1125" t="s">
        <v>20</v>
      </c>
      <c r="E1125" t="s">
        <v>54</v>
      </c>
      <c r="F1125" t="s">
        <v>25</v>
      </c>
      <c r="G1125">
        <v>5.5809999999999996E-4</v>
      </c>
    </row>
    <row r="1126" spans="1:9" x14ac:dyDescent="0.25">
      <c r="A1126" s="104" t="str">
        <f t="shared" si="17"/>
        <v>Tanzania2015.5UrbanNGOCondom</v>
      </c>
      <c r="B1126" t="s">
        <v>152</v>
      </c>
      <c r="C1126">
        <v>2015.5</v>
      </c>
      <c r="D1126" t="s">
        <v>20</v>
      </c>
      <c r="E1126" t="s">
        <v>170</v>
      </c>
      <c r="F1126" t="s">
        <v>25</v>
      </c>
      <c r="G1126">
        <v>2.7671000000000002E-3</v>
      </c>
      <c r="H1126">
        <v>1.2572E-3</v>
      </c>
    </row>
    <row r="1127" spans="1:9" x14ac:dyDescent="0.25">
      <c r="A1127" s="104" t="str">
        <f t="shared" si="17"/>
        <v>Tanzania2015.5UrbanCommercialCondom</v>
      </c>
      <c r="B1127" t="s">
        <v>152</v>
      </c>
      <c r="C1127">
        <v>2015.5</v>
      </c>
      <c r="D1127" t="s">
        <v>20</v>
      </c>
      <c r="E1127" t="s">
        <v>59</v>
      </c>
      <c r="F1127" t="s">
        <v>25</v>
      </c>
      <c r="G1127">
        <v>2.6433399999999999E-2</v>
      </c>
      <c r="H1127">
        <v>6.1572399999999999E-2</v>
      </c>
      <c r="I1127">
        <v>6.6522200000000004E-2</v>
      </c>
    </row>
    <row r="1128" spans="1:9" x14ac:dyDescent="0.25">
      <c r="A1128" s="104" t="str">
        <f t="shared" si="17"/>
        <v>Tanzania2015.5UrbanNonTradCondom</v>
      </c>
      <c r="B1128" t="s">
        <v>152</v>
      </c>
      <c r="C1128">
        <v>2015.5</v>
      </c>
      <c r="D1128" t="s">
        <v>20</v>
      </c>
      <c r="E1128" t="s">
        <v>171</v>
      </c>
      <c r="F1128" t="s">
        <v>25</v>
      </c>
      <c r="G1128">
        <v>1.6306899999999999E-2</v>
      </c>
      <c r="H1128">
        <v>7.3306999999999999E-3</v>
      </c>
      <c r="I1128">
        <v>1.81523E-2</v>
      </c>
    </row>
    <row r="1129" spans="1:9" x14ac:dyDescent="0.25">
      <c r="A1129" s="104" t="str">
        <f t="shared" si="17"/>
        <v>Tanzania2015.5UrbanOtherCondom</v>
      </c>
      <c r="B1129" t="s">
        <v>152</v>
      </c>
      <c r="C1129">
        <v>2015.5</v>
      </c>
      <c r="D1129" t="s">
        <v>20</v>
      </c>
      <c r="E1129" t="s">
        <v>116</v>
      </c>
      <c r="F1129" t="s">
        <v>25</v>
      </c>
      <c r="G1129">
        <v>4.2868000000000003E-3</v>
      </c>
      <c r="H1129">
        <v>9.7090000000000002E-4</v>
      </c>
      <c r="I1129">
        <v>1.22647E-2</v>
      </c>
    </row>
    <row r="1130" spans="1:9" x14ac:dyDescent="0.25">
      <c r="A1130" s="104" t="str">
        <f t="shared" si="17"/>
        <v>Tanzania2015.5RuralPub_MedCondom</v>
      </c>
      <c r="B1130" t="s">
        <v>152</v>
      </c>
      <c r="C1130">
        <v>2015.5</v>
      </c>
      <c r="D1130" t="s">
        <v>21</v>
      </c>
      <c r="E1130" t="s">
        <v>52</v>
      </c>
      <c r="F1130" t="s">
        <v>25</v>
      </c>
      <c r="G1130">
        <v>1.2458E-3</v>
      </c>
      <c r="I1130">
        <v>3.1028000000000002E-3</v>
      </c>
    </row>
    <row r="1131" spans="1:9" x14ac:dyDescent="0.25">
      <c r="A1131" s="104" t="str">
        <f t="shared" si="17"/>
        <v>Tanzania2015.5RuralPub_OutreachCondom</v>
      </c>
      <c r="B1131" t="s">
        <v>152</v>
      </c>
      <c r="C1131">
        <v>2015.5</v>
      </c>
      <c r="D1131" t="s">
        <v>21</v>
      </c>
      <c r="E1131" t="s">
        <v>54</v>
      </c>
      <c r="F1131" t="s">
        <v>25</v>
      </c>
      <c r="G1131">
        <v>3.0527000000000002E-3</v>
      </c>
      <c r="H1131">
        <v>4.9207000000000001E-3</v>
      </c>
      <c r="I1131">
        <v>1.1762000000000001E-3</v>
      </c>
    </row>
    <row r="1132" spans="1:9" x14ac:dyDescent="0.25">
      <c r="A1132" s="104" t="str">
        <f t="shared" si="17"/>
        <v>Tanzania2015.5RuralNGOCondom</v>
      </c>
      <c r="B1132" t="s">
        <v>152</v>
      </c>
      <c r="C1132">
        <v>2015.5</v>
      </c>
      <c r="D1132" t="s">
        <v>21</v>
      </c>
      <c r="E1132" t="s">
        <v>170</v>
      </c>
      <c r="F1132" t="s">
        <v>25</v>
      </c>
      <c r="G1132">
        <v>8.897E-4</v>
      </c>
      <c r="H1132">
        <v>1.8653000000000001E-3</v>
      </c>
    </row>
    <row r="1133" spans="1:9" x14ac:dyDescent="0.25">
      <c r="A1133" s="104" t="str">
        <f t="shared" si="17"/>
        <v>Tanzania2015.5RuralCommercialCondom</v>
      </c>
      <c r="B1133" t="s">
        <v>152</v>
      </c>
      <c r="C1133">
        <v>2015.5</v>
      </c>
      <c r="D1133" t="s">
        <v>21</v>
      </c>
      <c r="E1133" t="s">
        <v>59</v>
      </c>
      <c r="F1133" t="s">
        <v>25</v>
      </c>
      <c r="G1133">
        <v>6.7085000000000001E-3</v>
      </c>
      <c r="H1133">
        <v>1.14909E-2</v>
      </c>
      <c r="I1133">
        <v>1.5162200000000001E-2</v>
      </c>
    </row>
    <row r="1134" spans="1:9" x14ac:dyDescent="0.25">
      <c r="A1134" s="104" t="str">
        <f t="shared" si="17"/>
        <v>Tanzania2015.5RuralNonTradCondom</v>
      </c>
      <c r="B1134" t="s">
        <v>152</v>
      </c>
      <c r="C1134">
        <v>2015.5</v>
      </c>
      <c r="D1134" t="s">
        <v>21</v>
      </c>
      <c r="E1134" t="s">
        <v>171</v>
      </c>
      <c r="F1134" t="s">
        <v>25</v>
      </c>
      <c r="G1134">
        <v>3.2174E-3</v>
      </c>
      <c r="H1134">
        <v>6.6801999999999999E-3</v>
      </c>
      <c r="I1134">
        <v>9.9214000000000004E-3</v>
      </c>
    </row>
    <row r="1135" spans="1:9" x14ac:dyDescent="0.25">
      <c r="A1135" s="104" t="str">
        <f t="shared" si="17"/>
        <v>Tanzania2015.5RuralOtherCondom</v>
      </c>
      <c r="B1135" t="s">
        <v>152</v>
      </c>
      <c r="C1135">
        <v>2015.5</v>
      </c>
      <c r="D1135" t="s">
        <v>21</v>
      </c>
      <c r="E1135" t="s">
        <v>116</v>
      </c>
      <c r="F1135" t="s">
        <v>25</v>
      </c>
      <c r="G1135">
        <v>5.9000000000000003E-4</v>
      </c>
      <c r="H1135">
        <v>4.6998999999999999E-3</v>
      </c>
      <c r="I1135">
        <v>2.1581E-3</v>
      </c>
    </row>
    <row r="1136" spans="1:9" x14ac:dyDescent="0.25">
      <c r="A1136" s="104" t="str">
        <f t="shared" si="17"/>
        <v>Tanzania2015.5NationalPub_MedNorplant</v>
      </c>
      <c r="B1136" t="s">
        <v>152</v>
      </c>
      <c r="C1136">
        <v>2015.5</v>
      </c>
      <c r="D1136" t="s">
        <v>178</v>
      </c>
      <c r="E1136" t="s">
        <v>52</v>
      </c>
      <c r="F1136" t="s">
        <v>263</v>
      </c>
      <c r="G1136">
        <v>1.8514300000000001E-2</v>
      </c>
      <c r="H1136">
        <v>2.3317299999999999E-2</v>
      </c>
      <c r="I1136">
        <v>2.3943099999999998E-2</v>
      </c>
    </row>
    <row r="1137" spans="1:9" x14ac:dyDescent="0.25">
      <c r="A1137" s="104" t="str">
        <f t="shared" si="17"/>
        <v>Tanzania2015.5NationalPub_OutreachNorplant</v>
      </c>
      <c r="B1137" t="s">
        <v>152</v>
      </c>
      <c r="C1137">
        <v>2015.5</v>
      </c>
      <c r="D1137" t="s">
        <v>178</v>
      </c>
      <c r="E1137" t="s">
        <v>54</v>
      </c>
      <c r="F1137" t="s">
        <v>263</v>
      </c>
      <c r="G1137">
        <v>2.86445E-2</v>
      </c>
      <c r="H1137">
        <v>3.1753400000000001E-2</v>
      </c>
      <c r="I1137">
        <v>2.5370500000000001E-2</v>
      </c>
    </row>
    <row r="1138" spans="1:9" x14ac:dyDescent="0.25">
      <c r="A1138" s="104" t="str">
        <f t="shared" si="17"/>
        <v>Tanzania2015.5NationalNGONorplant</v>
      </c>
      <c r="B1138" t="s">
        <v>152</v>
      </c>
      <c r="C1138">
        <v>2015.5</v>
      </c>
      <c r="D1138" t="s">
        <v>178</v>
      </c>
      <c r="E1138" t="s">
        <v>170</v>
      </c>
      <c r="F1138" t="s">
        <v>263</v>
      </c>
      <c r="G1138">
        <v>3.6218000000000001E-3</v>
      </c>
      <c r="H1138">
        <v>3.5075000000000002E-3</v>
      </c>
      <c r="I1138">
        <v>6.7990999999999998E-3</v>
      </c>
    </row>
    <row r="1139" spans="1:9" x14ac:dyDescent="0.25">
      <c r="A1139" s="104" t="str">
        <f t="shared" si="17"/>
        <v>Tanzania2015.5NationalCommercialNorplant</v>
      </c>
      <c r="B1139" t="s">
        <v>152</v>
      </c>
      <c r="C1139">
        <v>2015.5</v>
      </c>
      <c r="D1139" t="s">
        <v>178</v>
      </c>
      <c r="E1139" t="s">
        <v>59</v>
      </c>
      <c r="F1139" t="s">
        <v>263</v>
      </c>
      <c r="G1139">
        <v>1.0947000000000001E-3</v>
      </c>
      <c r="H1139">
        <v>1.2179000000000001E-3</v>
      </c>
      <c r="I1139">
        <v>3.1083E-3</v>
      </c>
    </row>
    <row r="1140" spans="1:9" x14ac:dyDescent="0.25">
      <c r="A1140" s="104" t="str">
        <f t="shared" si="17"/>
        <v>Tanzania2015.5NationalOtherNorplant</v>
      </c>
      <c r="B1140" t="s">
        <v>152</v>
      </c>
      <c r="C1140">
        <v>2015.5</v>
      </c>
      <c r="D1140" t="s">
        <v>178</v>
      </c>
      <c r="E1140" t="s">
        <v>116</v>
      </c>
      <c r="F1140" t="s">
        <v>263</v>
      </c>
      <c r="G1140">
        <v>5.6010000000000001E-4</v>
      </c>
    </row>
    <row r="1141" spans="1:9" x14ac:dyDescent="0.25">
      <c r="A1141" s="104" t="str">
        <f t="shared" si="17"/>
        <v>Tanzania2015.5UrbanPub_MedNorplant</v>
      </c>
      <c r="B1141" t="s">
        <v>152</v>
      </c>
      <c r="C1141">
        <v>2015.5</v>
      </c>
      <c r="D1141" t="s">
        <v>20</v>
      </c>
      <c r="E1141" t="s">
        <v>52</v>
      </c>
      <c r="F1141" t="s">
        <v>263</v>
      </c>
      <c r="G1141">
        <v>2.79505E-2</v>
      </c>
      <c r="H1141">
        <v>2.65332E-2</v>
      </c>
      <c r="I1141">
        <v>3.0979400000000001E-2</v>
      </c>
    </row>
    <row r="1142" spans="1:9" x14ac:dyDescent="0.25">
      <c r="A1142" s="104" t="str">
        <f t="shared" si="17"/>
        <v>Tanzania2015.5UrbanPub_OutreachNorplant</v>
      </c>
      <c r="B1142" t="s">
        <v>152</v>
      </c>
      <c r="C1142">
        <v>2015.5</v>
      </c>
      <c r="D1142" t="s">
        <v>20</v>
      </c>
      <c r="E1142" t="s">
        <v>54</v>
      </c>
      <c r="F1142" t="s">
        <v>263</v>
      </c>
      <c r="G1142">
        <v>2.0784E-2</v>
      </c>
      <c r="H1142">
        <v>7.9839999999999998E-3</v>
      </c>
      <c r="I1142">
        <v>4.9443999999999998E-3</v>
      </c>
    </row>
    <row r="1143" spans="1:9" x14ac:dyDescent="0.25">
      <c r="A1143" s="104" t="str">
        <f t="shared" si="17"/>
        <v>Tanzania2015.5UrbanNGONorplant</v>
      </c>
      <c r="B1143" t="s">
        <v>152</v>
      </c>
      <c r="C1143">
        <v>2015.5</v>
      </c>
      <c r="D1143" t="s">
        <v>20</v>
      </c>
      <c r="E1143" t="s">
        <v>170</v>
      </c>
      <c r="F1143" t="s">
        <v>263</v>
      </c>
      <c r="G1143">
        <v>2.9202999999999998E-3</v>
      </c>
      <c r="H1143">
        <v>5.5487000000000002E-3</v>
      </c>
      <c r="I1143">
        <v>3.7956999999999999E-3</v>
      </c>
    </row>
    <row r="1144" spans="1:9" x14ac:dyDescent="0.25">
      <c r="A1144" s="104" t="str">
        <f t="shared" si="17"/>
        <v>Tanzania2015.5UrbanCommercialNorplant</v>
      </c>
      <c r="B1144" t="s">
        <v>152</v>
      </c>
      <c r="C1144">
        <v>2015.5</v>
      </c>
      <c r="D1144" t="s">
        <v>20</v>
      </c>
      <c r="E1144" t="s">
        <v>59</v>
      </c>
      <c r="F1144" t="s">
        <v>263</v>
      </c>
      <c r="G1144">
        <v>2.1844999999999998E-3</v>
      </c>
      <c r="H1144">
        <v>3.1191999999999999E-3</v>
      </c>
      <c r="I1144">
        <v>2.7060000000000001E-3</v>
      </c>
    </row>
    <row r="1145" spans="1:9" x14ac:dyDescent="0.25">
      <c r="A1145" s="104" t="str">
        <f t="shared" si="17"/>
        <v>Tanzania2015.5UrbanOtherNorplant</v>
      </c>
      <c r="B1145" t="s">
        <v>152</v>
      </c>
      <c r="C1145">
        <v>2015.5</v>
      </c>
      <c r="D1145" t="s">
        <v>20</v>
      </c>
      <c r="E1145" t="s">
        <v>116</v>
      </c>
      <c r="F1145" t="s">
        <v>263</v>
      </c>
      <c r="G1145">
        <v>8.5649999999999995E-4</v>
      </c>
    </row>
    <row r="1146" spans="1:9" x14ac:dyDescent="0.25">
      <c r="A1146" s="104" t="str">
        <f t="shared" si="17"/>
        <v>Tanzania2015.5RuralPub_MedNorplant</v>
      </c>
      <c r="B1146" t="s">
        <v>152</v>
      </c>
      <c r="C1146">
        <v>2015.5</v>
      </c>
      <c r="D1146" t="s">
        <v>21</v>
      </c>
      <c r="E1146" t="s">
        <v>52</v>
      </c>
      <c r="F1146" t="s">
        <v>263</v>
      </c>
      <c r="G1146">
        <v>1.34295E-2</v>
      </c>
      <c r="H1146">
        <v>2.12572E-2</v>
      </c>
      <c r="I1146">
        <v>1.98487E-2</v>
      </c>
    </row>
    <row r="1147" spans="1:9" x14ac:dyDescent="0.25">
      <c r="A1147" s="104" t="str">
        <f t="shared" si="17"/>
        <v>Tanzania2015.5RuralPub_OutreachNorplant</v>
      </c>
      <c r="B1147" t="s">
        <v>152</v>
      </c>
      <c r="C1147">
        <v>2015.5</v>
      </c>
      <c r="D1147" t="s">
        <v>21</v>
      </c>
      <c r="E1147" t="s">
        <v>54</v>
      </c>
      <c r="F1147" t="s">
        <v>263</v>
      </c>
      <c r="G1147">
        <v>3.2880300000000001E-2</v>
      </c>
      <c r="H1147">
        <v>4.6979399999999998E-2</v>
      </c>
      <c r="I1147">
        <v>3.7256299999999999E-2</v>
      </c>
    </row>
    <row r="1148" spans="1:9" x14ac:dyDescent="0.25">
      <c r="A1148" s="104" t="str">
        <f t="shared" si="17"/>
        <v>Tanzania2015.5RuralNGONorplant</v>
      </c>
      <c r="B1148" t="s">
        <v>152</v>
      </c>
      <c r="C1148">
        <v>2015.5</v>
      </c>
      <c r="D1148" t="s">
        <v>21</v>
      </c>
      <c r="E1148" t="s">
        <v>170</v>
      </c>
      <c r="F1148" t="s">
        <v>263</v>
      </c>
      <c r="G1148">
        <v>3.9998000000000004E-3</v>
      </c>
      <c r="H1148">
        <v>2.2000000000000001E-3</v>
      </c>
      <c r="I1148">
        <v>8.5467000000000008E-3</v>
      </c>
    </row>
    <row r="1149" spans="1:9" x14ac:dyDescent="0.25">
      <c r="A1149" s="104" t="str">
        <f t="shared" si="17"/>
        <v>Tanzania2015.5RuralCommercialNorplant</v>
      </c>
      <c r="B1149" t="s">
        <v>152</v>
      </c>
      <c r="C1149">
        <v>2015.5</v>
      </c>
      <c r="D1149" t="s">
        <v>21</v>
      </c>
      <c r="E1149" t="s">
        <v>59</v>
      </c>
      <c r="F1149" t="s">
        <v>263</v>
      </c>
      <c r="G1149">
        <v>5.0739999999999997E-4</v>
      </c>
      <c r="I1149">
        <v>3.3424000000000001E-3</v>
      </c>
    </row>
    <row r="1150" spans="1:9" x14ac:dyDescent="0.25">
      <c r="A1150" s="104" t="str">
        <f t="shared" si="17"/>
        <v>Tanzania2015.5RuralOtherNorplant</v>
      </c>
      <c r="B1150" t="s">
        <v>152</v>
      </c>
      <c r="C1150">
        <v>2015.5</v>
      </c>
      <c r="D1150" t="s">
        <v>21</v>
      </c>
      <c r="E1150" t="s">
        <v>116</v>
      </c>
      <c r="F1150" t="s">
        <v>263</v>
      </c>
      <c r="G1150">
        <v>4.0039999999999997E-4</v>
      </c>
    </row>
    <row r="1151" spans="1:9" x14ac:dyDescent="0.25">
      <c r="A1151" s="104" t="str">
        <f t="shared" si="17"/>
        <v>Uganda2011NationalPub_MedPill</v>
      </c>
      <c r="B1151" t="s">
        <v>154</v>
      </c>
      <c r="C1151">
        <v>2011</v>
      </c>
      <c r="D1151" t="s">
        <v>178</v>
      </c>
      <c r="E1151" t="s">
        <v>52</v>
      </c>
      <c r="F1151" t="s">
        <v>12</v>
      </c>
      <c r="G1151">
        <v>7.672E-3</v>
      </c>
      <c r="H1151">
        <v>1.30102E-2</v>
      </c>
      <c r="I1151">
        <v>1.0808699999999999E-2</v>
      </c>
    </row>
    <row r="1152" spans="1:9" x14ac:dyDescent="0.25">
      <c r="A1152" s="104" t="str">
        <f t="shared" si="17"/>
        <v>Uganda2011NationalPub_OutreachPill</v>
      </c>
      <c r="B1152" t="s">
        <v>154</v>
      </c>
      <c r="C1152">
        <v>2011</v>
      </c>
      <c r="D1152" t="s">
        <v>178</v>
      </c>
      <c r="E1152" t="s">
        <v>54</v>
      </c>
      <c r="F1152" t="s">
        <v>12</v>
      </c>
      <c r="H1152">
        <v>7.6889999999999999E-4</v>
      </c>
      <c r="I1152">
        <v>7.1900000000000002E-4</v>
      </c>
    </row>
    <row r="1153" spans="1:9" x14ac:dyDescent="0.25">
      <c r="A1153" s="104" t="str">
        <f t="shared" si="17"/>
        <v>Uganda2011NationalCommercialPill</v>
      </c>
      <c r="B1153" t="s">
        <v>154</v>
      </c>
      <c r="C1153">
        <v>2011</v>
      </c>
      <c r="D1153" t="s">
        <v>178</v>
      </c>
      <c r="E1153" t="s">
        <v>59</v>
      </c>
      <c r="F1153" t="s">
        <v>12</v>
      </c>
      <c r="G1153">
        <v>7.9141000000000003E-3</v>
      </c>
      <c r="H1153">
        <v>1.0872700000000001E-2</v>
      </c>
      <c r="I1153">
        <v>1.9178899999999999E-2</v>
      </c>
    </row>
    <row r="1154" spans="1:9" x14ac:dyDescent="0.25">
      <c r="A1154" s="104" t="str">
        <f t="shared" si="17"/>
        <v>Uganda2011NationalNonTradPill</v>
      </c>
      <c r="B1154" t="s">
        <v>154</v>
      </c>
      <c r="C1154">
        <v>2011</v>
      </c>
      <c r="D1154" t="s">
        <v>178</v>
      </c>
      <c r="E1154" t="s">
        <v>171</v>
      </c>
      <c r="F1154" t="s">
        <v>12</v>
      </c>
      <c r="H1154">
        <v>8.7200000000000005E-4</v>
      </c>
      <c r="I1154">
        <v>3.1090000000000002E-4</v>
      </c>
    </row>
    <row r="1155" spans="1:9" x14ac:dyDescent="0.25">
      <c r="A1155" s="104" t="str">
        <f t="shared" ref="A1155:A1218" si="18">B1155&amp;C1155&amp;D1155&amp;E1155&amp;F1155</f>
        <v>Uganda2011NationalOtherPill</v>
      </c>
      <c r="B1155" t="s">
        <v>154</v>
      </c>
      <c r="C1155">
        <v>2011</v>
      </c>
      <c r="D1155" t="s">
        <v>178</v>
      </c>
      <c r="E1155" t="s">
        <v>116</v>
      </c>
      <c r="F1155" t="s">
        <v>12</v>
      </c>
      <c r="G1155">
        <v>4.4499999999999997E-5</v>
      </c>
      <c r="I1155">
        <v>1.4917000000000001E-3</v>
      </c>
    </row>
    <row r="1156" spans="1:9" x14ac:dyDescent="0.25">
      <c r="A1156" s="104" t="str">
        <f t="shared" si="18"/>
        <v>Uganda2011UrbanPub_MedPill</v>
      </c>
      <c r="B1156" t="s">
        <v>154</v>
      </c>
      <c r="C1156">
        <v>2011</v>
      </c>
      <c r="D1156" t="s">
        <v>20</v>
      </c>
      <c r="E1156" t="s">
        <v>52</v>
      </c>
      <c r="F1156" t="s">
        <v>12</v>
      </c>
      <c r="G1156">
        <v>1.56975E-2</v>
      </c>
      <c r="H1156">
        <v>1.5339500000000001E-2</v>
      </c>
      <c r="I1156">
        <v>7.6603000000000001E-3</v>
      </c>
    </row>
    <row r="1157" spans="1:9" x14ac:dyDescent="0.25">
      <c r="A1157" s="104" t="str">
        <f t="shared" si="18"/>
        <v>Uganda2011UrbanCommercialPill</v>
      </c>
      <c r="B1157" t="s">
        <v>154</v>
      </c>
      <c r="C1157">
        <v>2011</v>
      </c>
      <c r="D1157" t="s">
        <v>20</v>
      </c>
      <c r="E1157" t="s">
        <v>59</v>
      </c>
      <c r="F1157" t="s">
        <v>12</v>
      </c>
      <c r="G1157">
        <v>2.4985299999999998E-2</v>
      </c>
      <c r="H1157">
        <v>4.1239199999999997E-2</v>
      </c>
      <c r="I1157">
        <v>4.3547599999999999E-2</v>
      </c>
    </row>
    <row r="1158" spans="1:9" x14ac:dyDescent="0.25">
      <c r="A1158" s="104" t="str">
        <f t="shared" si="18"/>
        <v>Uganda2011UrbanNonTradPill</v>
      </c>
      <c r="B1158" t="s">
        <v>154</v>
      </c>
      <c r="C1158">
        <v>2011</v>
      </c>
      <c r="D1158" t="s">
        <v>20</v>
      </c>
      <c r="E1158" t="s">
        <v>171</v>
      </c>
      <c r="F1158" t="s">
        <v>12</v>
      </c>
      <c r="H1158">
        <v>4.1330999999999998E-3</v>
      </c>
      <c r="I1158">
        <v>1.5491000000000001E-3</v>
      </c>
    </row>
    <row r="1159" spans="1:9" x14ac:dyDescent="0.25">
      <c r="A1159" s="104" t="str">
        <f t="shared" si="18"/>
        <v>Uganda2011UrbanOtherPill</v>
      </c>
      <c r="B1159" t="s">
        <v>154</v>
      </c>
      <c r="C1159">
        <v>2011</v>
      </c>
      <c r="D1159" t="s">
        <v>20</v>
      </c>
      <c r="E1159" t="s">
        <v>116</v>
      </c>
      <c r="F1159" t="s">
        <v>12</v>
      </c>
      <c r="G1159">
        <v>2.3169999999999999E-4</v>
      </c>
      <c r="I1159">
        <v>6.9340000000000005E-4</v>
      </c>
    </row>
    <row r="1160" spans="1:9" x14ac:dyDescent="0.25">
      <c r="A1160" s="104" t="str">
        <f t="shared" si="18"/>
        <v>Uganda2011RuralPub_MedPill</v>
      </c>
      <c r="B1160" t="s">
        <v>154</v>
      </c>
      <c r="C1160">
        <v>2011</v>
      </c>
      <c r="D1160" t="s">
        <v>21</v>
      </c>
      <c r="E1160" t="s">
        <v>52</v>
      </c>
      <c r="F1160" t="s">
        <v>12</v>
      </c>
      <c r="G1160">
        <v>5.7631000000000002E-3</v>
      </c>
      <c r="H1160">
        <v>1.23874E-2</v>
      </c>
      <c r="I1160">
        <v>1.1599399999999999E-2</v>
      </c>
    </row>
    <row r="1161" spans="1:9" x14ac:dyDescent="0.25">
      <c r="A1161" s="104" t="str">
        <f t="shared" si="18"/>
        <v>Uganda2011RuralPub_OutreachPill</v>
      </c>
      <c r="B1161" t="s">
        <v>154</v>
      </c>
      <c r="C1161">
        <v>2011</v>
      </c>
      <c r="D1161" t="s">
        <v>21</v>
      </c>
      <c r="E1161" t="s">
        <v>54</v>
      </c>
      <c r="F1161" t="s">
        <v>12</v>
      </c>
      <c r="H1161">
        <v>9.745E-4</v>
      </c>
      <c r="I1161">
        <v>8.9959999999999997E-4</v>
      </c>
    </row>
    <row r="1162" spans="1:9" x14ac:dyDescent="0.25">
      <c r="A1162" s="104" t="str">
        <f t="shared" si="18"/>
        <v>Uganda2011RuralCommercialPill</v>
      </c>
      <c r="B1162" t="s">
        <v>154</v>
      </c>
      <c r="C1162">
        <v>2011</v>
      </c>
      <c r="D1162" t="s">
        <v>21</v>
      </c>
      <c r="E1162" t="s">
        <v>59</v>
      </c>
      <c r="F1162" t="s">
        <v>12</v>
      </c>
      <c r="G1162">
        <v>3.8535000000000002E-3</v>
      </c>
      <c r="H1162">
        <v>2.7531999999999999E-3</v>
      </c>
      <c r="I1162">
        <v>1.3059299999999999E-2</v>
      </c>
    </row>
    <row r="1163" spans="1:9" x14ac:dyDescent="0.25">
      <c r="A1163" s="104" t="str">
        <f t="shared" si="18"/>
        <v>Uganda2011RuralOtherPill</v>
      </c>
      <c r="B1163" t="s">
        <v>154</v>
      </c>
      <c r="C1163">
        <v>2011</v>
      </c>
      <c r="D1163" t="s">
        <v>21</v>
      </c>
      <c r="E1163" t="s">
        <v>116</v>
      </c>
      <c r="F1163" t="s">
        <v>12</v>
      </c>
      <c r="I1163">
        <v>1.6922E-3</v>
      </c>
    </row>
    <row r="1164" spans="1:9" x14ac:dyDescent="0.25">
      <c r="A1164" s="104" t="str">
        <f t="shared" si="18"/>
        <v>Uganda2011NationalPub_MedIUD</v>
      </c>
      <c r="B1164" t="s">
        <v>154</v>
      </c>
      <c r="C1164">
        <v>2011</v>
      </c>
      <c r="D1164" t="s">
        <v>178</v>
      </c>
      <c r="E1164" t="s">
        <v>52</v>
      </c>
      <c r="F1164" t="s">
        <v>16</v>
      </c>
      <c r="G1164">
        <v>1.0154000000000001E-3</v>
      </c>
      <c r="H1164">
        <v>1.5095E-3</v>
      </c>
      <c r="I1164">
        <v>1.4607999999999999E-3</v>
      </c>
    </row>
    <row r="1165" spans="1:9" x14ac:dyDescent="0.25">
      <c r="A1165" s="104" t="str">
        <f t="shared" si="18"/>
        <v>Uganda2011NationalPub_OutreachIUD</v>
      </c>
      <c r="B1165" t="s">
        <v>154</v>
      </c>
      <c r="C1165">
        <v>2011</v>
      </c>
      <c r="D1165" t="s">
        <v>178</v>
      </c>
      <c r="E1165" t="s">
        <v>54</v>
      </c>
      <c r="F1165" t="s">
        <v>16</v>
      </c>
      <c r="G1165">
        <v>1.6890000000000001E-4</v>
      </c>
      <c r="H1165">
        <v>3.3070000000000002E-4</v>
      </c>
    </row>
    <row r="1166" spans="1:9" x14ac:dyDescent="0.25">
      <c r="A1166" s="104" t="str">
        <f t="shared" si="18"/>
        <v>Uganda2011NationalNGOIUD</v>
      </c>
      <c r="B1166" t="s">
        <v>154</v>
      </c>
      <c r="C1166">
        <v>2011</v>
      </c>
      <c r="D1166" t="s">
        <v>178</v>
      </c>
      <c r="E1166" t="s">
        <v>170</v>
      </c>
      <c r="F1166" t="s">
        <v>16</v>
      </c>
      <c r="H1166">
        <v>7.048E-4</v>
      </c>
    </row>
    <row r="1167" spans="1:9" x14ac:dyDescent="0.25">
      <c r="A1167" s="104" t="str">
        <f t="shared" si="18"/>
        <v>Uganda2011NationalCommercialIUD</v>
      </c>
      <c r="B1167" t="s">
        <v>154</v>
      </c>
      <c r="C1167">
        <v>2011</v>
      </c>
      <c r="D1167" t="s">
        <v>178</v>
      </c>
      <c r="E1167" t="s">
        <v>59</v>
      </c>
      <c r="F1167" t="s">
        <v>16</v>
      </c>
      <c r="G1167">
        <v>4.2739999999999998E-4</v>
      </c>
      <c r="H1167">
        <v>2.5282E-3</v>
      </c>
      <c r="I1167">
        <v>3.9104999999999999E-3</v>
      </c>
    </row>
    <row r="1168" spans="1:9" x14ac:dyDescent="0.25">
      <c r="A1168" s="104" t="str">
        <f t="shared" si="18"/>
        <v>Uganda2011NationalOtherIUD</v>
      </c>
      <c r="B1168" t="s">
        <v>154</v>
      </c>
      <c r="C1168">
        <v>2011</v>
      </c>
      <c r="D1168" t="s">
        <v>178</v>
      </c>
      <c r="E1168" t="s">
        <v>116</v>
      </c>
      <c r="F1168" t="s">
        <v>16</v>
      </c>
      <c r="I1168">
        <v>1.1521000000000001E-3</v>
      </c>
    </row>
    <row r="1169" spans="1:9" x14ac:dyDescent="0.25">
      <c r="A1169" s="104" t="str">
        <f t="shared" si="18"/>
        <v>Uganda2011NationalIUD</v>
      </c>
      <c r="B1169" t="s">
        <v>154</v>
      </c>
      <c r="C1169">
        <v>2011</v>
      </c>
      <c r="D1169" t="s">
        <v>178</v>
      </c>
      <c r="F1169" t="s">
        <v>16</v>
      </c>
      <c r="I1169">
        <v>5.4020000000000001E-4</v>
      </c>
    </row>
    <row r="1170" spans="1:9" x14ac:dyDescent="0.25">
      <c r="A1170" s="104" t="str">
        <f t="shared" si="18"/>
        <v>Uganda2011UrbanPub_MedIUD</v>
      </c>
      <c r="B1170" t="s">
        <v>154</v>
      </c>
      <c r="C1170">
        <v>2011</v>
      </c>
      <c r="D1170" t="s">
        <v>20</v>
      </c>
      <c r="E1170" t="s">
        <v>52</v>
      </c>
      <c r="F1170" t="s">
        <v>16</v>
      </c>
      <c r="G1170">
        <v>1.2463000000000001E-3</v>
      </c>
      <c r="H1170">
        <v>1.8724E-3</v>
      </c>
      <c r="I1170">
        <v>3.1392999999999998E-3</v>
      </c>
    </row>
    <row r="1171" spans="1:9" x14ac:dyDescent="0.25">
      <c r="A1171" s="104" t="str">
        <f t="shared" si="18"/>
        <v>Uganda2011UrbanCommercialIUD</v>
      </c>
      <c r="B1171" t="s">
        <v>154</v>
      </c>
      <c r="C1171">
        <v>2011</v>
      </c>
      <c r="D1171" t="s">
        <v>20</v>
      </c>
      <c r="E1171" t="s">
        <v>59</v>
      </c>
      <c r="F1171" t="s">
        <v>16</v>
      </c>
      <c r="G1171">
        <v>2.2242E-3</v>
      </c>
      <c r="H1171">
        <v>1.1983600000000001E-2</v>
      </c>
      <c r="I1171">
        <v>1.48472E-2</v>
      </c>
    </row>
    <row r="1172" spans="1:9" x14ac:dyDescent="0.25">
      <c r="A1172" s="104" t="str">
        <f t="shared" si="18"/>
        <v>Uganda2011UrbanIUD</v>
      </c>
      <c r="B1172" t="s">
        <v>154</v>
      </c>
      <c r="C1172">
        <v>2011</v>
      </c>
      <c r="D1172" t="s">
        <v>20</v>
      </c>
      <c r="F1172" t="s">
        <v>16</v>
      </c>
      <c r="I1172">
        <v>3.8549999999999999E-4</v>
      </c>
    </row>
    <row r="1173" spans="1:9" x14ac:dyDescent="0.25">
      <c r="A1173" s="104" t="str">
        <f t="shared" si="18"/>
        <v>Uganda2011RuralPub_MedIUD</v>
      </c>
      <c r="B1173" t="s">
        <v>154</v>
      </c>
      <c r="C1173">
        <v>2011</v>
      </c>
      <c r="D1173" t="s">
        <v>21</v>
      </c>
      <c r="E1173" t="s">
        <v>52</v>
      </c>
      <c r="F1173" t="s">
        <v>16</v>
      </c>
      <c r="G1173">
        <v>9.6049999999999998E-4</v>
      </c>
      <c r="H1173">
        <v>1.4124999999999999E-3</v>
      </c>
      <c r="I1173">
        <v>1.0392999999999999E-3</v>
      </c>
    </row>
    <row r="1174" spans="1:9" x14ac:dyDescent="0.25">
      <c r="A1174" s="104" t="str">
        <f t="shared" si="18"/>
        <v>Uganda2011RuralPub_OutreachIUD</v>
      </c>
      <c r="B1174" t="s">
        <v>154</v>
      </c>
      <c r="C1174">
        <v>2011</v>
      </c>
      <c r="D1174" t="s">
        <v>21</v>
      </c>
      <c r="E1174" t="s">
        <v>54</v>
      </c>
      <c r="F1174" t="s">
        <v>16</v>
      </c>
      <c r="G1174">
        <v>2.0900000000000001E-4</v>
      </c>
      <c r="H1174">
        <v>4.191E-4</v>
      </c>
    </row>
    <row r="1175" spans="1:9" x14ac:dyDescent="0.25">
      <c r="A1175" s="104" t="str">
        <f t="shared" si="18"/>
        <v>Uganda2011RuralNGOIUD</v>
      </c>
      <c r="B1175" t="s">
        <v>154</v>
      </c>
      <c r="C1175">
        <v>2011</v>
      </c>
      <c r="D1175" t="s">
        <v>21</v>
      </c>
      <c r="E1175" t="s">
        <v>170</v>
      </c>
      <c r="F1175" t="s">
        <v>16</v>
      </c>
      <c r="H1175">
        <v>8.9329999999999998E-4</v>
      </c>
    </row>
    <row r="1176" spans="1:9" x14ac:dyDescent="0.25">
      <c r="A1176" s="104" t="str">
        <f t="shared" si="18"/>
        <v>Uganda2011RuralCommercialIUD</v>
      </c>
      <c r="B1176" t="s">
        <v>154</v>
      </c>
      <c r="C1176">
        <v>2011</v>
      </c>
      <c r="D1176" t="s">
        <v>21</v>
      </c>
      <c r="E1176" t="s">
        <v>59</v>
      </c>
      <c r="F1176" t="s">
        <v>16</v>
      </c>
      <c r="I1176">
        <v>1.1640000000000001E-3</v>
      </c>
    </row>
    <row r="1177" spans="1:9" x14ac:dyDescent="0.25">
      <c r="A1177" s="104" t="str">
        <f t="shared" si="18"/>
        <v>Uganda2011RuralOtherIUD</v>
      </c>
      <c r="B1177" t="s">
        <v>154</v>
      </c>
      <c r="C1177">
        <v>2011</v>
      </c>
      <c r="D1177" t="s">
        <v>21</v>
      </c>
      <c r="E1177" t="s">
        <v>116</v>
      </c>
      <c r="F1177" t="s">
        <v>16</v>
      </c>
      <c r="I1177">
        <v>1.4414E-3</v>
      </c>
    </row>
    <row r="1178" spans="1:9" x14ac:dyDescent="0.25">
      <c r="A1178" s="104" t="str">
        <f t="shared" si="18"/>
        <v>Uganda2011RuralIUD</v>
      </c>
      <c r="B1178" t="s">
        <v>154</v>
      </c>
      <c r="C1178">
        <v>2011</v>
      </c>
      <c r="D1178" t="s">
        <v>21</v>
      </c>
      <c r="F1178" t="s">
        <v>16</v>
      </c>
      <c r="I1178">
        <v>5.7910000000000004E-4</v>
      </c>
    </row>
    <row r="1179" spans="1:9" x14ac:dyDescent="0.25">
      <c r="A1179" s="104" t="str">
        <f t="shared" si="18"/>
        <v>Uganda2011NationalPub_MedInjectable</v>
      </c>
      <c r="B1179" t="s">
        <v>154</v>
      </c>
      <c r="C1179">
        <v>2011</v>
      </c>
      <c r="D1179" t="s">
        <v>178</v>
      </c>
      <c r="E1179" t="s">
        <v>52</v>
      </c>
      <c r="F1179" t="s">
        <v>22</v>
      </c>
      <c r="G1179">
        <v>4.3190399999999997E-2</v>
      </c>
      <c r="H1179">
        <v>4.3304099999999998E-2</v>
      </c>
      <c r="I1179">
        <v>3.5987400000000003E-2</v>
      </c>
    </row>
    <row r="1180" spans="1:9" x14ac:dyDescent="0.25">
      <c r="A1180" s="104" t="str">
        <f t="shared" si="18"/>
        <v>Uganda2011NationalPub_OutreachInjectable</v>
      </c>
      <c r="B1180" t="s">
        <v>154</v>
      </c>
      <c r="C1180">
        <v>2011</v>
      </c>
      <c r="D1180" t="s">
        <v>178</v>
      </c>
      <c r="E1180" t="s">
        <v>54</v>
      </c>
      <c r="F1180" t="s">
        <v>22</v>
      </c>
      <c r="G1180">
        <v>1.8239999999999999E-4</v>
      </c>
      <c r="H1180">
        <v>2.2330000000000001E-4</v>
      </c>
    </row>
    <row r="1181" spans="1:9" x14ac:dyDescent="0.25">
      <c r="A1181" s="104" t="str">
        <f t="shared" si="18"/>
        <v>Uganda2011NationalNGOInjectable</v>
      </c>
      <c r="B1181" t="s">
        <v>154</v>
      </c>
      <c r="C1181">
        <v>2011</v>
      </c>
      <c r="D1181" t="s">
        <v>178</v>
      </c>
      <c r="E1181" t="s">
        <v>170</v>
      </c>
      <c r="F1181" t="s">
        <v>22</v>
      </c>
      <c r="G1181">
        <v>3.5260000000000001E-4</v>
      </c>
      <c r="H1181">
        <v>7.2139999999999997E-4</v>
      </c>
    </row>
    <row r="1182" spans="1:9" x14ac:dyDescent="0.25">
      <c r="A1182" s="104" t="str">
        <f t="shared" si="18"/>
        <v>Uganda2011NationalCommercialInjectable</v>
      </c>
      <c r="B1182" t="s">
        <v>154</v>
      </c>
      <c r="C1182">
        <v>2011</v>
      </c>
      <c r="D1182" t="s">
        <v>178</v>
      </c>
      <c r="E1182" t="s">
        <v>59</v>
      </c>
      <c r="F1182" t="s">
        <v>22</v>
      </c>
      <c r="G1182">
        <v>5.6322499999999998E-2</v>
      </c>
      <c r="H1182">
        <v>7.5174599999999994E-2</v>
      </c>
      <c r="I1182">
        <v>7.3784799999999998E-2</v>
      </c>
    </row>
    <row r="1183" spans="1:9" x14ac:dyDescent="0.25">
      <c r="A1183" s="104" t="str">
        <f t="shared" si="18"/>
        <v>Uganda2011NationalNonTradInjectable</v>
      </c>
      <c r="B1183" t="s">
        <v>154</v>
      </c>
      <c r="C1183">
        <v>2011</v>
      </c>
      <c r="D1183" t="s">
        <v>178</v>
      </c>
      <c r="E1183" t="s">
        <v>171</v>
      </c>
      <c r="F1183" t="s">
        <v>22</v>
      </c>
      <c r="G1183">
        <v>5.3759999999999995E-4</v>
      </c>
      <c r="H1183">
        <v>4.9989999999999995E-4</v>
      </c>
    </row>
    <row r="1184" spans="1:9" x14ac:dyDescent="0.25">
      <c r="A1184" s="104" t="str">
        <f t="shared" si="18"/>
        <v>Uganda2011NationalOtherInjectable</v>
      </c>
      <c r="B1184" t="s">
        <v>154</v>
      </c>
      <c r="C1184">
        <v>2011</v>
      </c>
      <c r="D1184" t="s">
        <v>178</v>
      </c>
      <c r="E1184" t="s">
        <v>116</v>
      </c>
      <c r="F1184" t="s">
        <v>22</v>
      </c>
      <c r="G1184">
        <v>2.341E-4</v>
      </c>
      <c r="H1184">
        <v>3.3070000000000002E-4</v>
      </c>
      <c r="I1184">
        <v>3.1090000000000002E-4</v>
      </c>
    </row>
    <row r="1185" spans="1:9" x14ac:dyDescent="0.25">
      <c r="A1185" s="104" t="str">
        <f t="shared" si="18"/>
        <v>Uganda2011NationalInjectable</v>
      </c>
      <c r="B1185" t="s">
        <v>154</v>
      </c>
      <c r="C1185">
        <v>2011</v>
      </c>
      <c r="D1185" t="s">
        <v>178</v>
      </c>
      <c r="F1185" t="s">
        <v>22</v>
      </c>
      <c r="H1185">
        <v>7.0379999999999998E-4</v>
      </c>
    </row>
    <row r="1186" spans="1:9" x14ac:dyDescent="0.25">
      <c r="A1186" s="104" t="str">
        <f t="shared" si="18"/>
        <v>Uganda2011UrbanPub_MedInjectable</v>
      </c>
      <c r="B1186" t="s">
        <v>154</v>
      </c>
      <c r="C1186">
        <v>2011</v>
      </c>
      <c r="D1186" t="s">
        <v>20</v>
      </c>
      <c r="E1186" t="s">
        <v>52</v>
      </c>
      <c r="F1186" t="s">
        <v>22</v>
      </c>
      <c r="G1186">
        <v>4.6597899999999998E-2</v>
      </c>
      <c r="H1186">
        <v>2.2919599999999998E-2</v>
      </c>
      <c r="I1186">
        <v>9.9697999999999991E-3</v>
      </c>
    </row>
    <row r="1187" spans="1:9" x14ac:dyDescent="0.25">
      <c r="A1187" s="104" t="str">
        <f t="shared" si="18"/>
        <v>Uganda2011UrbanPub_OutreachInjectable</v>
      </c>
      <c r="B1187" t="s">
        <v>154</v>
      </c>
      <c r="C1187">
        <v>2011</v>
      </c>
      <c r="D1187" t="s">
        <v>20</v>
      </c>
      <c r="E1187" t="s">
        <v>54</v>
      </c>
      <c r="F1187" t="s">
        <v>22</v>
      </c>
      <c r="H1187">
        <v>1.0582E-3</v>
      </c>
    </row>
    <row r="1188" spans="1:9" x14ac:dyDescent="0.25">
      <c r="A1188" s="104" t="str">
        <f t="shared" si="18"/>
        <v>Uganda2011UrbanCommercialInjectable</v>
      </c>
      <c r="B1188" t="s">
        <v>154</v>
      </c>
      <c r="C1188">
        <v>2011</v>
      </c>
      <c r="D1188" t="s">
        <v>20</v>
      </c>
      <c r="E1188" t="s">
        <v>59</v>
      </c>
      <c r="F1188" t="s">
        <v>22</v>
      </c>
      <c r="G1188">
        <v>0.1127876</v>
      </c>
      <c r="H1188">
        <v>0.10525900000000001</v>
      </c>
      <c r="I1188">
        <v>5.0159299999999997E-2</v>
      </c>
    </row>
    <row r="1189" spans="1:9" x14ac:dyDescent="0.25">
      <c r="A1189" s="104" t="str">
        <f t="shared" si="18"/>
        <v>Uganda2011UrbanNonTradInjectable</v>
      </c>
      <c r="B1189" t="s">
        <v>154</v>
      </c>
      <c r="C1189">
        <v>2011</v>
      </c>
      <c r="D1189" t="s">
        <v>20</v>
      </c>
      <c r="E1189" t="s">
        <v>171</v>
      </c>
      <c r="F1189" t="s">
        <v>22</v>
      </c>
      <c r="H1189">
        <v>2.3693999999999998E-3</v>
      </c>
    </row>
    <row r="1190" spans="1:9" x14ac:dyDescent="0.25">
      <c r="A1190" s="104" t="str">
        <f t="shared" si="18"/>
        <v>Uganda2011UrbanOtherInjectable</v>
      </c>
      <c r="B1190" t="s">
        <v>154</v>
      </c>
      <c r="C1190">
        <v>2011</v>
      </c>
      <c r="D1190" t="s">
        <v>20</v>
      </c>
      <c r="E1190" t="s">
        <v>116</v>
      </c>
      <c r="F1190" t="s">
        <v>22</v>
      </c>
      <c r="I1190">
        <v>1.5491000000000001E-3</v>
      </c>
    </row>
    <row r="1191" spans="1:9" x14ac:dyDescent="0.25">
      <c r="A1191" s="104" t="str">
        <f t="shared" si="18"/>
        <v>Uganda2011RuralPub_MedInjectable</v>
      </c>
      <c r="B1191" t="s">
        <v>154</v>
      </c>
      <c r="C1191">
        <v>2011</v>
      </c>
      <c r="D1191" t="s">
        <v>21</v>
      </c>
      <c r="E1191" t="s">
        <v>52</v>
      </c>
      <c r="F1191" t="s">
        <v>22</v>
      </c>
      <c r="G1191">
        <v>4.2379899999999998E-2</v>
      </c>
      <c r="H1191">
        <v>4.8754499999999999E-2</v>
      </c>
      <c r="I1191">
        <v>4.2521099999999999E-2</v>
      </c>
    </row>
    <row r="1192" spans="1:9" x14ac:dyDescent="0.25">
      <c r="A1192" s="104" t="str">
        <f t="shared" si="18"/>
        <v>Uganda2011RuralPub_OutreachInjectable</v>
      </c>
      <c r="B1192" t="s">
        <v>154</v>
      </c>
      <c r="C1192">
        <v>2011</v>
      </c>
      <c r="D1192" t="s">
        <v>21</v>
      </c>
      <c r="E1192" t="s">
        <v>54</v>
      </c>
      <c r="F1192" t="s">
        <v>22</v>
      </c>
      <c r="G1192">
        <v>2.2580000000000001E-4</v>
      </c>
    </row>
    <row r="1193" spans="1:9" x14ac:dyDescent="0.25">
      <c r="A1193" s="104" t="str">
        <f t="shared" si="18"/>
        <v>Uganda2011RuralNGOInjectable</v>
      </c>
      <c r="B1193" t="s">
        <v>154</v>
      </c>
      <c r="C1193">
        <v>2011</v>
      </c>
      <c r="D1193" t="s">
        <v>21</v>
      </c>
      <c r="E1193" t="s">
        <v>170</v>
      </c>
      <c r="F1193" t="s">
        <v>22</v>
      </c>
      <c r="G1193">
        <v>4.3649999999999998E-4</v>
      </c>
      <c r="H1193">
        <v>9.1430000000000005E-4</v>
      </c>
    </row>
    <row r="1194" spans="1:9" x14ac:dyDescent="0.25">
      <c r="A1194" s="104" t="str">
        <f t="shared" si="18"/>
        <v>Uganda2011RuralCommercialInjectable</v>
      </c>
      <c r="B1194" t="s">
        <v>154</v>
      </c>
      <c r="C1194">
        <v>2011</v>
      </c>
      <c r="D1194" t="s">
        <v>21</v>
      </c>
      <c r="E1194" t="s">
        <v>59</v>
      </c>
      <c r="F1194" t="s">
        <v>22</v>
      </c>
      <c r="G1194">
        <v>4.2891400000000003E-2</v>
      </c>
      <c r="H1194">
        <v>6.7130599999999999E-2</v>
      </c>
      <c r="I1194">
        <v>7.9717800000000005E-2</v>
      </c>
    </row>
    <row r="1195" spans="1:9" x14ac:dyDescent="0.25">
      <c r="A1195" s="104" t="str">
        <f t="shared" si="18"/>
        <v>Uganda2011RuralNonTradInjectable</v>
      </c>
      <c r="B1195" t="s">
        <v>154</v>
      </c>
      <c r="C1195">
        <v>2011</v>
      </c>
      <c r="D1195" t="s">
        <v>21</v>
      </c>
      <c r="E1195" t="s">
        <v>171</v>
      </c>
      <c r="F1195" t="s">
        <v>22</v>
      </c>
      <c r="G1195">
        <v>6.6549999999999997E-4</v>
      </c>
    </row>
    <row r="1196" spans="1:9" x14ac:dyDescent="0.25">
      <c r="A1196" s="104" t="str">
        <f t="shared" si="18"/>
        <v>Uganda2011RuralOtherInjectable</v>
      </c>
      <c r="B1196" t="s">
        <v>154</v>
      </c>
      <c r="C1196">
        <v>2011</v>
      </c>
      <c r="D1196" t="s">
        <v>21</v>
      </c>
      <c r="E1196" t="s">
        <v>116</v>
      </c>
      <c r="F1196" t="s">
        <v>22</v>
      </c>
      <c r="G1196">
        <v>2.898E-4</v>
      </c>
      <c r="H1196">
        <v>4.191E-4</v>
      </c>
    </row>
    <row r="1197" spans="1:9" x14ac:dyDescent="0.25">
      <c r="A1197" s="104" t="str">
        <f t="shared" si="18"/>
        <v>Uganda2011RuralInjectable</v>
      </c>
      <c r="B1197" t="s">
        <v>154</v>
      </c>
      <c r="C1197">
        <v>2011</v>
      </c>
      <c r="D1197" t="s">
        <v>21</v>
      </c>
      <c r="F1197" t="s">
        <v>22</v>
      </c>
      <c r="H1197">
        <v>8.92E-4</v>
      </c>
    </row>
    <row r="1198" spans="1:9" x14ac:dyDescent="0.25">
      <c r="A1198" s="104" t="str">
        <f t="shared" si="18"/>
        <v>Uganda2011NationalPub_MedCondom</v>
      </c>
      <c r="B1198" t="s">
        <v>154</v>
      </c>
      <c r="C1198">
        <v>2011</v>
      </c>
      <c r="D1198" t="s">
        <v>178</v>
      </c>
      <c r="E1198" t="s">
        <v>52</v>
      </c>
      <c r="F1198" t="s">
        <v>25</v>
      </c>
      <c r="G1198">
        <v>5.3762000000000002E-3</v>
      </c>
      <c r="H1198">
        <v>7.7221E-3</v>
      </c>
      <c r="I1198">
        <v>1.12254E-2</v>
      </c>
    </row>
    <row r="1199" spans="1:9" x14ac:dyDescent="0.25">
      <c r="A1199" s="104" t="str">
        <f t="shared" si="18"/>
        <v>Uganda2011NationalPub_OutreachCondom</v>
      </c>
      <c r="B1199" t="s">
        <v>154</v>
      </c>
      <c r="C1199">
        <v>2011</v>
      </c>
      <c r="D1199" t="s">
        <v>178</v>
      </c>
      <c r="E1199" t="s">
        <v>54</v>
      </c>
      <c r="F1199" t="s">
        <v>25</v>
      </c>
      <c r="G1199">
        <v>1.9705E-3</v>
      </c>
      <c r="H1199">
        <v>2.8741000000000001E-3</v>
      </c>
      <c r="I1199">
        <v>1.4503999999999999E-3</v>
      </c>
    </row>
    <row r="1200" spans="1:9" x14ac:dyDescent="0.25">
      <c r="A1200" s="104" t="str">
        <f t="shared" si="18"/>
        <v>Uganda2011NationalNGOCondom</v>
      </c>
      <c r="B1200" t="s">
        <v>154</v>
      </c>
      <c r="C1200">
        <v>2011</v>
      </c>
      <c r="D1200" t="s">
        <v>178</v>
      </c>
      <c r="E1200" t="s">
        <v>170</v>
      </c>
      <c r="F1200" t="s">
        <v>25</v>
      </c>
      <c r="H1200">
        <v>3.2140000000000001E-4</v>
      </c>
      <c r="I1200">
        <v>8.9389999999999999E-4</v>
      </c>
    </row>
    <row r="1201" spans="1:9" x14ac:dyDescent="0.25">
      <c r="A1201" s="104" t="str">
        <f t="shared" si="18"/>
        <v>Uganda2011NationalCommercialCondom</v>
      </c>
      <c r="B1201" t="s">
        <v>154</v>
      </c>
      <c r="C1201">
        <v>2011</v>
      </c>
      <c r="D1201" t="s">
        <v>178</v>
      </c>
      <c r="E1201" t="s">
        <v>59</v>
      </c>
      <c r="F1201" t="s">
        <v>25</v>
      </c>
      <c r="G1201">
        <v>6.3902999999999998E-3</v>
      </c>
      <c r="H1201">
        <v>7.4130999999999997E-3</v>
      </c>
      <c r="I1201">
        <v>1.69564E-2</v>
      </c>
    </row>
    <row r="1202" spans="1:9" x14ac:dyDescent="0.25">
      <c r="A1202" s="104" t="str">
        <f t="shared" si="18"/>
        <v>Uganda2011NationalNonTradCondom</v>
      </c>
      <c r="B1202" t="s">
        <v>154</v>
      </c>
      <c r="C1202">
        <v>2011</v>
      </c>
      <c r="D1202" t="s">
        <v>178</v>
      </c>
      <c r="E1202" t="s">
        <v>171</v>
      </c>
      <c r="F1202" t="s">
        <v>25</v>
      </c>
      <c r="G1202">
        <v>6.6049999999999998E-3</v>
      </c>
      <c r="H1202">
        <v>1.45997E-2</v>
      </c>
      <c r="I1202">
        <v>1.68635E-2</v>
      </c>
    </row>
    <row r="1203" spans="1:9" x14ac:dyDescent="0.25">
      <c r="A1203" s="104" t="str">
        <f t="shared" si="18"/>
        <v>Uganda2011NationalOtherCondom</v>
      </c>
      <c r="B1203" t="s">
        <v>154</v>
      </c>
      <c r="C1203">
        <v>2011</v>
      </c>
      <c r="D1203" t="s">
        <v>178</v>
      </c>
      <c r="E1203" t="s">
        <v>116</v>
      </c>
      <c r="F1203" t="s">
        <v>25</v>
      </c>
      <c r="G1203">
        <v>1.7749E-3</v>
      </c>
      <c r="H1203">
        <v>5.0999000000000001E-3</v>
      </c>
      <c r="I1203">
        <v>5.2157000000000002E-3</v>
      </c>
    </row>
    <row r="1204" spans="1:9" x14ac:dyDescent="0.25">
      <c r="A1204" s="104" t="str">
        <f t="shared" si="18"/>
        <v>Uganda2011UrbanPub_MedCondom</v>
      </c>
      <c r="B1204" t="s">
        <v>154</v>
      </c>
      <c r="C1204">
        <v>2011</v>
      </c>
      <c r="D1204" t="s">
        <v>20</v>
      </c>
      <c r="E1204" t="s">
        <v>52</v>
      </c>
      <c r="F1204" t="s">
        <v>25</v>
      </c>
      <c r="G1204">
        <v>6.2303999999999997E-3</v>
      </c>
      <c r="H1204">
        <v>9.2235000000000008E-3</v>
      </c>
      <c r="I1204">
        <v>7.8581999999999992E-3</v>
      </c>
    </row>
    <row r="1205" spans="1:9" x14ac:dyDescent="0.25">
      <c r="A1205" s="104" t="str">
        <f t="shared" si="18"/>
        <v>Uganda2011UrbanPub_OutreachCondom</v>
      </c>
      <c r="B1205" t="s">
        <v>154</v>
      </c>
      <c r="C1205">
        <v>2011</v>
      </c>
      <c r="D1205" t="s">
        <v>20</v>
      </c>
      <c r="E1205" t="s">
        <v>54</v>
      </c>
      <c r="F1205" t="s">
        <v>25</v>
      </c>
      <c r="G1205">
        <v>1.4342000000000001E-3</v>
      </c>
      <c r="H1205">
        <v>1.0977000000000001E-2</v>
      </c>
    </row>
    <row r="1206" spans="1:9" x14ac:dyDescent="0.25">
      <c r="A1206" s="104" t="str">
        <f t="shared" si="18"/>
        <v>Uganda2011UrbanNGOCondom</v>
      </c>
      <c r="B1206" t="s">
        <v>154</v>
      </c>
      <c r="C1206">
        <v>2011</v>
      </c>
      <c r="D1206" t="s">
        <v>20</v>
      </c>
      <c r="E1206" t="s">
        <v>170</v>
      </c>
      <c r="F1206" t="s">
        <v>25</v>
      </c>
      <c r="H1206">
        <v>1.5233E-3</v>
      </c>
    </row>
    <row r="1207" spans="1:9" x14ac:dyDescent="0.25">
      <c r="A1207" s="104" t="str">
        <f t="shared" si="18"/>
        <v>Uganda2011UrbanCommercialCondom</v>
      </c>
      <c r="B1207" t="s">
        <v>154</v>
      </c>
      <c r="C1207">
        <v>2011</v>
      </c>
      <c r="D1207" t="s">
        <v>20</v>
      </c>
      <c r="E1207" t="s">
        <v>59</v>
      </c>
      <c r="F1207" t="s">
        <v>25</v>
      </c>
      <c r="G1207">
        <v>1.8495899999999999E-2</v>
      </c>
      <c r="H1207">
        <v>1.7795999999999999E-2</v>
      </c>
      <c r="I1207">
        <v>3.3749800000000003E-2</v>
      </c>
    </row>
    <row r="1208" spans="1:9" x14ac:dyDescent="0.25">
      <c r="A1208" s="104" t="str">
        <f t="shared" si="18"/>
        <v>Uganda2011UrbanNonTradCondom</v>
      </c>
      <c r="B1208" t="s">
        <v>154</v>
      </c>
      <c r="C1208">
        <v>2011</v>
      </c>
      <c r="D1208" t="s">
        <v>20</v>
      </c>
      <c r="E1208" t="s">
        <v>171</v>
      </c>
      <c r="F1208" t="s">
        <v>25</v>
      </c>
      <c r="G1208">
        <v>1.8627600000000001E-2</v>
      </c>
      <c r="H1208">
        <v>2.08845E-2</v>
      </c>
      <c r="I1208">
        <v>3.03095E-2</v>
      </c>
    </row>
    <row r="1209" spans="1:9" x14ac:dyDescent="0.25">
      <c r="A1209" s="104" t="str">
        <f t="shared" si="18"/>
        <v>Uganda2011UrbanOtherCondom</v>
      </c>
      <c r="B1209" t="s">
        <v>154</v>
      </c>
      <c r="C1209">
        <v>2011</v>
      </c>
      <c r="D1209" t="s">
        <v>20</v>
      </c>
      <c r="E1209" t="s">
        <v>116</v>
      </c>
      <c r="F1209" t="s">
        <v>25</v>
      </c>
      <c r="G1209">
        <v>3.8636E-3</v>
      </c>
      <c r="H1209">
        <v>1.5453E-2</v>
      </c>
      <c r="I1209">
        <v>6.1181999999999999E-3</v>
      </c>
    </row>
    <row r="1210" spans="1:9" x14ac:dyDescent="0.25">
      <c r="A1210" s="104" t="str">
        <f t="shared" si="18"/>
        <v>Uganda2011RuralPub_MedCondom</v>
      </c>
      <c r="B1210" t="s">
        <v>154</v>
      </c>
      <c r="C1210">
        <v>2011</v>
      </c>
      <c r="D1210" t="s">
        <v>21</v>
      </c>
      <c r="E1210" t="s">
        <v>52</v>
      </c>
      <c r="F1210" t="s">
        <v>25</v>
      </c>
      <c r="G1210">
        <v>5.1729999999999996E-3</v>
      </c>
      <c r="H1210">
        <v>7.3207000000000003E-3</v>
      </c>
      <c r="I1210">
        <v>1.2071E-2</v>
      </c>
    </row>
    <row r="1211" spans="1:9" x14ac:dyDescent="0.25">
      <c r="A1211" s="104" t="str">
        <f t="shared" si="18"/>
        <v>Uganda2011RuralPub_OutreachCondom</v>
      </c>
      <c r="B1211" t="s">
        <v>154</v>
      </c>
      <c r="C1211">
        <v>2011</v>
      </c>
      <c r="D1211" t="s">
        <v>21</v>
      </c>
      <c r="E1211" t="s">
        <v>54</v>
      </c>
      <c r="F1211" t="s">
        <v>25</v>
      </c>
      <c r="G1211">
        <v>2.0980999999999999E-3</v>
      </c>
      <c r="H1211">
        <v>7.0750000000000001E-4</v>
      </c>
      <c r="I1211">
        <v>1.8146E-3</v>
      </c>
    </row>
    <row r="1212" spans="1:9" x14ac:dyDescent="0.25">
      <c r="A1212" s="104" t="str">
        <f t="shared" si="18"/>
        <v>Uganda2011RuralNGOCondom</v>
      </c>
      <c r="B1212" t="s">
        <v>154</v>
      </c>
      <c r="C1212">
        <v>2011</v>
      </c>
      <c r="D1212" t="s">
        <v>21</v>
      </c>
      <c r="E1212" t="s">
        <v>170</v>
      </c>
      <c r="F1212" t="s">
        <v>25</v>
      </c>
      <c r="I1212">
        <v>1.1183E-3</v>
      </c>
    </row>
    <row r="1213" spans="1:9" x14ac:dyDescent="0.25">
      <c r="A1213" s="104" t="str">
        <f t="shared" si="18"/>
        <v>Uganda2011RuralCommercialCondom</v>
      </c>
      <c r="B1213" t="s">
        <v>154</v>
      </c>
      <c r="C1213">
        <v>2011</v>
      </c>
      <c r="D1213" t="s">
        <v>21</v>
      </c>
      <c r="E1213" t="s">
        <v>59</v>
      </c>
      <c r="F1213" t="s">
        <v>25</v>
      </c>
      <c r="G1213">
        <v>3.5108000000000001E-3</v>
      </c>
      <c r="H1213">
        <v>4.6369000000000002E-3</v>
      </c>
      <c r="I1213">
        <v>1.2739199999999999E-2</v>
      </c>
    </row>
    <row r="1214" spans="1:9" x14ac:dyDescent="0.25">
      <c r="A1214" s="104" t="str">
        <f t="shared" si="18"/>
        <v>Uganda2011RuralNonTradCondom</v>
      </c>
      <c r="B1214" t="s">
        <v>154</v>
      </c>
      <c r="C1214">
        <v>2011</v>
      </c>
      <c r="D1214" t="s">
        <v>21</v>
      </c>
      <c r="E1214" t="s">
        <v>171</v>
      </c>
      <c r="F1214" t="s">
        <v>25</v>
      </c>
      <c r="G1214">
        <v>3.7452000000000002E-3</v>
      </c>
      <c r="H1214">
        <v>1.29192E-2</v>
      </c>
      <c r="I1214">
        <v>1.34869E-2</v>
      </c>
    </row>
    <row r="1215" spans="1:9" x14ac:dyDescent="0.25">
      <c r="A1215" s="104" t="str">
        <f t="shared" si="18"/>
        <v>Uganda2011RuralOtherCondom</v>
      </c>
      <c r="B1215" t="s">
        <v>154</v>
      </c>
      <c r="C1215">
        <v>2011</v>
      </c>
      <c r="D1215" t="s">
        <v>21</v>
      </c>
      <c r="E1215" t="s">
        <v>116</v>
      </c>
      <c r="F1215" t="s">
        <v>25</v>
      </c>
      <c r="G1215">
        <v>1.2780999999999999E-3</v>
      </c>
      <c r="H1215">
        <v>2.3316999999999999E-3</v>
      </c>
      <c r="I1215">
        <v>4.9890000000000004E-3</v>
      </c>
    </row>
    <row r="1216" spans="1:9" x14ac:dyDescent="0.25">
      <c r="A1216" s="104" t="str">
        <f t="shared" si="18"/>
        <v>Uganda2011NationalPub_MedImplant</v>
      </c>
      <c r="B1216" t="s">
        <v>154</v>
      </c>
      <c r="C1216">
        <v>2011</v>
      </c>
      <c r="D1216" t="s">
        <v>178</v>
      </c>
      <c r="E1216" t="s">
        <v>52</v>
      </c>
      <c r="F1216" t="s">
        <v>23</v>
      </c>
      <c r="G1216">
        <v>1.5717100000000001E-2</v>
      </c>
      <c r="H1216">
        <v>1.3404599999999999E-2</v>
      </c>
      <c r="I1216">
        <v>1.7478299999999999E-2</v>
      </c>
    </row>
    <row r="1217" spans="1:9" x14ac:dyDescent="0.25">
      <c r="A1217" s="104" t="str">
        <f t="shared" si="18"/>
        <v>Uganda2011NationalPub_OutreachImplant</v>
      </c>
      <c r="B1217" t="s">
        <v>154</v>
      </c>
      <c r="C1217">
        <v>2011</v>
      </c>
      <c r="D1217" t="s">
        <v>178</v>
      </c>
      <c r="E1217" t="s">
        <v>54</v>
      </c>
      <c r="F1217" t="s">
        <v>23</v>
      </c>
      <c r="G1217">
        <v>6.3159999999999996E-4</v>
      </c>
      <c r="H1217">
        <v>5.9880000000000003E-4</v>
      </c>
    </row>
    <row r="1218" spans="1:9" x14ac:dyDescent="0.25">
      <c r="A1218" s="104" t="str">
        <f t="shared" si="18"/>
        <v>Uganda2011NationalNGOImplant</v>
      </c>
      <c r="B1218" t="s">
        <v>154</v>
      </c>
      <c r="C1218">
        <v>2011</v>
      </c>
      <c r="D1218" t="s">
        <v>178</v>
      </c>
      <c r="E1218" t="s">
        <v>170</v>
      </c>
      <c r="F1218" t="s">
        <v>23</v>
      </c>
      <c r="G1218">
        <v>3.3070000000000002E-4</v>
      </c>
      <c r="H1218">
        <v>6.6370000000000003E-4</v>
      </c>
      <c r="I1218">
        <v>5.3899999999999998E-4</v>
      </c>
    </row>
    <row r="1219" spans="1:9" x14ac:dyDescent="0.25">
      <c r="A1219" s="104" t="str">
        <f t="shared" ref="A1219:A1282" si="19">B1219&amp;C1219&amp;D1219&amp;E1219&amp;F1219</f>
        <v>Uganda2011NationalCommercialImplant</v>
      </c>
      <c r="B1219" t="s">
        <v>154</v>
      </c>
      <c r="C1219">
        <v>2011</v>
      </c>
      <c r="D1219" t="s">
        <v>178</v>
      </c>
      <c r="E1219" t="s">
        <v>59</v>
      </c>
      <c r="F1219" t="s">
        <v>23</v>
      </c>
      <c r="G1219">
        <v>2.0596999999999998E-3</v>
      </c>
      <c r="H1219">
        <v>1.6194E-3</v>
      </c>
      <c r="I1219">
        <v>3.4342000000000001E-3</v>
      </c>
    </row>
    <row r="1220" spans="1:9" x14ac:dyDescent="0.25">
      <c r="A1220" s="104" t="str">
        <f t="shared" si="19"/>
        <v>Uganda2011NationalOtherImplant</v>
      </c>
      <c r="B1220" t="s">
        <v>154</v>
      </c>
      <c r="C1220">
        <v>2011</v>
      </c>
      <c r="D1220" t="s">
        <v>178</v>
      </c>
      <c r="E1220" t="s">
        <v>116</v>
      </c>
      <c r="F1220" t="s">
        <v>23</v>
      </c>
      <c r="I1220">
        <v>6.6299999999999999E-5</v>
      </c>
    </row>
    <row r="1221" spans="1:9" x14ac:dyDescent="0.25">
      <c r="A1221" s="104" t="str">
        <f t="shared" si="19"/>
        <v>Uganda2011NationalImplant</v>
      </c>
      <c r="B1221" t="s">
        <v>154</v>
      </c>
      <c r="C1221">
        <v>2011</v>
      </c>
      <c r="D1221" t="s">
        <v>178</v>
      </c>
      <c r="F1221" t="s">
        <v>23</v>
      </c>
      <c r="G1221">
        <v>1.5770000000000001E-4</v>
      </c>
    </row>
    <row r="1222" spans="1:9" x14ac:dyDescent="0.25">
      <c r="A1222" s="104" t="str">
        <f t="shared" si="19"/>
        <v>Uganda2011UrbanPub_MedImplant</v>
      </c>
      <c r="B1222" t="s">
        <v>154</v>
      </c>
      <c r="C1222">
        <v>2011</v>
      </c>
      <c r="D1222" t="s">
        <v>20</v>
      </c>
      <c r="E1222" t="s">
        <v>52</v>
      </c>
      <c r="F1222" t="s">
        <v>23</v>
      </c>
      <c r="G1222">
        <v>1.3792199999999999E-2</v>
      </c>
      <c r="H1222">
        <v>6.0384000000000002E-3</v>
      </c>
      <c r="I1222">
        <v>6.7730999999999998E-3</v>
      </c>
    </row>
    <row r="1223" spans="1:9" x14ac:dyDescent="0.25">
      <c r="A1223" s="104" t="str">
        <f t="shared" si="19"/>
        <v>Uganda2011UrbanCommercialImplant</v>
      </c>
      <c r="B1223" t="s">
        <v>154</v>
      </c>
      <c r="C1223">
        <v>2011</v>
      </c>
      <c r="D1223" t="s">
        <v>20</v>
      </c>
      <c r="E1223" t="s">
        <v>59</v>
      </c>
      <c r="F1223" t="s">
        <v>23</v>
      </c>
      <c r="G1223">
        <v>2.7785000000000002E-3</v>
      </c>
      <c r="I1223">
        <v>8.6830999999999992E-3</v>
      </c>
    </row>
    <row r="1224" spans="1:9" x14ac:dyDescent="0.25">
      <c r="A1224" s="104" t="str">
        <f t="shared" si="19"/>
        <v>Uganda2011UrbanOtherImplant</v>
      </c>
      <c r="B1224" t="s">
        <v>154</v>
      </c>
      <c r="C1224">
        <v>2011</v>
      </c>
      <c r="D1224" t="s">
        <v>20</v>
      </c>
      <c r="E1224" t="s">
        <v>116</v>
      </c>
      <c r="F1224" t="s">
        <v>23</v>
      </c>
      <c r="I1224">
        <v>3.3040000000000001E-4</v>
      </c>
    </row>
    <row r="1225" spans="1:9" x14ac:dyDescent="0.25">
      <c r="A1225" s="104" t="str">
        <f t="shared" si="19"/>
        <v>Uganda2011UrbanImplant</v>
      </c>
      <c r="B1225" t="s">
        <v>154</v>
      </c>
      <c r="C1225">
        <v>2011</v>
      </c>
      <c r="D1225" t="s">
        <v>20</v>
      </c>
      <c r="F1225" t="s">
        <v>23</v>
      </c>
      <c r="G1225">
        <v>7.4999999999999993E-5</v>
      </c>
    </row>
    <row r="1226" spans="1:9" x14ac:dyDescent="0.25">
      <c r="A1226" s="104" t="str">
        <f t="shared" si="19"/>
        <v>Uganda2011RuralPub_MedImplant</v>
      </c>
      <c r="B1226" t="s">
        <v>154</v>
      </c>
      <c r="C1226">
        <v>2011</v>
      </c>
      <c r="D1226" t="s">
        <v>21</v>
      </c>
      <c r="E1226" t="s">
        <v>52</v>
      </c>
      <c r="F1226" t="s">
        <v>23</v>
      </c>
      <c r="G1226">
        <v>1.6174999999999998E-2</v>
      </c>
      <c r="H1226">
        <v>1.5374199999999999E-2</v>
      </c>
      <c r="I1226">
        <v>2.0166699999999999E-2</v>
      </c>
    </row>
    <row r="1227" spans="1:9" x14ac:dyDescent="0.25">
      <c r="A1227" s="104" t="str">
        <f t="shared" si="19"/>
        <v>Uganda2011RuralPub_OutreachImplant</v>
      </c>
      <c r="B1227" t="s">
        <v>154</v>
      </c>
      <c r="C1227">
        <v>2011</v>
      </c>
      <c r="D1227" t="s">
        <v>21</v>
      </c>
      <c r="E1227" t="s">
        <v>54</v>
      </c>
      <c r="F1227" t="s">
        <v>23</v>
      </c>
      <c r="G1227">
        <v>7.8189999999999998E-4</v>
      </c>
      <c r="H1227">
        <v>7.5900000000000002E-4</v>
      </c>
    </row>
    <row r="1228" spans="1:9" x14ac:dyDescent="0.25">
      <c r="A1228" s="104" t="str">
        <f t="shared" si="19"/>
        <v>Uganda2011RuralNGOImplant</v>
      </c>
      <c r="B1228" t="s">
        <v>154</v>
      </c>
      <c r="C1228">
        <v>2011</v>
      </c>
      <c r="D1228" t="s">
        <v>21</v>
      </c>
      <c r="E1228" t="s">
        <v>170</v>
      </c>
      <c r="F1228" t="s">
        <v>23</v>
      </c>
      <c r="G1228">
        <v>4.0939999999999998E-4</v>
      </c>
      <c r="H1228">
        <v>8.4119999999999996E-4</v>
      </c>
      <c r="I1228">
        <v>6.7440000000000002E-4</v>
      </c>
    </row>
    <row r="1229" spans="1:9" x14ac:dyDescent="0.25">
      <c r="A1229" s="104" t="str">
        <f t="shared" si="19"/>
        <v>Uganda2011RuralCommercialImplant</v>
      </c>
      <c r="B1229" t="s">
        <v>154</v>
      </c>
      <c r="C1229">
        <v>2011</v>
      </c>
      <c r="D1229" t="s">
        <v>21</v>
      </c>
      <c r="E1229" t="s">
        <v>59</v>
      </c>
      <c r="F1229" t="s">
        <v>23</v>
      </c>
      <c r="G1229">
        <v>1.8887000000000001E-3</v>
      </c>
      <c r="H1229">
        <v>2.0523999999999998E-3</v>
      </c>
      <c r="I1229">
        <v>2.1161000000000001E-3</v>
      </c>
    </row>
    <row r="1230" spans="1:9" x14ac:dyDescent="0.25">
      <c r="A1230" s="104" t="str">
        <f t="shared" si="19"/>
        <v>Uganda2011RuralImplant</v>
      </c>
      <c r="B1230" t="s">
        <v>154</v>
      </c>
      <c r="C1230">
        <v>2011</v>
      </c>
      <c r="D1230" t="s">
        <v>21</v>
      </c>
      <c r="F1230" t="s">
        <v>23</v>
      </c>
      <c r="G1230">
        <v>1.774E-4</v>
      </c>
    </row>
    <row r="1231" spans="1:9" x14ac:dyDescent="0.25">
      <c r="A1231" s="104" t="str">
        <f t="shared" si="19"/>
        <v>Uganda2016NationalPub_MedPill</v>
      </c>
      <c r="B1231" t="s">
        <v>154</v>
      </c>
      <c r="C1231">
        <v>2016</v>
      </c>
      <c r="D1231" t="s">
        <v>178</v>
      </c>
      <c r="E1231" t="s">
        <v>52</v>
      </c>
      <c r="F1231" t="s">
        <v>12</v>
      </c>
      <c r="G1231">
        <v>2.8996E-3</v>
      </c>
      <c r="H1231">
        <v>4.8110000000000002E-3</v>
      </c>
      <c r="I1231">
        <v>3.6408E-3</v>
      </c>
    </row>
    <row r="1232" spans="1:9" x14ac:dyDescent="0.25">
      <c r="A1232" s="104" t="str">
        <f t="shared" si="19"/>
        <v>Uganda2016NationalPub_OutreachPill</v>
      </c>
      <c r="B1232" t="s">
        <v>154</v>
      </c>
      <c r="C1232">
        <v>2016</v>
      </c>
      <c r="D1232" t="s">
        <v>178</v>
      </c>
      <c r="E1232" t="s">
        <v>54</v>
      </c>
      <c r="F1232" t="s">
        <v>12</v>
      </c>
      <c r="G1232">
        <v>2.2690000000000001E-4</v>
      </c>
      <c r="I1232">
        <v>4.71E-5</v>
      </c>
    </row>
    <row r="1233" spans="1:9" x14ac:dyDescent="0.25">
      <c r="A1233" s="104" t="str">
        <f t="shared" si="19"/>
        <v>Uganda2016NationalNGOPill</v>
      </c>
      <c r="B1233" t="s">
        <v>154</v>
      </c>
      <c r="C1233">
        <v>2016</v>
      </c>
      <c r="D1233" t="s">
        <v>178</v>
      </c>
      <c r="E1233" t="s">
        <v>170</v>
      </c>
      <c r="F1233" t="s">
        <v>12</v>
      </c>
      <c r="G1233">
        <v>7.5199999999999998E-5</v>
      </c>
      <c r="H1233">
        <v>2.1149999999999999E-4</v>
      </c>
    </row>
    <row r="1234" spans="1:9" x14ac:dyDescent="0.25">
      <c r="A1234" s="104" t="str">
        <f t="shared" si="19"/>
        <v>Uganda2016NationalCommercialPill</v>
      </c>
      <c r="B1234" t="s">
        <v>154</v>
      </c>
      <c r="C1234">
        <v>2016</v>
      </c>
      <c r="D1234" t="s">
        <v>178</v>
      </c>
      <c r="E1234" t="s">
        <v>59</v>
      </c>
      <c r="F1234" t="s">
        <v>12</v>
      </c>
      <c r="G1234">
        <v>8.4297999999999994E-3</v>
      </c>
      <c r="H1234">
        <v>1.1584000000000001E-2</v>
      </c>
      <c r="I1234">
        <v>1.9012899999999999E-2</v>
      </c>
    </row>
    <row r="1235" spans="1:9" x14ac:dyDescent="0.25">
      <c r="A1235" s="104" t="str">
        <f t="shared" si="19"/>
        <v>Uganda2016NationalOtherPill</v>
      </c>
      <c r="B1235" t="s">
        <v>154</v>
      </c>
      <c r="C1235">
        <v>2016</v>
      </c>
      <c r="D1235" t="s">
        <v>178</v>
      </c>
      <c r="E1235" t="s">
        <v>116</v>
      </c>
      <c r="F1235" t="s">
        <v>12</v>
      </c>
      <c r="G1235">
        <v>8.03E-5</v>
      </c>
    </row>
    <row r="1236" spans="1:9" x14ac:dyDescent="0.25">
      <c r="A1236" s="104" t="str">
        <f t="shared" si="19"/>
        <v>Uganda2016UrbanPub_MedPill</v>
      </c>
      <c r="B1236" t="s">
        <v>154</v>
      </c>
      <c r="C1236">
        <v>2016</v>
      </c>
      <c r="D1236" t="s">
        <v>20</v>
      </c>
      <c r="E1236" t="s">
        <v>52</v>
      </c>
      <c r="F1236" t="s">
        <v>12</v>
      </c>
      <c r="G1236">
        <v>5.5031000000000004E-3</v>
      </c>
      <c r="H1236">
        <v>3.9496000000000002E-3</v>
      </c>
      <c r="I1236">
        <v>4.0756000000000004E-3</v>
      </c>
    </row>
    <row r="1237" spans="1:9" x14ac:dyDescent="0.25">
      <c r="A1237" s="104" t="str">
        <f t="shared" si="19"/>
        <v>Uganda2016UrbanPub_OutreachPill</v>
      </c>
      <c r="B1237" t="s">
        <v>154</v>
      </c>
      <c r="C1237">
        <v>2016</v>
      </c>
      <c r="D1237" t="s">
        <v>20</v>
      </c>
      <c r="E1237" t="s">
        <v>54</v>
      </c>
      <c r="F1237" t="s">
        <v>12</v>
      </c>
      <c r="G1237">
        <v>8.8520000000000005E-4</v>
      </c>
    </row>
    <row r="1238" spans="1:9" x14ac:dyDescent="0.25">
      <c r="A1238" s="104" t="str">
        <f t="shared" si="19"/>
        <v>Uganda2016UrbanNGOPill</v>
      </c>
      <c r="B1238" t="s">
        <v>154</v>
      </c>
      <c r="C1238">
        <v>2016</v>
      </c>
      <c r="D1238" t="s">
        <v>20</v>
      </c>
      <c r="E1238" t="s">
        <v>170</v>
      </c>
      <c r="F1238" t="s">
        <v>12</v>
      </c>
      <c r="G1238">
        <v>2.9329999999999997E-4</v>
      </c>
      <c r="H1238">
        <v>7.4739999999999995E-4</v>
      </c>
    </row>
    <row r="1239" spans="1:9" x14ac:dyDescent="0.25">
      <c r="A1239" s="104" t="str">
        <f t="shared" si="19"/>
        <v>Uganda2016UrbanCommercialPill</v>
      </c>
      <c r="B1239" t="s">
        <v>154</v>
      </c>
      <c r="C1239">
        <v>2016</v>
      </c>
      <c r="D1239" t="s">
        <v>20</v>
      </c>
      <c r="E1239" t="s">
        <v>59</v>
      </c>
      <c r="F1239" t="s">
        <v>12</v>
      </c>
      <c r="G1239">
        <v>2.0250500000000001E-2</v>
      </c>
      <c r="H1239">
        <v>1.9822099999999999E-2</v>
      </c>
      <c r="I1239">
        <v>3.2390599999999999E-2</v>
      </c>
    </row>
    <row r="1240" spans="1:9" x14ac:dyDescent="0.25">
      <c r="A1240" s="104" t="str">
        <f t="shared" si="19"/>
        <v>Uganda2016RuralPub_MedPill</v>
      </c>
      <c r="B1240" t="s">
        <v>154</v>
      </c>
      <c r="C1240">
        <v>2016</v>
      </c>
      <c r="D1240" t="s">
        <v>21</v>
      </c>
      <c r="E1240" t="s">
        <v>52</v>
      </c>
      <c r="F1240" t="s">
        <v>12</v>
      </c>
      <c r="G1240">
        <v>2.0022E-3</v>
      </c>
      <c r="H1240">
        <v>5.1510000000000002E-3</v>
      </c>
      <c r="I1240">
        <v>3.4723000000000002E-3</v>
      </c>
    </row>
    <row r="1241" spans="1:9" x14ac:dyDescent="0.25">
      <c r="A1241" s="104" t="str">
        <f t="shared" si="19"/>
        <v>Uganda2016RuralPub_OutreachPill</v>
      </c>
      <c r="B1241" t="s">
        <v>154</v>
      </c>
      <c r="C1241">
        <v>2016</v>
      </c>
      <c r="D1241" t="s">
        <v>21</v>
      </c>
      <c r="E1241" t="s">
        <v>54</v>
      </c>
      <c r="F1241" t="s">
        <v>12</v>
      </c>
      <c r="I1241">
        <v>6.5400000000000004E-5</v>
      </c>
    </row>
    <row r="1242" spans="1:9" x14ac:dyDescent="0.25">
      <c r="A1242" s="104" t="str">
        <f t="shared" si="19"/>
        <v>Uganda2016RuralCommercialPill</v>
      </c>
      <c r="B1242" t="s">
        <v>154</v>
      </c>
      <c r="C1242">
        <v>2016</v>
      </c>
      <c r="D1242" t="s">
        <v>21</v>
      </c>
      <c r="E1242" t="s">
        <v>59</v>
      </c>
      <c r="F1242" t="s">
        <v>12</v>
      </c>
      <c r="G1242">
        <v>4.3550999999999998E-3</v>
      </c>
      <c r="H1242">
        <v>8.3330000000000001E-3</v>
      </c>
      <c r="I1242">
        <v>1.383E-2</v>
      </c>
    </row>
    <row r="1243" spans="1:9" x14ac:dyDescent="0.25">
      <c r="A1243" s="104" t="str">
        <f t="shared" si="19"/>
        <v>Uganda2016RuralOtherPill</v>
      </c>
      <c r="B1243" t="s">
        <v>154</v>
      </c>
      <c r="C1243">
        <v>2016</v>
      </c>
      <c r="D1243" t="s">
        <v>21</v>
      </c>
      <c r="E1243" t="s">
        <v>116</v>
      </c>
      <c r="F1243" t="s">
        <v>12</v>
      </c>
      <c r="G1243">
        <v>1.08E-4</v>
      </c>
    </row>
    <row r="1244" spans="1:9" x14ac:dyDescent="0.25">
      <c r="A1244" s="104" t="str">
        <f t="shared" si="19"/>
        <v>Uganda2016NationalPub_MedIUD</v>
      </c>
      <c r="B1244" t="s">
        <v>154</v>
      </c>
      <c r="C1244">
        <v>2016</v>
      </c>
      <c r="D1244" t="s">
        <v>178</v>
      </c>
      <c r="E1244" t="s">
        <v>52</v>
      </c>
      <c r="F1244" t="s">
        <v>16</v>
      </c>
      <c r="G1244">
        <v>6.3347999999999998E-3</v>
      </c>
      <c r="H1244">
        <v>7.5334E-3</v>
      </c>
      <c r="I1244">
        <v>1.0282700000000001E-2</v>
      </c>
    </row>
    <row r="1245" spans="1:9" x14ac:dyDescent="0.25">
      <c r="A1245" s="104" t="str">
        <f t="shared" si="19"/>
        <v>Uganda2016NationalPub_OutreachIUD</v>
      </c>
      <c r="B1245" t="s">
        <v>154</v>
      </c>
      <c r="C1245">
        <v>2016</v>
      </c>
      <c r="D1245" t="s">
        <v>178</v>
      </c>
      <c r="E1245" t="s">
        <v>54</v>
      </c>
      <c r="F1245" t="s">
        <v>16</v>
      </c>
      <c r="G1245">
        <v>7.7899999999999996E-5</v>
      </c>
      <c r="I1245">
        <v>1.6267E-3</v>
      </c>
    </row>
    <row r="1246" spans="1:9" x14ac:dyDescent="0.25">
      <c r="A1246" s="104" t="str">
        <f t="shared" si="19"/>
        <v>Uganda2016NationalNGOIUD</v>
      </c>
      <c r="B1246" t="s">
        <v>154</v>
      </c>
      <c r="C1246">
        <v>2016</v>
      </c>
      <c r="D1246" t="s">
        <v>178</v>
      </c>
      <c r="E1246" t="s">
        <v>170</v>
      </c>
      <c r="F1246" t="s">
        <v>16</v>
      </c>
      <c r="G1246">
        <v>1.22E-5</v>
      </c>
      <c r="I1246">
        <v>1.7819999999999999E-4</v>
      </c>
    </row>
    <row r="1247" spans="1:9" x14ac:dyDescent="0.25">
      <c r="A1247" s="104" t="str">
        <f t="shared" si="19"/>
        <v>Uganda2016NationalCommercialIUD</v>
      </c>
      <c r="B1247" t="s">
        <v>154</v>
      </c>
      <c r="C1247">
        <v>2016</v>
      </c>
      <c r="D1247" t="s">
        <v>178</v>
      </c>
      <c r="E1247" t="s">
        <v>59</v>
      </c>
      <c r="F1247" t="s">
        <v>16</v>
      </c>
      <c r="G1247">
        <v>1.2535999999999999E-3</v>
      </c>
      <c r="H1247">
        <v>1.1845E-3</v>
      </c>
      <c r="I1247">
        <v>1.0276499999999999E-2</v>
      </c>
    </row>
    <row r="1248" spans="1:9" x14ac:dyDescent="0.25">
      <c r="A1248" s="104" t="str">
        <f t="shared" si="19"/>
        <v>Uganda2016UrbanPub_MedIUD</v>
      </c>
      <c r="B1248" t="s">
        <v>154</v>
      </c>
      <c r="C1248">
        <v>2016</v>
      </c>
      <c r="D1248" t="s">
        <v>20</v>
      </c>
      <c r="E1248" t="s">
        <v>52</v>
      </c>
      <c r="F1248" t="s">
        <v>16</v>
      </c>
      <c r="G1248">
        <v>9.7798E-3</v>
      </c>
      <c r="H1248">
        <v>5.5352999999999999E-3</v>
      </c>
      <c r="I1248">
        <v>9.8592000000000003E-3</v>
      </c>
    </row>
    <row r="1249" spans="1:9" x14ac:dyDescent="0.25">
      <c r="A1249" s="104" t="str">
        <f t="shared" si="19"/>
        <v>Uganda2016UrbanPub_OutreachIUD</v>
      </c>
      <c r="B1249" t="s">
        <v>154</v>
      </c>
      <c r="C1249">
        <v>2016</v>
      </c>
      <c r="D1249" t="s">
        <v>20</v>
      </c>
      <c r="E1249" t="s">
        <v>54</v>
      </c>
      <c r="F1249" t="s">
        <v>16</v>
      </c>
      <c r="I1249">
        <v>8.097E-4</v>
      </c>
    </row>
    <row r="1250" spans="1:9" x14ac:dyDescent="0.25">
      <c r="A1250" s="104" t="str">
        <f t="shared" si="19"/>
        <v>Uganda2016UrbanCommercialIUD</v>
      </c>
      <c r="B1250" t="s">
        <v>154</v>
      </c>
      <c r="C1250">
        <v>2016</v>
      </c>
      <c r="D1250" t="s">
        <v>20</v>
      </c>
      <c r="E1250" t="s">
        <v>59</v>
      </c>
      <c r="F1250" t="s">
        <v>16</v>
      </c>
      <c r="G1250">
        <v>2.4201000000000001E-3</v>
      </c>
      <c r="H1250">
        <v>4.0061999999999997E-3</v>
      </c>
      <c r="I1250">
        <v>1.9955799999999999E-2</v>
      </c>
    </row>
    <row r="1251" spans="1:9" x14ac:dyDescent="0.25">
      <c r="A1251" s="104" t="str">
        <f t="shared" si="19"/>
        <v>Uganda2016RuralPub_MedIUD</v>
      </c>
      <c r="B1251" t="s">
        <v>154</v>
      </c>
      <c r="C1251">
        <v>2016</v>
      </c>
      <c r="D1251" t="s">
        <v>21</v>
      </c>
      <c r="E1251" t="s">
        <v>52</v>
      </c>
      <c r="F1251" t="s">
        <v>16</v>
      </c>
      <c r="G1251">
        <v>5.1472999999999996E-3</v>
      </c>
      <c r="H1251">
        <v>8.3219999999999995E-3</v>
      </c>
      <c r="I1251">
        <v>1.0446799999999999E-2</v>
      </c>
    </row>
    <row r="1252" spans="1:9" x14ac:dyDescent="0.25">
      <c r="A1252" s="104" t="str">
        <f t="shared" si="19"/>
        <v>Uganda2016RuralPub_OutreachIUD</v>
      </c>
      <c r="B1252" t="s">
        <v>154</v>
      </c>
      <c r="C1252">
        <v>2016</v>
      </c>
      <c r="D1252" t="s">
        <v>21</v>
      </c>
      <c r="E1252" t="s">
        <v>54</v>
      </c>
      <c r="F1252" t="s">
        <v>16</v>
      </c>
      <c r="G1252">
        <v>1.047E-4</v>
      </c>
      <c r="I1252">
        <v>1.9432E-3</v>
      </c>
    </row>
    <row r="1253" spans="1:9" x14ac:dyDescent="0.25">
      <c r="A1253" s="104" t="str">
        <f t="shared" si="19"/>
        <v>Uganda2016RuralNGOIUD</v>
      </c>
      <c r="B1253" t="s">
        <v>154</v>
      </c>
      <c r="C1253">
        <v>2016</v>
      </c>
      <c r="D1253" t="s">
        <v>21</v>
      </c>
      <c r="E1253" t="s">
        <v>170</v>
      </c>
      <c r="F1253" t="s">
        <v>16</v>
      </c>
      <c r="G1253">
        <v>1.6500000000000001E-5</v>
      </c>
      <c r="I1253">
        <v>2.4719999999999999E-4</v>
      </c>
    </row>
    <row r="1254" spans="1:9" x14ac:dyDescent="0.25">
      <c r="A1254" s="104" t="str">
        <f t="shared" si="19"/>
        <v>Uganda2016RuralCommercialIUD</v>
      </c>
      <c r="B1254" t="s">
        <v>154</v>
      </c>
      <c r="C1254">
        <v>2016</v>
      </c>
      <c r="D1254" t="s">
        <v>21</v>
      </c>
      <c r="E1254" t="s">
        <v>59</v>
      </c>
      <c r="F1254" t="s">
        <v>16</v>
      </c>
      <c r="G1254">
        <v>8.5139999999999999E-4</v>
      </c>
      <c r="H1254">
        <v>7.0900000000000002E-5</v>
      </c>
      <c r="I1254">
        <v>6.5265000000000002E-3</v>
      </c>
    </row>
    <row r="1255" spans="1:9" x14ac:dyDescent="0.25">
      <c r="A1255" s="104" t="str">
        <f t="shared" si="19"/>
        <v>Uganda2016NationalPub_MedInjectable</v>
      </c>
      <c r="B1255" t="s">
        <v>154</v>
      </c>
      <c r="C1255">
        <v>2016</v>
      </c>
      <c r="D1255" t="s">
        <v>178</v>
      </c>
      <c r="E1255" t="s">
        <v>52</v>
      </c>
      <c r="F1255" t="s">
        <v>22</v>
      </c>
      <c r="G1255">
        <v>7.6450099999999993E-2</v>
      </c>
      <c r="H1255">
        <v>7.96182E-2</v>
      </c>
      <c r="I1255">
        <v>5.5851900000000003E-2</v>
      </c>
    </row>
    <row r="1256" spans="1:9" x14ac:dyDescent="0.25">
      <c r="A1256" s="104" t="str">
        <f t="shared" si="19"/>
        <v>Uganda2016NationalPub_OutreachInjectable</v>
      </c>
      <c r="B1256" t="s">
        <v>154</v>
      </c>
      <c r="C1256">
        <v>2016</v>
      </c>
      <c r="D1256" t="s">
        <v>178</v>
      </c>
      <c r="E1256" t="s">
        <v>54</v>
      </c>
      <c r="F1256" t="s">
        <v>22</v>
      </c>
      <c r="G1256">
        <v>2.8362999999999999E-3</v>
      </c>
      <c r="H1256">
        <v>2.7353999999999998E-3</v>
      </c>
      <c r="I1256">
        <v>2.7778E-3</v>
      </c>
    </row>
    <row r="1257" spans="1:9" x14ac:dyDescent="0.25">
      <c r="A1257" s="104" t="str">
        <f t="shared" si="19"/>
        <v>Uganda2016NationalNGOInjectable</v>
      </c>
      <c r="B1257" t="s">
        <v>154</v>
      </c>
      <c r="C1257">
        <v>2016</v>
      </c>
      <c r="D1257" t="s">
        <v>178</v>
      </c>
      <c r="E1257" t="s">
        <v>170</v>
      </c>
      <c r="F1257" t="s">
        <v>22</v>
      </c>
      <c r="G1257">
        <v>8.9530000000000002E-4</v>
      </c>
      <c r="H1257">
        <v>1.0019E-3</v>
      </c>
      <c r="I1257">
        <v>1.2113E-3</v>
      </c>
    </row>
    <row r="1258" spans="1:9" x14ac:dyDescent="0.25">
      <c r="A1258" s="104" t="str">
        <f t="shared" si="19"/>
        <v>Uganda2016NationalCommercialInjectable</v>
      </c>
      <c r="B1258" t="s">
        <v>154</v>
      </c>
      <c r="C1258">
        <v>2016</v>
      </c>
      <c r="D1258" t="s">
        <v>178</v>
      </c>
      <c r="E1258" t="s">
        <v>59</v>
      </c>
      <c r="F1258" t="s">
        <v>22</v>
      </c>
      <c r="G1258">
        <v>5.10293E-2</v>
      </c>
      <c r="H1258">
        <v>8.0436800000000003E-2</v>
      </c>
      <c r="I1258">
        <v>7.4533299999999997E-2</v>
      </c>
    </row>
    <row r="1259" spans="1:9" x14ac:dyDescent="0.25">
      <c r="A1259" s="104" t="str">
        <f t="shared" si="19"/>
        <v>Uganda2016NationalOtherInjectable</v>
      </c>
      <c r="B1259" t="s">
        <v>154</v>
      </c>
      <c r="C1259">
        <v>2016</v>
      </c>
      <c r="D1259" t="s">
        <v>178</v>
      </c>
      <c r="E1259" t="s">
        <v>116</v>
      </c>
      <c r="F1259" t="s">
        <v>22</v>
      </c>
      <c r="G1259">
        <v>2.4000000000000001E-4</v>
      </c>
      <c r="H1259">
        <v>2.4479999999999999E-4</v>
      </c>
      <c r="I1259">
        <v>6.1839999999999996E-4</v>
      </c>
    </row>
    <row r="1260" spans="1:9" x14ac:dyDescent="0.25">
      <c r="A1260" s="104" t="str">
        <f t="shared" si="19"/>
        <v>Uganda2016UrbanPub_MedInjectable</v>
      </c>
      <c r="B1260" t="s">
        <v>154</v>
      </c>
      <c r="C1260">
        <v>2016</v>
      </c>
      <c r="D1260" t="s">
        <v>20</v>
      </c>
      <c r="E1260" t="s">
        <v>52</v>
      </c>
      <c r="F1260" t="s">
        <v>22</v>
      </c>
      <c r="G1260">
        <v>6.76374E-2</v>
      </c>
      <c r="H1260">
        <v>4.7372999999999998E-2</v>
      </c>
      <c r="I1260">
        <v>3.09257E-2</v>
      </c>
    </row>
    <row r="1261" spans="1:9" x14ac:dyDescent="0.25">
      <c r="A1261" s="104" t="str">
        <f t="shared" si="19"/>
        <v>Uganda2016UrbanPub_OutreachInjectable</v>
      </c>
      <c r="B1261" t="s">
        <v>154</v>
      </c>
      <c r="C1261">
        <v>2016</v>
      </c>
      <c r="D1261" t="s">
        <v>20</v>
      </c>
      <c r="E1261" t="s">
        <v>54</v>
      </c>
      <c r="F1261" t="s">
        <v>22</v>
      </c>
      <c r="G1261">
        <v>5.396E-4</v>
      </c>
      <c r="H1261">
        <v>6.5379999999999995E-4</v>
      </c>
      <c r="I1261">
        <v>2.2753000000000001E-3</v>
      </c>
    </row>
    <row r="1262" spans="1:9" x14ac:dyDescent="0.25">
      <c r="A1262" s="104" t="str">
        <f t="shared" si="19"/>
        <v>Uganda2016UrbanNGOInjectable</v>
      </c>
      <c r="B1262" t="s">
        <v>154</v>
      </c>
      <c r="C1262">
        <v>2016</v>
      </c>
      <c r="D1262" t="s">
        <v>20</v>
      </c>
      <c r="E1262" t="s">
        <v>170</v>
      </c>
      <c r="F1262" t="s">
        <v>22</v>
      </c>
      <c r="G1262">
        <v>1.0761E-3</v>
      </c>
    </row>
    <row r="1263" spans="1:9" x14ac:dyDescent="0.25">
      <c r="A1263" s="104" t="str">
        <f t="shared" si="19"/>
        <v>Uganda2016UrbanCommercialInjectable</v>
      </c>
      <c r="B1263" t="s">
        <v>154</v>
      </c>
      <c r="C1263">
        <v>2016</v>
      </c>
      <c r="D1263" t="s">
        <v>20</v>
      </c>
      <c r="E1263" t="s">
        <v>59</v>
      </c>
      <c r="F1263" t="s">
        <v>22</v>
      </c>
      <c r="G1263">
        <v>6.7006399999999994E-2</v>
      </c>
      <c r="H1263">
        <v>0.1078966</v>
      </c>
      <c r="I1263">
        <v>7.0752300000000004E-2</v>
      </c>
    </row>
    <row r="1264" spans="1:9" x14ac:dyDescent="0.25">
      <c r="A1264" s="104" t="str">
        <f t="shared" si="19"/>
        <v>Uganda2016RuralPub_MedInjectable</v>
      </c>
      <c r="B1264" t="s">
        <v>154</v>
      </c>
      <c r="C1264">
        <v>2016</v>
      </c>
      <c r="D1264" t="s">
        <v>21</v>
      </c>
      <c r="E1264" t="s">
        <v>52</v>
      </c>
      <c r="F1264" t="s">
        <v>22</v>
      </c>
      <c r="G1264">
        <v>7.94879E-2</v>
      </c>
      <c r="H1264">
        <v>9.2343099999999997E-2</v>
      </c>
      <c r="I1264">
        <v>6.5509100000000001E-2</v>
      </c>
    </row>
    <row r="1265" spans="1:9" x14ac:dyDescent="0.25">
      <c r="A1265" s="104" t="str">
        <f t="shared" si="19"/>
        <v>Uganda2016RuralPub_OutreachInjectable</v>
      </c>
      <c r="B1265" t="s">
        <v>154</v>
      </c>
      <c r="C1265">
        <v>2016</v>
      </c>
      <c r="D1265" t="s">
        <v>21</v>
      </c>
      <c r="E1265" t="s">
        <v>54</v>
      </c>
      <c r="F1265" t="s">
        <v>22</v>
      </c>
      <c r="G1265">
        <v>3.6278999999999999E-3</v>
      </c>
      <c r="H1265">
        <v>3.5569E-3</v>
      </c>
      <c r="I1265">
        <v>2.9724999999999999E-3</v>
      </c>
    </row>
    <row r="1266" spans="1:9" x14ac:dyDescent="0.25">
      <c r="A1266" s="104" t="str">
        <f t="shared" si="19"/>
        <v>Uganda2016RuralNGOInjectable</v>
      </c>
      <c r="B1266" t="s">
        <v>154</v>
      </c>
      <c r="C1266">
        <v>2016</v>
      </c>
      <c r="D1266" t="s">
        <v>21</v>
      </c>
      <c r="E1266" t="s">
        <v>170</v>
      </c>
      <c r="F1266" t="s">
        <v>22</v>
      </c>
      <c r="G1266">
        <v>8.3299999999999997E-4</v>
      </c>
      <c r="H1266">
        <v>1.3973E-3</v>
      </c>
      <c r="I1266">
        <v>1.6806E-3</v>
      </c>
    </row>
    <row r="1267" spans="1:9" x14ac:dyDescent="0.25">
      <c r="A1267" s="104" t="str">
        <f t="shared" si="19"/>
        <v>Uganda2016RuralCommercialInjectable</v>
      </c>
      <c r="B1267" t="s">
        <v>154</v>
      </c>
      <c r="C1267">
        <v>2016</v>
      </c>
      <c r="D1267" t="s">
        <v>21</v>
      </c>
      <c r="E1267" t="s">
        <v>59</v>
      </c>
      <c r="F1267" t="s">
        <v>22</v>
      </c>
      <c r="G1267">
        <v>4.5521800000000001E-2</v>
      </c>
      <c r="H1267">
        <v>6.9600300000000004E-2</v>
      </c>
      <c r="I1267">
        <v>7.5998200000000002E-2</v>
      </c>
    </row>
    <row r="1268" spans="1:9" x14ac:dyDescent="0.25">
      <c r="A1268" s="104" t="str">
        <f t="shared" si="19"/>
        <v>Uganda2016RuralOtherInjectable</v>
      </c>
      <c r="B1268" t="s">
        <v>154</v>
      </c>
      <c r="C1268">
        <v>2016</v>
      </c>
      <c r="D1268" t="s">
        <v>21</v>
      </c>
      <c r="E1268" t="s">
        <v>116</v>
      </c>
      <c r="F1268" t="s">
        <v>22</v>
      </c>
      <c r="G1268">
        <v>3.2279999999999999E-4</v>
      </c>
      <c r="H1268">
        <v>3.414E-4</v>
      </c>
      <c r="I1268">
        <v>8.5789999999999998E-4</v>
      </c>
    </row>
    <row r="1269" spans="1:9" x14ac:dyDescent="0.25">
      <c r="A1269" s="104" t="str">
        <f t="shared" si="19"/>
        <v>Uganda2016NationalPub_MedCondom</v>
      </c>
      <c r="B1269" t="s">
        <v>154</v>
      </c>
      <c r="C1269">
        <v>2016</v>
      </c>
      <c r="D1269" t="s">
        <v>178</v>
      </c>
      <c r="E1269" t="s">
        <v>52</v>
      </c>
      <c r="F1269" t="s">
        <v>25</v>
      </c>
      <c r="G1269">
        <v>1.12175E-2</v>
      </c>
      <c r="H1269">
        <v>1.55449E-2</v>
      </c>
      <c r="I1269">
        <v>1.2264300000000001E-2</v>
      </c>
    </row>
    <row r="1270" spans="1:9" x14ac:dyDescent="0.25">
      <c r="A1270" s="104" t="str">
        <f t="shared" si="19"/>
        <v>Uganda2016NationalPub_OutreachCondom</v>
      </c>
      <c r="B1270" t="s">
        <v>154</v>
      </c>
      <c r="C1270">
        <v>2016</v>
      </c>
      <c r="D1270" t="s">
        <v>178</v>
      </c>
      <c r="E1270" t="s">
        <v>54</v>
      </c>
      <c r="F1270" t="s">
        <v>25</v>
      </c>
      <c r="G1270">
        <v>9.944000000000001E-4</v>
      </c>
      <c r="H1270">
        <v>4.4650000000000001E-4</v>
      </c>
      <c r="I1270">
        <v>1.0532E-3</v>
      </c>
    </row>
    <row r="1271" spans="1:9" x14ac:dyDescent="0.25">
      <c r="A1271" s="104" t="str">
        <f t="shared" si="19"/>
        <v>Uganda2016NationalNGOCondom</v>
      </c>
      <c r="B1271" t="s">
        <v>154</v>
      </c>
      <c r="C1271">
        <v>2016</v>
      </c>
      <c r="D1271" t="s">
        <v>178</v>
      </c>
      <c r="E1271" t="s">
        <v>170</v>
      </c>
      <c r="F1271" t="s">
        <v>25</v>
      </c>
      <c r="G1271">
        <v>2.385E-4</v>
      </c>
      <c r="I1271">
        <v>9.2380000000000001E-4</v>
      </c>
    </row>
    <row r="1272" spans="1:9" x14ac:dyDescent="0.25">
      <c r="A1272" s="104" t="str">
        <f t="shared" si="19"/>
        <v>Uganda2016NationalCommercialCondom</v>
      </c>
      <c r="B1272" t="s">
        <v>154</v>
      </c>
      <c r="C1272">
        <v>2016</v>
      </c>
      <c r="D1272" t="s">
        <v>178</v>
      </c>
      <c r="E1272" t="s">
        <v>59</v>
      </c>
      <c r="F1272" t="s">
        <v>25</v>
      </c>
      <c r="G1272">
        <v>7.8516999999999997E-3</v>
      </c>
      <c r="H1272">
        <v>1.5609400000000001E-2</v>
      </c>
      <c r="I1272">
        <v>2.00924E-2</v>
      </c>
    </row>
    <row r="1273" spans="1:9" x14ac:dyDescent="0.25">
      <c r="A1273" s="104" t="str">
        <f t="shared" si="19"/>
        <v>Uganda2016NationalNonTradCondom</v>
      </c>
      <c r="B1273" t="s">
        <v>154</v>
      </c>
      <c r="C1273">
        <v>2016</v>
      </c>
      <c r="D1273" t="s">
        <v>178</v>
      </c>
      <c r="E1273" t="s">
        <v>171</v>
      </c>
      <c r="F1273" t="s">
        <v>25</v>
      </c>
      <c r="G1273">
        <v>2.0574999999999999E-3</v>
      </c>
      <c r="H1273">
        <v>3.6516000000000001E-3</v>
      </c>
      <c r="I1273">
        <v>5.2652000000000003E-3</v>
      </c>
    </row>
    <row r="1274" spans="1:9" x14ac:dyDescent="0.25">
      <c r="A1274" s="104" t="str">
        <f t="shared" si="19"/>
        <v>Uganda2016NationalOtherCondom</v>
      </c>
      <c r="B1274" t="s">
        <v>154</v>
      </c>
      <c r="C1274">
        <v>2016</v>
      </c>
      <c r="D1274" t="s">
        <v>178</v>
      </c>
      <c r="E1274" t="s">
        <v>116</v>
      </c>
      <c r="F1274" t="s">
        <v>25</v>
      </c>
      <c r="G1274">
        <v>1.557E-3</v>
      </c>
      <c r="H1274">
        <v>2.1982E-3</v>
      </c>
      <c r="I1274">
        <v>4.1127000000000004E-3</v>
      </c>
    </row>
    <row r="1275" spans="1:9" x14ac:dyDescent="0.25">
      <c r="A1275" s="104" t="str">
        <f t="shared" si="19"/>
        <v>Uganda2016UrbanPub_MedCondom</v>
      </c>
      <c r="B1275" t="s">
        <v>154</v>
      </c>
      <c r="C1275">
        <v>2016</v>
      </c>
      <c r="D1275" t="s">
        <v>20</v>
      </c>
      <c r="E1275" t="s">
        <v>52</v>
      </c>
      <c r="F1275" t="s">
        <v>25</v>
      </c>
      <c r="G1275">
        <v>1.4560200000000001E-2</v>
      </c>
      <c r="H1275">
        <v>1.58844E-2</v>
      </c>
      <c r="I1275">
        <v>9.5756000000000001E-3</v>
      </c>
    </row>
    <row r="1276" spans="1:9" x14ac:dyDescent="0.25">
      <c r="A1276" s="104" t="str">
        <f t="shared" si="19"/>
        <v>Uganda2016UrbanPub_OutreachCondom</v>
      </c>
      <c r="B1276" t="s">
        <v>154</v>
      </c>
      <c r="C1276">
        <v>2016</v>
      </c>
      <c r="D1276" t="s">
        <v>20</v>
      </c>
      <c r="E1276" t="s">
        <v>54</v>
      </c>
      <c r="F1276" t="s">
        <v>25</v>
      </c>
      <c r="G1276">
        <v>9.7659999999999999E-4</v>
      </c>
      <c r="H1276">
        <v>5.3459999999999998E-4</v>
      </c>
      <c r="I1276">
        <v>3.2417000000000001E-3</v>
      </c>
    </row>
    <row r="1277" spans="1:9" x14ac:dyDescent="0.25">
      <c r="A1277" s="104" t="str">
        <f t="shared" si="19"/>
        <v>Uganda2016UrbanCommercialCondom</v>
      </c>
      <c r="B1277" t="s">
        <v>154</v>
      </c>
      <c r="C1277">
        <v>2016</v>
      </c>
      <c r="D1277" t="s">
        <v>20</v>
      </c>
      <c r="E1277" t="s">
        <v>59</v>
      </c>
      <c r="F1277" t="s">
        <v>25</v>
      </c>
      <c r="G1277">
        <v>1.35995E-2</v>
      </c>
      <c r="H1277">
        <v>2.75567E-2</v>
      </c>
      <c r="I1277">
        <v>3.7331999999999997E-2</v>
      </c>
    </row>
    <row r="1278" spans="1:9" x14ac:dyDescent="0.25">
      <c r="A1278" s="104" t="str">
        <f t="shared" si="19"/>
        <v>Uganda2016UrbanNonTradCondom</v>
      </c>
      <c r="B1278" t="s">
        <v>154</v>
      </c>
      <c r="C1278">
        <v>2016</v>
      </c>
      <c r="D1278" t="s">
        <v>20</v>
      </c>
      <c r="E1278" t="s">
        <v>171</v>
      </c>
      <c r="F1278" t="s">
        <v>25</v>
      </c>
      <c r="G1278">
        <v>3.9009000000000001E-3</v>
      </c>
      <c r="H1278">
        <v>9.7976000000000001E-3</v>
      </c>
      <c r="I1278">
        <v>1.35592E-2</v>
      </c>
    </row>
    <row r="1279" spans="1:9" x14ac:dyDescent="0.25">
      <c r="A1279" s="104" t="str">
        <f t="shared" si="19"/>
        <v>Uganda2016UrbanOtherCondom</v>
      </c>
      <c r="B1279" t="s">
        <v>154</v>
      </c>
      <c r="C1279">
        <v>2016</v>
      </c>
      <c r="D1279" t="s">
        <v>20</v>
      </c>
      <c r="E1279" t="s">
        <v>116</v>
      </c>
      <c r="F1279" t="s">
        <v>25</v>
      </c>
      <c r="G1279">
        <v>2.7366999999999999E-3</v>
      </c>
      <c r="H1279">
        <v>1.1969999999999999E-3</v>
      </c>
      <c r="I1279">
        <v>4.8342000000000003E-3</v>
      </c>
    </row>
    <row r="1280" spans="1:9" x14ac:dyDescent="0.25">
      <c r="A1280" s="104" t="str">
        <f t="shared" si="19"/>
        <v>Uganda2016RuralPub_MedCondom</v>
      </c>
      <c r="B1280" t="s">
        <v>154</v>
      </c>
      <c r="C1280">
        <v>2016</v>
      </c>
      <c r="D1280" t="s">
        <v>21</v>
      </c>
      <c r="E1280" t="s">
        <v>52</v>
      </c>
      <c r="F1280" t="s">
        <v>25</v>
      </c>
      <c r="G1280">
        <v>1.00652E-2</v>
      </c>
      <c r="H1280">
        <v>1.5410999999999999E-2</v>
      </c>
      <c r="I1280">
        <v>1.3306E-2</v>
      </c>
    </row>
    <row r="1281" spans="1:9" x14ac:dyDescent="0.25">
      <c r="A1281" s="104" t="str">
        <f t="shared" si="19"/>
        <v>Uganda2016RuralPub_OutreachCondom</v>
      </c>
      <c r="B1281" t="s">
        <v>154</v>
      </c>
      <c r="C1281">
        <v>2016</v>
      </c>
      <c r="D1281" t="s">
        <v>21</v>
      </c>
      <c r="E1281" t="s">
        <v>54</v>
      </c>
      <c r="F1281" t="s">
        <v>25</v>
      </c>
      <c r="G1281">
        <v>1.0005000000000001E-3</v>
      </c>
      <c r="H1281">
        <v>4.1169999999999998E-4</v>
      </c>
      <c r="I1281">
        <v>2.053E-4</v>
      </c>
    </row>
    <row r="1282" spans="1:9" x14ac:dyDescent="0.25">
      <c r="A1282" s="104" t="str">
        <f t="shared" si="19"/>
        <v>Uganda2016RuralNGOCondom</v>
      </c>
      <c r="B1282" t="s">
        <v>154</v>
      </c>
      <c r="C1282">
        <v>2016</v>
      </c>
      <c r="D1282" t="s">
        <v>21</v>
      </c>
      <c r="E1282" t="s">
        <v>170</v>
      </c>
      <c r="F1282" t="s">
        <v>25</v>
      </c>
      <c r="G1282">
        <v>3.2069999999999999E-4</v>
      </c>
      <c r="I1282">
        <v>1.2817E-3</v>
      </c>
    </row>
    <row r="1283" spans="1:9" x14ac:dyDescent="0.25">
      <c r="A1283" s="104" t="str">
        <f t="shared" ref="A1283:A1299" si="20">B1283&amp;C1283&amp;D1283&amp;E1283&amp;F1283</f>
        <v>Uganda2016RuralCommercialCondom</v>
      </c>
      <c r="B1283" t="s">
        <v>154</v>
      </c>
      <c r="C1283">
        <v>2016</v>
      </c>
      <c r="D1283" t="s">
        <v>21</v>
      </c>
      <c r="E1283" t="s">
        <v>59</v>
      </c>
      <c r="F1283" t="s">
        <v>25</v>
      </c>
      <c r="G1283">
        <v>5.8703000000000002E-3</v>
      </c>
      <c r="H1283">
        <v>1.0894600000000001E-2</v>
      </c>
      <c r="I1283">
        <v>1.34132E-2</v>
      </c>
    </row>
    <row r="1284" spans="1:9" x14ac:dyDescent="0.25">
      <c r="A1284" s="104" t="str">
        <f t="shared" si="20"/>
        <v>Uganda2016RuralNonTradCondom</v>
      </c>
      <c r="B1284" t="s">
        <v>154</v>
      </c>
      <c r="C1284">
        <v>2016</v>
      </c>
      <c r="D1284" t="s">
        <v>21</v>
      </c>
      <c r="E1284" t="s">
        <v>171</v>
      </c>
      <c r="F1284" t="s">
        <v>25</v>
      </c>
      <c r="G1284">
        <v>1.4220999999999999E-3</v>
      </c>
      <c r="H1284">
        <v>1.2262E-3</v>
      </c>
      <c r="I1284">
        <v>2.0517999999999999E-3</v>
      </c>
    </row>
    <row r="1285" spans="1:9" x14ac:dyDescent="0.25">
      <c r="A1285" s="104" t="str">
        <f t="shared" si="20"/>
        <v>Uganda2016RuralOtherCondom</v>
      </c>
      <c r="B1285" t="s">
        <v>154</v>
      </c>
      <c r="C1285">
        <v>2016</v>
      </c>
      <c r="D1285" t="s">
        <v>21</v>
      </c>
      <c r="E1285" t="s">
        <v>116</v>
      </c>
      <c r="F1285" t="s">
        <v>25</v>
      </c>
      <c r="G1285">
        <v>1.1502999999999999E-3</v>
      </c>
      <c r="H1285">
        <v>2.5933000000000002E-3</v>
      </c>
      <c r="I1285">
        <v>3.8332000000000001E-3</v>
      </c>
    </row>
    <row r="1286" spans="1:9" x14ac:dyDescent="0.25">
      <c r="A1286" s="104" t="str">
        <f t="shared" si="20"/>
        <v>Uganda2016NationalPub_MedImplant</v>
      </c>
      <c r="B1286" t="s">
        <v>154</v>
      </c>
      <c r="C1286">
        <v>2016</v>
      </c>
      <c r="D1286" t="s">
        <v>178</v>
      </c>
      <c r="E1286" t="s">
        <v>52</v>
      </c>
      <c r="F1286" t="s">
        <v>23</v>
      </c>
      <c r="G1286">
        <v>4.0377000000000003E-2</v>
      </c>
      <c r="H1286">
        <v>3.6400000000000002E-2</v>
      </c>
      <c r="I1286">
        <v>2.8003E-2</v>
      </c>
    </row>
    <row r="1287" spans="1:9" x14ac:dyDescent="0.25">
      <c r="A1287" s="104" t="str">
        <f t="shared" si="20"/>
        <v>Uganda2016NationalPub_OutreachImplant</v>
      </c>
      <c r="B1287" t="s">
        <v>154</v>
      </c>
      <c r="C1287">
        <v>2016</v>
      </c>
      <c r="D1287" t="s">
        <v>178</v>
      </c>
      <c r="E1287" t="s">
        <v>54</v>
      </c>
      <c r="F1287" t="s">
        <v>23</v>
      </c>
      <c r="G1287">
        <v>2.2921E-3</v>
      </c>
      <c r="H1287">
        <v>1.3353E-3</v>
      </c>
      <c r="I1287">
        <v>3.0661999999999998E-3</v>
      </c>
    </row>
    <row r="1288" spans="1:9" x14ac:dyDescent="0.25">
      <c r="A1288" s="104" t="str">
        <f t="shared" si="20"/>
        <v>Uganda2016NationalNGOImplant</v>
      </c>
      <c r="B1288" t="s">
        <v>154</v>
      </c>
      <c r="C1288">
        <v>2016</v>
      </c>
      <c r="D1288" t="s">
        <v>178</v>
      </c>
      <c r="E1288" t="s">
        <v>170</v>
      </c>
      <c r="F1288" t="s">
        <v>23</v>
      </c>
      <c r="G1288">
        <v>7.1299999999999998E-4</v>
      </c>
      <c r="H1288">
        <v>9.4620000000000001E-4</v>
      </c>
      <c r="I1288">
        <v>8.964E-4</v>
      </c>
    </row>
    <row r="1289" spans="1:9" x14ac:dyDescent="0.25">
      <c r="A1289" s="104" t="str">
        <f t="shared" si="20"/>
        <v>Uganda2016NationalCommercialImplant</v>
      </c>
      <c r="B1289" t="s">
        <v>154</v>
      </c>
      <c r="C1289">
        <v>2016</v>
      </c>
      <c r="D1289" t="s">
        <v>178</v>
      </c>
      <c r="E1289" t="s">
        <v>59</v>
      </c>
      <c r="F1289" t="s">
        <v>23</v>
      </c>
      <c r="G1289">
        <v>6.2186000000000003E-3</v>
      </c>
      <c r="H1289">
        <v>8.2678999999999999E-3</v>
      </c>
      <c r="I1289">
        <v>9.3335999999999992E-3</v>
      </c>
    </row>
    <row r="1290" spans="1:9" x14ac:dyDescent="0.25">
      <c r="A1290" s="104" t="str">
        <f t="shared" si="20"/>
        <v>Uganda2016NationalOtherImplant</v>
      </c>
      <c r="B1290" t="s">
        <v>154</v>
      </c>
      <c r="C1290">
        <v>2016</v>
      </c>
      <c r="D1290" t="s">
        <v>178</v>
      </c>
      <c r="E1290" t="s">
        <v>116</v>
      </c>
      <c r="F1290" t="s">
        <v>23</v>
      </c>
      <c r="G1290">
        <v>1.0119999999999999E-4</v>
      </c>
    </row>
    <row r="1291" spans="1:9" x14ac:dyDescent="0.25">
      <c r="A1291" s="104" t="str">
        <f t="shared" si="20"/>
        <v>Uganda2016UrbanPub_MedImplant</v>
      </c>
      <c r="B1291" t="s">
        <v>154</v>
      </c>
      <c r="C1291">
        <v>2016</v>
      </c>
      <c r="D1291" t="s">
        <v>20</v>
      </c>
      <c r="E1291" t="s">
        <v>52</v>
      </c>
      <c r="F1291" t="s">
        <v>23</v>
      </c>
      <c r="G1291">
        <v>4.5020699999999997E-2</v>
      </c>
      <c r="H1291">
        <v>3.4386E-2</v>
      </c>
      <c r="I1291">
        <v>1.8581199999999999E-2</v>
      </c>
    </row>
    <row r="1292" spans="1:9" x14ac:dyDescent="0.25">
      <c r="A1292" s="104" t="str">
        <f t="shared" si="20"/>
        <v>Uganda2016UrbanPub_OutreachImplant</v>
      </c>
      <c r="B1292" t="s">
        <v>154</v>
      </c>
      <c r="C1292">
        <v>2016</v>
      </c>
      <c r="D1292" t="s">
        <v>20</v>
      </c>
      <c r="E1292" t="s">
        <v>54</v>
      </c>
      <c r="F1292" t="s">
        <v>23</v>
      </c>
      <c r="G1292">
        <v>5.4086000000000004E-3</v>
      </c>
      <c r="I1292">
        <v>1.8314E-3</v>
      </c>
    </row>
    <row r="1293" spans="1:9" x14ac:dyDescent="0.25">
      <c r="A1293" s="104" t="str">
        <f t="shared" si="20"/>
        <v>Uganda2016UrbanNGOImplant</v>
      </c>
      <c r="B1293" t="s">
        <v>154</v>
      </c>
      <c r="C1293">
        <v>2016</v>
      </c>
      <c r="D1293" t="s">
        <v>20</v>
      </c>
      <c r="E1293" t="s">
        <v>170</v>
      </c>
      <c r="F1293" t="s">
        <v>23</v>
      </c>
      <c r="G1293">
        <v>1.4874000000000001E-3</v>
      </c>
      <c r="H1293">
        <v>1.1647999999999999E-3</v>
      </c>
    </row>
    <row r="1294" spans="1:9" x14ac:dyDescent="0.25">
      <c r="A1294" s="104" t="str">
        <f t="shared" si="20"/>
        <v>Uganda2016UrbanCommercialImplant</v>
      </c>
      <c r="B1294" t="s">
        <v>154</v>
      </c>
      <c r="C1294">
        <v>2016</v>
      </c>
      <c r="D1294" t="s">
        <v>20</v>
      </c>
      <c r="E1294" t="s">
        <v>59</v>
      </c>
      <c r="F1294" t="s">
        <v>23</v>
      </c>
      <c r="G1294">
        <v>8.8821000000000004E-3</v>
      </c>
      <c r="H1294">
        <v>1.45229E-2</v>
      </c>
      <c r="I1294">
        <v>6.5278000000000003E-3</v>
      </c>
    </row>
    <row r="1295" spans="1:9" x14ac:dyDescent="0.25">
      <c r="A1295" s="104" t="str">
        <f t="shared" si="20"/>
        <v>Uganda2016UrbanOtherImplant</v>
      </c>
      <c r="B1295" t="s">
        <v>154</v>
      </c>
      <c r="C1295">
        <v>2016</v>
      </c>
      <c r="D1295" t="s">
        <v>20</v>
      </c>
      <c r="E1295" t="s">
        <v>116</v>
      </c>
      <c r="F1295" t="s">
        <v>23</v>
      </c>
      <c r="G1295">
        <v>3.9500000000000001E-4</v>
      </c>
    </row>
    <row r="1296" spans="1:9" x14ac:dyDescent="0.25">
      <c r="A1296" s="104" t="str">
        <f t="shared" si="20"/>
        <v>Uganda2016RuralPub_MedImplant</v>
      </c>
      <c r="B1296" t="s">
        <v>154</v>
      </c>
      <c r="C1296">
        <v>2016</v>
      </c>
      <c r="D1296" t="s">
        <v>21</v>
      </c>
      <c r="E1296" t="s">
        <v>52</v>
      </c>
      <c r="F1296" t="s">
        <v>23</v>
      </c>
      <c r="G1296">
        <v>3.87763E-2</v>
      </c>
      <c r="H1296">
        <v>3.71948E-2</v>
      </c>
      <c r="I1296">
        <v>3.1653300000000002E-2</v>
      </c>
    </row>
    <row r="1297" spans="1:9" x14ac:dyDescent="0.25">
      <c r="A1297" s="104" t="str">
        <f t="shared" si="20"/>
        <v>Uganda2016RuralPub_OutreachImplant</v>
      </c>
      <c r="B1297" t="s">
        <v>154</v>
      </c>
      <c r="C1297">
        <v>2016</v>
      </c>
      <c r="D1297" t="s">
        <v>21</v>
      </c>
      <c r="E1297" t="s">
        <v>54</v>
      </c>
      <c r="F1297" t="s">
        <v>23</v>
      </c>
      <c r="G1297">
        <v>1.2178E-3</v>
      </c>
      <c r="H1297">
        <v>1.8622000000000001E-3</v>
      </c>
      <c r="I1297">
        <v>3.5446000000000002E-3</v>
      </c>
    </row>
    <row r="1298" spans="1:9" x14ac:dyDescent="0.25">
      <c r="A1298" s="104" t="str">
        <f t="shared" si="20"/>
        <v>Uganda2016RuralNGOImplant</v>
      </c>
      <c r="B1298" t="s">
        <v>154</v>
      </c>
      <c r="C1298">
        <v>2016</v>
      </c>
      <c r="D1298" t="s">
        <v>21</v>
      </c>
      <c r="E1298" t="s">
        <v>170</v>
      </c>
      <c r="F1298" t="s">
        <v>23</v>
      </c>
      <c r="G1298">
        <v>4.461E-4</v>
      </c>
      <c r="H1298">
        <v>8.5999999999999998E-4</v>
      </c>
      <c r="I1298">
        <v>1.2436999999999999E-3</v>
      </c>
    </row>
    <row r="1299" spans="1:9" x14ac:dyDescent="0.25">
      <c r="A1299" s="104" t="str">
        <f t="shared" si="20"/>
        <v>Uganda2016RuralCommercialImplant</v>
      </c>
      <c r="B1299" t="s">
        <v>154</v>
      </c>
      <c r="C1299">
        <v>2016</v>
      </c>
      <c r="D1299" t="s">
        <v>21</v>
      </c>
      <c r="E1299" t="s">
        <v>59</v>
      </c>
      <c r="F1299" t="s">
        <v>23</v>
      </c>
      <c r="G1299">
        <v>5.3004999999999997E-3</v>
      </c>
      <c r="H1299">
        <v>5.7995E-3</v>
      </c>
      <c r="I1299">
        <v>1.04207E-2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1161"/>
  <sheetViews>
    <sheetView topLeftCell="A496" workbookViewId="0">
      <selection activeCell="B1021" sqref="B1:B1048576"/>
    </sheetView>
  </sheetViews>
  <sheetFormatPr defaultRowHeight="15" x14ac:dyDescent="0.25"/>
  <cols>
    <col min="1" max="1" width="41.5703125" style="104" bestFit="1" customWidth="1"/>
  </cols>
  <sheetData>
    <row r="1" spans="1:9" x14ac:dyDescent="0.25">
      <c r="B1" t="s">
        <v>258</v>
      </c>
      <c r="C1" t="s">
        <v>259</v>
      </c>
      <c r="D1" t="s">
        <v>260</v>
      </c>
      <c r="E1" t="s">
        <v>261</v>
      </c>
      <c r="F1" t="s">
        <v>262</v>
      </c>
      <c r="G1" t="s">
        <v>225</v>
      </c>
      <c r="H1" t="s">
        <v>224</v>
      </c>
      <c r="I1" t="s">
        <v>223</v>
      </c>
    </row>
    <row r="2" spans="1:9" x14ac:dyDescent="0.25">
      <c r="A2" s="104" t="str">
        <f>B2&amp;C2&amp;D2&amp;E2&amp;F2</f>
        <v>Ethiopia2011NationalPub_MedPill</v>
      </c>
      <c r="B2" t="s">
        <v>6</v>
      </c>
      <c r="C2">
        <v>2011</v>
      </c>
      <c r="D2" t="s">
        <v>178</v>
      </c>
      <c r="E2" t="s">
        <v>52</v>
      </c>
      <c r="F2" t="s">
        <v>12</v>
      </c>
      <c r="G2">
        <v>2.7165000000000002E-3</v>
      </c>
      <c r="H2">
        <v>1.2719899999999999E-2</v>
      </c>
      <c r="I2">
        <v>2.4280300000000001E-2</v>
      </c>
    </row>
    <row r="3" spans="1:9" x14ac:dyDescent="0.25">
      <c r="A3" s="104" t="str">
        <f t="shared" ref="A3:A66" si="0">B3&amp;C3&amp;D3&amp;E3&amp;F3</f>
        <v>Ethiopia2011NationalPub_OutreachPill</v>
      </c>
      <c r="B3" t="s">
        <v>6</v>
      </c>
      <c r="C3">
        <v>2011</v>
      </c>
      <c r="D3" t="s">
        <v>178</v>
      </c>
      <c r="E3" t="s">
        <v>54</v>
      </c>
      <c r="F3" t="s">
        <v>12</v>
      </c>
      <c r="G3">
        <v>3.0533000000000001E-3</v>
      </c>
      <c r="H3">
        <v>3.2972000000000001E-3</v>
      </c>
    </row>
    <row r="4" spans="1:9" x14ac:dyDescent="0.25">
      <c r="A4" s="104" t="str">
        <f t="shared" si="0"/>
        <v>Ethiopia2011NationalNGOPill</v>
      </c>
      <c r="B4" t="s">
        <v>6</v>
      </c>
      <c r="C4">
        <v>2011</v>
      </c>
      <c r="D4" t="s">
        <v>178</v>
      </c>
      <c r="E4" t="s">
        <v>170</v>
      </c>
      <c r="F4" t="s">
        <v>12</v>
      </c>
      <c r="H4">
        <v>1.6126999999999999E-3</v>
      </c>
      <c r="I4">
        <v>2.6922000000000001E-3</v>
      </c>
    </row>
    <row r="5" spans="1:9" x14ac:dyDescent="0.25">
      <c r="A5" s="104" t="str">
        <f t="shared" si="0"/>
        <v>Ethiopia2011NationalCommercialPill</v>
      </c>
      <c r="B5" t="s">
        <v>6</v>
      </c>
      <c r="C5">
        <v>2011</v>
      </c>
      <c r="D5" t="s">
        <v>178</v>
      </c>
      <c r="E5" t="s">
        <v>59</v>
      </c>
      <c r="F5" t="s">
        <v>12</v>
      </c>
      <c r="G5">
        <v>9.0350000000000001E-4</v>
      </c>
      <c r="H5">
        <v>5.7390999999999996E-3</v>
      </c>
      <c r="I5">
        <v>2.1845300000000002E-2</v>
      </c>
    </row>
    <row r="6" spans="1:9" x14ac:dyDescent="0.25">
      <c r="A6" s="104" t="str">
        <f t="shared" si="0"/>
        <v>Ethiopia2011NationalNonTradPill</v>
      </c>
      <c r="B6" t="s">
        <v>6</v>
      </c>
      <c r="C6">
        <v>2011</v>
      </c>
      <c r="D6" t="s">
        <v>178</v>
      </c>
      <c r="E6" t="s">
        <v>171</v>
      </c>
      <c r="F6" t="s">
        <v>12</v>
      </c>
      <c r="G6">
        <v>1.236E-4</v>
      </c>
    </row>
    <row r="7" spans="1:9" x14ac:dyDescent="0.25">
      <c r="A7" s="104" t="str">
        <f t="shared" si="0"/>
        <v>Ethiopia2011NationalOtherPill</v>
      </c>
      <c r="B7" t="s">
        <v>6</v>
      </c>
      <c r="C7">
        <v>2011</v>
      </c>
      <c r="D7" t="s">
        <v>178</v>
      </c>
      <c r="E7" t="s">
        <v>116</v>
      </c>
      <c r="F7" t="s">
        <v>12</v>
      </c>
      <c r="G7">
        <v>1.2999999999999999E-5</v>
      </c>
      <c r="I7">
        <v>3.6410000000000001E-4</v>
      </c>
    </row>
    <row r="8" spans="1:9" x14ac:dyDescent="0.25">
      <c r="A8" s="104" t="str">
        <f t="shared" si="0"/>
        <v>Ethiopia2011UrbanPub_MedPill</v>
      </c>
      <c r="B8" t="s">
        <v>6</v>
      </c>
      <c r="C8">
        <v>2011</v>
      </c>
      <c r="D8" t="s">
        <v>20</v>
      </c>
      <c r="E8" t="s">
        <v>52</v>
      </c>
      <c r="F8" t="s">
        <v>12</v>
      </c>
      <c r="G8">
        <v>1.2426700000000001E-2</v>
      </c>
      <c r="H8">
        <v>1.5707599999999999E-2</v>
      </c>
      <c r="I8">
        <v>2.23222E-2</v>
      </c>
    </row>
    <row r="9" spans="1:9" x14ac:dyDescent="0.25">
      <c r="A9" s="104" t="str">
        <f t="shared" si="0"/>
        <v>Ethiopia2011UrbanPub_OutreachPill</v>
      </c>
      <c r="B9" t="s">
        <v>6</v>
      </c>
      <c r="C9">
        <v>2011</v>
      </c>
      <c r="D9" t="s">
        <v>20</v>
      </c>
      <c r="E9" t="s">
        <v>54</v>
      </c>
      <c r="F9" t="s">
        <v>12</v>
      </c>
      <c r="H9">
        <v>2.1159999999999999E-4</v>
      </c>
    </row>
    <row r="10" spans="1:9" x14ac:dyDescent="0.25">
      <c r="A10" s="104" t="str">
        <f t="shared" si="0"/>
        <v>Ethiopia2011UrbanNGOPill</v>
      </c>
      <c r="B10" t="s">
        <v>6</v>
      </c>
      <c r="C10">
        <v>2011</v>
      </c>
      <c r="D10" t="s">
        <v>20</v>
      </c>
      <c r="E10" t="s">
        <v>170</v>
      </c>
      <c r="F10" t="s">
        <v>12</v>
      </c>
      <c r="H10">
        <v>2.1335999999999998E-3</v>
      </c>
      <c r="I10">
        <v>2.8203999999999998E-3</v>
      </c>
    </row>
    <row r="11" spans="1:9" x14ac:dyDescent="0.25">
      <c r="A11" s="104" t="str">
        <f t="shared" si="0"/>
        <v>Ethiopia2011UrbanCommercialPill</v>
      </c>
      <c r="B11" t="s">
        <v>6</v>
      </c>
      <c r="C11">
        <v>2011</v>
      </c>
      <c r="D11" t="s">
        <v>20</v>
      </c>
      <c r="E11" t="s">
        <v>59</v>
      </c>
      <c r="F11" t="s">
        <v>12</v>
      </c>
      <c r="G11">
        <v>1.91973E-2</v>
      </c>
      <c r="H11">
        <v>7.6999E-3</v>
      </c>
      <c r="I11">
        <v>2.2885900000000001E-2</v>
      </c>
    </row>
    <row r="12" spans="1:9" x14ac:dyDescent="0.25">
      <c r="A12" s="104" t="str">
        <f t="shared" si="0"/>
        <v>Ethiopia2011UrbanOtherPill</v>
      </c>
      <c r="B12" t="s">
        <v>6</v>
      </c>
      <c r="C12">
        <v>2011</v>
      </c>
      <c r="D12" t="s">
        <v>20</v>
      </c>
      <c r="E12" t="s">
        <v>116</v>
      </c>
      <c r="F12" t="s">
        <v>12</v>
      </c>
      <c r="I12">
        <v>3.814E-4</v>
      </c>
    </row>
    <row r="13" spans="1:9" x14ac:dyDescent="0.25">
      <c r="A13" s="104" t="str">
        <f t="shared" si="0"/>
        <v>Ethiopia2011RuralPub_MedPill</v>
      </c>
      <c r="B13" t="s">
        <v>6</v>
      </c>
      <c r="C13">
        <v>2011</v>
      </c>
      <c r="D13" t="s">
        <v>21</v>
      </c>
      <c r="E13" t="s">
        <v>52</v>
      </c>
      <c r="F13" t="s">
        <v>12</v>
      </c>
      <c r="G13">
        <v>2.4854E-3</v>
      </c>
      <c r="H13">
        <v>8.9052000000000003E-3</v>
      </c>
      <c r="I13">
        <v>6.5388299999999996E-2</v>
      </c>
    </row>
    <row r="14" spans="1:9" x14ac:dyDescent="0.25">
      <c r="A14" s="104" t="str">
        <f t="shared" si="0"/>
        <v>Ethiopia2011RuralPub_OutreachPill</v>
      </c>
      <c r="B14" t="s">
        <v>6</v>
      </c>
      <c r="C14">
        <v>2011</v>
      </c>
      <c r="D14" t="s">
        <v>21</v>
      </c>
      <c r="E14" t="s">
        <v>54</v>
      </c>
      <c r="F14" t="s">
        <v>12</v>
      </c>
      <c r="G14">
        <v>3.1259E-3</v>
      </c>
      <c r="H14">
        <v>7.2370000000000004E-3</v>
      </c>
    </row>
    <row r="15" spans="1:9" x14ac:dyDescent="0.25">
      <c r="A15" s="104" t="str">
        <f t="shared" si="0"/>
        <v>Ethiopia2011RuralNGOPill</v>
      </c>
      <c r="B15" t="s">
        <v>6</v>
      </c>
      <c r="C15">
        <v>2011</v>
      </c>
      <c r="D15" t="s">
        <v>21</v>
      </c>
      <c r="E15" t="s">
        <v>170</v>
      </c>
      <c r="F15" t="s">
        <v>12</v>
      </c>
      <c r="H15">
        <v>9.4760000000000005E-4</v>
      </c>
    </row>
    <row r="16" spans="1:9" x14ac:dyDescent="0.25">
      <c r="A16" s="104" t="str">
        <f t="shared" si="0"/>
        <v>Ethiopia2011RuralCommercialPill</v>
      </c>
      <c r="B16" t="s">
        <v>6</v>
      </c>
      <c r="C16">
        <v>2011</v>
      </c>
      <c r="D16" t="s">
        <v>21</v>
      </c>
      <c r="E16" t="s">
        <v>59</v>
      </c>
      <c r="F16" t="s">
        <v>12</v>
      </c>
      <c r="G16">
        <v>4.682E-4</v>
      </c>
      <c r="H16">
        <v>3.2357000000000002E-3</v>
      </c>
    </row>
    <row r="17" spans="1:9" x14ac:dyDescent="0.25">
      <c r="A17" s="104" t="str">
        <f t="shared" si="0"/>
        <v>Ethiopia2011RuralNonTradPill</v>
      </c>
      <c r="B17" t="s">
        <v>6</v>
      </c>
      <c r="C17">
        <v>2011</v>
      </c>
      <c r="D17" t="s">
        <v>21</v>
      </c>
      <c r="E17" t="s">
        <v>171</v>
      </c>
      <c r="F17" t="s">
        <v>12</v>
      </c>
      <c r="G17">
        <v>1.2650000000000001E-4</v>
      </c>
    </row>
    <row r="18" spans="1:9" x14ac:dyDescent="0.25">
      <c r="A18" s="104" t="str">
        <f t="shared" si="0"/>
        <v>Ethiopia2011RuralOtherPill</v>
      </c>
      <c r="B18" t="s">
        <v>6</v>
      </c>
      <c r="C18">
        <v>2011</v>
      </c>
      <c r="D18" t="s">
        <v>21</v>
      </c>
      <c r="E18" t="s">
        <v>116</v>
      </c>
      <c r="F18" t="s">
        <v>12</v>
      </c>
      <c r="G18">
        <v>1.33E-5</v>
      </c>
    </row>
    <row r="19" spans="1:9" x14ac:dyDescent="0.25">
      <c r="A19" s="104" t="str">
        <f t="shared" si="0"/>
        <v>Ethiopia2011NationalPub_MedIUD</v>
      </c>
      <c r="B19" t="s">
        <v>6</v>
      </c>
      <c r="C19">
        <v>2011</v>
      </c>
      <c r="D19" t="s">
        <v>178</v>
      </c>
      <c r="E19" t="s">
        <v>52</v>
      </c>
      <c r="F19" t="s">
        <v>16</v>
      </c>
      <c r="G19">
        <v>1.2957000000000001E-3</v>
      </c>
      <c r="H19">
        <v>1.6138000000000001E-3</v>
      </c>
      <c r="I19">
        <v>1.1582999999999999E-3</v>
      </c>
    </row>
    <row r="20" spans="1:9" x14ac:dyDescent="0.25">
      <c r="A20" s="104" t="str">
        <f t="shared" si="0"/>
        <v>Ethiopia2011NationalPub_OutreachIUD</v>
      </c>
      <c r="B20" t="s">
        <v>6</v>
      </c>
      <c r="C20">
        <v>2011</v>
      </c>
      <c r="D20" t="s">
        <v>178</v>
      </c>
      <c r="E20" t="s">
        <v>54</v>
      </c>
      <c r="F20" t="s">
        <v>16</v>
      </c>
      <c r="G20">
        <v>1.273E-4</v>
      </c>
      <c r="H20">
        <v>3.993E-4</v>
      </c>
    </row>
    <row r="21" spans="1:9" x14ac:dyDescent="0.25">
      <c r="A21" s="104" t="str">
        <f t="shared" si="0"/>
        <v>Ethiopia2011NationalNGOIUD</v>
      </c>
      <c r="B21" t="s">
        <v>6</v>
      </c>
      <c r="C21">
        <v>2011</v>
      </c>
      <c r="D21" t="s">
        <v>178</v>
      </c>
      <c r="E21" t="s">
        <v>170</v>
      </c>
      <c r="F21" t="s">
        <v>16</v>
      </c>
      <c r="H21">
        <v>1.439E-4</v>
      </c>
      <c r="I21">
        <v>2.6692999999999999E-3</v>
      </c>
    </row>
    <row r="22" spans="1:9" x14ac:dyDescent="0.25">
      <c r="A22" s="104" t="str">
        <f t="shared" si="0"/>
        <v>Ethiopia2011NationalCommercialIUD</v>
      </c>
      <c r="B22" t="s">
        <v>6</v>
      </c>
      <c r="C22">
        <v>2011</v>
      </c>
      <c r="D22" t="s">
        <v>178</v>
      </c>
      <c r="E22" t="s">
        <v>59</v>
      </c>
      <c r="F22" t="s">
        <v>16</v>
      </c>
      <c r="H22">
        <v>1.6890000000000001E-4</v>
      </c>
      <c r="I22">
        <v>1.0912000000000001E-3</v>
      </c>
    </row>
    <row r="23" spans="1:9" x14ac:dyDescent="0.25">
      <c r="A23" s="104" t="str">
        <f t="shared" si="0"/>
        <v>Ethiopia2011NationalOtherIUD</v>
      </c>
      <c r="B23" t="s">
        <v>6</v>
      </c>
      <c r="C23">
        <v>2011</v>
      </c>
      <c r="D23" t="s">
        <v>178</v>
      </c>
      <c r="E23" t="s">
        <v>116</v>
      </c>
      <c r="F23" t="s">
        <v>16</v>
      </c>
      <c r="I23">
        <v>2.5295000000000001E-3</v>
      </c>
    </row>
    <row r="24" spans="1:9" x14ac:dyDescent="0.25">
      <c r="A24" s="104" t="str">
        <f t="shared" si="0"/>
        <v>Ethiopia2011UrbanPub_MedIUD</v>
      </c>
      <c r="B24" t="s">
        <v>6</v>
      </c>
      <c r="C24">
        <v>2011</v>
      </c>
      <c r="D24" t="s">
        <v>20</v>
      </c>
      <c r="E24" t="s">
        <v>52</v>
      </c>
      <c r="F24" t="s">
        <v>16</v>
      </c>
      <c r="H24">
        <v>1.7160000000000001E-3</v>
      </c>
      <c r="I24">
        <v>1.2135E-3</v>
      </c>
    </row>
    <row r="25" spans="1:9" x14ac:dyDescent="0.25">
      <c r="A25" s="104" t="str">
        <f t="shared" si="0"/>
        <v>Ethiopia2011UrbanNGOIUD</v>
      </c>
      <c r="B25" t="s">
        <v>6</v>
      </c>
      <c r="C25">
        <v>2011</v>
      </c>
      <c r="D25" t="s">
        <v>20</v>
      </c>
      <c r="E25" t="s">
        <v>170</v>
      </c>
      <c r="F25" t="s">
        <v>16</v>
      </c>
      <c r="H25">
        <v>2.3900000000000001E-4</v>
      </c>
      <c r="I25">
        <v>2.7964000000000001E-3</v>
      </c>
    </row>
    <row r="26" spans="1:9" x14ac:dyDescent="0.25">
      <c r="A26" s="104" t="str">
        <f t="shared" si="0"/>
        <v>Ethiopia2011UrbanCommercialIUD</v>
      </c>
      <c r="B26" t="s">
        <v>6</v>
      </c>
      <c r="C26">
        <v>2011</v>
      </c>
      <c r="D26" t="s">
        <v>20</v>
      </c>
      <c r="E26" t="s">
        <v>59</v>
      </c>
      <c r="F26" t="s">
        <v>16</v>
      </c>
      <c r="H26">
        <v>1.763E-4</v>
      </c>
      <c r="I26">
        <v>1.1432E-3</v>
      </c>
    </row>
    <row r="27" spans="1:9" x14ac:dyDescent="0.25">
      <c r="A27" s="104" t="str">
        <f t="shared" si="0"/>
        <v>Ethiopia2011UrbanOtherIUD</v>
      </c>
      <c r="B27" t="s">
        <v>6</v>
      </c>
      <c r="C27">
        <v>2011</v>
      </c>
      <c r="D27" t="s">
        <v>20</v>
      </c>
      <c r="E27" t="s">
        <v>116</v>
      </c>
      <c r="F27" t="s">
        <v>16</v>
      </c>
      <c r="I27">
        <v>2.65E-3</v>
      </c>
    </row>
    <row r="28" spans="1:9" x14ac:dyDescent="0.25">
      <c r="A28" s="104" t="str">
        <f t="shared" si="0"/>
        <v>Ethiopia2011RuralPub_MedIUD</v>
      </c>
      <c r="B28" t="s">
        <v>6</v>
      </c>
      <c r="C28">
        <v>2011</v>
      </c>
      <c r="D28" t="s">
        <v>21</v>
      </c>
      <c r="E28" t="s">
        <v>52</v>
      </c>
      <c r="F28" t="s">
        <v>16</v>
      </c>
      <c r="G28">
        <v>1.3265E-3</v>
      </c>
      <c r="H28">
        <v>1.4832999999999999E-3</v>
      </c>
    </row>
    <row r="29" spans="1:9" x14ac:dyDescent="0.25">
      <c r="A29" s="104" t="str">
        <f t="shared" si="0"/>
        <v>Ethiopia2011RuralPub_OutreachIUD</v>
      </c>
      <c r="B29" t="s">
        <v>6</v>
      </c>
      <c r="C29">
        <v>2011</v>
      </c>
      <c r="D29" t="s">
        <v>21</v>
      </c>
      <c r="E29" t="s">
        <v>54</v>
      </c>
      <c r="F29" t="s">
        <v>16</v>
      </c>
      <c r="G29">
        <v>1.304E-4</v>
      </c>
      <c r="H29">
        <v>9.0919999999999998E-4</v>
      </c>
    </row>
    <row r="30" spans="1:9" x14ac:dyDescent="0.25">
      <c r="A30" s="104" t="str">
        <f t="shared" si="0"/>
        <v>Ethiopia2011RuralNGOIUD</v>
      </c>
      <c r="B30" t="s">
        <v>6</v>
      </c>
      <c r="C30">
        <v>2011</v>
      </c>
      <c r="D30" t="s">
        <v>21</v>
      </c>
      <c r="E30" t="s">
        <v>170</v>
      </c>
      <c r="F30" t="s">
        <v>16</v>
      </c>
      <c r="H30">
        <v>2.2399999999999999E-5</v>
      </c>
    </row>
    <row r="31" spans="1:9" x14ac:dyDescent="0.25">
      <c r="A31" s="104" t="str">
        <f t="shared" si="0"/>
        <v>Ethiopia2011RuralCommercialIUD</v>
      </c>
      <c r="B31" t="s">
        <v>6</v>
      </c>
      <c r="C31">
        <v>2011</v>
      </c>
      <c r="D31" t="s">
        <v>21</v>
      </c>
      <c r="E31" t="s">
        <v>59</v>
      </c>
      <c r="F31" t="s">
        <v>16</v>
      </c>
      <c r="H31">
        <v>1.595E-4</v>
      </c>
    </row>
    <row r="32" spans="1:9" x14ac:dyDescent="0.25">
      <c r="A32" s="104" t="str">
        <f t="shared" si="0"/>
        <v>Ethiopia2011NationalPub_MedInjectable</v>
      </c>
      <c r="B32" t="s">
        <v>6</v>
      </c>
      <c r="C32">
        <v>2011</v>
      </c>
      <c r="D32" t="s">
        <v>178</v>
      </c>
      <c r="E32" t="s">
        <v>52</v>
      </c>
      <c r="F32" t="s">
        <v>22</v>
      </c>
      <c r="G32">
        <v>5.7981100000000001E-2</v>
      </c>
      <c r="H32">
        <v>0.12737619999999999</v>
      </c>
      <c r="I32">
        <v>9.1860399999999995E-2</v>
      </c>
    </row>
    <row r="33" spans="1:9" x14ac:dyDescent="0.25">
      <c r="A33" s="104" t="str">
        <f t="shared" si="0"/>
        <v>Ethiopia2011NationalPub_OutreachInjectable</v>
      </c>
      <c r="B33" t="s">
        <v>6</v>
      </c>
      <c r="C33">
        <v>2011</v>
      </c>
      <c r="D33" t="s">
        <v>178</v>
      </c>
      <c r="E33" t="s">
        <v>54</v>
      </c>
      <c r="F33" t="s">
        <v>22</v>
      </c>
      <c r="G33">
        <v>5.14692E-2</v>
      </c>
      <c r="H33">
        <v>3.6109000000000002E-2</v>
      </c>
      <c r="I33">
        <v>1.9011E-3</v>
      </c>
    </row>
    <row r="34" spans="1:9" x14ac:dyDescent="0.25">
      <c r="A34" s="104" t="str">
        <f t="shared" si="0"/>
        <v>Ethiopia2011NationalNGOInjectable</v>
      </c>
      <c r="B34" t="s">
        <v>6</v>
      </c>
      <c r="C34">
        <v>2011</v>
      </c>
      <c r="D34" t="s">
        <v>178</v>
      </c>
      <c r="E34" t="s">
        <v>170</v>
      </c>
      <c r="F34" t="s">
        <v>22</v>
      </c>
      <c r="G34">
        <v>9.2259999999999998E-4</v>
      </c>
      <c r="H34">
        <v>4.0470000000000002E-3</v>
      </c>
      <c r="I34">
        <v>5.1767000000000002E-3</v>
      </c>
    </row>
    <row r="35" spans="1:9" x14ac:dyDescent="0.25">
      <c r="A35" s="104" t="str">
        <f t="shared" si="0"/>
        <v>Ethiopia2011NationalCommercialInjectable</v>
      </c>
      <c r="B35" t="s">
        <v>6</v>
      </c>
      <c r="C35">
        <v>2011</v>
      </c>
      <c r="D35" t="s">
        <v>178</v>
      </c>
      <c r="E35" t="s">
        <v>59</v>
      </c>
      <c r="F35" t="s">
        <v>22</v>
      </c>
      <c r="G35">
        <v>8.0736000000000002E-3</v>
      </c>
      <c r="H35">
        <v>3.11975E-2</v>
      </c>
      <c r="I35">
        <v>4.02917E-2</v>
      </c>
    </row>
    <row r="36" spans="1:9" x14ac:dyDescent="0.25">
      <c r="A36" s="104" t="str">
        <f t="shared" si="0"/>
        <v>Ethiopia2011NationalNonTradInjectable</v>
      </c>
      <c r="B36" t="s">
        <v>6</v>
      </c>
      <c r="C36">
        <v>2011</v>
      </c>
      <c r="D36" t="s">
        <v>178</v>
      </c>
      <c r="E36" t="s">
        <v>171</v>
      </c>
      <c r="F36" t="s">
        <v>22</v>
      </c>
      <c r="H36">
        <v>7.7380000000000005E-4</v>
      </c>
    </row>
    <row r="37" spans="1:9" x14ac:dyDescent="0.25">
      <c r="A37" s="104" t="str">
        <f t="shared" si="0"/>
        <v>Ethiopia2011NationalOtherInjectable</v>
      </c>
      <c r="B37" t="s">
        <v>6</v>
      </c>
      <c r="C37">
        <v>2011</v>
      </c>
      <c r="D37" t="s">
        <v>178</v>
      </c>
      <c r="E37" t="s">
        <v>116</v>
      </c>
      <c r="F37" t="s">
        <v>22</v>
      </c>
      <c r="G37">
        <v>1.0326999999999999E-3</v>
      </c>
      <c r="H37">
        <v>1.7239E-3</v>
      </c>
      <c r="I37">
        <v>2.9204000000000001E-3</v>
      </c>
    </row>
    <row r="38" spans="1:9" x14ac:dyDescent="0.25">
      <c r="A38" s="104" t="str">
        <f t="shared" si="0"/>
        <v>Ethiopia2011UrbanPub_MedInjectable</v>
      </c>
      <c r="B38" t="s">
        <v>6</v>
      </c>
      <c r="C38">
        <v>2011</v>
      </c>
      <c r="D38" t="s">
        <v>20</v>
      </c>
      <c r="E38" t="s">
        <v>52</v>
      </c>
      <c r="F38" t="s">
        <v>22</v>
      </c>
      <c r="G38">
        <v>6.2292500000000001E-2</v>
      </c>
      <c r="H38">
        <v>0.15728590000000001</v>
      </c>
      <c r="I38">
        <v>9.1859999999999997E-2</v>
      </c>
    </row>
    <row r="39" spans="1:9" x14ac:dyDescent="0.25">
      <c r="A39" s="104" t="str">
        <f t="shared" si="0"/>
        <v>Ethiopia2011UrbanPub_OutreachInjectable</v>
      </c>
      <c r="B39" t="s">
        <v>6</v>
      </c>
      <c r="C39">
        <v>2011</v>
      </c>
      <c r="D39" t="s">
        <v>20</v>
      </c>
      <c r="E39" t="s">
        <v>54</v>
      </c>
      <c r="F39" t="s">
        <v>22</v>
      </c>
      <c r="G39">
        <v>3.6614800000000003E-2</v>
      </c>
      <c r="H39">
        <v>7.0305000000000003E-3</v>
      </c>
      <c r="I39">
        <v>1.9916999999999999E-3</v>
      </c>
    </row>
    <row r="40" spans="1:9" x14ac:dyDescent="0.25">
      <c r="A40" s="104" t="str">
        <f t="shared" si="0"/>
        <v>Ethiopia2011UrbanNGOInjectable</v>
      </c>
      <c r="B40" t="s">
        <v>6</v>
      </c>
      <c r="C40">
        <v>2011</v>
      </c>
      <c r="D40" t="s">
        <v>20</v>
      </c>
      <c r="E40" t="s">
        <v>170</v>
      </c>
      <c r="F40" t="s">
        <v>22</v>
      </c>
      <c r="H40">
        <v>7.2166000000000001E-3</v>
      </c>
      <c r="I40">
        <v>5.4232999999999998E-3</v>
      </c>
    </row>
    <row r="41" spans="1:9" x14ac:dyDescent="0.25">
      <c r="A41" s="104" t="str">
        <f t="shared" si="0"/>
        <v>Ethiopia2011UrbanCommercialInjectable</v>
      </c>
      <c r="B41" t="s">
        <v>6</v>
      </c>
      <c r="C41">
        <v>2011</v>
      </c>
      <c r="D41" t="s">
        <v>20</v>
      </c>
      <c r="E41" t="s">
        <v>59</v>
      </c>
      <c r="F41" t="s">
        <v>22</v>
      </c>
      <c r="G41">
        <v>2.9643999999999998E-3</v>
      </c>
      <c r="H41">
        <v>3.71924E-2</v>
      </c>
      <c r="I41">
        <v>4.0581100000000002E-2</v>
      </c>
    </row>
    <row r="42" spans="1:9" x14ac:dyDescent="0.25">
      <c r="A42" s="104" t="str">
        <f t="shared" si="0"/>
        <v>Ethiopia2011UrbanNonTradInjectable</v>
      </c>
      <c r="B42" t="s">
        <v>6</v>
      </c>
      <c r="C42">
        <v>2011</v>
      </c>
      <c r="D42" t="s">
        <v>20</v>
      </c>
      <c r="E42" t="s">
        <v>171</v>
      </c>
      <c r="F42" t="s">
        <v>22</v>
      </c>
      <c r="H42">
        <v>1.3798E-3</v>
      </c>
    </row>
    <row r="43" spans="1:9" x14ac:dyDescent="0.25">
      <c r="A43" s="104" t="str">
        <f t="shared" si="0"/>
        <v>Ethiopia2011UrbanOtherInjectable</v>
      </c>
      <c r="B43" t="s">
        <v>6</v>
      </c>
      <c r="C43">
        <v>2011</v>
      </c>
      <c r="D43" t="s">
        <v>20</v>
      </c>
      <c r="E43" t="s">
        <v>116</v>
      </c>
      <c r="F43" t="s">
        <v>22</v>
      </c>
      <c r="H43">
        <v>3.0741000000000002E-3</v>
      </c>
      <c r="I43">
        <v>3.0595000000000002E-3</v>
      </c>
    </row>
    <row r="44" spans="1:9" x14ac:dyDescent="0.25">
      <c r="A44" s="104" t="str">
        <f t="shared" si="0"/>
        <v>Ethiopia2011RuralPub_MedInjectable</v>
      </c>
      <c r="B44" t="s">
        <v>6</v>
      </c>
      <c r="C44">
        <v>2011</v>
      </c>
      <c r="D44" t="s">
        <v>21</v>
      </c>
      <c r="E44" t="s">
        <v>52</v>
      </c>
      <c r="F44" t="s">
        <v>22</v>
      </c>
      <c r="G44">
        <v>5.7878499999999999E-2</v>
      </c>
      <c r="H44">
        <v>8.9188199999999995E-2</v>
      </c>
      <c r="I44">
        <v>9.1869500000000007E-2</v>
      </c>
    </row>
    <row r="45" spans="1:9" x14ac:dyDescent="0.25">
      <c r="A45" s="104" t="str">
        <f t="shared" si="0"/>
        <v>Ethiopia2011RuralPub_OutreachInjectable</v>
      </c>
      <c r="B45" t="s">
        <v>6</v>
      </c>
      <c r="C45">
        <v>2011</v>
      </c>
      <c r="D45" t="s">
        <v>21</v>
      </c>
      <c r="E45" t="s">
        <v>54</v>
      </c>
      <c r="F45" t="s">
        <v>22</v>
      </c>
      <c r="G45">
        <v>5.1822699999999999E-2</v>
      </c>
      <c r="H45">
        <v>7.3235900000000007E-2</v>
      </c>
    </row>
    <row r="46" spans="1:9" x14ac:dyDescent="0.25">
      <c r="A46" s="104" t="str">
        <f t="shared" si="0"/>
        <v>Ethiopia2011RuralNGOInjectable</v>
      </c>
      <c r="B46" t="s">
        <v>6</v>
      </c>
      <c r="C46">
        <v>2011</v>
      </c>
      <c r="D46" t="s">
        <v>21</v>
      </c>
      <c r="E46" t="s">
        <v>170</v>
      </c>
      <c r="F46" t="s">
        <v>22</v>
      </c>
      <c r="G46">
        <v>9.4459999999999998E-4</v>
      </c>
    </row>
    <row r="47" spans="1:9" x14ac:dyDescent="0.25">
      <c r="A47" s="104" t="str">
        <f t="shared" si="0"/>
        <v>Ethiopia2011RuralCommercialInjectable</v>
      </c>
      <c r="B47" t="s">
        <v>6</v>
      </c>
      <c r="C47">
        <v>2011</v>
      </c>
      <c r="D47" t="s">
        <v>21</v>
      </c>
      <c r="E47" t="s">
        <v>59</v>
      </c>
      <c r="F47" t="s">
        <v>22</v>
      </c>
      <c r="G47">
        <v>8.1951999999999997E-3</v>
      </c>
      <c r="H47">
        <v>2.35432E-2</v>
      </c>
      <c r="I47">
        <v>3.4216999999999997E-2</v>
      </c>
    </row>
    <row r="48" spans="1:9" x14ac:dyDescent="0.25">
      <c r="A48" s="104" t="str">
        <f t="shared" si="0"/>
        <v>Ethiopia2011RuralOtherInjectable</v>
      </c>
      <c r="B48" t="s">
        <v>6</v>
      </c>
      <c r="C48">
        <v>2011</v>
      </c>
      <c r="D48" t="s">
        <v>21</v>
      </c>
      <c r="E48" t="s">
        <v>116</v>
      </c>
      <c r="F48" t="s">
        <v>22</v>
      </c>
      <c r="G48">
        <v>1.0571999999999999E-3</v>
      </c>
    </row>
    <row r="49" spans="1:9" x14ac:dyDescent="0.25">
      <c r="A49" s="104" t="str">
        <f t="shared" si="0"/>
        <v>Ethiopia2011NationalPub_MedCondom</v>
      </c>
      <c r="B49" t="s">
        <v>6</v>
      </c>
      <c r="C49">
        <v>2011</v>
      </c>
      <c r="D49" t="s">
        <v>178</v>
      </c>
      <c r="E49" t="s">
        <v>52</v>
      </c>
      <c r="F49" t="s">
        <v>25</v>
      </c>
      <c r="G49" s="222">
        <v>5.4099999999999999E-6</v>
      </c>
      <c r="H49">
        <v>2.017E-4</v>
      </c>
      <c r="I49">
        <v>2.4957E-3</v>
      </c>
    </row>
    <row r="50" spans="1:9" x14ac:dyDescent="0.25">
      <c r="A50" s="104" t="str">
        <f t="shared" si="0"/>
        <v>Ethiopia2011NationalPub_OutreachCondom</v>
      </c>
      <c r="B50" t="s">
        <v>6</v>
      </c>
      <c r="C50">
        <v>2011</v>
      </c>
      <c r="D50" t="s">
        <v>178</v>
      </c>
      <c r="E50" t="s">
        <v>54</v>
      </c>
      <c r="F50" t="s">
        <v>25</v>
      </c>
      <c r="G50">
        <v>6.0399999999999998E-5</v>
      </c>
    </row>
    <row r="51" spans="1:9" x14ac:dyDescent="0.25">
      <c r="A51" s="104" t="str">
        <f t="shared" si="0"/>
        <v>Ethiopia2011NationalCommercialCondom</v>
      </c>
      <c r="B51" t="s">
        <v>6</v>
      </c>
      <c r="C51">
        <v>2011</v>
      </c>
      <c r="D51" t="s">
        <v>178</v>
      </c>
      <c r="E51" t="s">
        <v>59</v>
      </c>
      <c r="F51" t="s">
        <v>25</v>
      </c>
      <c r="G51">
        <v>2.3799999999999999E-5</v>
      </c>
      <c r="H51">
        <v>8.1400000000000005E-4</v>
      </c>
      <c r="I51">
        <v>7.7508999999999998E-3</v>
      </c>
    </row>
    <row r="52" spans="1:9" x14ac:dyDescent="0.25">
      <c r="A52" s="104" t="str">
        <f t="shared" si="0"/>
        <v>Ethiopia2011NationalNonTradCondom</v>
      </c>
      <c r="B52" t="s">
        <v>6</v>
      </c>
      <c r="C52">
        <v>2011</v>
      </c>
      <c r="D52" t="s">
        <v>178</v>
      </c>
      <c r="E52" t="s">
        <v>171</v>
      </c>
      <c r="F52" t="s">
        <v>25</v>
      </c>
      <c r="G52">
        <v>2.3799999999999999E-5</v>
      </c>
      <c r="H52">
        <v>2.8270999999999999E-3</v>
      </c>
      <c r="I52">
        <v>8.3237999999999993E-3</v>
      </c>
    </row>
    <row r="53" spans="1:9" x14ac:dyDescent="0.25">
      <c r="A53" s="104" t="str">
        <f t="shared" si="0"/>
        <v>Ethiopia2011NationalOtherCondom</v>
      </c>
      <c r="B53" t="s">
        <v>6</v>
      </c>
      <c r="C53">
        <v>2011</v>
      </c>
      <c r="D53" t="s">
        <v>178</v>
      </c>
      <c r="E53" t="s">
        <v>116</v>
      </c>
      <c r="F53" t="s">
        <v>25</v>
      </c>
      <c r="G53">
        <v>1.0699999999999999E-5</v>
      </c>
      <c r="I53">
        <v>3.77E-4</v>
      </c>
    </row>
    <row r="54" spans="1:9" x14ac:dyDescent="0.25">
      <c r="A54" s="104" t="str">
        <f t="shared" si="0"/>
        <v>Ethiopia2011UrbanPub_MedCondom</v>
      </c>
      <c r="B54" t="s">
        <v>6</v>
      </c>
      <c r="C54">
        <v>2011</v>
      </c>
      <c r="D54" t="s">
        <v>20</v>
      </c>
      <c r="E54" t="s">
        <v>52</v>
      </c>
      <c r="F54" t="s">
        <v>25</v>
      </c>
      <c r="H54">
        <v>2.3479999999999999E-4</v>
      </c>
      <c r="I54">
        <v>2.6145999999999999E-3</v>
      </c>
    </row>
    <row r="55" spans="1:9" x14ac:dyDescent="0.25">
      <c r="A55" s="104" t="str">
        <f t="shared" si="0"/>
        <v>Ethiopia2011UrbanCommercialCondom</v>
      </c>
      <c r="B55" t="s">
        <v>6</v>
      </c>
      <c r="C55">
        <v>2011</v>
      </c>
      <c r="D55" t="s">
        <v>20</v>
      </c>
      <c r="E55" t="s">
        <v>59</v>
      </c>
      <c r="F55" t="s">
        <v>25</v>
      </c>
      <c r="H55">
        <v>1.2017E-3</v>
      </c>
      <c r="I55">
        <v>8.0912999999999992E-3</v>
      </c>
    </row>
    <row r="56" spans="1:9" x14ac:dyDescent="0.25">
      <c r="A56" s="104" t="str">
        <f t="shared" si="0"/>
        <v>Ethiopia2011UrbanNonTradCondom</v>
      </c>
      <c r="B56" t="s">
        <v>6</v>
      </c>
      <c r="C56">
        <v>2011</v>
      </c>
      <c r="D56" t="s">
        <v>20</v>
      </c>
      <c r="E56" t="s">
        <v>171</v>
      </c>
      <c r="F56" t="s">
        <v>25</v>
      </c>
      <c r="H56">
        <v>4.4828999999999997E-3</v>
      </c>
      <c r="I56">
        <v>8.7203000000000003E-3</v>
      </c>
    </row>
    <row r="57" spans="1:9" x14ac:dyDescent="0.25">
      <c r="A57" s="104" t="str">
        <f t="shared" si="0"/>
        <v>Ethiopia2011UrbanOtherCondom</v>
      </c>
      <c r="B57" t="s">
        <v>6</v>
      </c>
      <c r="C57">
        <v>2011</v>
      </c>
      <c r="D57" t="s">
        <v>20</v>
      </c>
      <c r="E57" t="s">
        <v>116</v>
      </c>
      <c r="F57" t="s">
        <v>25</v>
      </c>
      <c r="I57">
        <v>3.949E-4</v>
      </c>
    </row>
    <row r="58" spans="1:9" x14ac:dyDescent="0.25">
      <c r="A58" s="104" t="str">
        <f t="shared" si="0"/>
        <v>Ethiopia2011RuralPub_MedCondom</v>
      </c>
      <c r="B58" t="s">
        <v>6</v>
      </c>
      <c r="C58">
        <v>2011</v>
      </c>
      <c r="D58" t="s">
        <v>21</v>
      </c>
      <c r="E58" t="s">
        <v>52</v>
      </c>
      <c r="F58" t="s">
        <v>25</v>
      </c>
      <c r="G58" s="222">
        <v>5.5400000000000003E-6</v>
      </c>
      <c r="H58">
        <v>1.595E-4</v>
      </c>
    </row>
    <row r="59" spans="1:9" x14ac:dyDescent="0.25">
      <c r="A59" s="104" t="str">
        <f t="shared" si="0"/>
        <v>Ethiopia2011RuralPub_OutreachCondom</v>
      </c>
      <c r="B59" t="s">
        <v>6</v>
      </c>
      <c r="C59">
        <v>2011</v>
      </c>
      <c r="D59" t="s">
        <v>21</v>
      </c>
      <c r="E59" t="s">
        <v>54</v>
      </c>
      <c r="F59" t="s">
        <v>25</v>
      </c>
      <c r="G59">
        <v>6.1799999999999998E-5</v>
      </c>
    </row>
    <row r="60" spans="1:9" x14ac:dyDescent="0.25">
      <c r="A60" s="104" t="str">
        <f t="shared" si="0"/>
        <v>Ethiopia2011RuralCommercialCondom</v>
      </c>
      <c r="B60" t="s">
        <v>6</v>
      </c>
      <c r="C60">
        <v>2011</v>
      </c>
      <c r="D60" t="s">
        <v>21</v>
      </c>
      <c r="E60" t="s">
        <v>59</v>
      </c>
      <c r="F60" t="s">
        <v>25</v>
      </c>
      <c r="G60">
        <v>2.4300000000000001E-5</v>
      </c>
      <c r="H60">
        <v>3.19E-4</v>
      </c>
      <c r="I60">
        <v>6.0599999999999998E-4</v>
      </c>
    </row>
    <row r="61" spans="1:9" x14ac:dyDescent="0.25">
      <c r="A61" s="104" t="str">
        <f t="shared" si="0"/>
        <v>Ethiopia2011RuralNonTradCondom</v>
      </c>
      <c r="B61" t="s">
        <v>6</v>
      </c>
      <c r="C61">
        <v>2011</v>
      </c>
      <c r="D61" t="s">
        <v>21</v>
      </c>
      <c r="E61" t="s">
        <v>171</v>
      </c>
      <c r="F61" t="s">
        <v>25</v>
      </c>
      <c r="G61">
        <v>2.4300000000000001E-5</v>
      </c>
      <c r="H61">
        <v>7.1310000000000004E-4</v>
      </c>
    </row>
    <row r="62" spans="1:9" x14ac:dyDescent="0.25">
      <c r="A62" s="104" t="str">
        <f t="shared" si="0"/>
        <v>Ethiopia2011RuralOtherCondom</v>
      </c>
      <c r="B62" t="s">
        <v>6</v>
      </c>
      <c r="C62">
        <v>2011</v>
      </c>
      <c r="D62" t="s">
        <v>21</v>
      </c>
      <c r="E62" t="s">
        <v>116</v>
      </c>
      <c r="F62" t="s">
        <v>25</v>
      </c>
      <c r="G62">
        <v>1.0900000000000001E-5</v>
      </c>
    </row>
    <row r="63" spans="1:9" x14ac:dyDescent="0.25">
      <c r="A63" s="104" t="str">
        <f t="shared" si="0"/>
        <v>Ethiopia2011NationalPub_MedImplant</v>
      </c>
      <c r="B63" t="s">
        <v>6</v>
      </c>
      <c r="C63">
        <v>2011</v>
      </c>
      <c r="D63" t="s">
        <v>178</v>
      </c>
      <c r="E63" t="s">
        <v>52</v>
      </c>
      <c r="F63" t="s">
        <v>23</v>
      </c>
      <c r="G63">
        <v>1.5551300000000001E-2</v>
      </c>
      <c r="H63">
        <v>1.5024600000000001E-2</v>
      </c>
      <c r="I63">
        <v>1.66509E-2</v>
      </c>
    </row>
    <row r="64" spans="1:9" x14ac:dyDescent="0.25">
      <c r="A64" s="104" t="str">
        <f t="shared" si="0"/>
        <v>Ethiopia2011NationalPub_OutreachImplant</v>
      </c>
      <c r="B64" t="s">
        <v>6</v>
      </c>
      <c r="C64">
        <v>2011</v>
      </c>
      <c r="D64" t="s">
        <v>178</v>
      </c>
      <c r="E64" t="s">
        <v>54</v>
      </c>
      <c r="F64" t="s">
        <v>23</v>
      </c>
      <c r="G64">
        <v>7.0198999999999999E-3</v>
      </c>
      <c r="H64">
        <v>4.5266999999999998E-3</v>
      </c>
    </row>
    <row r="65" spans="1:9" x14ac:dyDescent="0.25">
      <c r="A65" s="104" t="str">
        <f t="shared" si="0"/>
        <v>Ethiopia2011NationalNGOImplant</v>
      </c>
      <c r="B65" t="s">
        <v>6</v>
      </c>
      <c r="C65">
        <v>2011</v>
      </c>
      <c r="D65" t="s">
        <v>178</v>
      </c>
      <c r="E65" t="s">
        <v>170</v>
      </c>
      <c r="F65" t="s">
        <v>23</v>
      </c>
      <c r="H65">
        <v>6.7210000000000002E-4</v>
      </c>
      <c r="I65">
        <v>2.4629000000000001E-3</v>
      </c>
    </row>
    <row r="66" spans="1:9" x14ac:dyDescent="0.25">
      <c r="A66" s="104" t="str">
        <f t="shared" si="0"/>
        <v>Ethiopia2011NationalCommercialImplant</v>
      </c>
      <c r="B66" t="s">
        <v>6</v>
      </c>
      <c r="C66">
        <v>2011</v>
      </c>
      <c r="D66" t="s">
        <v>178</v>
      </c>
      <c r="E66" t="s">
        <v>59</v>
      </c>
      <c r="F66" t="s">
        <v>23</v>
      </c>
      <c r="H66">
        <v>8.0239999999999999E-4</v>
      </c>
      <c r="I66">
        <v>2.2661999999999999E-3</v>
      </c>
    </row>
    <row r="67" spans="1:9" x14ac:dyDescent="0.25">
      <c r="A67" s="104" t="str">
        <f t="shared" ref="A67:A130" si="1">B67&amp;C67&amp;D67&amp;E67&amp;F67</f>
        <v>Ethiopia2011NationalOtherImplant</v>
      </c>
      <c r="B67" t="s">
        <v>6</v>
      </c>
      <c r="C67">
        <v>2011</v>
      </c>
      <c r="D67" t="s">
        <v>178</v>
      </c>
      <c r="E67" t="s">
        <v>116</v>
      </c>
      <c r="F67" t="s">
        <v>23</v>
      </c>
      <c r="G67">
        <v>1.1099E-3</v>
      </c>
      <c r="H67">
        <v>6.5359999999999995E-4</v>
      </c>
      <c r="I67">
        <v>6.332E-4</v>
      </c>
    </row>
    <row r="68" spans="1:9" x14ac:dyDescent="0.25">
      <c r="A68" s="104" t="str">
        <f t="shared" si="1"/>
        <v>Ethiopia2011UrbanPub_MedImplant</v>
      </c>
      <c r="B68" t="s">
        <v>6</v>
      </c>
      <c r="C68">
        <v>2011</v>
      </c>
      <c r="D68" t="s">
        <v>20</v>
      </c>
      <c r="E68" t="s">
        <v>52</v>
      </c>
      <c r="F68" t="s">
        <v>23</v>
      </c>
      <c r="G68">
        <v>3.3279299999999998E-2</v>
      </c>
      <c r="H68">
        <v>1.59136E-2</v>
      </c>
      <c r="I68">
        <v>1.23424E-2</v>
      </c>
    </row>
    <row r="69" spans="1:9" x14ac:dyDescent="0.25">
      <c r="A69" s="104" t="str">
        <f t="shared" si="1"/>
        <v>Ethiopia2011UrbanPub_OutreachImplant</v>
      </c>
      <c r="B69" t="s">
        <v>6</v>
      </c>
      <c r="C69">
        <v>2011</v>
      </c>
      <c r="D69" t="s">
        <v>20</v>
      </c>
      <c r="E69" t="s">
        <v>54</v>
      </c>
      <c r="F69" t="s">
        <v>23</v>
      </c>
      <c r="H69">
        <v>3.8961999999999998E-3</v>
      </c>
    </row>
    <row r="70" spans="1:9" x14ac:dyDescent="0.25">
      <c r="A70" s="104" t="str">
        <f t="shared" si="1"/>
        <v>Ethiopia2011UrbanNGOImplant</v>
      </c>
      <c r="B70" t="s">
        <v>6</v>
      </c>
      <c r="C70">
        <v>2011</v>
      </c>
      <c r="D70" t="s">
        <v>20</v>
      </c>
      <c r="E70" t="s">
        <v>170</v>
      </c>
      <c r="F70" t="s">
        <v>23</v>
      </c>
      <c r="H70">
        <v>5.3399999999999997E-5</v>
      </c>
      <c r="I70">
        <v>2.5803000000000002E-3</v>
      </c>
    </row>
    <row r="71" spans="1:9" x14ac:dyDescent="0.25">
      <c r="A71" s="104" t="str">
        <f t="shared" si="1"/>
        <v>Ethiopia2011UrbanCommercialImplant</v>
      </c>
      <c r="B71" t="s">
        <v>6</v>
      </c>
      <c r="C71">
        <v>2011</v>
      </c>
      <c r="D71" t="s">
        <v>20</v>
      </c>
      <c r="E71" t="s">
        <v>59</v>
      </c>
      <c r="F71" t="s">
        <v>23</v>
      </c>
      <c r="I71">
        <v>8.1680000000000001E-4</v>
      </c>
    </row>
    <row r="72" spans="1:9" x14ac:dyDescent="0.25">
      <c r="A72" s="104" t="str">
        <f t="shared" si="1"/>
        <v>Ethiopia2011UrbanOtherImplant</v>
      </c>
      <c r="B72" t="s">
        <v>6</v>
      </c>
      <c r="C72">
        <v>2011</v>
      </c>
      <c r="D72" t="s">
        <v>20</v>
      </c>
      <c r="E72" t="s">
        <v>116</v>
      </c>
      <c r="F72" t="s">
        <v>23</v>
      </c>
      <c r="I72">
        <v>6.6339999999999997E-4</v>
      </c>
    </row>
    <row r="73" spans="1:9" x14ac:dyDescent="0.25">
      <c r="A73" s="104" t="str">
        <f t="shared" si="1"/>
        <v>Ethiopia2011RuralPub_MedImplant</v>
      </c>
      <c r="B73" t="s">
        <v>6</v>
      </c>
      <c r="C73">
        <v>2011</v>
      </c>
      <c r="D73" t="s">
        <v>21</v>
      </c>
      <c r="E73" t="s">
        <v>52</v>
      </c>
      <c r="F73" t="s">
        <v>23</v>
      </c>
      <c r="G73">
        <v>1.5129399999999999E-2</v>
      </c>
      <c r="H73">
        <v>1.38894E-2</v>
      </c>
      <c r="I73">
        <v>0.1071019</v>
      </c>
    </row>
    <row r="74" spans="1:9" x14ac:dyDescent="0.25">
      <c r="A74" s="104" t="str">
        <f t="shared" si="1"/>
        <v>Ethiopia2011RuralPub_OutreachImplant</v>
      </c>
      <c r="B74" t="s">
        <v>6</v>
      </c>
      <c r="C74">
        <v>2011</v>
      </c>
      <c r="D74" t="s">
        <v>21</v>
      </c>
      <c r="E74" t="s">
        <v>54</v>
      </c>
      <c r="F74" t="s">
        <v>23</v>
      </c>
      <c r="G74">
        <v>7.1869999999999998E-3</v>
      </c>
      <c r="H74">
        <v>5.3318000000000003E-3</v>
      </c>
    </row>
    <row r="75" spans="1:9" x14ac:dyDescent="0.25">
      <c r="A75" s="104" t="str">
        <f t="shared" si="1"/>
        <v>Ethiopia2011RuralNGOImplant</v>
      </c>
      <c r="B75" t="s">
        <v>6</v>
      </c>
      <c r="C75">
        <v>2011</v>
      </c>
      <c r="D75" t="s">
        <v>21</v>
      </c>
      <c r="E75" t="s">
        <v>170</v>
      </c>
      <c r="F75" t="s">
        <v>23</v>
      </c>
      <c r="H75">
        <v>1.4621E-3</v>
      </c>
    </row>
    <row r="76" spans="1:9" x14ac:dyDescent="0.25">
      <c r="A76" s="104" t="str">
        <f t="shared" si="1"/>
        <v>Ethiopia2011RuralCommercialImplant</v>
      </c>
      <c r="B76" t="s">
        <v>6</v>
      </c>
      <c r="C76">
        <v>2011</v>
      </c>
      <c r="D76" t="s">
        <v>21</v>
      </c>
      <c r="E76" t="s">
        <v>59</v>
      </c>
      <c r="F76" t="s">
        <v>23</v>
      </c>
      <c r="H76">
        <v>1.8269E-3</v>
      </c>
      <c r="I76">
        <v>3.2694099999999997E-2</v>
      </c>
    </row>
    <row r="77" spans="1:9" x14ac:dyDescent="0.25">
      <c r="A77" s="104" t="str">
        <f t="shared" si="1"/>
        <v>Ethiopia2011RuralOtherImplant</v>
      </c>
      <c r="B77" t="s">
        <v>6</v>
      </c>
      <c r="C77">
        <v>2011</v>
      </c>
      <c r="D77" t="s">
        <v>21</v>
      </c>
      <c r="E77" t="s">
        <v>116</v>
      </c>
      <c r="F77" t="s">
        <v>23</v>
      </c>
      <c r="G77">
        <v>1.1363E-3</v>
      </c>
      <c r="H77">
        <v>1.488E-3</v>
      </c>
    </row>
    <row r="78" spans="1:9" x14ac:dyDescent="0.25">
      <c r="A78" s="104" t="str">
        <f t="shared" si="1"/>
        <v>Ethiopia2016NationalPub_MedPill</v>
      </c>
      <c r="B78" t="s">
        <v>6</v>
      </c>
      <c r="C78">
        <v>2016</v>
      </c>
      <c r="D78" t="s">
        <v>178</v>
      </c>
      <c r="E78" t="s">
        <v>52</v>
      </c>
      <c r="F78" t="s">
        <v>12</v>
      </c>
      <c r="G78">
        <v>6.7846E-3</v>
      </c>
      <c r="H78">
        <v>3.5550999999999998E-3</v>
      </c>
      <c r="I78">
        <v>1.05521E-2</v>
      </c>
    </row>
    <row r="79" spans="1:9" x14ac:dyDescent="0.25">
      <c r="A79" s="104" t="str">
        <f t="shared" si="1"/>
        <v>Ethiopia2016NationalPub_OutreachPill</v>
      </c>
      <c r="B79" t="s">
        <v>6</v>
      </c>
      <c r="C79">
        <v>2016</v>
      </c>
      <c r="D79" t="s">
        <v>178</v>
      </c>
      <c r="E79" t="s">
        <v>54</v>
      </c>
      <c r="F79" t="s">
        <v>12</v>
      </c>
      <c r="G79">
        <v>1.773E-4</v>
      </c>
      <c r="H79">
        <v>9.6650000000000002E-4</v>
      </c>
      <c r="I79">
        <v>1.7979999999999999E-3</v>
      </c>
    </row>
    <row r="80" spans="1:9" x14ac:dyDescent="0.25">
      <c r="A80" s="104" t="str">
        <f t="shared" si="1"/>
        <v>Ethiopia2016NationalNGOPill</v>
      </c>
      <c r="B80" t="s">
        <v>6</v>
      </c>
      <c r="C80">
        <v>2016</v>
      </c>
      <c r="D80" t="s">
        <v>178</v>
      </c>
      <c r="E80" t="s">
        <v>170</v>
      </c>
      <c r="F80" t="s">
        <v>12</v>
      </c>
      <c r="I80">
        <v>4.4490000000000003E-4</v>
      </c>
    </row>
    <row r="81" spans="1:9" x14ac:dyDescent="0.25">
      <c r="A81" s="104" t="str">
        <f t="shared" si="1"/>
        <v>Ethiopia2016NationalCommercialPill</v>
      </c>
      <c r="B81" t="s">
        <v>6</v>
      </c>
      <c r="C81">
        <v>2016</v>
      </c>
      <c r="D81" t="s">
        <v>178</v>
      </c>
      <c r="E81" t="s">
        <v>59</v>
      </c>
      <c r="F81" t="s">
        <v>12</v>
      </c>
      <c r="G81">
        <v>1.3565999999999999E-3</v>
      </c>
      <c r="H81">
        <v>1.6914E-3</v>
      </c>
      <c r="I81">
        <v>1.93686E-2</v>
      </c>
    </row>
    <row r="82" spans="1:9" x14ac:dyDescent="0.25">
      <c r="A82" s="104" t="str">
        <f t="shared" si="1"/>
        <v>Ethiopia2016NationalNonTradPill</v>
      </c>
      <c r="B82" t="s">
        <v>6</v>
      </c>
      <c r="C82">
        <v>2016</v>
      </c>
      <c r="D82" t="s">
        <v>178</v>
      </c>
      <c r="E82" t="s">
        <v>171</v>
      </c>
      <c r="F82" t="s">
        <v>12</v>
      </c>
      <c r="I82">
        <v>1.2799999999999999E-5</v>
      </c>
    </row>
    <row r="83" spans="1:9" x14ac:dyDescent="0.25">
      <c r="A83" s="104" t="str">
        <f t="shared" si="1"/>
        <v>Ethiopia2016UrbanPub_MedPill</v>
      </c>
      <c r="B83" t="s">
        <v>6</v>
      </c>
      <c r="C83">
        <v>2016</v>
      </c>
      <c r="D83" t="s">
        <v>20</v>
      </c>
      <c r="E83" t="s">
        <v>52</v>
      </c>
      <c r="F83" t="s">
        <v>12</v>
      </c>
      <c r="G83">
        <v>3.44859E-2</v>
      </c>
      <c r="H83">
        <v>8.5792999999999998E-3</v>
      </c>
      <c r="I83">
        <v>1.1196899999999999E-2</v>
      </c>
    </row>
    <row r="84" spans="1:9" x14ac:dyDescent="0.25">
      <c r="A84" s="104" t="str">
        <f t="shared" si="1"/>
        <v>Ethiopia2016UrbanPub_OutreachPill</v>
      </c>
      <c r="B84" t="s">
        <v>6</v>
      </c>
      <c r="C84">
        <v>2016</v>
      </c>
      <c r="D84" t="s">
        <v>20</v>
      </c>
      <c r="E84" t="s">
        <v>54</v>
      </c>
      <c r="F84" t="s">
        <v>12</v>
      </c>
      <c r="I84">
        <v>1.9713999999999999E-3</v>
      </c>
    </row>
    <row r="85" spans="1:9" x14ac:dyDescent="0.25">
      <c r="A85" s="104" t="str">
        <f t="shared" si="1"/>
        <v>Ethiopia2016UrbanNGOPill</v>
      </c>
      <c r="B85" t="s">
        <v>6</v>
      </c>
      <c r="C85">
        <v>2016</v>
      </c>
      <c r="D85" t="s">
        <v>20</v>
      </c>
      <c r="E85" t="s">
        <v>170</v>
      </c>
      <c r="F85" t="s">
        <v>12</v>
      </c>
      <c r="I85">
        <v>4.9450000000000004E-4</v>
      </c>
    </row>
    <row r="86" spans="1:9" x14ac:dyDescent="0.25">
      <c r="A86" s="104" t="str">
        <f t="shared" si="1"/>
        <v>Ethiopia2016UrbanCommercialPill</v>
      </c>
      <c r="B86" t="s">
        <v>6</v>
      </c>
      <c r="C86">
        <v>2016</v>
      </c>
      <c r="D86" t="s">
        <v>20</v>
      </c>
      <c r="E86" t="s">
        <v>59</v>
      </c>
      <c r="F86" t="s">
        <v>12</v>
      </c>
      <c r="G86">
        <v>4.9759999999999995E-4</v>
      </c>
      <c r="H86">
        <v>1.66222E-2</v>
      </c>
      <c r="I86">
        <v>2.1519900000000002E-2</v>
      </c>
    </row>
    <row r="87" spans="1:9" x14ac:dyDescent="0.25">
      <c r="A87" s="104" t="str">
        <f t="shared" si="1"/>
        <v>Ethiopia2016RuralPub_MedPill</v>
      </c>
      <c r="B87" t="s">
        <v>6</v>
      </c>
      <c r="C87">
        <v>2016</v>
      </c>
      <c r="D87" t="s">
        <v>21</v>
      </c>
      <c r="E87" t="s">
        <v>52</v>
      </c>
      <c r="F87" t="s">
        <v>12</v>
      </c>
      <c r="G87">
        <v>6.2342999999999999E-3</v>
      </c>
      <c r="H87">
        <v>3.2336000000000001E-3</v>
      </c>
      <c r="I87">
        <v>4.7689999999999998E-3</v>
      </c>
    </row>
    <row r="88" spans="1:9" x14ac:dyDescent="0.25">
      <c r="A88" s="104" t="str">
        <f t="shared" si="1"/>
        <v>Ethiopia2016RuralPub_OutreachPill</v>
      </c>
      <c r="B88" t="s">
        <v>6</v>
      </c>
      <c r="C88">
        <v>2016</v>
      </c>
      <c r="D88" t="s">
        <v>21</v>
      </c>
      <c r="E88" t="s">
        <v>54</v>
      </c>
      <c r="F88" t="s">
        <v>12</v>
      </c>
      <c r="G88">
        <v>1.8090000000000001E-4</v>
      </c>
      <c r="H88">
        <v>1.0283E-3</v>
      </c>
      <c r="I88">
        <v>2.4259999999999999E-4</v>
      </c>
    </row>
    <row r="89" spans="1:9" x14ac:dyDescent="0.25">
      <c r="A89" s="104" t="str">
        <f t="shared" si="1"/>
        <v>Ethiopia2016RuralCommercialPill</v>
      </c>
      <c r="B89" t="s">
        <v>6</v>
      </c>
      <c r="C89">
        <v>2016</v>
      </c>
      <c r="D89" t="s">
        <v>21</v>
      </c>
      <c r="E89" t="s">
        <v>59</v>
      </c>
      <c r="F89" t="s">
        <v>12</v>
      </c>
      <c r="G89">
        <v>1.3736E-3</v>
      </c>
      <c r="H89">
        <v>7.3590000000000005E-4</v>
      </c>
      <c r="I89">
        <v>7.2100000000000004E-5</v>
      </c>
    </row>
    <row r="90" spans="1:9" x14ac:dyDescent="0.25">
      <c r="A90" s="104" t="str">
        <f t="shared" si="1"/>
        <v>Ethiopia2016RuralNonTradPill</v>
      </c>
      <c r="B90" t="s">
        <v>6</v>
      </c>
      <c r="C90">
        <v>2016</v>
      </c>
      <c r="D90" t="s">
        <v>21</v>
      </c>
      <c r="E90" t="s">
        <v>171</v>
      </c>
      <c r="F90" t="s">
        <v>12</v>
      </c>
      <c r="I90">
        <v>1.2799999999999999E-4</v>
      </c>
    </row>
    <row r="91" spans="1:9" x14ac:dyDescent="0.25">
      <c r="A91" s="104" t="str">
        <f t="shared" si="1"/>
        <v>Ethiopia2016NationalPub_MedIUD</v>
      </c>
      <c r="B91" t="s">
        <v>6</v>
      </c>
      <c r="C91">
        <v>2016</v>
      </c>
      <c r="D91" t="s">
        <v>178</v>
      </c>
      <c r="E91" t="s">
        <v>52</v>
      </c>
      <c r="F91" t="s">
        <v>16</v>
      </c>
      <c r="G91">
        <v>8.6727000000000002E-3</v>
      </c>
      <c r="H91">
        <v>1.9648800000000001E-2</v>
      </c>
      <c r="I91">
        <v>1.8324400000000001E-2</v>
      </c>
    </row>
    <row r="92" spans="1:9" x14ac:dyDescent="0.25">
      <c r="A92" s="104" t="str">
        <f t="shared" si="1"/>
        <v>Ethiopia2016NationalPub_OutreachIUD</v>
      </c>
      <c r="B92" t="s">
        <v>6</v>
      </c>
      <c r="C92">
        <v>2016</v>
      </c>
      <c r="D92" t="s">
        <v>178</v>
      </c>
      <c r="E92" t="s">
        <v>54</v>
      </c>
      <c r="F92" t="s">
        <v>16</v>
      </c>
      <c r="I92">
        <v>1.428E-4</v>
      </c>
    </row>
    <row r="93" spans="1:9" x14ac:dyDescent="0.25">
      <c r="A93" s="104" t="str">
        <f t="shared" si="1"/>
        <v>Ethiopia2016NationalNGOIUD</v>
      </c>
      <c r="B93" t="s">
        <v>6</v>
      </c>
      <c r="C93">
        <v>2016</v>
      </c>
      <c r="D93" t="s">
        <v>178</v>
      </c>
      <c r="E93" t="s">
        <v>170</v>
      </c>
      <c r="F93" t="s">
        <v>16</v>
      </c>
      <c r="G93">
        <v>2.76E-5</v>
      </c>
      <c r="I93">
        <v>1.8347999999999999E-3</v>
      </c>
    </row>
    <row r="94" spans="1:9" x14ac:dyDescent="0.25">
      <c r="A94" s="104" t="str">
        <f t="shared" si="1"/>
        <v>Ethiopia2016NationalCommercialIUD</v>
      </c>
      <c r="B94" t="s">
        <v>6</v>
      </c>
      <c r="C94">
        <v>2016</v>
      </c>
      <c r="D94" t="s">
        <v>178</v>
      </c>
      <c r="E94" t="s">
        <v>59</v>
      </c>
      <c r="F94" t="s">
        <v>16</v>
      </c>
      <c r="G94">
        <v>4.7780000000000001E-4</v>
      </c>
      <c r="H94">
        <v>3.7299999999999999E-5</v>
      </c>
      <c r="I94">
        <v>1.1788E-3</v>
      </c>
    </row>
    <row r="95" spans="1:9" x14ac:dyDescent="0.25">
      <c r="A95" s="104" t="str">
        <f t="shared" si="1"/>
        <v>Ethiopia2016NationalOtherIUD</v>
      </c>
      <c r="B95" t="s">
        <v>6</v>
      </c>
      <c r="C95">
        <v>2016</v>
      </c>
      <c r="D95" t="s">
        <v>178</v>
      </c>
      <c r="E95" t="s">
        <v>116</v>
      </c>
      <c r="F95" t="s">
        <v>16</v>
      </c>
      <c r="I95">
        <v>1.738E-4</v>
      </c>
    </row>
    <row r="96" spans="1:9" x14ac:dyDescent="0.25">
      <c r="A96" s="104" t="str">
        <f t="shared" si="1"/>
        <v>Ethiopia2016UrbanPub_MedIUD</v>
      </c>
      <c r="B96" t="s">
        <v>6</v>
      </c>
      <c r="C96">
        <v>2016</v>
      </c>
      <c r="D96" t="s">
        <v>20</v>
      </c>
      <c r="E96" t="s">
        <v>52</v>
      </c>
      <c r="F96" t="s">
        <v>16</v>
      </c>
      <c r="G96">
        <v>8.5879999999999995E-4</v>
      </c>
      <c r="H96">
        <v>4.7539400000000002E-2</v>
      </c>
      <c r="I96">
        <v>1.9419200000000001E-2</v>
      </c>
    </row>
    <row r="97" spans="1:9" x14ac:dyDescent="0.25">
      <c r="A97" s="104" t="str">
        <f t="shared" si="1"/>
        <v>Ethiopia2016UrbanPub_OutreachIUD</v>
      </c>
      <c r="B97" t="s">
        <v>6</v>
      </c>
      <c r="C97">
        <v>2016</v>
      </c>
      <c r="D97" t="s">
        <v>20</v>
      </c>
      <c r="E97" t="s">
        <v>54</v>
      </c>
      <c r="F97" t="s">
        <v>16</v>
      </c>
      <c r="I97">
        <v>1.5870000000000001E-4</v>
      </c>
    </row>
    <row r="98" spans="1:9" x14ac:dyDescent="0.25">
      <c r="A98" s="104" t="str">
        <f t="shared" si="1"/>
        <v>Ethiopia2016UrbanNGOIUD</v>
      </c>
      <c r="B98" t="s">
        <v>6</v>
      </c>
      <c r="C98">
        <v>2016</v>
      </c>
      <c r="D98" t="s">
        <v>20</v>
      </c>
      <c r="E98" t="s">
        <v>170</v>
      </c>
      <c r="F98" t="s">
        <v>16</v>
      </c>
      <c r="I98">
        <v>2.0393E-3</v>
      </c>
    </row>
    <row r="99" spans="1:9" x14ac:dyDescent="0.25">
      <c r="A99" s="104" t="str">
        <f t="shared" si="1"/>
        <v>Ethiopia2016UrbanCommercialIUD</v>
      </c>
      <c r="B99" t="s">
        <v>6</v>
      </c>
      <c r="C99">
        <v>2016</v>
      </c>
      <c r="D99" t="s">
        <v>20</v>
      </c>
      <c r="E99" t="s">
        <v>59</v>
      </c>
      <c r="F99" t="s">
        <v>16</v>
      </c>
      <c r="I99">
        <v>1.2960000000000001E-3</v>
      </c>
    </row>
    <row r="100" spans="1:9" x14ac:dyDescent="0.25">
      <c r="A100" s="104" t="str">
        <f t="shared" si="1"/>
        <v>Ethiopia2016UrbanOtherIUD</v>
      </c>
      <c r="B100" t="s">
        <v>6</v>
      </c>
      <c r="C100">
        <v>2016</v>
      </c>
      <c r="D100" t="s">
        <v>20</v>
      </c>
      <c r="E100" t="s">
        <v>116</v>
      </c>
      <c r="F100" t="s">
        <v>16</v>
      </c>
      <c r="I100">
        <v>1.9320000000000001E-4</v>
      </c>
    </row>
    <row r="101" spans="1:9" x14ac:dyDescent="0.25">
      <c r="A101" s="104" t="str">
        <f t="shared" si="1"/>
        <v>Ethiopia2016RuralPub_MedIUD</v>
      </c>
      <c r="B101" t="s">
        <v>6</v>
      </c>
      <c r="C101">
        <v>2016</v>
      </c>
      <c r="D101" t="s">
        <v>21</v>
      </c>
      <c r="E101" t="s">
        <v>52</v>
      </c>
      <c r="F101" t="s">
        <v>16</v>
      </c>
      <c r="G101">
        <v>8.8278999999999996E-3</v>
      </c>
      <c r="H101">
        <v>1.7864000000000001E-2</v>
      </c>
      <c r="I101">
        <v>8.5041000000000005E-3</v>
      </c>
    </row>
    <row r="102" spans="1:9" x14ac:dyDescent="0.25">
      <c r="A102" s="104" t="str">
        <f t="shared" si="1"/>
        <v>Ethiopia2016RuralNGOIUD</v>
      </c>
      <c r="B102" t="s">
        <v>6</v>
      </c>
      <c r="C102">
        <v>2016</v>
      </c>
      <c r="D102" t="s">
        <v>21</v>
      </c>
      <c r="E102" t="s">
        <v>170</v>
      </c>
      <c r="F102" t="s">
        <v>16</v>
      </c>
      <c r="G102">
        <v>2.8099999999999999E-5</v>
      </c>
    </row>
    <row r="103" spans="1:9" x14ac:dyDescent="0.25">
      <c r="A103" s="104" t="str">
        <f t="shared" si="1"/>
        <v>Ethiopia2016RuralCommercialIUD</v>
      </c>
      <c r="B103" t="s">
        <v>6</v>
      </c>
      <c r="C103">
        <v>2016</v>
      </c>
      <c r="D103" t="s">
        <v>21</v>
      </c>
      <c r="E103" t="s">
        <v>59</v>
      </c>
      <c r="F103" t="s">
        <v>16</v>
      </c>
      <c r="G103">
        <v>4.8730000000000003E-4</v>
      </c>
      <c r="H103">
        <v>3.9700000000000003E-5</v>
      </c>
      <c r="I103">
        <v>1.2799999999999999E-4</v>
      </c>
    </row>
    <row r="104" spans="1:9" x14ac:dyDescent="0.25">
      <c r="A104" s="104" t="str">
        <f t="shared" si="1"/>
        <v>Ethiopia2016NationalPub_MedInjectable</v>
      </c>
      <c r="B104" t="s">
        <v>6</v>
      </c>
      <c r="C104">
        <v>2016</v>
      </c>
      <c r="D104" t="s">
        <v>178</v>
      </c>
      <c r="E104" t="s">
        <v>52</v>
      </c>
      <c r="F104" t="s">
        <v>22</v>
      </c>
      <c r="G104">
        <v>0.12785160000000001</v>
      </c>
      <c r="H104">
        <v>0.16106860000000001</v>
      </c>
      <c r="I104">
        <v>9.3884800000000004E-2</v>
      </c>
    </row>
    <row r="105" spans="1:9" x14ac:dyDescent="0.25">
      <c r="A105" s="104" t="str">
        <f t="shared" si="1"/>
        <v>Ethiopia2016NationalPub_OutreachInjectable</v>
      </c>
      <c r="B105" t="s">
        <v>6</v>
      </c>
      <c r="C105">
        <v>2016</v>
      </c>
      <c r="D105" t="s">
        <v>178</v>
      </c>
      <c r="E105" t="s">
        <v>54</v>
      </c>
      <c r="F105" t="s">
        <v>22</v>
      </c>
      <c r="G105">
        <v>4.5229999999999999E-4</v>
      </c>
      <c r="H105">
        <v>1.6239E-3</v>
      </c>
      <c r="I105">
        <v>8.2379999999999997E-4</v>
      </c>
    </row>
    <row r="106" spans="1:9" x14ac:dyDescent="0.25">
      <c r="A106" s="104" t="str">
        <f t="shared" si="1"/>
        <v>Ethiopia2016NationalNGOInjectable</v>
      </c>
      <c r="B106" t="s">
        <v>6</v>
      </c>
      <c r="C106">
        <v>2016</v>
      </c>
      <c r="D106" t="s">
        <v>178</v>
      </c>
      <c r="E106" t="s">
        <v>170</v>
      </c>
      <c r="F106" t="s">
        <v>22</v>
      </c>
      <c r="H106">
        <v>7.2190000000000004E-4</v>
      </c>
      <c r="I106">
        <v>5.4007999999999999E-3</v>
      </c>
    </row>
    <row r="107" spans="1:9" x14ac:dyDescent="0.25">
      <c r="A107" s="104" t="str">
        <f t="shared" si="1"/>
        <v>Ethiopia2016NationalCommercialInjectable</v>
      </c>
      <c r="B107" t="s">
        <v>6</v>
      </c>
      <c r="C107">
        <v>2016</v>
      </c>
      <c r="D107" t="s">
        <v>178</v>
      </c>
      <c r="E107" t="s">
        <v>59</v>
      </c>
      <c r="F107" t="s">
        <v>22</v>
      </c>
      <c r="G107">
        <v>1.9443800000000001E-2</v>
      </c>
      <c r="H107">
        <v>2.9369099999999999E-2</v>
      </c>
      <c r="I107">
        <v>4.2025699999999999E-2</v>
      </c>
    </row>
    <row r="108" spans="1:9" x14ac:dyDescent="0.25">
      <c r="A108" s="104" t="str">
        <f t="shared" si="1"/>
        <v>Ethiopia2016NationalOtherInjectable</v>
      </c>
      <c r="B108" t="s">
        <v>6</v>
      </c>
      <c r="C108">
        <v>2016</v>
      </c>
      <c r="D108" t="s">
        <v>178</v>
      </c>
      <c r="E108" t="s">
        <v>116</v>
      </c>
      <c r="F108" t="s">
        <v>22</v>
      </c>
      <c r="G108">
        <v>1.4264E-3</v>
      </c>
      <c r="I108">
        <v>1.2640000000000001E-4</v>
      </c>
    </row>
    <row r="109" spans="1:9" x14ac:dyDescent="0.25">
      <c r="A109" s="104" t="str">
        <f t="shared" si="1"/>
        <v>Ethiopia2016UrbanPub_MedInjectable</v>
      </c>
      <c r="B109" t="s">
        <v>6</v>
      </c>
      <c r="C109">
        <v>2016</v>
      </c>
      <c r="D109" t="s">
        <v>20</v>
      </c>
      <c r="E109" t="s">
        <v>52</v>
      </c>
      <c r="F109" t="s">
        <v>22</v>
      </c>
      <c r="G109">
        <v>9.0090400000000001E-2</v>
      </c>
      <c r="H109">
        <v>0.17396329999999999</v>
      </c>
      <c r="I109">
        <v>8.5976399999999994E-2</v>
      </c>
    </row>
    <row r="110" spans="1:9" x14ac:dyDescent="0.25">
      <c r="A110" s="104" t="str">
        <f t="shared" si="1"/>
        <v>Ethiopia2016UrbanPub_OutreachInjectable</v>
      </c>
      <c r="B110" t="s">
        <v>6</v>
      </c>
      <c r="C110">
        <v>2016</v>
      </c>
      <c r="D110" t="s">
        <v>20</v>
      </c>
      <c r="E110" t="s">
        <v>54</v>
      </c>
      <c r="F110" t="s">
        <v>22</v>
      </c>
      <c r="I110">
        <v>1.2349999999999999E-4</v>
      </c>
    </row>
    <row r="111" spans="1:9" x14ac:dyDescent="0.25">
      <c r="A111" s="104" t="str">
        <f t="shared" si="1"/>
        <v>Ethiopia2016UrbanNGOInjectable</v>
      </c>
      <c r="B111" t="s">
        <v>6</v>
      </c>
      <c r="C111">
        <v>2016</v>
      </c>
      <c r="D111" t="s">
        <v>20</v>
      </c>
      <c r="E111" t="s">
        <v>170</v>
      </c>
      <c r="F111" t="s">
        <v>22</v>
      </c>
      <c r="H111">
        <v>2.4196E-3</v>
      </c>
      <c r="I111">
        <v>5.9949000000000001E-3</v>
      </c>
    </row>
    <row r="112" spans="1:9" x14ac:dyDescent="0.25">
      <c r="A112" s="104" t="str">
        <f t="shared" si="1"/>
        <v>Ethiopia2016UrbanCommercialInjectable</v>
      </c>
      <c r="B112" t="s">
        <v>6</v>
      </c>
      <c r="C112">
        <v>2016</v>
      </c>
      <c r="D112" t="s">
        <v>20</v>
      </c>
      <c r="E112" t="s">
        <v>59</v>
      </c>
      <c r="F112" t="s">
        <v>22</v>
      </c>
      <c r="G112">
        <v>6.31713E-2</v>
      </c>
      <c r="H112">
        <v>3.9697799999999998E-2</v>
      </c>
      <c r="I112">
        <v>4.2826700000000002E-2</v>
      </c>
    </row>
    <row r="113" spans="1:9" x14ac:dyDescent="0.25">
      <c r="A113" s="104" t="str">
        <f t="shared" si="1"/>
        <v>Ethiopia2016UrbanOtherInjectable</v>
      </c>
      <c r="B113" t="s">
        <v>6</v>
      </c>
      <c r="C113">
        <v>2016</v>
      </c>
      <c r="D113" t="s">
        <v>20</v>
      </c>
      <c r="E113" t="s">
        <v>116</v>
      </c>
      <c r="F113" t="s">
        <v>22</v>
      </c>
      <c r="I113">
        <v>1.405E-4</v>
      </c>
    </row>
    <row r="114" spans="1:9" x14ac:dyDescent="0.25">
      <c r="A114" s="104" t="str">
        <f t="shared" si="1"/>
        <v>Ethiopia2016RuralPub_MedInjectable</v>
      </c>
      <c r="B114" t="s">
        <v>6</v>
      </c>
      <c r="C114">
        <v>2016</v>
      </c>
      <c r="D114" t="s">
        <v>21</v>
      </c>
      <c r="E114" t="s">
        <v>52</v>
      </c>
      <c r="F114" t="s">
        <v>22</v>
      </c>
      <c r="G114">
        <v>0.12860179999999999</v>
      </c>
      <c r="H114">
        <v>0.16024340000000001</v>
      </c>
      <c r="I114">
        <v>0.16482060000000001</v>
      </c>
    </row>
    <row r="115" spans="1:9" x14ac:dyDescent="0.25">
      <c r="A115" s="104" t="str">
        <f t="shared" si="1"/>
        <v>Ethiopia2016RuralPub_OutreachInjectable</v>
      </c>
      <c r="B115" t="s">
        <v>6</v>
      </c>
      <c r="C115">
        <v>2016</v>
      </c>
      <c r="D115" t="s">
        <v>21</v>
      </c>
      <c r="E115" t="s">
        <v>54</v>
      </c>
      <c r="F115" t="s">
        <v>22</v>
      </c>
      <c r="G115">
        <v>4.6129999999999999E-4</v>
      </c>
      <c r="H115">
        <v>1.7278E-3</v>
      </c>
      <c r="I115">
        <v>7.1051999999999999E-3</v>
      </c>
    </row>
    <row r="116" spans="1:9" x14ac:dyDescent="0.25">
      <c r="A116" s="104" t="str">
        <f t="shared" si="1"/>
        <v>Ethiopia2016RuralNGOInjectable</v>
      </c>
      <c r="B116" t="s">
        <v>6</v>
      </c>
      <c r="C116">
        <v>2016</v>
      </c>
      <c r="D116" t="s">
        <v>21</v>
      </c>
      <c r="E116" t="s">
        <v>170</v>
      </c>
      <c r="F116" t="s">
        <v>22</v>
      </c>
      <c r="H116">
        <v>6.1320000000000005E-4</v>
      </c>
      <c r="I116">
        <v>7.2100000000000004E-5</v>
      </c>
    </row>
    <row r="117" spans="1:9" x14ac:dyDescent="0.25">
      <c r="A117" s="104" t="str">
        <f t="shared" si="1"/>
        <v>Ethiopia2016RuralCommercialInjectable</v>
      </c>
      <c r="B117" t="s">
        <v>6</v>
      </c>
      <c r="C117">
        <v>2016</v>
      </c>
      <c r="D117" t="s">
        <v>21</v>
      </c>
      <c r="E117" t="s">
        <v>59</v>
      </c>
      <c r="F117" t="s">
        <v>22</v>
      </c>
      <c r="G117">
        <v>1.8575100000000001E-2</v>
      </c>
      <c r="H117">
        <v>2.87082E-2</v>
      </c>
      <c r="I117">
        <v>3.4841299999999999E-2</v>
      </c>
    </row>
    <row r="118" spans="1:9" x14ac:dyDescent="0.25">
      <c r="A118" s="104" t="str">
        <f t="shared" si="1"/>
        <v>Ethiopia2016RuralOtherInjectable</v>
      </c>
      <c r="B118" t="s">
        <v>6</v>
      </c>
      <c r="C118">
        <v>2016</v>
      </c>
      <c r="D118" t="s">
        <v>21</v>
      </c>
      <c r="E118" t="s">
        <v>116</v>
      </c>
      <c r="F118" t="s">
        <v>22</v>
      </c>
      <c r="G118">
        <v>1.4548E-3</v>
      </c>
    </row>
    <row r="119" spans="1:9" x14ac:dyDescent="0.25">
      <c r="A119" s="104" t="str">
        <f t="shared" si="1"/>
        <v>Ethiopia2016NationalPub_MedCondom</v>
      </c>
      <c r="B119" t="s">
        <v>6</v>
      </c>
      <c r="C119">
        <v>2016</v>
      </c>
      <c r="D119" t="s">
        <v>178</v>
      </c>
      <c r="E119" t="s">
        <v>52</v>
      </c>
      <c r="F119" t="s">
        <v>25</v>
      </c>
      <c r="I119">
        <v>1.1689000000000001E-3</v>
      </c>
    </row>
    <row r="120" spans="1:9" x14ac:dyDescent="0.25">
      <c r="A120" s="104" t="str">
        <f t="shared" si="1"/>
        <v>Ethiopia2016NationalPub_OutreachCondom</v>
      </c>
      <c r="B120" t="s">
        <v>6</v>
      </c>
      <c r="C120">
        <v>2016</v>
      </c>
      <c r="D120" t="s">
        <v>178</v>
      </c>
      <c r="E120" t="s">
        <v>54</v>
      </c>
      <c r="F120" t="s">
        <v>25</v>
      </c>
      <c r="I120">
        <v>1.5899999999999999E-4</v>
      </c>
    </row>
    <row r="121" spans="1:9" x14ac:dyDescent="0.25">
      <c r="A121" s="104" t="str">
        <f t="shared" si="1"/>
        <v>Ethiopia2016NationalCommercialCondom</v>
      </c>
      <c r="B121" t="s">
        <v>6</v>
      </c>
      <c r="C121">
        <v>2016</v>
      </c>
      <c r="D121" t="s">
        <v>178</v>
      </c>
      <c r="E121" t="s">
        <v>59</v>
      </c>
      <c r="F121" t="s">
        <v>25</v>
      </c>
      <c r="I121">
        <v>2.2804000000000001E-3</v>
      </c>
    </row>
    <row r="122" spans="1:9" x14ac:dyDescent="0.25">
      <c r="A122" s="104" t="str">
        <f t="shared" si="1"/>
        <v>Ethiopia2016NationalNonTradCondom</v>
      </c>
      <c r="B122" t="s">
        <v>6</v>
      </c>
      <c r="C122">
        <v>2016</v>
      </c>
      <c r="D122" t="s">
        <v>178</v>
      </c>
      <c r="E122" t="s">
        <v>171</v>
      </c>
      <c r="F122" t="s">
        <v>25</v>
      </c>
      <c r="I122">
        <v>1.9100000000000001E-4</v>
      </c>
    </row>
    <row r="123" spans="1:9" x14ac:dyDescent="0.25">
      <c r="A123" s="104" t="str">
        <f t="shared" si="1"/>
        <v>Ethiopia2016NationalOtherCondom</v>
      </c>
      <c r="B123" t="s">
        <v>6</v>
      </c>
      <c r="C123">
        <v>2016</v>
      </c>
      <c r="D123" t="s">
        <v>178</v>
      </c>
      <c r="E123" t="s">
        <v>116</v>
      </c>
      <c r="F123" t="s">
        <v>25</v>
      </c>
      <c r="I123">
        <v>1.0131000000000001E-3</v>
      </c>
    </row>
    <row r="124" spans="1:9" x14ac:dyDescent="0.25">
      <c r="A124" s="104" t="str">
        <f t="shared" si="1"/>
        <v>Ethiopia2016UrbanPub_MedCondom</v>
      </c>
      <c r="B124" t="s">
        <v>6</v>
      </c>
      <c r="C124">
        <v>2016</v>
      </c>
      <c r="D124" t="s">
        <v>20</v>
      </c>
      <c r="E124" t="s">
        <v>52</v>
      </c>
      <c r="F124" t="s">
        <v>25</v>
      </c>
      <c r="I124">
        <v>1.2991999999999999E-3</v>
      </c>
    </row>
    <row r="125" spans="1:9" x14ac:dyDescent="0.25">
      <c r="A125" s="104" t="str">
        <f t="shared" si="1"/>
        <v>Ethiopia2016UrbanPub_OutreachCondom</v>
      </c>
      <c r="B125" t="s">
        <v>6</v>
      </c>
      <c r="C125">
        <v>2016</v>
      </c>
      <c r="D125" t="s">
        <v>20</v>
      </c>
      <c r="E125" t="s">
        <v>54</v>
      </c>
      <c r="F125" t="s">
        <v>25</v>
      </c>
      <c r="I125">
        <v>1.7670000000000001E-4</v>
      </c>
    </row>
    <row r="126" spans="1:9" x14ac:dyDescent="0.25">
      <c r="A126" s="104" t="str">
        <f t="shared" si="1"/>
        <v>Ethiopia2016UrbanCommercialCondom</v>
      </c>
      <c r="B126" t="s">
        <v>6</v>
      </c>
      <c r="C126">
        <v>2016</v>
      </c>
      <c r="D126" t="s">
        <v>20</v>
      </c>
      <c r="E126" t="s">
        <v>59</v>
      </c>
      <c r="F126" t="s">
        <v>25</v>
      </c>
      <c r="I126">
        <v>2.5346000000000001E-3</v>
      </c>
    </row>
    <row r="127" spans="1:9" x14ac:dyDescent="0.25">
      <c r="A127" s="104" t="str">
        <f t="shared" si="1"/>
        <v>Ethiopia2016UrbanNonTradCondom</v>
      </c>
      <c r="B127" t="s">
        <v>6</v>
      </c>
      <c r="C127">
        <v>2016</v>
      </c>
      <c r="D127" t="s">
        <v>20</v>
      </c>
      <c r="E127" t="s">
        <v>171</v>
      </c>
      <c r="F127" t="s">
        <v>25</v>
      </c>
      <c r="I127">
        <v>2.1230000000000001E-4</v>
      </c>
    </row>
    <row r="128" spans="1:9" x14ac:dyDescent="0.25">
      <c r="A128" s="104" t="str">
        <f t="shared" si="1"/>
        <v>Ethiopia2016UrbanOtherCondom</v>
      </c>
      <c r="B128" t="s">
        <v>6</v>
      </c>
      <c r="C128">
        <v>2016</v>
      </c>
      <c r="D128" t="s">
        <v>20</v>
      </c>
      <c r="E128" t="s">
        <v>116</v>
      </c>
      <c r="F128" t="s">
        <v>25</v>
      </c>
      <c r="I128">
        <v>1.1261000000000001E-3</v>
      </c>
    </row>
    <row r="129" spans="1:9" x14ac:dyDescent="0.25">
      <c r="A129" s="104" t="str">
        <f t="shared" si="1"/>
        <v>Ethiopia2016NationalPub_MedImplant</v>
      </c>
      <c r="B129" t="s">
        <v>6</v>
      </c>
      <c r="C129">
        <v>2016</v>
      </c>
      <c r="D129" t="s">
        <v>178</v>
      </c>
      <c r="E129" t="s">
        <v>52</v>
      </c>
      <c r="F129" t="s">
        <v>23</v>
      </c>
      <c r="G129">
        <v>5.63559E-2</v>
      </c>
      <c r="H129">
        <v>5.8951099999999999E-2</v>
      </c>
      <c r="I129">
        <v>4.48794E-2</v>
      </c>
    </row>
    <row r="130" spans="1:9" x14ac:dyDescent="0.25">
      <c r="A130" s="104" t="str">
        <f t="shared" si="1"/>
        <v>Ethiopia2016NationalPub_OutreachImplant</v>
      </c>
      <c r="B130" t="s">
        <v>6</v>
      </c>
      <c r="C130">
        <v>2016</v>
      </c>
      <c r="D130" t="s">
        <v>178</v>
      </c>
      <c r="E130" t="s">
        <v>54</v>
      </c>
      <c r="F130" t="s">
        <v>23</v>
      </c>
      <c r="G130">
        <v>7.6799999999999997E-5</v>
      </c>
    </row>
    <row r="131" spans="1:9" x14ac:dyDescent="0.25">
      <c r="A131" s="104" t="str">
        <f t="shared" ref="A131:A194" si="2">B131&amp;C131&amp;D131&amp;E131&amp;F131</f>
        <v>Ethiopia2016NationalNGOImplant</v>
      </c>
      <c r="B131" t="s">
        <v>6</v>
      </c>
      <c r="C131">
        <v>2016</v>
      </c>
      <c r="D131" t="s">
        <v>178</v>
      </c>
      <c r="E131" t="s">
        <v>170</v>
      </c>
      <c r="F131" t="s">
        <v>23</v>
      </c>
      <c r="G131">
        <v>2.2399999999999999E-5</v>
      </c>
      <c r="I131">
        <v>5.1089999999999998E-3</v>
      </c>
    </row>
    <row r="132" spans="1:9" x14ac:dyDescent="0.25">
      <c r="A132" s="104" t="str">
        <f t="shared" si="2"/>
        <v>Ethiopia2016NationalCommercialImplant</v>
      </c>
      <c r="B132" t="s">
        <v>6</v>
      </c>
      <c r="C132">
        <v>2016</v>
      </c>
      <c r="D132" t="s">
        <v>178</v>
      </c>
      <c r="E132" t="s">
        <v>59</v>
      </c>
      <c r="F132" t="s">
        <v>23</v>
      </c>
      <c r="G132">
        <v>4.1730000000000001E-4</v>
      </c>
      <c r="I132">
        <v>7.3594000000000003E-3</v>
      </c>
    </row>
    <row r="133" spans="1:9" x14ac:dyDescent="0.25">
      <c r="A133" s="104" t="str">
        <f t="shared" si="2"/>
        <v>Ethiopia2016NationalOtherImplant</v>
      </c>
      <c r="B133" t="s">
        <v>6</v>
      </c>
      <c r="C133">
        <v>2016</v>
      </c>
      <c r="D133" t="s">
        <v>178</v>
      </c>
      <c r="E133" t="s">
        <v>116</v>
      </c>
      <c r="F133" t="s">
        <v>23</v>
      </c>
      <c r="I133">
        <v>1.304E-4</v>
      </c>
    </row>
    <row r="134" spans="1:9" x14ac:dyDescent="0.25">
      <c r="A134" s="104" t="str">
        <f t="shared" si="2"/>
        <v>Ethiopia2016UrbanPub_MedImplant</v>
      </c>
      <c r="B134" t="s">
        <v>6</v>
      </c>
      <c r="C134">
        <v>2016</v>
      </c>
      <c r="D134" t="s">
        <v>20</v>
      </c>
      <c r="E134" t="s">
        <v>52</v>
      </c>
      <c r="F134" t="s">
        <v>23</v>
      </c>
      <c r="G134">
        <v>0.1297401</v>
      </c>
      <c r="H134">
        <v>8.11114E-2</v>
      </c>
      <c r="I134">
        <v>4.3971900000000001E-2</v>
      </c>
    </row>
    <row r="135" spans="1:9" x14ac:dyDescent="0.25">
      <c r="A135" s="104" t="str">
        <f t="shared" si="2"/>
        <v>Ethiopia2016UrbanNGOImplant</v>
      </c>
      <c r="B135" t="s">
        <v>6</v>
      </c>
      <c r="C135">
        <v>2016</v>
      </c>
      <c r="D135" t="s">
        <v>20</v>
      </c>
      <c r="E135" t="s">
        <v>170</v>
      </c>
      <c r="F135" t="s">
        <v>23</v>
      </c>
      <c r="I135">
        <v>4.8866999999999999E-3</v>
      </c>
    </row>
    <row r="136" spans="1:9" x14ac:dyDescent="0.25">
      <c r="A136" s="104" t="str">
        <f t="shared" si="2"/>
        <v>Ethiopia2016UrbanCommercialImplant</v>
      </c>
      <c r="B136" t="s">
        <v>6</v>
      </c>
      <c r="C136">
        <v>2016</v>
      </c>
      <c r="D136" t="s">
        <v>20</v>
      </c>
      <c r="E136" t="s">
        <v>59</v>
      </c>
      <c r="F136" t="s">
        <v>23</v>
      </c>
      <c r="I136">
        <v>8.1528999999999994E-3</v>
      </c>
    </row>
    <row r="137" spans="1:9" x14ac:dyDescent="0.25">
      <c r="A137" s="104" t="str">
        <f t="shared" si="2"/>
        <v>Ethiopia2016UrbanOtherImplant</v>
      </c>
      <c r="B137" t="s">
        <v>6</v>
      </c>
      <c r="C137">
        <v>2016</v>
      </c>
      <c r="D137" t="s">
        <v>20</v>
      </c>
      <c r="E137" t="s">
        <v>116</v>
      </c>
      <c r="F137" t="s">
        <v>23</v>
      </c>
      <c r="I137">
        <v>1.45E-4</v>
      </c>
    </row>
    <row r="138" spans="1:9" x14ac:dyDescent="0.25">
      <c r="A138" s="104" t="str">
        <f t="shared" si="2"/>
        <v>Ethiopia2016RuralPub_MedImplant</v>
      </c>
      <c r="B138" t="s">
        <v>6</v>
      </c>
      <c r="C138">
        <v>2016</v>
      </c>
      <c r="D138" t="s">
        <v>21</v>
      </c>
      <c r="E138" t="s">
        <v>52</v>
      </c>
      <c r="F138" t="s">
        <v>23</v>
      </c>
      <c r="G138">
        <v>5.4898000000000002E-2</v>
      </c>
      <c r="H138">
        <v>5.7533000000000001E-2</v>
      </c>
      <c r="I138">
        <v>5.30196E-2</v>
      </c>
    </row>
    <row r="139" spans="1:9" x14ac:dyDescent="0.25">
      <c r="A139" s="104" t="str">
        <f t="shared" si="2"/>
        <v>Ethiopia2016RuralPub_OutreachImplant</v>
      </c>
      <c r="B139" t="s">
        <v>6</v>
      </c>
      <c r="C139">
        <v>2016</v>
      </c>
      <c r="D139" t="s">
        <v>21</v>
      </c>
      <c r="E139" t="s">
        <v>54</v>
      </c>
      <c r="F139" t="s">
        <v>23</v>
      </c>
      <c r="G139">
        <v>7.8399999999999995E-5</v>
      </c>
    </row>
    <row r="140" spans="1:9" x14ac:dyDescent="0.25">
      <c r="A140" s="104" t="str">
        <f t="shared" si="2"/>
        <v>Ethiopia2016RuralNGOImplant</v>
      </c>
      <c r="B140" t="s">
        <v>6</v>
      </c>
      <c r="C140">
        <v>2016</v>
      </c>
      <c r="D140" t="s">
        <v>21</v>
      </c>
      <c r="E140" t="s">
        <v>170</v>
      </c>
      <c r="F140" t="s">
        <v>23</v>
      </c>
      <c r="G140">
        <v>2.2799999999999999E-5</v>
      </c>
      <c r="I140">
        <v>7.1025999999999997E-3</v>
      </c>
    </row>
    <row r="141" spans="1:9" x14ac:dyDescent="0.25">
      <c r="A141" s="104" t="str">
        <f t="shared" si="2"/>
        <v>Ethiopia2016RuralCommercialImplant</v>
      </c>
      <c r="B141" t="s">
        <v>6</v>
      </c>
      <c r="C141">
        <v>2016</v>
      </c>
      <c r="D141" t="s">
        <v>21</v>
      </c>
      <c r="E141" t="s">
        <v>59</v>
      </c>
      <c r="F141" t="s">
        <v>23</v>
      </c>
      <c r="G141">
        <v>4.2559999999999999E-4</v>
      </c>
      <c r="I141">
        <v>2.4259999999999999E-4</v>
      </c>
    </row>
    <row r="142" spans="1:9" x14ac:dyDescent="0.25">
      <c r="A142" s="104" t="str">
        <f t="shared" si="2"/>
        <v>Haiti2012NationalPub_MedPill</v>
      </c>
      <c r="B142" t="s">
        <v>138</v>
      </c>
      <c r="C142">
        <v>2012</v>
      </c>
      <c r="D142" t="s">
        <v>178</v>
      </c>
      <c r="E142" t="s">
        <v>52</v>
      </c>
      <c r="F142" t="s">
        <v>12</v>
      </c>
      <c r="G142">
        <v>1.9856000000000001E-3</v>
      </c>
      <c r="H142">
        <v>2.8546000000000001E-3</v>
      </c>
      <c r="I142">
        <v>2.9493000000000002E-3</v>
      </c>
    </row>
    <row r="143" spans="1:9" x14ac:dyDescent="0.25">
      <c r="A143" s="104" t="str">
        <f t="shared" si="2"/>
        <v>Haiti2012NationalPub_OutreachPill</v>
      </c>
      <c r="B143" t="s">
        <v>138</v>
      </c>
      <c r="C143">
        <v>2012</v>
      </c>
      <c r="D143" t="s">
        <v>178</v>
      </c>
      <c r="E143" t="s">
        <v>54</v>
      </c>
      <c r="F143" t="s">
        <v>12</v>
      </c>
      <c r="G143">
        <v>1.2679E-3</v>
      </c>
      <c r="H143">
        <v>7.3769999999999999E-4</v>
      </c>
      <c r="I143">
        <v>1.5347E-3</v>
      </c>
    </row>
    <row r="144" spans="1:9" x14ac:dyDescent="0.25">
      <c r="A144" s="104" t="str">
        <f t="shared" si="2"/>
        <v>Haiti2012NationalNGOPill</v>
      </c>
      <c r="B144" t="s">
        <v>138</v>
      </c>
      <c r="C144">
        <v>2012</v>
      </c>
      <c r="D144" t="s">
        <v>178</v>
      </c>
      <c r="E144" t="s">
        <v>170</v>
      </c>
      <c r="F144" t="s">
        <v>12</v>
      </c>
      <c r="G144">
        <v>6.2414999999999997E-3</v>
      </c>
      <c r="H144">
        <v>1.2738000000000001E-3</v>
      </c>
      <c r="I144">
        <v>1.7625E-3</v>
      </c>
    </row>
    <row r="145" spans="1:9" x14ac:dyDescent="0.25">
      <c r="A145" s="104" t="str">
        <f t="shared" si="2"/>
        <v>Haiti2012NationalCommercialPill</v>
      </c>
      <c r="B145" t="s">
        <v>138</v>
      </c>
      <c r="C145">
        <v>2012</v>
      </c>
      <c r="D145" t="s">
        <v>178</v>
      </c>
      <c r="E145" t="s">
        <v>59</v>
      </c>
      <c r="F145" t="s">
        <v>12</v>
      </c>
      <c r="G145">
        <v>2.5339E-3</v>
      </c>
      <c r="H145">
        <v>1.1745800000000001E-2</v>
      </c>
      <c r="I145">
        <v>1.03117E-2</v>
      </c>
    </row>
    <row r="146" spans="1:9" x14ac:dyDescent="0.25">
      <c r="A146" s="104" t="str">
        <f t="shared" si="2"/>
        <v>Haiti2012NationalNonTradPill</v>
      </c>
      <c r="B146" t="s">
        <v>138</v>
      </c>
      <c r="C146">
        <v>2012</v>
      </c>
      <c r="D146" t="s">
        <v>178</v>
      </c>
      <c r="E146" t="s">
        <v>171</v>
      </c>
      <c r="F146" t="s">
        <v>12</v>
      </c>
      <c r="G146">
        <v>6.0919999999999995E-4</v>
      </c>
      <c r="H146">
        <v>1.6086E-3</v>
      </c>
      <c r="I146">
        <v>1.5906E-3</v>
      </c>
    </row>
    <row r="147" spans="1:9" x14ac:dyDescent="0.25">
      <c r="A147" s="104" t="str">
        <f t="shared" si="2"/>
        <v>Haiti2012NationalOtherPill</v>
      </c>
      <c r="B147" t="s">
        <v>138</v>
      </c>
      <c r="C147">
        <v>2012</v>
      </c>
      <c r="D147" t="s">
        <v>178</v>
      </c>
      <c r="E147" t="s">
        <v>116</v>
      </c>
      <c r="F147" t="s">
        <v>12</v>
      </c>
      <c r="G147">
        <v>2.052E-4</v>
      </c>
      <c r="H147">
        <v>9.7230000000000005E-4</v>
      </c>
      <c r="I147">
        <v>6.6370000000000003E-4</v>
      </c>
    </row>
    <row r="148" spans="1:9" x14ac:dyDescent="0.25">
      <c r="A148" s="104" t="str">
        <f t="shared" si="2"/>
        <v>Haiti2012UrbanPub_MedPill</v>
      </c>
      <c r="B148" t="s">
        <v>138</v>
      </c>
      <c r="C148">
        <v>2012</v>
      </c>
      <c r="D148" t="s">
        <v>20</v>
      </c>
      <c r="E148" t="s">
        <v>52</v>
      </c>
      <c r="F148" t="s">
        <v>12</v>
      </c>
      <c r="G148">
        <v>2.0649000000000002E-3</v>
      </c>
      <c r="H148">
        <v>3.6259E-3</v>
      </c>
      <c r="I148">
        <v>3.3777E-3</v>
      </c>
    </row>
    <row r="149" spans="1:9" x14ac:dyDescent="0.25">
      <c r="A149" s="104" t="str">
        <f t="shared" si="2"/>
        <v>Haiti2012UrbanPub_OutreachPill</v>
      </c>
      <c r="B149" t="s">
        <v>138</v>
      </c>
      <c r="C149">
        <v>2012</v>
      </c>
      <c r="D149" t="s">
        <v>20</v>
      </c>
      <c r="E149" t="s">
        <v>54</v>
      </c>
      <c r="F149" t="s">
        <v>12</v>
      </c>
      <c r="H149">
        <v>9.2310000000000005E-4</v>
      </c>
      <c r="I149">
        <v>1.3489999999999999E-3</v>
      </c>
    </row>
    <row r="150" spans="1:9" x14ac:dyDescent="0.25">
      <c r="A150" s="104" t="str">
        <f t="shared" si="2"/>
        <v>Haiti2012UrbanNGOPill</v>
      </c>
      <c r="B150" t="s">
        <v>138</v>
      </c>
      <c r="C150">
        <v>2012</v>
      </c>
      <c r="D150" t="s">
        <v>20</v>
      </c>
      <c r="E150" t="s">
        <v>170</v>
      </c>
      <c r="F150" t="s">
        <v>12</v>
      </c>
      <c r="G150">
        <v>3.2425000000000002E-3</v>
      </c>
      <c r="H150">
        <v>3.1349999999999998E-4</v>
      </c>
    </row>
    <row r="151" spans="1:9" x14ac:dyDescent="0.25">
      <c r="A151" s="104" t="str">
        <f t="shared" si="2"/>
        <v>Haiti2012UrbanCommercialPill</v>
      </c>
      <c r="B151" t="s">
        <v>138</v>
      </c>
      <c r="C151">
        <v>2012</v>
      </c>
      <c r="D151" t="s">
        <v>20</v>
      </c>
      <c r="E151" t="s">
        <v>59</v>
      </c>
      <c r="F151" t="s">
        <v>12</v>
      </c>
      <c r="G151">
        <v>6.8219999999999999E-3</v>
      </c>
      <c r="H151">
        <v>4.7441999999999996E-3</v>
      </c>
      <c r="I151">
        <v>5.1735000000000001E-3</v>
      </c>
    </row>
    <row r="152" spans="1:9" x14ac:dyDescent="0.25">
      <c r="A152" s="104" t="str">
        <f t="shared" si="2"/>
        <v>Haiti2012UrbanNonTradPill</v>
      </c>
      <c r="B152" t="s">
        <v>138</v>
      </c>
      <c r="C152">
        <v>2012</v>
      </c>
      <c r="D152" t="s">
        <v>20</v>
      </c>
      <c r="E152" t="s">
        <v>171</v>
      </c>
      <c r="F152" t="s">
        <v>12</v>
      </c>
      <c r="H152">
        <v>1.6413000000000001E-3</v>
      </c>
      <c r="I152">
        <v>1.6869000000000001E-3</v>
      </c>
    </row>
    <row r="153" spans="1:9" x14ac:dyDescent="0.25">
      <c r="A153" s="104" t="str">
        <f t="shared" si="2"/>
        <v>Haiti2012UrbanOtherPill</v>
      </c>
      <c r="B153" t="s">
        <v>138</v>
      </c>
      <c r="C153">
        <v>2012</v>
      </c>
      <c r="D153" t="s">
        <v>20</v>
      </c>
      <c r="E153" t="s">
        <v>116</v>
      </c>
      <c r="F153" t="s">
        <v>12</v>
      </c>
      <c r="H153">
        <v>1.4599000000000001E-3</v>
      </c>
      <c r="I153">
        <v>7.8490000000000005E-4</v>
      </c>
    </row>
    <row r="154" spans="1:9" x14ac:dyDescent="0.25">
      <c r="A154" s="104" t="str">
        <f t="shared" si="2"/>
        <v>Haiti2012UrbanPill</v>
      </c>
      <c r="B154" t="s">
        <v>138</v>
      </c>
      <c r="C154">
        <v>2012</v>
      </c>
      <c r="D154" t="s">
        <v>20</v>
      </c>
      <c r="F154" t="s">
        <v>12</v>
      </c>
      <c r="G154">
        <v>1.6574999999999999E-3</v>
      </c>
      <c r="H154">
        <v>1.07057E-2</v>
      </c>
      <c r="I154">
        <v>8.4477000000000007E-3</v>
      </c>
    </row>
    <row r="155" spans="1:9" x14ac:dyDescent="0.25">
      <c r="A155" s="104" t="str">
        <f t="shared" si="2"/>
        <v>Haiti2012RuralPub_MedPill</v>
      </c>
      <c r="B155" t="s">
        <v>138</v>
      </c>
      <c r="C155">
        <v>2012</v>
      </c>
      <c r="D155" t="s">
        <v>21</v>
      </c>
      <c r="E155" t="s">
        <v>52</v>
      </c>
      <c r="F155" t="s">
        <v>12</v>
      </c>
      <c r="G155">
        <v>1.9818000000000001E-3</v>
      </c>
      <c r="H155">
        <v>1.3163999999999999E-3</v>
      </c>
      <c r="I155">
        <v>6.0340000000000003E-4</v>
      </c>
    </row>
    <row r="156" spans="1:9" x14ac:dyDescent="0.25">
      <c r="A156" s="104" t="str">
        <f t="shared" si="2"/>
        <v>Haiti2012RuralPub_OutreachPill</v>
      </c>
      <c r="B156" t="s">
        <v>138</v>
      </c>
      <c r="C156">
        <v>2012</v>
      </c>
      <c r="D156" t="s">
        <v>21</v>
      </c>
      <c r="E156" t="s">
        <v>54</v>
      </c>
      <c r="F156" t="s">
        <v>12</v>
      </c>
      <c r="G156">
        <v>1.3290000000000001E-3</v>
      </c>
      <c r="H156">
        <v>3.679E-4</v>
      </c>
      <c r="I156">
        <v>2.5514999999999999E-3</v>
      </c>
    </row>
    <row r="157" spans="1:9" x14ac:dyDescent="0.25">
      <c r="A157" s="104" t="str">
        <f t="shared" si="2"/>
        <v>Haiti2012RuralNGOPill</v>
      </c>
      <c r="B157" t="s">
        <v>138</v>
      </c>
      <c r="C157">
        <v>2012</v>
      </c>
      <c r="D157" t="s">
        <v>21</v>
      </c>
      <c r="E157" t="s">
        <v>170</v>
      </c>
      <c r="F157" t="s">
        <v>12</v>
      </c>
      <c r="G157">
        <v>1.2013E-3</v>
      </c>
    </row>
    <row r="158" spans="1:9" x14ac:dyDescent="0.25">
      <c r="A158" s="104" t="str">
        <f t="shared" si="2"/>
        <v>Haiti2012RuralCommercialPill</v>
      </c>
      <c r="B158" t="s">
        <v>138</v>
      </c>
      <c r="C158">
        <v>2012</v>
      </c>
      <c r="D158" t="s">
        <v>21</v>
      </c>
      <c r="E158" t="s">
        <v>59</v>
      </c>
      <c r="F158" t="s">
        <v>12</v>
      </c>
      <c r="G158">
        <v>6.2077E-3</v>
      </c>
      <c r="H158">
        <v>4.0013000000000002E-3</v>
      </c>
      <c r="I158">
        <v>1.3193E-3</v>
      </c>
    </row>
    <row r="159" spans="1:9" x14ac:dyDescent="0.25">
      <c r="A159" s="104" t="str">
        <f t="shared" si="2"/>
        <v>Haiti2012RuralNonTradPill</v>
      </c>
      <c r="B159" t="s">
        <v>138</v>
      </c>
      <c r="C159">
        <v>2012</v>
      </c>
      <c r="D159" t="s">
        <v>21</v>
      </c>
      <c r="E159" t="s">
        <v>171</v>
      </c>
      <c r="F159" t="s">
        <v>12</v>
      </c>
      <c r="G159">
        <v>6.3849999999999996E-4</v>
      </c>
      <c r="H159">
        <v>1.5433999999999999E-3</v>
      </c>
      <c r="I159">
        <v>1.0633000000000001E-3</v>
      </c>
    </row>
    <row r="160" spans="1:9" x14ac:dyDescent="0.25">
      <c r="A160" s="104" t="str">
        <f t="shared" si="2"/>
        <v>Haiti2012RuralOtherPill</v>
      </c>
      <c r="B160" t="s">
        <v>138</v>
      </c>
      <c r="C160">
        <v>2012</v>
      </c>
      <c r="D160" t="s">
        <v>21</v>
      </c>
      <c r="E160" t="s">
        <v>116</v>
      </c>
      <c r="F160" t="s">
        <v>12</v>
      </c>
      <c r="G160">
        <v>2.1499999999999999E-4</v>
      </c>
    </row>
    <row r="161" spans="1:9" x14ac:dyDescent="0.25">
      <c r="A161" s="104" t="str">
        <f t="shared" si="2"/>
        <v>Haiti2012RuralPill</v>
      </c>
      <c r="B161" t="s">
        <v>138</v>
      </c>
      <c r="C161">
        <v>2012</v>
      </c>
      <c r="D161" t="s">
        <v>21</v>
      </c>
      <c r="F161" t="s">
        <v>12</v>
      </c>
      <c r="G161">
        <v>1.2246E-3</v>
      </c>
      <c r="H161">
        <v>3.5466E-3</v>
      </c>
      <c r="I161">
        <v>2.2826999999999999E-3</v>
      </c>
    </row>
    <row r="162" spans="1:9" x14ac:dyDescent="0.25">
      <c r="A162" s="104" t="str">
        <f t="shared" si="2"/>
        <v>Haiti2012NationalPub_OutreachIUD</v>
      </c>
      <c r="B162" t="s">
        <v>138</v>
      </c>
      <c r="C162">
        <v>2012</v>
      </c>
      <c r="D162" t="s">
        <v>178</v>
      </c>
      <c r="E162" t="s">
        <v>54</v>
      </c>
      <c r="F162" t="s">
        <v>16</v>
      </c>
      <c r="I162">
        <v>6.2299999999999996E-4</v>
      </c>
    </row>
    <row r="163" spans="1:9" x14ac:dyDescent="0.25">
      <c r="A163" s="104" t="str">
        <f t="shared" si="2"/>
        <v>Haiti2012NationalCommercialIUD</v>
      </c>
      <c r="B163" t="s">
        <v>138</v>
      </c>
      <c r="C163">
        <v>2012</v>
      </c>
      <c r="D163" t="s">
        <v>178</v>
      </c>
      <c r="E163" t="s">
        <v>59</v>
      </c>
      <c r="F163" t="s">
        <v>16</v>
      </c>
      <c r="H163">
        <v>2.265E-4</v>
      </c>
      <c r="I163">
        <v>2.6009999999999998E-4</v>
      </c>
    </row>
    <row r="164" spans="1:9" x14ac:dyDescent="0.25">
      <c r="A164" s="104" t="str">
        <f t="shared" si="2"/>
        <v>Haiti2012NationalOtherIUD</v>
      </c>
      <c r="B164" t="s">
        <v>138</v>
      </c>
      <c r="C164">
        <v>2012</v>
      </c>
      <c r="D164" t="s">
        <v>178</v>
      </c>
      <c r="E164" t="s">
        <v>116</v>
      </c>
      <c r="F164" t="s">
        <v>16</v>
      </c>
      <c r="I164">
        <v>4.8579999999999999E-4</v>
      </c>
    </row>
    <row r="165" spans="1:9" x14ac:dyDescent="0.25">
      <c r="A165" s="104" t="str">
        <f t="shared" si="2"/>
        <v>Haiti2012UrbanPub_OutreachIUD</v>
      </c>
      <c r="B165" t="s">
        <v>138</v>
      </c>
      <c r="C165">
        <v>2012</v>
      </c>
      <c r="D165" t="s">
        <v>20</v>
      </c>
      <c r="E165" t="s">
        <v>54</v>
      </c>
      <c r="F165" t="s">
        <v>16</v>
      </c>
      <c r="I165">
        <v>7.3680000000000002E-4</v>
      </c>
    </row>
    <row r="166" spans="1:9" x14ac:dyDescent="0.25">
      <c r="A166" s="104" t="str">
        <f t="shared" si="2"/>
        <v>Haiti2012UrbanCommercialIUD</v>
      </c>
      <c r="B166" t="s">
        <v>138</v>
      </c>
      <c r="C166">
        <v>2012</v>
      </c>
      <c r="D166" t="s">
        <v>20</v>
      </c>
      <c r="E166" t="s">
        <v>59</v>
      </c>
      <c r="F166" t="s">
        <v>16</v>
      </c>
      <c r="H166">
        <v>3.4000000000000002E-4</v>
      </c>
      <c r="I166">
        <v>3.076E-4</v>
      </c>
    </row>
    <row r="167" spans="1:9" x14ac:dyDescent="0.25">
      <c r="A167" s="104" t="str">
        <f t="shared" si="2"/>
        <v>Haiti2012UrbanOtherIUD</v>
      </c>
      <c r="B167" t="s">
        <v>138</v>
      </c>
      <c r="C167">
        <v>2012</v>
      </c>
      <c r="D167" t="s">
        <v>20</v>
      </c>
      <c r="E167" t="s">
        <v>116</v>
      </c>
      <c r="F167" t="s">
        <v>16</v>
      </c>
      <c r="I167">
        <v>5.7450000000000003E-4</v>
      </c>
    </row>
    <row r="168" spans="1:9" x14ac:dyDescent="0.25">
      <c r="A168" s="104" t="str">
        <f t="shared" si="2"/>
        <v>Haiti2012NationalPub_MedInjectable</v>
      </c>
      <c r="B168" t="s">
        <v>138</v>
      </c>
      <c r="C168">
        <v>2012</v>
      </c>
      <c r="D168" t="s">
        <v>178</v>
      </c>
      <c r="E168" t="s">
        <v>52</v>
      </c>
      <c r="F168" t="s">
        <v>22</v>
      </c>
      <c r="G168">
        <v>4.4272800000000001E-2</v>
      </c>
      <c r="H168">
        <v>3.6354699999999997E-2</v>
      </c>
      <c r="I168">
        <v>1.5373100000000001E-2</v>
      </c>
    </row>
    <row r="169" spans="1:9" x14ac:dyDescent="0.25">
      <c r="A169" s="104" t="str">
        <f t="shared" si="2"/>
        <v>Haiti2012NationalPub_OutreachInjectable</v>
      </c>
      <c r="B169" t="s">
        <v>138</v>
      </c>
      <c r="C169">
        <v>2012</v>
      </c>
      <c r="D169" t="s">
        <v>178</v>
      </c>
      <c r="E169" t="s">
        <v>54</v>
      </c>
      <c r="F169" t="s">
        <v>22</v>
      </c>
      <c r="G169">
        <v>2.6899699999999999E-2</v>
      </c>
      <c r="H169">
        <v>2.1976699999999998E-2</v>
      </c>
      <c r="I169">
        <v>1.13077E-2</v>
      </c>
    </row>
    <row r="170" spans="1:9" x14ac:dyDescent="0.25">
      <c r="A170" s="104" t="str">
        <f t="shared" si="2"/>
        <v>Haiti2012NationalNGOInjectable</v>
      </c>
      <c r="B170" t="s">
        <v>138</v>
      </c>
      <c r="C170">
        <v>2012</v>
      </c>
      <c r="D170" t="s">
        <v>178</v>
      </c>
      <c r="E170" t="s">
        <v>170</v>
      </c>
      <c r="F170" t="s">
        <v>22</v>
      </c>
      <c r="G170">
        <v>3.54842E-2</v>
      </c>
      <c r="H170">
        <v>2.8084700000000001E-2</v>
      </c>
      <c r="I170">
        <v>4.1581999999999999E-3</v>
      </c>
    </row>
    <row r="171" spans="1:9" x14ac:dyDescent="0.25">
      <c r="A171" s="104" t="str">
        <f t="shared" si="2"/>
        <v>Haiti2012NationalCommercialInjectable</v>
      </c>
      <c r="B171" t="s">
        <v>138</v>
      </c>
      <c r="C171">
        <v>2012</v>
      </c>
      <c r="D171" t="s">
        <v>178</v>
      </c>
      <c r="E171" t="s">
        <v>59</v>
      </c>
      <c r="F171" t="s">
        <v>22</v>
      </c>
      <c r="G171">
        <v>3.5193200000000001E-2</v>
      </c>
      <c r="H171">
        <v>5.1915700000000002E-2</v>
      </c>
      <c r="I171">
        <v>2.37021E-2</v>
      </c>
    </row>
    <row r="172" spans="1:9" x14ac:dyDescent="0.25">
      <c r="A172" s="104" t="str">
        <f t="shared" si="2"/>
        <v>Haiti2012NationalNonTradInjectable</v>
      </c>
      <c r="B172" t="s">
        <v>138</v>
      </c>
      <c r="C172">
        <v>2012</v>
      </c>
      <c r="D172" t="s">
        <v>178</v>
      </c>
      <c r="E172" t="s">
        <v>171</v>
      </c>
      <c r="F172" t="s">
        <v>22</v>
      </c>
      <c r="H172">
        <v>1.1399999999999999E-5</v>
      </c>
    </row>
    <row r="173" spans="1:9" x14ac:dyDescent="0.25">
      <c r="A173" s="104" t="str">
        <f t="shared" si="2"/>
        <v>Haiti2012NationalOtherInjectable</v>
      </c>
      <c r="B173" t="s">
        <v>138</v>
      </c>
      <c r="C173">
        <v>2012</v>
      </c>
      <c r="D173" t="s">
        <v>178</v>
      </c>
      <c r="E173" t="s">
        <v>116</v>
      </c>
      <c r="F173" t="s">
        <v>22</v>
      </c>
      <c r="G173">
        <v>3.389E-4</v>
      </c>
      <c r="H173">
        <v>1.9645999999999999E-3</v>
      </c>
      <c r="I173">
        <v>1.9419999999999999E-3</v>
      </c>
    </row>
    <row r="174" spans="1:9" x14ac:dyDescent="0.25">
      <c r="A174" s="104" t="str">
        <f t="shared" si="2"/>
        <v>Haiti2012UrbanPub_MedInjectable</v>
      </c>
      <c r="B174" t="s">
        <v>138</v>
      </c>
      <c r="C174">
        <v>2012</v>
      </c>
      <c r="D174" t="s">
        <v>20</v>
      </c>
      <c r="E174" t="s">
        <v>52</v>
      </c>
      <c r="F174" t="s">
        <v>22</v>
      </c>
      <c r="G174">
        <v>4.2868999999999997E-2</v>
      </c>
      <c r="H174">
        <v>3.4419900000000003E-2</v>
      </c>
      <c r="I174">
        <v>1.4570899999999999E-2</v>
      </c>
    </row>
    <row r="175" spans="1:9" x14ac:dyDescent="0.25">
      <c r="A175" s="104" t="str">
        <f t="shared" si="2"/>
        <v>Haiti2012UrbanPub_OutreachInjectable</v>
      </c>
      <c r="B175" t="s">
        <v>138</v>
      </c>
      <c r="C175">
        <v>2012</v>
      </c>
      <c r="D175" t="s">
        <v>20</v>
      </c>
      <c r="E175" t="s">
        <v>54</v>
      </c>
      <c r="F175" t="s">
        <v>22</v>
      </c>
      <c r="G175">
        <v>1.7431499999999999E-2</v>
      </c>
      <c r="H175">
        <v>2.0635799999999999E-2</v>
      </c>
      <c r="I175">
        <v>1.11704E-2</v>
      </c>
    </row>
    <row r="176" spans="1:9" x14ac:dyDescent="0.25">
      <c r="A176" s="104" t="str">
        <f t="shared" si="2"/>
        <v>Haiti2012UrbanNGOInjectable</v>
      </c>
      <c r="B176" t="s">
        <v>138</v>
      </c>
      <c r="C176">
        <v>2012</v>
      </c>
      <c r="D176" t="s">
        <v>20</v>
      </c>
      <c r="E176" t="s">
        <v>170</v>
      </c>
      <c r="F176" t="s">
        <v>22</v>
      </c>
      <c r="G176">
        <v>9.5011000000000002E-3</v>
      </c>
      <c r="H176">
        <v>1.8341E-3</v>
      </c>
    </row>
    <row r="177" spans="1:9" x14ac:dyDescent="0.25">
      <c r="A177" s="104" t="str">
        <f t="shared" si="2"/>
        <v>Haiti2012UrbanCommercialInjectable</v>
      </c>
      <c r="B177" t="s">
        <v>138</v>
      </c>
      <c r="C177">
        <v>2012</v>
      </c>
      <c r="D177" t="s">
        <v>20</v>
      </c>
      <c r="E177" t="s">
        <v>59</v>
      </c>
      <c r="F177" t="s">
        <v>22</v>
      </c>
      <c r="G177">
        <v>4.1239199999999997E-2</v>
      </c>
      <c r="H177">
        <v>5.0890299999999999E-2</v>
      </c>
      <c r="I177">
        <v>1.54244E-2</v>
      </c>
    </row>
    <row r="178" spans="1:9" x14ac:dyDescent="0.25">
      <c r="A178" s="104" t="str">
        <f t="shared" si="2"/>
        <v>Haiti2012UrbanOtherInjectable</v>
      </c>
      <c r="B178" t="s">
        <v>138</v>
      </c>
      <c r="C178">
        <v>2012</v>
      </c>
      <c r="D178" t="s">
        <v>20</v>
      </c>
      <c r="E178" t="s">
        <v>116</v>
      </c>
      <c r="F178" t="s">
        <v>22</v>
      </c>
      <c r="G178">
        <v>1.8709999999999999E-4</v>
      </c>
      <c r="H178">
        <v>2.2732999999999998E-3</v>
      </c>
      <c r="I178">
        <v>2.2967E-3</v>
      </c>
    </row>
    <row r="179" spans="1:9" x14ac:dyDescent="0.25">
      <c r="A179" s="104" t="str">
        <f t="shared" si="2"/>
        <v>Haiti2012UrbanInjectable</v>
      </c>
      <c r="B179" t="s">
        <v>138</v>
      </c>
      <c r="C179">
        <v>2012</v>
      </c>
      <c r="D179" t="s">
        <v>20</v>
      </c>
      <c r="F179" t="s">
        <v>22</v>
      </c>
      <c r="G179">
        <v>1.7359999999999999E-3</v>
      </c>
      <c r="H179">
        <v>1.7510299999999999E-2</v>
      </c>
      <c r="I179">
        <v>9.1362000000000006E-3</v>
      </c>
    </row>
    <row r="180" spans="1:9" x14ac:dyDescent="0.25">
      <c r="A180" s="104" t="str">
        <f t="shared" si="2"/>
        <v>Haiti2012RuralPub_MedInjectable</v>
      </c>
      <c r="B180" t="s">
        <v>138</v>
      </c>
      <c r="C180">
        <v>2012</v>
      </c>
      <c r="D180" t="s">
        <v>21</v>
      </c>
      <c r="E180" t="s">
        <v>52</v>
      </c>
      <c r="F180" t="s">
        <v>22</v>
      </c>
      <c r="G180">
        <v>4.4340400000000002E-2</v>
      </c>
      <c r="H180">
        <v>4.0213199999999998E-2</v>
      </c>
      <c r="I180">
        <v>1.9766100000000002E-2</v>
      </c>
    </row>
    <row r="181" spans="1:9" x14ac:dyDescent="0.25">
      <c r="A181" s="104" t="str">
        <f t="shared" si="2"/>
        <v>Haiti2012RuralPub_OutreachInjectable</v>
      </c>
      <c r="B181" t="s">
        <v>138</v>
      </c>
      <c r="C181">
        <v>2012</v>
      </c>
      <c r="D181" t="s">
        <v>21</v>
      </c>
      <c r="E181" t="s">
        <v>54</v>
      </c>
      <c r="F181" t="s">
        <v>22</v>
      </c>
      <c r="G181">
        <v>2.7355299999999999E-2</v>
      </c>
      <c r="H181">
        <v>2.4650600000000002E-2</v>
      </c>
      <c r="I181">
        <v>1.20597E-2</v>
      </c>
    </row>
    <row r="182" spans="1:9" x14ac:dyDescent="0.25">
      <c r="A182" s="104" t="str">
        <f t="shared" si="2"/>
        <v>Haiti2012RuralNGOInjectable</v>
      </c>
      <c r="B182" t="s">
        <v>138</v>
      </c>
      <c r="C182">
        <v>2012</v>
      </c>
      <c r="D182" t="s">
        <v>21</v>
      </c>
      <c r="E182" t="s">
        <v>170</v>
      </c>
      <c r="F182" t="s">
        <v>22</v>
      </c>
      <c r="G182">
        <v>3.7274999999999999E-3</v>
      </c>
      <c r="H182">
        <v>9.0673999999999998E-3</v>
      </c>
    </row>
    <row r="183" spans="1:9" x14ac:dyDescent="0.25">
      <c r="A183" s="104" t="str">
        <f t="shared" si="2"/>
        <v>Haiti2012RuralCommercialInjectable</v>
      </c>
      <c r="B183" t="s">
        <v>138</v>
      </c>
      <c r="C183">
        <v>2012</v>
      </c>
      <c r="D183" t="s">
        <v>21</v>
      </c>
      <c r="E183" t="s">
        <v>59</v>
      </c>
      <c r="F183" t="s">
        <v>22</v>
      </c>
      <c r="G183">
        <v>6.3555200000000006E-2</v>
      </c>
      <c r="H183">
        <v>7.8982800000000006E-2</v>
      </c>
      <c r="I183">
        <v>3.0144399999999998E-2</v>
      </c>
    </row>
    <row r="184" spans="1:9" x14ac:dyDescent="0.25">
      <c r="A184" s="104" t="str">
        <f t="shared" si="2"/>
        <v>Haiti2012RuralNonTradInjectable</v>
      </c>
      <c r="B184" t="s">
        <v>138</v>
      </c>
      <c r="C184">
        <v>2012</v>
      </c>
      <c r="D184" t="s">
        <v>21</v>
      </c>
      <c r="E184" t="s">
        <v>171</v>
      </c>
      <c r="F184" t="s">
        <v>22</v>
      </c>
      <c r="H184">
        <v>3.43E-5</v>
      </c>
    </row>
    <row r="185" spans="1:9" x14ac:dyDescent="0.25">
      <c r="A185" s="104" t="str">
        <f t="shared" si="2"/>
        <v>Haiti2012RuralOtherInjectable</v>
      </c>
      <c r="B185" t="s">
        <v>138</v>
      </c>
      <c r="C185">
        <v>2012</v>
      </c>
      <c r="D185" t="s">
        <v>21</v>
      </c>
      <c r="E185" t="s">
        <v>116</v>
      </c>
      <c r="F185" t="s">
        <v>22</v>
      </c>
      <c r="G185">
        <v>3.4620000000000001E-4</v>
      </c>
      <c r="H185">
        <v>1.3491E-3</v>
      </c>
    </row>
    <row r="186" spans="1:9" x14ac:dyDescent="0.25">
      <c r="A186" s="104" t="str">
        <f t="shared" si="2"/>
        <v>Haiti2012RuralInjectable</v>
      </c>
      <c r="B186" t="s">
        <v>138</v>
      </c>
      <c r="C186">
        <v>2012</v>
      </c>
      <c r="D186" t="s">
        <v>21</v>
      </c>
      <c r="F186" t="s">
        <v>22</v>
      </c>
      <c r="G186">
        <v>4.2706999999999997E-3</v>
      </c>
      <c r="H186">
        <v>1.1425100000000001E-2</v>
      </c>
      <c r="I186">
        <v>1.5787300000000001E-2</v>
      </c>
    </row>
    <row r="187" spans="1:9" x14ac:dyDescent="0.25">
      <c r="A187" s="104" t="str">
        <f t="shared" si="2"/>
        <v>Haiti2012NationalPub_MedCondom</v>
      </c>
      <c r="B187" t="s">
        <v>138</v>
      </c>
      <c r="C187">
        <v>2012</v>
      </c>
      <c r="D187" t="s">
        <v>178</v>
      </c>
      <c r="E187" t="s">
        <v>52</v>
      </c>
      <c r="F187" t="s">
        <v>25</v>
      </c>
      <c r="G187">
        <v>1.7600999999999999E-3</v>
      </c>
      <c r="H187">
        <v>5.6043000000000004E-3</v>
      </c>
      <c r="I187">
        <v>6.8804000000000001E-3</v>
      </c>
    </row>
    <row r="188" spans="1:9" x14ac:dyDescent="0.25">
      <c r="A188" s="104" t="str">
        <f t="shared" si="2"/>
        <v>Haiti2012NationalPub_OutreachCondom</v>
      </c>
      <c r="B188" t="s">
        <v>138</v>
      </c>
      <c r="C188">
        <v>2012</v>
      </c>
      <c r="D188" t="s">
        <v>178</v>
      </c>
      <c r="E188" t="s">
        <v>54</v>
      </c>
      <c r="F188" t="s">
        <v>25</v>
      </c>
      <c r="G188">
        <v>1.1136E-3</v>
      </c>
      <c r="H188">
        <v>2.8633E-3</v>
      </c>
      <c r="I188">
        <v>2.5552999999999999E-3</v>
      </c>
    </row>
    <row r="189" spans="1:9" x14ac:dyDescent="0.25">
      <c r="A189" s="104" t="str">
        <f t="shared" si="2"/>
        <v>Haiti2012NationalNGOCondom</v>
      </c>
      <c r="B189" t="s">
        <v>138</v>
      </c>
      <c r="C189">
        <v>2012</v>
      </c>
      <c r="D189" t="s">
        <v>178</v>
      </c>
      <c r="E189" t="s">
        <v>170</v>
      </c>
      <c r="F189" t="s">
        <v>25</v>
      </c>
      <c r="G189">
        <v>1.237E-3</v>
      </c>
      <c r="H189">
        <v>1.8839E-3</v>
      </c>
      <c r="I189">
        <v>9.7970000000000002E-4</v>
      </c>
    </row>
    <row r="190" spans="1:9" x14ac:dyDescent="0.25">
      <c r="A190" s="104" t="str">
        <f t="shared" si="2"/>
        <v>Haiti2012NationalCommercialCondom</v>
      </c>
      <c r="B190" t="s">
        <v>138</v>
      </c>
      <c r="C190">
        <v>2012</v>
      </c>
      <c r="D190" t="s">
        <v>178</v>
      </c>
      <c r="E190" t="s">
        <v>59</v>
      </c>
      <c r="F190" t="s">
        <v>25</v>
      </c>
      <c r="G190">
        <v>3.1748000000000002E-3</v>
      </c>
      <c r="H190">
        <v>8.8784999999999992E-3</v>
      </c>
      <c r="I190">
        <v>2.9760200000000001E-2</v>
      </c>
    </row>
    <row r="191" spans="1:9" x14ac:dyDescent="0.25">
      <c r="A191" s="104" t="str">
        <f t="shared" si="2"/>
        <v>Haiti2012NationalNonTradCondom</v>
      </c>
      <c r="B191" t="s">
        <v>138</v>
      </c>
      <c r="C191">
        <v>2012</v>
      </c>
      <c r="D191" t="s">
        <v>178</v>
      </c>
      <c r="E191" t="s">
        <v>171</v>
      </c>
      <c r="F191" t="s">
        <v>25</v>
      </c>
      <c r="G191">
        <v>4.7054000000000002E-3</v>
      </c>
      <c r="H191">
        <v>1.4416E-2</v>
      </c>
      <c r="I191">
        <v>1.9980600000000001E-2</v>
      </c>
    </row>
    <row r="192" spans="1:9" x14ac:dyDescent="0.25">
      <c r="A192" s="104" t="str">
        <f t="shared" si="2"/>
        <v>Haiti2012NationalOtherCondom</v>
      </c>
      <c r="B192" t="s">
        <v>138</v>
      </c>
      <c r="C192">
        <v>2012</v>
      </c>
      <c r="D192" t="s">
        <v>178</v>
      </c>
      <c r="E192" t="s">
        <v>116</v>
      </c>
      <c r="F192" t="s">
        <v>25</v>
      </c>
      <c r="G192">
        <v>1.18981E-2</v>
      </c>
      <c r="H192">
        <v>2.5596299999999999E-2</v>
      </c>
      <c r="I192">
        <v>4.4499799999999999E-2</v>
      </c>
    </row>
    <row r="193" spans="1:9" x14ac:dyDescent="0.25">
      <c r="A193" s="104" t="str">
        <f t="shared" si="2"/>
        <v>Haiti2012UrbanPub_MedCondom</v>
      </c>
      <c r="B193" t="s">
        <v>138</v>
      </c>
      <c r="C193">
        <v>2012</v>
      </c>
      <c r="D193" t="s">
        <v>20</v>
      </c>
      <c r="E193" t="s">
        <v>52</v>
      </c>
      <c r="F193" t="s">
        <v>25</v>
      </c>
      <c r="G193">
        <v>1.5805000000000001E-3</v>
      </c>
      <c r="H193">
        <v>6.1203999999999998E-3</v>
      </c>
      <c r="I193">
        <v>7.9480000000000002E-3</v>
      </c>
    </row>
    <row r="194" spans="1:9" x14ac:dyDescent="0.25">
      <c r="A194" s="104" t="str">
        <f t="shared" si="2"/>
        <v>Haiti2012UrbanPub_OutreachCondom</v>
      </c>
      <c r="B194" t="s">
        <v>138</v>
      </c>
      <c r="C194">
        <v>2012</v>
      </c>
      <c r="D194" t="s">
        <v>20</v>
      </c>
      <c r="E194" t="s">
        <v>54</v>
      </c>
      <c r="F194" t="s">
        <v>25</v>
      </c>
      <c r="H194">
        <v>3.6637000000000002E-3</v>
      </c>
      <c r="I194">
        <v>2.7550000000000001E-3</v>
      </c>
    </row>
    <row r="195" spans="1:9" x14ac:dyDescent="0.25">
      <c r="A195" s="104" t="str">
        <f t="shared" ref="A195:A258" si="3">B195&amp;C195&amp;D195&amp;E195&amp;F195</f>
        <v>Haiti2012UrbanNGOCondom</v>
      </c>
      <c r="B195" t="s">
        <v>138</v>
      </c>
      <c r="C195">
        <v>2012</v>
      </c>
      <c r="D195" t="s">
        <v>20</v>
      </c>
      <c r="E195" t="s">
        <v>170</v>
      </c>
      <c r="F195" t="s">
        <v>25</v>
      </c>
      <c r="H195">
        <v>1.495E-4</v>
      </c>
    </row>
    <row r="196" spans="1:9" x14ac:dyDescent="0.25">
      <c r="A196" s="104" t="str">
        <f t="shared" si="3"/>
        <v>Haiti2012UrbanCommercialCondom</v>
      </c>
      <c r="B196" t="s">
        <v>138</v>
      </c>
      <c r="C196">
        <v>2012</v>
      </c>
      <c r="D196" t="s">
        <v>20</v>
      </c>
      <c r="E196" t="s">
        <v>59</v>
      </c>
      <c r="F196" t="s">
        <v>25</v>
      </c>
      <c r="G196">
        <v>4.5538000000000002E-3</v>
      </c>
      <c r="H196">
        <v>5.2063999999999999E-3</v>
      </c>
      <c r="I196">
        <v>6.8608999999999996E-3</v>
      </c>
    </row>
    <row r="197" spans="1:9" x14ac:dyDescent="0.25">
      <c r="A197" s="104" t="str">
        <f t="shared" si="3"/>
        <v>Haiti2012UrbanNonTradCondom</v>
      </c>
      <c r="B197" t="s">
        <v>138</v>
      </c>
      <c r="C197">
        <v>2012</v>
      </c>
      <c r="D197" t="s">
        <v>20</v>
      </c>
      <c r="E197" t="s">
        <v>171</v>
      </c>
      <c r="F197" t="s">
        <v>25</v>
      </c>
      <c r="G197">
        <v>8.6958999999999995E-3</v>
      </c>
      <c r="H197">
        <v>1.40278E-2</v>
      </c>
      <c r="I197">
        <v>2.2431300000000001E-2</v>
      </c>
    </row>
    <row r="198" spans="1:9" x14ac:dyDescent="0.25">
      <c r="A198" s="104" t="str">
        <f t="shared" si="3"/>
        <v>Haiti2012UrbanOtherCondom</v>
      </c>
      <c r="B198" t="s">
        <v>138</v>
      </c>
      <c r="C198">
        <v>2012</v>
      </c>
      <c r="D198" t="s">
        <v>20</v>
      </c>
      <c r="E198" t="s">
        <v>116</v>
      </c>
      <c r="F198" t="s">
        <v>25</v>
      </c>
      <c r="G198">
        <v>1.1704300000000001E-2</v>
      </c>
      <c r="H198">
        <v>2.6746599999999999E-2</v>
      </c>
      <c r="I198">
        <v>4.2553300000000002E-2</v>
      </c>
    </row>
    <row r="199" spans="1:9" x14ac:dyDescent="0.25">
      <c r="A199" s="104" t="str">
        <f t="shared" si="3"/>
        <v>Haiti2012UrbanCondom</v>
      </c>
      <c r="B199" t="s">
        <v>138</v>
      </c>
      <c r="C199">
        <v>2012</v>
      </c>
      <c r="D199" t="s">
        <v>20</v>
      </c>
      <c r="F199" t="s">
        <v>25</v>
      </c>
      <c r="G199">
        <v>7.0035000000000002E-3</v>
      </c>
      <c r="H199">
        <v>6.862E-3</v>
      </c>
      <c r="I199">
        <v>2.5167599999999998E-2</v>
      </c>
    </row>
    <row r="200" spans="1:9" x14ac:dyDescent="0.25">
      <c r="A200" s="104" t="str">
        <f t="shared" si="3"/>
        <v>Haiti2012RuralPub_MedCondom</v>
      </c>
      <c r="B200" t="s">
        <v>138</v>
      </c>
      <c r="C200">
        <v>2012</v>
      </c>
      <c r="D200" t="s">
        <v>21</v>
      </c>
      <c r="E200" t="s">
        <v>52</v>
      </c>
      <c r="F200" t="s">
        <v>25</v>
      </c>
      <c r="G200">
        <v>1.7687E-3</v>
      </c>
      <c r="H200">
        <v>4.5751000000000003E-3</v>
      </c>
      <c r="I200">
        <v>1.0338999999999999E-3</v>
      </c>
    </row>
    <row r="201" spans="1:9" x14ac:dyDescent="0.25">
      <c r="A201" s="104" t="str">
        <f t="shared" si="3"/>
        <v>Haiti2012RuralPub_OutreachCondom</v>
      </c>
      <c r="B201" t="s">
        <v>138</v>
      </c>
      <c r="C201">
        <v>2012</v>
      </c>
      <c r="D201" t="s">
        <v>21</v>
      </c>
      <c r="E201" t="s">
        <v>54</v>
      </c>
      <c r="F201" t="s">
        <v>25</v>
      </c>
      <c r="G201">
        <v>1.1672E-3</v>
      </c>
      <c r="H201">
        <v>1.2669999999999999E-3</v>
      </c>
      <c r="I201">
        <v>1.4618000000000001E-3</v>
      </c>
    </row>
    <row r="202" spans="1:9" x14ac:dyDescent="0.25">
      <c r="A202" s="104" t="str">
        <f t="shared" si="3"/>
        <v>Haiti2012RuralNGOCondom</v>
      </c>
      <c r="B202" t="s">
        <v>138</v>
      </c>
      <c r="C202">
        <v>2012</v>
      </c>
      <c r="D202" t="s">
        <v>21</v>
      </c>
      <c r="E202" t="s">
        <v>170</v>
      </c>
      <c r="F202" t="s">
        <v>25</v>
      </c>
      <c r="G202">
        <v>7.1509999999999998E-4</v>
      </c>
    </row>
    <row r="203" spans="1:9" x14ac:dyDescent="0.25">
      <c r="A203" s="104" t="str">
        <f t="shared" si="3"/>
        <v>Haiti2012RuralCommercialCondom</v>
      </c>
      <c r="B203" t="s">
        <v>138</v>
      </c>
      <c r="C203">
        <v>2012</v>
      </c>
      <c r="D203" t="s">
        <v>21</v>
      </c>
      <c r="E203" t="s">
        <v>59</v>
      </c>
      <c r="F203" t="s">
        <v>25</v>
      </c>
      <c r="G203">
        <v>1.6165999999999999E-3</v>
      </c>
      <c r="H203">
        <v>4.4434000000000001E-3</v>
      </c>
      <c r="I203">
        <v>6.9998999999999999E-3</v>
      </c>
    </row>
    <row r="204" spans="1:9" x14ac:dyDescent="0.25">
      <c r="A204" s="104" t="str">
        <f t="shared" si="3"/>
        <v>Haiti2012RuralNonTradCondom</v>
      </c>
      <c r="B204" t="s">
        <v>138</v>
      </c>
      <c r="C204">
        <v>2012</v>
      </c>
      <c r="D204" t="s">
        <v>21</v>
      </c>
      <c r="E204" t="s">
        <v>171</v>
      </c>
      <c r="F204" t="s">
        <v>25</v>
      </c>
      <c r="G204">
        <v>4.5132999999999996E-3</v>
      </c>
      <c r="H204">
        <v>1.519E-2</v>
      </c>
      <c r="I204">
        <v>6.5589999999999997E-3</v>
      </c>
    </row>
    <row r="205" spans="1:9" x14ac:dyDescent="0.25">
      <c r="A205" s="104" t="str">
        <f t="shared" si="3"/>
        <v>Haiti2012RuralOtherCondom</v>
      </c>
      <c r="B205" t="s">
        <v>138</v>
      </c>
      <c r="C205">
        <v>2012</v>
      </c>
      <c r="D205" t="s">
        <v>21</v>
      </c>
      <c r="E205" t="s">
        <v>116</v>
      </c>
      <c r="F205" t="s">
        <v>25</v>
      </c>
      <c r="G205">
        <v>1.19074E-2</v>
      </c>
      <c r="H205">
        <v>2.3302300000000001E-2</v>
      </c>
      <c r="I205">
        <v>5.51602E-2</v>
      </c>
    </row>
    <row r="206" spans="1:9" x14ac:dyDescent="0.25">
      <c r="A206" s="104" t="str">
        <f t="shared" si="3"/>
        <v>Haiti2012RuralCondom</v>
      </c>
      <c r="B206" t="s">
        <v>138</v>
      </c>
      <c r="C206">
        <v>2012</v>
      </c>
      <c r="D206" t="s">
        <v>21</v>
      </c>
      <c r="F206" t="s">
        <v>25</v>
      </c>
      <c r="G206">
        <v>1.7362E-3</v>
      </c>
      <c r="H206">
        <v>3.4166000000000001E-3</v>
      </c>
      <c r="I206">
        <v>1.6682700000000002E-2</v>
      </c>
    </row>
    <row r="207" spans="1:9" x14ac:dyDescent="0.25">
      <c r="A207" s="104" t="str">
        <f t="shared" si="3"/>
        <v>Haiti2012NationalPub_MedImplant</v>
      </c>
      <c r="B207" t="s">
        <v>138</v>
      </c>
      <c r="C207">
        <v>2012</v>
      </c>
      <c r="D207" t="s">
        <v>178</v>
      </c>
      <c r="E207" t="s">
        <v>52</v>
      </c>
      <c r="F207" t="s">
        <v>23</v>
      </c>
      <c r="G207">
        <v>7.1777999999999998E-3</v>
      </c>
      <c r="H207">
        <v>3.0246000000000001E-3</v>
      </c>
      <c r="I207">
        <v>9.1560000000000003E-4</v>
      </c>
    </row>
    <row r="208" spans="1:9" x14ac:dyDescent="0.25">
      <c r="A208" s="104" t="str">
        <f t="shared" si="3"/>
        <v>Haiti2012NationalPub_OutreachImplant</v>
      </c>
      <c r="B208" t="s">
        <v>138</v>
      </c>
      <c r="C208">
        <v>2012</v>
      </c>
      <c r="D208" t="s">
        <v>178</v>
      </c>
      <c r="E208" t="s">
        <v>54</v>
      </c>
      <c r="F208" t="s">
        <v>23</v>
      </c>
      <c r="G208">
        <v>5.2862999999999999E-3</v>
      </c>
      <c r="H208">
        <v>1.1558E-3</v>
      </c>
      <c r="I208">
        <v>5.6749999999999997E-4</v>
      </c>
    </row>
    <row r="209" spans="1:9" x14ac:dyDescent="0.25">
      <c r="A209" s="104" t="str">
        <f t="shared" si="3"/>
        <v>Haiti2012NationalNGOImplant</v>
      </c>
      <c r="B209" t="s">
        <v>138</v>
      </c>
      <c r="C209">
        <v>2012</v>
      </c>
      <c r="D209" t="s">
        <v>178</v>
      </c>
      <c r="E209" t="s">
        <v>170</v>
      </c>
      <c r="F209" t="s">
        <v>23</v>
      </c>
      <c r="G209">
        <v>4.4250000000000002E-4</v>
      </c>
      <c r="H209">
        <v>1.794E-4</v>
      </c>
    </row>
    <row r="210" spans="1:9" x14ac:dyDescent="0.25">
      <c r="A210" s="104" t="str">
        <f t="shared" si="3"/>
        <v>Haiti2012NationalCommercialImplant</v>
      </c>
      <c r="B210" t="s">
        <v>138</v>
      </c>
      <c r="C210">
        <v>2012</v>
      </c>
      <c r="D210" t="s">
        <v>178</v>
      </c>
      <c r="E210" t="s">
        <v>59</v>
      </c>
      <c r="F210" t="s">
        <v>23</v>
      </c>
      <c r="G210">
        <v>7.5884999999999998E-3</v>
      </c>
      <c r="H210">
        <v>3.4910000000000002E-3</v>
      </c>
      <c r="I210">
        <v>5.4449999999999995E-4</v>
      </c>
    </row>
    <row r="211" spans="1:9" x14ac:dyDescent="0.25">
      <c r="A211" s="104" t="str">
        <f t="shared" si="3"/>
        <v>Haiti2012NationalNonTradImplant</v>
      </c>
      <c r="B211" t="s">
        <v>138</v>
      </c>
      <c r="C211">
        <v>2012</v>
      </c>
      <c r="D211" t="s">
        <v>178</v>
      </c>
      <c r="E211" t="s">
        <v>171</v>
      </c>
      <c r="F211" t="s">
        <v>23</v>
      </c>
      <c r="G211">
        <v>3.277E-4</v>
      </c>
    </row>
    <row r="212" spans="1:9" x14ac:dyDescent="0.25">
      <c r="A212" s="104" t="str">
        <f t="shared" si="3"/>
        <v>Haiti2012NationalOtherImplant</v>
      </c>
      <c r="B212" t="s">
        <v>138</v>
      </c>
      <c r="C212">
        <v>2012</v>
      </c>
      <c r="D212" t="s">
        <v>178</v>
      </c>
      <c r="E212" t="s">
        <v>116</v>
      </c>
      <c r="F212" t="s">
        <v>23</v>
      </c>
      <c r="G212">
        <v>1.0179999999999999E-4</v>
      </c>
    </row>
    <row r="213" spans="1:9" x14ac:dyDescent="0.25">
      <c r="A213" s="104" t="str">
        <f t="shared" si="3"/>
        <v>Haiti2012UrbanPub_MedImplant</v>
      </c>
      <c r="B213" t="s">
        <v>138</v>
      </c>
      <c r="C213">
        <v>2012</v>
      </c>
      <c r="D213" t="s">
        <v>20</v>
      </c>
      <c r="E213" t="s">
        <v>52</v>
      </c>
      <c r="F213" t="s">
        <v>23</v>
      </c>
      <c r="G213">
        <v>1.8581799999999999E-2</v>
      </c>
      <c r="H213">
        <v>3.0663000000000001E-3</v>
      </c>
      <c r="I213">
        <v>1.0828000000000001E-3</v>
      </c>
    </row>
    <row r="214" spans="1:9" x14ac:dyDescent="0.25">
      <c r="A214" s="104" t="str">
        <f t="shared" si="3"/>
        <v>Haiti2012UrbanPub_OutreachImplant</v>
      </c>
      <c r="B214" t="s">
        <v>138</v>
      </c>
      <c r="C214">
        <v>2012</v>
      </c>
      <c r="D214" t="s">
        <v>20</v>
      </c>
      <c r="E214" t="s">
        <v>54</v>
      </c>
      <c r="F214" t="s">
        <v>23</v>
      </c>
      <c r="G214">
        <v>3.2469E-3</v>
      </c>
      <c r="H214">
        <v>1.2125E-3</v>
      </c>
      <c r="I214">
        <v>6.7120000000000005E-4</v>
      </c>
    </row>
    <row r="215" spans="1:9" x14ac:dyDescent="0.25">
      <c r="A215" s="104" t="str">
        <f t="shared" si="3"/>
        <v>Haiti2012UrbanCommercialImplant</v>
      </c>
      <c r="B215" t="s">
        <v>138</v>
      </c>
      <c r="C215">
        <v>2012</v>
      </c>
      <c r="D215" t="s">
        <v>20</v>
      </c>
      <c r="E215" t="s">
        <v>59</v>
      </c>
      <c r="F215" t="s">
        <v>23</v>
      </c>
      <c r="G215">
        <v>1.5331300000000001E-2</v>
      </c>
      <c r="H215">
        <v>1.0846E-3</v>
      </c>
      <c r="I215">
        <v>6.4389999999999998E-4</v>
      </c>
    </row>
    <row r="216" spans="1:9" x14ac:dyDescent="0.25">
      <c r="A216" s="104" t="str">
        <f t="shared" si="3"/>
        <v>Haiti2012UrbanImplant</v>
      </c>
      <c r="B216" t="s">
        <v>138</v>
      </c>
      <c r="C216">
        <v>2012</v>
      </c>
      <c r="D216" t="s">
        <v>20</v>
      </c>
      <c r="F216" t="s">
        <v>23</v>
      </c>
      <c r="H216">
        <v>1.6579999999999999E-4</v>
      </c>
    </row>
    <row r="217" spans="1:9" x14ac:dyDescent="0.25">
      <c r="A217" s="104" t="str">
        <f t="shared" si="3"/>
        <v>Haiti2012RuralPub_MedImplant</v>
      </c>
      <c r="B217" t="s">
        <v>138</v>
      </c>
      <c r="C217">
        <v>2012</v>
      </c>
      <c r="D217" t="s">
        <v>21</v>
      </c>
      <c r="E217" t="s">
        <v>52</v>
      </c>
      <c r="F217" t="s">
        <v>23</v>
      </c>
      <c r="G217">
        <v>6.6290000000000003E-3</v>
      </c>
      <c r="H217">
        <v>2.9415999999999999E-3</v>
      </c>
    </row>
    <row r="218" spans="1:9" x14ac:dyDescent="0.25">
      <c r="A218" s="104" t="str">
        <f t="shared" si="3"/>
        <v>Haiti2012RuralPub_OutreachImplant</v>
      </c>
      <c r="B218" t="s">
        <v>138</v>
      </c>
      <c r="C218">
        <v>2012</v>
      </c>
      <c r="D218" t="s">
        <v>21</v>
      </c>
      <c r="E218" t="s">
        <v>54</v>
      </c>
      <c r="F218" t="s">
        <v>23</v>
      </c>
      <c r="G218">
        <v>5.3845000000000004E-3</v>
      </c>
      <c r="H218">
        <v>1.0429E-3</v>
      </c>
    </row>
    <row r="219" spans="1:9" x14ac:dyDescent="0.25">
      <c r="A219" s="104" t="str">
        <f t="shared" si="3"/>
        <v>Haiti2012RuralNGOImplant</v>
      </c>
      <c r="B219" t="s">
        <v>138</v>
      </c>
      <c r="C219">
        <v>2012</v>
      </c>
      <c r="D219" t="s">
        <v>21</v>
      </c>
      <c r="E219" t="s">
        <v>170</v>
      </c>
      <c r="F219" t="s">
        <v>23</v>
      </c>
      <c r="G219">
        <v>1.771E-4</v>
      </c>
    </row>
    <row r="220" spans="1:9" x14ac:dyDescent="0.25">
      <c r="A220" s="104" t="str">
        <f t="shared" si="3"/>
        <v>Haiti2012RuralCommercialImplant</v>
      </c>
      <c r="B220" t="s">
        <v>138</v>
      </c>
      <c r="C220">
        <v>2012</v>
      </c>
      <c r="D220" t="s">
        <v>21</v>
      </c>
      <c r="E220" t="s">
        <v>59</v>
      </c>
      <c r="F220" t="s">
        <v>23</v>
      </c>
      <c r="G220">
        <v>7.5024999999999996E-3</v>
      </c>
      <c r="H220">
        <v>8.4963999999999994E-3</v>
      </c>
    </row>
    <row r="221" spans="1:9" x14ac:dyDescent="0.25">
      <c r="A221" s="104" t="str">
        <f t="shared" si="3"/>
        <v>Haiti2012RuralNonTradImplant</v>
      </c>
      <c r="B221" t="s">
        <v>138</v>
      </c>
      <c r="C221">
        <v>2012</v>
      </c>
      <c r="D221" t="s">
        <v>21</v>
      </c>
      <c r="E221" t="s">
        <v>171</v>
      </c>
      <c r="F221" t="s">
        <v>23</v>
      </c>
      <c r="G221">
        <v>3.435E-4</v>
      </c>
    </row>
    <row r="222" spans="1:9" x14ac:dyDescent="0.25">
      <c r="A222" s="104" t="str">
        <f t="shared" si="3"/>
        <v>Haiti2012RuralOtherImplant</v>
      </c>
      <c r="B222" t="s">
        <v>138</v>
      </c>
      <c r="C222">
        <v>2012</v>
      </c>
      <c r="D222" t="s">
        <v>21</v>
      </c>
      <c r="E222" t="s">
        <v>116</v>
      </c>
      <c r="F222" t="s">
        <v>23</v>
      </c>
      <c r="G222">
        <v>1.0670000000000001E-4</v>
      </c>
    </row>
    <row r="223" spans="1:9" x14ac:dyDescent="0.25">
      <c r="A223" s="104" t="str">
        <f t="shared" si="3"/>
        <v>Haiti2016.5NationalPub_MedPill</v>
      </c>
      <c r="B223" t="s">
        <v>138</v>
      </c>
      <c r="C223">
        <v>2016.5</v>
      </c>
      <c r="D223" t="s">
        <v>178</v>
      </c>
      <c r="E223" t="s">
        <v>52</v>
      </c>
      <c r="F223" t="s">
        <v>12</v>
      </c>
      <c r="G223">
        <v>3.4626000000000001E-3</v>
      </c>
      <c r="H223">
        <v>7.4494000000000001E-3</v>
      </c>
      <c r="I223">
        <v>6.4156999999999999E-3</v>
      </c>
    </row>
    <row r="224" spans="1:9" x14ac:dyDescent="0.25">
      <c r="A224" s="104" t="str">
        <f t="shared" si="3"/>
        <v>Haiti2016.5NationalPub_OutreachPill</v>
      </c>
      <c r="B224" t="s">
        <v>138</v>
      </c>
      <c r="C224">
        <v>2016.5</v>
      </c>
      <c r="D224" t="s">
        <v>178</v>
      </c>
      <c r="E224" t="s">
        <v>54</v>
      </c>
      <c r="F224" t="s">
        <v>12</v>
      </c>
      <c r="G224">
        <v>1.004E-4</v>
      </c>
      <c r="H224">
        <v>4.414E-4</v>
      </c>
      <c r="I224">
        <v>3.815E-4</v>
      </c>
    </row>
    <row r="225" spans="1:9" x14ac:dyDescent="0.25">
      <c r="A225" s="104" t="str">
        <f t="shared" si="3"/>
        <v>Haiti2016.5NationalNGOPill</v>
      </c>
      <c r="B225" t="s">
        <v>138</v>
      </c>
      <c r="C225">
        <v>2016.5</v>
      </c>
      <c r="D225" t="s">
        <v>178</v>
      </c>
      <c r="E225" t="s">
        <v>170</v>
      </c>
      <c r="F225" t="s">
        <v>12</v>
      </c>
      <c r="G225">
        <v>2.6104000000000001E-3</v>
      </c>
      <c r="H225">
        <v>1.2581000000000001E-3</v>
      </c>
      <c r="I225">
        <v>6.1320000000000005E-4</v>
      </c>
    </row>
    <row r="226" spans="1:9" x14ac:dyDescent="0.25">
      <c r="A226" s="104" t="str">
        <f t="shared" si="3"/>
        <v>Haiti2016.5NationalCommercialPill</v>
      </c>
      <c r="B226" t="s">
        <v>138</v>
      </c>
      <c r="C226">
        <v>2016.5</v>
      </c>
      <c r="D226" t="s">
        <v>178</v>
      </c>
      <c r="E226" t="s">
        <v>59</v>
      </c>
      <c r="F226" t="s">
        <v>12</v>
      </c>
      <c r="G226">
        <v>1.5305E-3</v>
      </c>
      <c r="H226">
        <v>5.973E-3</v>
      </c>
      <c r="I226">
        <v>8.9578000000000001E-3</v>
      </c>
    </row>
    <row r="227" spans="1:9" x14ac:dyDescent="0.25">
      <c r="A227" s="104" t="str">
        <f t="shared" si="3"/>
        <v>Haiti2016.5NationalNonTradPill</v>
      </c>
      <c r="B227" t="s">
        <v>138</v>
      </c>
      <c r="C227">
        <v>2016.5</v>
      </c>
      <c r="D227" t="s">
        <v>178</v>
      </c>
      <c r="E227" t="s">
        <v>171</v>
      </c>
      <c r="F227" t="s">
        <v>12</v>
      </c>
      <c r="G227">
        <v>6.9169999999999995E-4</v>
      </c>
      <c r="H227">
        <v>5.8089999999999997E-4</v>
      </c>
      <c r="I227">
        <v>6.0439999999999995E-4</v>
      </c>
    </row>
    <row r="228" spans="1:9" x14ac:dyDescent="0.25">
      <c r="A228" s="104" t="str">
        <f t="shared" si="3"/>
        <v>Haiti2016.5UrbanPub_MedPill</v>
      </c>
      <c r="B228" t="s">
        <v>138</v>
      </c>
      <c r="C228">
        <v>2016.5</v>
      </c>
      <c r="D228" t="s">
        <v>20</v>
      </c>
      <c r="E228" t="s">
        <v>52</v>
      </c>
      <c r="F228" t="s">
        <v>12</v>
      </c>
      <c r="G228">
        <v>4.5326000000000003E-3</v>
      </c>
      <c r="H228">
        <v>7.8771999999999991E-3</v>
      </c>
      <c r="I228">
        <v>4.8776999999999996E-3</v>
      </c>
    </row>
    <row r="229" spans="1:9" x14ac:dyDescent="0.25">
      <c r="A229" s="104" t="str">
        <f t="shared" si="3"/>
        <v>Haiti2016.5UrbanPub_OutreachPill</v>
      </c>
      <c r="B229" t="s">
        <v>138</v>
      </c>
      <c r="C229">
        <v>2016.5</v>
      </c>
      <c r="D229" t="s">
        <v>20</v>
      </c>
      <c r="E229" t="s">
        <v>54</v>
      </c>
      <c r="F229" t="s">
        <v>12</v>
      </c>
      <c r="H229">
        <v>1.0620000000000001E-4</v>
      </c>
      <c r="I229">
        <v>4.5300000000000001E-4</v>
      </c>
    </row>
    <row r="230" spans="1:9" x14ac:dyDescent="0.25">
      <c r="A230" s="104" t="str">
        <f t="shared" si="3"/>
        <v>Haiti2016.5UrbanNGOPill</v>
      </c>
      <c r="B230" t="s">
        <v>138</v>
      </c>
      <c r="C230">
        <v>2016.5</v>
      </c>
      <c r="D230" t="s">
        <v>20</v>
      </c>
      <c r="E230" t="s">
        <v>170</v>
      </c>
      <c r="F230" t="s">
        <v>12</v>
      </c>
      <c r="H230">
        <v>1.8577999999999999E-3</v>
      </c>
      <c r="I230">
        <v>1.4190000000000001E-4</v>
      </c>
    </row>
    <row r="231" spans="1:9" x14ac:dyDescent="0.25">
      <c r="A231" s="104" t="str">
        <f t="shared" si="3"/>
        <v>Haiti2016.5UrbanCommercialPill</v>
      </c>
      <c r="B231" t="s">
        <v>138</v>
      </c>
      <c r="C231">
        <v>2016.5</v>
      </c>
      <c r="D231" t="s">
        <v>20</v>
      </c>
      <c r="E231" t="s">
        <v>59</v>
      </c>
      <c r="F231" t="s">
        <v>12</v>
      </c>
      <c r="G231">
        <v>1.2428000000000001E-3</v>
      </c>
      <c r="H231">
        <v>8.3151000000000006E-3</v>
      </c>
      <c r="I231">
        <v>9.3107999999999993E-3</v>
      </c>
    </row>
    <row r="232" spans="1:9" x14ac:dyDescent="0.25">
      <c r="A232" s="104" t="str">
        <f t="shared" si="3"/>
        <v>Haiti2016.5UrbanNonTradPill</v>
      </c>
      <c r="B232" t="s">
        <v>138</v>
      </c>
      <c r="C232">
        <v>2016.5</v>
      </c>
      <c r="D232" t="s">
        <v>20</v>
      </c>
      <c r="E232" t="s">
        <v>171</v>
      </c>
      <c r="F232" t="s">
        <v>12</v>
      </c>
      <c r="G232">
        <v>4.6585000000000003E-3</v>
      </c>
      <c r="H232">
        <v>8.3699999999999996E-4</v>
      </c>
      <c r="I232">
        <v>7.1759999999999999E-4</v>
      </c>
    </row>
    <row r="233" spans="1:9" x14ac:dyDescent="0.25">
      <c r="A233" s="104" t="str">
        <f t="shared" si="3"/>
        <v>Haiti2016.5RuralPub_MedPill</v>
      </c>
      <c r="B233" t="s">
        <v>138</v>
      </c>
      <c r="C233">
        <v>2016.5</v>
      </c>
      <c r="D233" t="s">
        <v>21</v>
      </c>
      <c r="E233" t="s">
        <v>52</v>
      </c>
      <c r="F233" t="s">
        <v>12</v>
      </c>
      <c r="G233">
        <v>3.3647E-3</v>
      </c>
      <c r="H233">
        <v>7.5341000000000002E-3</v>
      </c>
      <c r="I233">
        <v>1.4626999999999999E-2</v>
      </c>
    </row>
    <row r="234" spans="1:9" x14ac:dyDescent="0.25">
      <c r="A234" s="104" t="str">
        <f t="shared" si="3"/>
        <v>Haiti2016.5RuralPub_OutreachPill</v>
      </c>
      <c r="B234" t="s">
        <v>138</v>
      </c>
      <c r="C234">
        <v>2016.5</v>
      </c>
      <c r="D234" t="s">
        <v>21</v>
      </c>
      <c r="E234" t="s">
        <v>54</v>
      </c>
      <c r="F234" t="s">
        <v>12</v>
      </c>
      <c r="G234">
        <v>1.0950000000000001E-4</v>
      </c>
      <c r="H234">
        <v>2.129E-4</v>
      </c>
    </row>
    <row r="235" spans="1:9" x14ac:dyDescent="0.25">
      <c r="A235" s="104" t="str">
        <f t="shared" si="3"/>
        <v>Haiti2016.5RuralNGOPill</v>
      </c>
      <c r="B235" t="s">
        <v>138</v>
      </c>
      <c r="C235">
        <v>2016.5</v>
      </c>
      <c r="D235" t="s">
        <v>21</v>
      </c>
      <c r="E235" t="s">
        <v>170</v>
      </c>
      <c r="F235" t="s">
        <v>12</v>
      </c>
      <c r="G235">
        <v>2.8492000000000001E-3</v>
      </c>
      <c r="H235">
        <v>3.2600000000000001E-4</v>
      </c>
      <c r="I235">
        <v>3.1296000000000002E-3</v>
      </c>
    </row>
    <row r="236" spans="1:9" x14ac:dyDescent="0.25">
      <c r="A236" s="104" t="str">
        <f t="shared" si="3"/>
        <v>Haiti2016.5RuralCommercialPill</v>
      </c>
      <c r="B236" t="s">
        <v>138</v>
      </c>
      <c r="C236">
        <v>2016.5</v>
      </c>
      <c r="D236" t="s">
        <v>21</v>
      </c>
      <c r="E236" t="s">
        <v>59</v>
      </c>
      <c r="F236" t="s">
        <v>12</v>
      </c>
      <c r="G236">
        <v>1.5567999999999999E-3</v>
      </c>
      <c r="H236">
        <v>2.3324000000000001E-3</v>
      </c>
      <c r="I236">
        <v>7.0729E-3</v>
      </c>
    </row>
    <row r="237" spans="1:9" x14ac:dyDescent="0.25">
      <c r="A237" s="104" t="str">
        <f t="shared" si="3"/>
        <v>Haiti2016.5RuralNonTradPill</v>
      </c>
      <c r="B237" t="s">
        <v>138</v>
      </c>
      <c r="C237">
        <v>2016.5</v>
      </c>
      <c r="D237" t="s">
        <v>21</v>
      </c>
      <c r="E237" t="s">
        <v>171</v>
      </c>
      <c r="F237" t="s">
        <v>12</v>
      </c>
      <c r="G237">
        <v>3.2880000000000002E-4</v>
      </c>
      <c r="H237">
        <v>1.828E-4</v>
      </c>
    </row>
    <row r="238" spans="1:9" x14ac:dyDescent="0.25">
      <c r="A238" s="104" t="str">
        <f t="shared" si="3"/>
        <v>Haiti2016.5NationalPub_MedIUD</v>
      </c>
      <c r="B238" t="s">
        <v>138</v>
      </c>
      <c r="C238">
        <v>2016.5</v>
      </c>
      <c r="D238" t="s">
        <v>178</v>
      </c>
      <c r="E238" t="s">
        <v>52</v>
      </c>
      <c r="F238" t="s">
        <v>16</v>
      </c>
      <c r="G238">
        <v>5.5429999999999998E-4</v>
      </c>
      <c r="H238">
        <v>8.4809999999999996E-4</v>
      </c>
    </row>
    <row r="239" spans="1:9" x14ac:dyDescent="0.25">
      <c r="A239" s="104" t="str">
        <f t="shared" si="3"/>
        <v>Haiti2016.5NationalCommercialIUD</v>
      </c>
      <c r="B239" t="s">
        <v>138</v>
      </c>
      <c r="C239">
        <v>2016.5</v>
      </c>
      <c r="D239" t="s">
        <v>178</v>
      </c>
      <c r="E239" t="s">
        <v>59</v>
      </c>
      <c r="F239" t="s">
        <v>16</v>
      </c>
      <c r="I239">
        <v>2.2599999999999999E-4</v>
      </c>
    </row>
    <row r="240" spans="1:9" x14ac:dyDescent="0.25">
      <c r="A240" s="104" t="str">
        <f t="shared" si="3"/>
        <v>Haiti2016.5UrbanPub_MedIUD</v>
      </c>
      <c r="B240" t="s">
        <v>138</v>
      </c>
      <c r="C240">
        <v>2016.5</v>
      </c>
      <c r="D240" t="s">
        <v>20</v>
      </c>
      <c r="E240" t="s">
        <v>52</v>
      </c>
      <c r="F240" t="s">
        <v>16</v>
      </c>
      <c r="H240">
        <v>1.3937000000000001E-3</v>
      </c>
    </row>
    <row r="241" spans="1:9" x14ac:dyDescent="0.25">
      <c r="A241" s="104" t="str">
        <f t="shared" si="3"/>
        <v>Haiti2016.5UrbanCommercialIUD</v>
      </c>
      <c r="B241" t="s">
        <v>138</v>
      </c>
      <c r="C241">
        <v>2016.5</v>
      </c>
      <c r="D241" t="s">
        <v>20</v>
      </c>
      <c r="E241" t="s">
        <v>59</v>
      </c>
      <c r="F241" t="s">
        <v>16</v>
      </c>
      <c r="I241">
        <v>2.6830000000000002E-4</v>
      </c>
    </row>
    <row r="242" spans="1:9" x14ac:dyDescent="0.25">
      <c r="A242" s="104" t="str">
        <f t="shared" si="3"/>
        <v>Haiti2016.5RuralPub_MedIUD</v>
      </c>
      <c r="B242" t="s">
        <v>138</v>
      </c>
      <c r="C242">
        <v>2016.5</v>
      </c>
      <c r="D242" t="s">
        <v>21</v>
      </c>
      <c r="E242" t="s">
        <v>52</v>
      </c>
      <c r="F242" t="s">
        <v>16</v>
      </c>
      <c r="G242">
        <v>6.0499999999999996E-4</v>
      </c>
    </row>
    <row r="243" spans="1:9" x14ac:dyDescent="0.25">
      <c r="A243" s="104" t="str">
        <f t="shared" si="3"/>
        <v>Haiti2016.5NationalPub_MedInjectable</v>
      </c>
      <c r="B243" t="s">
        <v>138</v>
      </c>
      <c r="C243">
        <v>2016.5</v>
      </c>
      <c r="D243" t="s">
        <v>178</v>
      </c>
      <c r="E243" t="s">
        <v>52</v>
      </c>
      <c r="F243" t="s">
        <v>22</v>
      </c>
      <c r="G243">
        <v>7.4771099999999993E-2</v>
      </c>
      <c r="H243">
        <v>7.7447199999999994E-2</v>
      </c>
      <c r="I243">
        <v>3.1537799999999998E-2</v>
      </c>
    </row>
    <row r="244" spans="1:9" x14ac:dyDescent="0.25">
      <c r="A244" s="104" t="str">
        <f t="shared" si="3"/>
        <v>Haiti2016.5NationalPub_OutreachInjectable</v>
      </c>
      <c r="B244" t="s">
        <v>138</v>
      </c>
      <c r="C244">
        <v>2016.5</v>
      </c>
      <c r="D244" t="s">
        <v>178</v>
      </c>
      <c r="E244" t="s">
        <v>54</v>
      </c>
      <c r="F244" t="s">
        <v>22</v>
      </c>
      <c r="G244">
        <v>5.2402000000000004E-3</v>
      </c>
      <c r="H244">
        <v>6.8352999999999999E-3</v>
      </c>
      <c r="I244">
        <v>3.5312999999999998E-3</v>
      </c>
    </row>
    <row r="245" spans="1:9" x14ac:dyDescent="0.25">
      <c r="A245" s="104" t="str">
        <f t="shared" si="3"/>
        <v>Haiti2016.5NationalNGOInjectable</v>
      </c>
      <c r="B245" t="s">
        <v>138</v>
      </c>
      <c r="C245">
        <v>2016.5</v>
      </c>
      <c r="D245" t="s">
        <v>178</v>
      </c>
      <c r="E245" t="s">
        <v>170</v>
      </c>
      <c r="F245" t="s">
        <v>22</v>
      </c>
      <c r="G245">
        <v>4.3745899999999997E-2</v>
      </c>
      <c r="H245">
        <v>2.2842899999999999E-2</v>
      </c>
      <c r="I245">
        <v>4.6817999999999999E-3</v>
      </c>
    </row>
    <row r="246" spans="1:9" x14ac:dyDescent="0.25">
      <c r="A246" s="104" t="str">
        <f t="shared" si="3"/>
        <v>Haiti2016.5NationalCommercialInjectable</v>
      </c>
      <c r="B246" t="s">
        <v>138</v>
      </c>
      <c r="C246">
        <v>2016.5</v>
      </c>
      <c r="D246" t="s">
        <v>178</v>
      </c>
      <c r="E246" t="s">
        <v>59</v>
      </c>
      <c r="F246" t="s">
        <v>22</v>
      </c>
      <c r="G246">
        <v>1.2224199999999999E-2</v>
      </c>
      <c r="H246">
        <v>2.3785299999999999E-2</v>
      </c>
      <c r="I246">
        <v>1.6190400000000001E-2</v>
      </c>
    </row>
    <row r="247" spans="1:9" x14ac:dyDescent="0.25">
      <c r="A247" s="104" t="str">
        <f t="shared" si="3"/>
        <v>Haiti2016.5UrbanPub_MedInjectable</v>
      </c>
      <c r="B247" t="s">
        <v>138</v>
      </c>
      <c r="C247">
        <v>2016.5</v>
      </c>
      <c r="D247" t="s">
        <v>20</v>
      </c>
      <c r="E247" t="s">
        <v>52</v>
      </c>
      <c r="F247" t="s">
        <v>22</v>
      </c>
      <c r="G247">
        <v>9.2235700000000004E-2</v>
      </c>
      <c r="H247">
        <v>7.9000100000000004E-2</v>
      </c>
      <c r="I247">
        <v>3.3318199999999999E-2</v>
      </c>
    </row>
    <row r="248" spans="1:9" x14ac:dyDescent="0.25">
      <c r="A248" s="104" t="str">
        <f t="shared" si="3"/>
        <v>Haiti2016.5UrbanPub_OutreachInjectable</v>
      </c>
      <c r="B248" t="s">
        <v>138</v>
      </c>
      <c r="C248">
        <v>2016.5</v>
      </c>
      <c r="D248" t="s">
        <v>20</v>
      </c>
      <c r="E248" t="s">
        <v>54</v>
      </c>
      <c r="F248" t="s">
        <v>22</v>
      </c>
      <c r="H248">
        <v>4.8032999999999999E-3</v>
      </c>
      <c r="I248">
        <v>1.9261E-3</v>
      </c>
    </row>
    <row r="249" spans="1:9" x14ac:dyDescent="0.25">
      <c r="A249" s="104" t="str">
        <f t="shared" si="3"/>
        <v>Haiti2016.5UrbanNGOInjectable</v>
      </c>
      <c r="B249" t="s">
        <v>138</v>
      </c>
      <c r="C249">
        <v>2016.5</v>
      </c>
      <c r="D249" t="s">
        <v>20</v>
      </c>
      <c r="E249" t="s">
        <v>170</v>
      </c>
      <c r="F249" t="s">
        <v>22</v>
      </c>
      <c r="G249">
        <v>5.8084400000000001E-2</v>
      </c>
      <c r="H249">
        <v>1.7869400000000001E-2</v>
      </c>
      <c r="I249">
        <v>3.6809E-3</v>
      </c>
    </row>
    <row r="250" spans="1:9" x14ac:dyDescent="0.25">
      <c r="A250" s="104" t="str">
        <f t="shared" si="3"/>
        <v>Haiti2016.5UrbanCommercialInjectable</v>
      </c>
      <c r="B250" t="s">
        <v>138</v>
      </c>
      <c r="C250">
        <v>2016.5</v>
      </c>
      <c r="D250" t="s">
        <v>20</v>
      </c>
      <c r="E250" t="s">
        <v>59</v>
      </c>
      <c r="F250" t="s">
        <v>22</v>
      </c>
      <c r="G250">
        <v>2.2981100000000001E-2</v>
      </c>
      <c r="H250">
        <v>2.9413999999999999E-2</v>
      </c>
      <c r="I250">
        <v>1.7902399999999999E-2</v>
      </c>
    </row>
    <row r="251" spans="1:9" x14ac:dyDescent="0.25">
      <c r="A251" s="104" t="str">
        <f t="shared" si="3"/>
        <v>Haiti2016.5RuralPub_MedInjectable</v>
      </c>
      <c r="B251" t="s">
        <v>138</v>
      </c>
      <c r="C251">
        <v>2016.5</v>
      </c>
      <c r="D251" t="s">
        <v>21</v>
      </c>
      <c r="E251" t="s">
        <v>52</v>
      </c>
      <c r="F251" t="s">
        <v>22</v>
      </c>
      <c r="G251">
        <v>7.6025800000000004E-2</v>
      </c>
      <c r="H251">
        <v>8.0529699999999996E-2</v>
      </c>
      <c r="I251">
        <v>3.4133900000000002E-2</v>
      </c>
    </row>
    <row r="252" spans="1:9" x14ac:dyDescent="0.25">
      <c r="A252" s="104" t="str">
        <f t="shared" si="3"/>
        <v>Haiti2016.5RuralPub_OutreachInjectable</v>
      </c>
      <c r="B252" t="s">
        <v>138</v>
      </c>
      <c r="C252">
        <v>2016.5</v>
      </c>
      <c r="D252" t="s">
        <v>21</v>
      </c>
      <c r="E252" t="s">
        <v>54</v>
      </c>
      <c r="F252" t="s">
        <v>22</v>
      </c>
      <c r="G252">
        <v>2.8671999999999999E-3</v>
      </c>
      <c r="H252">
        <v>4.4977000000000003E-3</v>
      </c>
    </row>
    <row r="253" spans="1:9" x14ac:dyDescent="0.25">
      <c r="A253" s="104" t="str">
        <f t="shared" si="3"/>
        <v>Haiti2016.5RuralNGOInjectable</v>
      </c>
      <c r="B253" t="s">
        <v>138</v>
      </c>
      <c r="C253">
        <v>2016.5</v>
      </c>
      <c r="D253" t="s">
        <v>21</v>
      </c>
      <c r="E253" t="s">
        <v>170</v>
      </c>
      <c r="F253" t="s">
        <v>22</v>
      </c>
      <c r="G253">
        <v>4.2434199999999998E-2</v>
      </c>
      <c r="H253">
        <v>3.0574E-2</v>
      </c>
      <c r="I253">
        <v>1.0026200000000001E-2</v>
      </c>
    </row>
    <row r="254" spans="1:9" x14ac:dyDescent="0.25">
      <c r="A254" s="104" t="str">
        <f t="shared" si="3"/>
        <v>Haiti2016.5RuralCommercialInjectable</v>
      </c>
      <c r="B254" t="s">
        <v>138</v>
      </c>
      <c r="C254">
        <v>2016.5</v>
      </c>
      <c r="D254" t="s">
        <v>21</v>
      </c>
      <c r="E254" t="s">
        <v>59</v>
      </c>
      <c r="F254" t="s">
        <v>22</v>
      </c>
      <c r="G254">
        <v>1.1240099999999999E-2</v>
      </c>
      <c r="H254">
        <v>1.50359E-2</v>
      </c>
      <c r="I254">
        <v>7.0495999999999996E-3</v>
      </c>
    </row>
    <row r="255" spans="1:9" x14ac:dyDescent="0.25">
      <c r="A255" s="104" t="str">
        <f t="shared" si="3"/>
        <v>Haiti2016.5NationalPub_MedCondom</v>
      </c>
      <c r="B255" t="s">
        <v>138</v>
      </c>
      <c r="C255">
        <v>2016.5</v>
      </c>
      <c r="D255" t="s">
        <v>178</v>
      </c>
      <c r="E255" t="s">
        <v>52</v>
      </c>
      <c r="F255" t="s">
        <v>25</v>
      </c>
      <c r="G255">
        <v>7.3758000000000001E-3</v>
      </c>
      <c r="H255">
        <v>1.57278E-2</v>
      </c>
      <c r="I255">
        <v>1.1654899999999999E-2</v>
      </c>
    </row>
    <row r="256" spans="1:9" x14ac:dyDescent="0.25">
      <c r="A256" s="104" t="str">
        <f t="shared" si="3"/>
        <v>Haiti2016.5NationalPub_OutreachCondom</v>
      </c>
      <c r="B256" t="s">
        <v>138</v>
      </c>
      <c r="C256">
        <v>2016.5</v>
      </c>
      <c r="D256" t="s">
        <v>178</v>
      </c>
      <c r="E256" t="s">
        <v>54</v>
      </c>
      <c r="F256" t="s">
        <v>25</v>
      </c>
      <c r="H256">
        <v>1.9948000000000001E-3</v>
      </c>
      <c r="I256">
        <v>3.9630999999999998E-3</v>
      </c>
    </row>
    <row r="257" spans="1:9" x14ac:dyDescent="0.25">
      <c r="A257" s="104" t="str">
        <f t="shared" si="3"/>
        <v>Haiti2016.5NationalNGOCondom</v>
      </c>
      <c r="B257" t="s">
        <v>138</v>
      </c>
      <c r="C257">
        <v>2016.5</v>
      </c>
      <c r="D257" t="s">
        <v>178</v>
      </c>
      <c r="E257" t="s">
        <v>170</v>
      </c>
      <c r="F257" t="s">
        <v>25</v>
      </c>
      <c r="G257">
        <v>2.6296000000000002E-3</v>
      </c>
      <c r="H257">
        <v>3.3081999999999999E-3</v>
      </c>
      <c r="I257">
        <v>3.4172999999999999E-3</v>
      </c>
    </row>
    <row r="258" spans="1:9" x14ac:dyDescent="0.25">
      <c r="A258" s="104" t="str">
        <f t="shared" si="3"/>
        <v>Haiti2016.5NationalCommercialCondom</v>
      </c>
      <c r="B258" t="s">
        <v>138</v>
      </c>
      <c r="C258">
        <v>2016.5</v>
      </c>
      <c r="D258" t="s">
        <v>178</v>
      </c>
      <c r="E258" t="s">
        <v>59</v>
      </c>
      <c r="F258" t="s">
        <v>25</v>
      </c>
      <c r="G258">
        <v>2.2644000000000002E-3</v>
      </c>
      <c r="H258">
        <v>1.9324600000000001E-2</v>
      </c>
      <c r="I258">
        <v>2.6255400000000002E-2</v>
      </c>
    </row>
    <row r="259" spans="1:9" x14ac:dyDescent="0.25">
      <c r="A259" s="104" t="str">
        <f t="shared" ref="A259:A322" si="4">B259&amp;C259&amp;D259&amp;E259&amp;F259</f>
        <v>Haiti2016.5NationalNonTradCondom</v>
      </c>
      <c r="B259" t="s">
        <v>138</v>
      </c>
      <c r="C259">
        <v>2016.5</v>
      </c>
      <c r="D259" t="s">
        <v>178</v>
      </c>
      <c r="E259" t="s">
        <v>171</v>
      </c>
      <c r="F259" t="s">
        <v>25</v>
      </c>
      <c r="G259">
        <v>4.2937000000000001E-3</v>
      </c>
      <c r="H259">
        <v>1.51924E-2</v>
      </c>
      <c r="I259">
        <v>1.6659500000000001E-2</v>
      </c>
    </row>
    <row r="260" spans="1:9" x14ac:dyDescent="0.25">
      <c r="A260" s="104" t="str">
        <f t="shared" si="4"/>
        <v>Haiti2016.5NationalOtherCondom</v>
      </c>
      <c r="B260" t="s">
        <v>138</v>
      </c>
      <c r="C260">
        <v>2016.5</v>
      </c>
      <c r="D260" t="s">
        <v>178</v>
      </c>
      <c r="E260" t="s">
        <v>116</v>
      </c>
      <c r="F260" t="s">
        <v>25</v>
      </c>
      <c r="G260">
        <v>4.1901000000000004E-3</v>
      </c>
      <c r="H260">
        <v>1.6670500000000001E-2</v>
      </c>
      <c r="I260">
        <v>3.52839E-2</v>
      </c>
    </row>
    <row r="261" spans="1:9" x14ac:dyDescent="0.25">
      <c r="A261" s="104" t="str">
        <f t="shared" si="4"/>
        <v>Haiti2016.5UrbanPub_MedCondom</v>
      </c>
      <c r="B261" t="s">
        <v>138</v>
      </c>
      <c r="C261">
        <v>2016.5</v>
      </c>
      <c r="D261" t="s">
        <v>20</v>
      </c>
      <c r="E261" t="s">
        <v>52</v>
      </c>
      <c r="F261" t="s">
        <v>25</v>
      </c>
      <c r="G261">
        <v>1.7830599999999999E-2</v>
      </c>
      <c r="H261">
        <v>1.81569E-2</v>
      </c>
      <c r="I261">
        <v>1.16188E-2</v>
      </c>
    </row>
    <row r="262" spans="1:9" x14ac:dyDescent="0.25">
      <c r="A262" s="104" t="str">
        <f t="shared" si="4"/>
        <v>Haiti2016.5UrbanPub_OutreachCondom</v>
      </c>
      <c r="B262" t="s">
        <v>138</v>
      </c>
      <c r="C262">
        <v>2016.5</v>
      </c>
      <c r="D262" t="s">
        <v>20</v>
      </c>
      <c r="E262" t="s">
        <v>54</v>
      </c>
      <c r="F262" t="s">
        <v>25</v>
      </c>
      <c r="H262">
        <v>2.3915E-3</v>
      </c>
      <c r="I262">
        <v>4.5593999999999999E-3</v>
      </c>
    </row>
    <row r="263" spans="1:9" x14ac:dyDescent="0.25">
      <c r="A263" s="104" t="str">
        <f t="shared" si="4"/>
        <v>Haiti2016.5UrbanNGOCondom</v>
      </c>
      <c r="B263" t="s">
        <v>138</v>
      </c>
      <c r="C263">
        <v>2016.5</v>
      </c>
      <c r="D263" t="s">
        <v>20</v>
      </c>
      <c r="E263" t="s">
        <v>170</v>
      </c>
      <c r="F263" t="s">
        <v>25</v>
      </c>
      <c r="H263">
        <v>3.4263000000000002E-3</v>
      </c>
      <c r="I263">
        <v>4.0574000000000001E-3</v>
      </c>
    </row>
    <row r="264" spans="1:9" x14ac:dyDescent="0.25">
      <c r="A264" s="104" t="str">
        <f t="shared" si="4"/>
        <v>Haiti2016.5UrbanCommercialCondom</v>
      </c>
      <c r="B264" t="s">
        <v>138</v>
      </c>
      <c r="C264">
        <v>2016.5</v>
      </c>
      <c r="D264" t="s">
        <v>20</v>
      </c>
      <c r="E264" t="s">
        <v>59</v>
      </c>
      <c r="F264" t="s">
        <v>25</v>
      </c>
      <c r="G264">
        <v>1.4564999999999999E-3</v>
      </c>
      <c r="H264">
        <v>2.2849399999999999E-2</v>
      </c>
      <c r="I264">
        <v>2.5131500000000001E-2</v>
      </c>
    </row>
    <row r="265" spans="1:9" x14ac:dyDescent="0.25">
      <c r="A265" s="104" t="str">
        <f t="shared" si="4"/>
        <v>Haiti2016.5UrbanNonTradCondom</v>
      </c>
      <c r="B265" t="s">
        <v>138</v>
      </c>
      <c r="C265">
        <v>2016.5</v>
      </c>
      <c r="D265" t="s">
        <v>20</v>
      </c>
      <c r="E265" t="s">
        <v>171</v>
      </c>
      <c r="F265" t="s">
        <v>25</v>
      </c>
      <c r="G265">
        <v>5.7007999999999998E-3</v>
      </c>
      <c r="H265">
        <v>1.8618300000000001E-2</v>
      </c>
      <c r="I265">
        <v>1.8488500000000001E-2</v>
      </c>
    </row>
    <row r="266" spans="1:9" x14ac:dyDescent="0.25">
      <c r="A266" s="104" t="str">
        <f t="shared" si="4"/>
        <v>Haiti2016.5UrbanOtherCondom</v>
      </c>
      <c r="B266" t="s">
        <v>138</v>
      </c>
      <c r="C266">
        <v>2016.5</v>
      </c>
      <c r="D266" t="s">
        <v>20</v>
      </c>
      <c r="E266" t="s">
        <v>116</v>
      </c>
      <c r="F266" t="s">
        <v>25</v>
      </c>
      <c r="G266">
        <v>7.0578999999999998E-3</v>
      </c>
      <c r="H266">
        <v>2.1211299999999999E-2</v>
      </c>
      <c r="I266">
        <v>3.6735900000000002E-2</v>
      </c>
    </row>
    <row r="267" spans="1:9" x14ac:dyDescent="0.25">
      <c r="A267" s="104" t="str">
        <f t="shared" si="4"/>
        <v>Haiti2016.5RuralPub_MedCondom</v>
      </c>
      <c r="B267" t="s">
        <v>138</v>
      </c>
      <c r="C267">
        <v>2016.5</v>
      </c>
      <c r="D267" t="s">
        <v>21</v>
      </c>
      <c r="E267" t="s">
        <v>52</v>
      </c>
      <c r="F267" t="s">
        <v>25</v>
      </c>
      <c r="G267">
        <v>6.4193999999999996E-3</v>
      </c>
      <c r="H267">
        <v>1.3042700000000001E-2</v>
      </c>
      <c r="I267">
        <v>1.26263E-2</v>
      </c>
    </row>
    <row r="268" spans="1:9" x14ac:dyDescent="0.25">
      <c r="A268" s="104" t="str">
        <f t="shared" si="4"/>
        <v>Haiti2016.5RuralPub_OutreachCondom</v>
      </c>
      <c r="B268" t="s">
        <v>138</v>
      </c>
      <c r="C268">
        <v>2016.5</v>
      </c>
      <c r="D268" t="s">
        <v>21</v>
      </c>
      <c r="E268" t="s">
        <v>54</v>
      </c>
      <c r="F268" t="s">
        <v>25</v>
      </c>
      <c r="H268">
        <v>2.8739999999999999E-4</v>
      </c>
    </row>
    <row r="269" spans="1:9" x14ac:dyDescent="0.25">
      <c r="A269" s="104" t="str">
        <f t="shared" si="4"/>
        <v>Haiti2016.5RuralNGOCondom</v>
      </c>
      <c r="B269" t="s">
        <v>138</v>
      </c>
      <c r="C269">
        <v>2016.5</v>
      </c>
      <c r="D269" t="s">
        <v>21</v>
      </c>
      <c r="E269" t="s">
        <v>170</v>
      </c>
      <c r="F269" t="s">
        <v>25</v>
      </c>
      <c r="G269">
        <v>2.8701E-3</v>
      </c>
      <c r="H269">
        <v>3.1248000000000001E-3</v>
      </c>
    </row>
    <row r="270" spans="1:9" x14ac:dyDescent="0.25">
      <c r="A270" s="104" t="str">
        <f t="shared" si="4"/>
        <v>Haiti2016.5RuralCommercialCondom</v>
      </c>
      <c r="B270" t="s">
        <v>138</v>
      </c>
      <c r="C270">
        <v>2016.5</v>
      </c>
      <c r="D270" t="s">
        <v>21</v>
      </c>
      <c r="E270" t="s">
        <v>59</v>
      </c>
      <c r="F270" t="s">
        <v>25</v>
      </c>
      <c r="G270">
        <v>2.3383000000000002E-3</v>
      </c>
      <c r="H270">
        <v>1.3845400000000001E-2</v>
      </c>
      <c r="I270">
        <v>3.2255699999999998E-2</v>
      </c>
    </row>
    <row r="271" spans="1:9" x14ac:dyDescent="0.25">
      <c r="A271" s="104" t="str">
        <f t="shared" si="4"/>
        <v>Haiti2016.5RuralNonTradCondom</v>
      </c>
      <c r="B271" t="s">
        <v>138</v>
      </c>
      <c r="C271">
        <v>2016.5</v>
      </c>
      <c r="D271" t="s">
        <v>21</v>
      </c>
      <c r="E271" t="s">
        <v>171</v>
      </c>
      <c r="F271" t="s">
        <v>25</v>
      </c>
      <c r="G271">
        <v>4.1650000000000003E-3</v>
      </c>
      <c r="H271">
        <v>9.8671999999999996E-3</v>
      </c>
      <c r="I271">
        <v>6.8942999999999999E-3</v>
      </c>
    </row>
    <row r="272" spans="1:9" x14ac:dyDescent="0.25">
      <c r="A272" s="104" t="str">
        <f t="shared" si="4"/>
        <v>Haiti2016.5RuralOtherCondom</v>
      </c>
      <c r="B272" t="s">
        <v>138</v>
      </c>
      <c r="C272">
        <v>2016.5</v>
      </c>
      <c r="D272" t="s">
        <v>21</v>
      </c>
      <c r="E272" t="s">
        <v>116</v>
      </c>
      <c r="F272" t="s">
        <v>25</v>
      </c>
      <c r="G272">
        <v>3.9277000000000001E-3</v>
      </c>
      <c r="H272">
        <v>9.6120000000000008E-3</v>
      </c>
      <c r="I272">
        <v>2.7531799999999999E-2</v>
      </c>
    </row>
    <row r="273" spans="1:9" x14ac:dyDescent="0.25">
      <c r="A273" s="104" t="str">
        <f t="shared" si="4"/>
        <v>Haiti2016.5NationalPub_MedImplant</v>
      </c>
      <c r="B273" t="s">
        <v>138</v>
      </c>
      <c r="C273">
        <v>2016.5</v>
      </c>
      <c r="D273" t="s">
        <v>178</v>
      </c>
      <c r="E273" t="s">
        <v>52</v>
      </c>
      <c r="F273" t="s">
        <v>23</v>
      </c>
      <c r="G273">
        <v>1.54936E-2</v>
      </c>
      <c r="H273">
        <v>7.4319E-3</v>
      </c>
      <c r="I273">
        <v>2.4386999999999998E-3</v>
      </c>
    </row>
    <row r="274" spans="1:9" x14ac:dyDescent="0.25">
      <c r="A274" s="104" t="str">
        <f t="shared" si="4"/>
        <v>Haiti2016.5NationalPub_OutreachImplant</v>
      </c>
      <c r="B274" t="s">
        <v>138</v>
      </c>
      <c r="C274">
        <v>2016.5</v>
      </c>
      <c r="D274" t="s">
        <v>178</v>
      </c>
      <c r="E274" t="s">
        <v>54</v>
      </c>
      <c r="F274" t="s">
        <v>23</v>
      </c>
      <c r="G274">
        <v>1.9250000000000001E-3</v>
      </c>
      <c r="H274">
        <v>1.7285E-3</v>
      </c>
      <c r="I274">
        <v>1.8894000000000001E-3</v>
      </c>
    </row>
    <row r="275" spans="1:9" x14ac:dyDescent="0.25">
      <c r="A275" s="104" t="str">
        <f t="shared" si="4"/>
        <v>Haiti2016.5NationalNGOImplant</v>
      </c>
      <c r="B275" t="s">
        <v>138</v>
      </c>
      <c r="C275">
        <v>2016.5</v>
      </c>
      <c r="D275" t="s">
        <v>178</v>
      </c>
      <c r="E275" t="s">
        <v>170</v>
      </c>
      <c r="F275" t="s">
        <v>23</v>
      </c>
      <c r="G275">
        <v>1.2630000000000001E-4</v>
      </c>
    </row>
    <row r="276" spans="1:9" x14ac:dyDescent="0.25">
      <c r="A276" s="104" t="str">
        <f t="shared" si="4"/>
        <v>Haiti2016.5NationalCommercialImplant</v>
      </c>
      <c r="B276" t="s">
        <v>138</v>
      </c>
      <c r="C276">
        <v>2016.5</v>
      </c>
      <c r="D276" t="s">
        <v>178</v>
      </c>
      <c r="E276" t="s">
        <v>59</v>
      </c>
      <c r="F276" t="s">
        <v>23</v>
      </c>
      <c r="G276">
        <v>1.5575999999999999E-3</v>
      </c>
      <c r="H276">
        <v>2.1383000000000001E-3</v>
      </c>
      <c r="I276">
        <v>4.9790000000000001E-4</v>
      </c>
    </row>
    <row r="277" spans="1:9" x14ac:dyDescent="0.25">
      <c r="A277" s="104" t="str">
        <f t="shared" si="4"/>
        <v>Haiti2016.5UrbanPub_MedImplant</v>
      </c>
      <c r="B277" t="s">
        <v>138</v>
      </c>
      <c r="C277">
        <v>2016.5</v>
      </c>
      <c r="D277" t="s">
        <v>20</v>
      </c>
      <c r="E277" t="s">
        <v>52</v>
      </c>
      <c r="F277" t="s">
        <v>23</v>
      </c>
      <c r="G277">
        <v>2.20781E-2</v>
      </c>
      <c r="H277">
        <v>9.0740000000000005E-3</v>
      </c>
      <c r="I277">
        <v>3.6422E-3</v>
      </c>
    </row>
    <row r="278" spans="1:9" x14ac:dyDescent="0.25">
      <c r="A278" s="104" t="str">
        <f t="shared" si="4"/>
        <v>Haiti2016.5UrbanPub_OutreachImplant</v>
      </c>
      <c r="B278" t="s">
        <v>138</v>
      </c>
      <c r="C278">
        <v>2016.5</v>
      </c>
      <c r="D278" t="s">
        <v>20</v>
      </c>
      <c r="E278" t="s">
        <v>54</v>
      </c>
      <c r="F278" t="s">
        <v>23</v>
      </c>
      <c r="H278">
        <v>3.992E-4</v>
      </c>
    </row>
    <row r="279" spans="1:9" x14ac:dyDescent="0.25">
      <c r="A279" s="104" t="str">
        <f t="shared" si="4"/>
        <v>Haiti2016.5UrbanCommercialImplant</v>
      </c>
      <c r="B279" t="s">
        <v>138</v>
      </c>
      <c r="C279">
        <v>2016.5</v>
      </c>
      <c r="D279" t="s">
        <v>20</v>
      </c>
      <c r="E279" t="s">
        <v>59</v>
      </c>
      <c r="F279" t="s">
        <v>23</v>
      </c>
      <c r="G279">
        <v>3.4250999999999999E-3</v>
      </c>
      <c r="H279">
        <v>2.4463000000000002E-3</v>
      </c>
      <c r="I279">
        <v>5.9119999999999995E-4</v>
      </c>
    </row>
    <row r="280" spans="1:9" x14ac:dyDescent="0.25">
      <c r="A280" s="104" t="str">
        <f t="shared" si="4"/>
        <v>Haiti2016.5RuralPub_MedImplant</v>
      </c>
      <c r="B280" t="s">
        <v>138</v>
      </c>
      <c r="C280">
        <v>2016.5</v>
      </c>
      <c r="D280" t="s">
        <v>21</v>
      </c>
      <c r="E280" t="s">
        <v>52</v>
      </c>
      <c r="F280" t="s">
        <v>23</v>
      </c>
      <c r="G280">
        <v>1.56449E-2</v>
      </c>
      <c r="H280">
        <v>8.0922000000000008E-3</v>
      </c>
      <c r="I280">
        <v>7.3226000000000003E-3</v>
      </c>
    </row>
    <row r="281" spans="1:9" x14ac:dyDescent="0.25">
      <c r="A281" s="104" t="str">
        <f t="shared" si="4"/>
        <v>Haiti2016.5RuralPub_OutreachImplant</v>
      </c>
      <c r="B281" t="s">
        <v>138</v>
      </c>
      <c r="C281">
        <v>2016.5</v>
      </c>
      <c r="D281" t="s">
        <v>21</v>
      </c>
      <c r="E281" t="s">
        <v>54</v>
      </c>
      <c r="F281" t="s">
        <v>23</v>
      </c>
      <c r="G281">
        <v>1.3475E-3</v>
      </c>
      <c r="H281">
        <v>5.8200000000000005E-4</v>
      </c>
      <c r="I281">
        <v>6.6719999999999995E-4</v>
      </c>
    </row>
    <row r="282" spans="1:9" x14ac:dyDescent="0.25">
      <c r="A282" s="104" t="str">
        <f t="shared" si="4"/>
        <v>Haiti2016.5RuralNGOImplant</v>
      </c>
      <c r="B282" t="s">
        <v>138</v>
      </c>
      <c r="C282">
        <v>2016.5</v>
      </c>
      <c r="D282" t="s">
        <v>21</v>
      </c>
      <c r="E282" t="s">
        <v>170</v>
      </c>
      <c r="F282" t="s">
        <v>23</v>
      </c>
      <c r="G282">
        <v>1.3789999999999999E-4</v>
      </c>
    </row>
    <row r="283" spans="1:9" x14ac:dyDescent="0.25">
      <c r="A283" s="104" t="str">
        <f t="shared" si="4"/>
        <v>Haiti2016.5RuralCommercialImplant</v>
      </c>
      <c r="B283" t="s">
        <v>138</v>
      </c>
      <c r="C283">
        <v>2016.5</v>
      </c>
      <c r="D283" t="s">
        <v>21</v>
      </c>
      <c r="E283" t="s">
        <v>59</v>
      </c>
      <c r="F283" t="s">
        <v>23</v>
      </c>
      <c r="G283">
        <v>1.3868000000000001E-3</v>
      </c>
      <c r="H283">
        <v>1.6596E-3</v>
      </c>
    </row>
    <row r="284" spans="1:9" x14ac:dyDescent="0.25">
      <c r="A284" s="104" t="str">
        <f t="shared" si="4"/>
        <v>Malawi2010NationalPub_MedPill</v>
      </c>
      <c r="B284" t="s">
        <v>142</v>
      </c>
      <c r="C284">
        <v>2010</v>
      </c>
      <c r="D284" t="s">
        <v>178</v>
      </c>
      <c r="E284" t="s">
        <v>52</v>
      </c>
      <c r="F284" t="s">
        <v>12</v>
      </c>
      <c r="G284">
        <v>1.05772E-2</v>
      </c>
      <c r="H284">
        <v>1.9143799999999999E-2</v>
      </c>
      <c r="I284">
        <v>1.9106100000000001E-2</v>
      </c>
    </row>
    <row r="285" spans="1:9" x14ac:dyDescent="0.25">
      <c r="A285" s="104" t="str">
        <f t="shared" si="4"/>
        <v>Malawi2010NationalPub_OutreachPill</v>
      </c>
      <c r="B285" t="s">
        <v>142</v>
      </c>
      <c r="C285">
        <v>2010</v>
      </c>
      <c r="D285" t="s">
        <v>178</v>
      </c>
      <c r="E285" t="s">
        <v>54</v>
      </c>
      <c r="F285" t="s">
        <v>12</v>
      </c>
      <c r="G285">
        <v>4.1333999999999997E-3</v>
      </c>
      <c r="H285">
        <v>1.5156E-3</v>
      </c>
      <c r="I285">
        <v>6.7480000000000003E-4</v>
      </c>
    </row>
    <row r="286" spans="1:9" x14ac:dyDescent="0.25">
      <c r="A286" s="104" t="str">
        <f t="shared" si="4"/>
        <v>Malawi2010NationalNGOPill</v>
      </c>
      <c r="B286" t="s">
        <v>142</v>
      </c>
      <c r="C286">
        <v>2010</v>
      </c>
      <c r="D286" t="s">
        <v>178</v>
      </c>
      <c r="E286" t="s">
        <v>170</v>
      </c>
      <c r="F286" t="s">
        <v>12</v>
      </c>
      <c r="G286">
        <v>2.081E-3</v>
      </c>
      <c r="H286">
        <v>4.9636999999999997E-3</v>
      </c>
      <c r="I286">
        <v>1.09438E-2</v>
      </c>
    </row>
    <row r="287" spans="1:9" x14ac:dyDescent="0.25">
      <c r="A287" s="104" t="str">
        <f t="shared" si="4"/>
        <v>Malawi2010NationalCommercialPill</v>
      </c>
      <c r="B287" t="s">
        <v>142</v>
      </c>
      <c r="C287">
        <v>2010</v>
      </c>
      <c r="D287" t="s">
        <v>178</v>
      </c>
      <c r="E287" t="s">
        <v>59</v>
      </c>
      <c r="F287" t="s">
        <v>12</v>
      </c>
      <c r="G287">
        <v>2.397E-4</v>
      </c>
      <c r="H287">
        <v>1.2210000000000001E-4</v>
      </c>
      <c r="I287">
        <v>5.0923000000000001E-3</v>
      </c>
    </row>
    <row r="288" spans="1:9" x14ac:dyDescent="0.25">
      <c r="A288" s="104" t="str">
        <f t="shared" si="4"/>
        <v>Malawi2010NationalOtherPill</v>
      </c>
      <c r="B288" t="s">
        <v>142</v>
      </c>
      <c r="C288">
        <v>2010</v>
      </c>
      <c r="D288" t="s">
        <v>178</v>
      </c>
      <c r="E288" t="s">
        <v>116</v>
      </c>
      <c r="F288" t="s">
        <v>12</v>
      </c>
      <c r="G288">
        <v>1.585E-4</v>
      </c>
      <c r="I288">
        <v>9.8529999999999993E-4</v>
      </c>
    </row>
    <row r="289" spans="1:9" x14ac:dyDescent="0.25">
      <c r="A289" s="104" t="str">
        <f t="shared" si="4"/>
        <v>Malawi2010NationalPill</v>
      </c>
      <c r="B289" t="s">
        <v>142</v>
      </c>
      <c r="C289">
        <v>2010</v>
      </c>
      <c r="D289" t="s">
        <v>178</v>
      </c>
      <c r="F289" t="s">
        <v>12</v>
      </c>
      <c r="G289">
        <v>4.3300000000000002E-5</v>
      </c>
    </row>
    <row r="290" spans="1:9" x14ac:dyDescent="0.25">
      <c r="A290" s="104" t="str">
        <f t="shared" si="4"/>
        <v>Malawi2010UrbanPub_MedPill</v>
      </c>
      <c r="B290" t="s">
        <v>142</v>
      </c>
      <c r="C290">
        <v>2010</v>
      </c>
      <c r="D290" t="s">
        <v>20</v>
      </c>
      <c r="E290" t="s">
        <v>52</v>
      </c>
      <c r="F290" t="s">
        <v>12</v>
      </c>
      <c r="G290">
        <v>1.8254099999999999E-2</v>
      </c>
      <c r="H290">
        <v>1.42858E-2</v>
      </c>
      <c r="I290">
        <v>2.10657E-2</v>
      </c>
    </row>
    <row r="291" spans="1:9" x14ac:dyDescent="0.25">
      <c r="A291" s="104" t="str">
        <f t="shared" si="4"/>
        <v>Malawi2010UrbanPub_OutreachPill</v>
      </c>
      <c r="B291" t="s">
        <v>142</v>
      </c>
      <c r="C291">
        <v>2010</v>
      </c>
      <c r="D291" t="s">
        <v>20</v>
      </c>
      <c r="E291" t="s">
        <v>54</v>
      </c>
      <c r="F291" t="s">
        <v>12</v>
      </c>
      <c r="G291">
        <v>8.0940000000000005E-4</v>
      </c>
      <c r="I291">
        <v>8.2969999999999995E-4</v>
      </c>
    </row>
    <row r="292" spans="1:9" x14ac:dyDescent="0.25">
      <c r="A292" s="104" t="str">
        <f t="shared" si="4"/>
        <v>Malawi2010UrbanNGOPill</v>
      </c>
      <c r="B292" t="s">
        <v>142</v>
      </c>
      <c r="C292">
        <v>2010</v>
      </c>
      <c r="D292" t="s">
        <v>20</v>
      </c>
      <c r="E292" t="s">
        <v>170</v>
      </c>
      <c r="F292" t="s">
        <v>12</v>
      </c>
      <c r="G292">
        <v>5.4844999999999998E-3</v>
      </c>
      <c r="H292">
        <v>6.2524E-3</v>
      </c>
      <c r="I292">
        <v>1.34559E-2</v>
      </c>
    </row>
    <row r="293" spans="1:9" x14ac:dyDescent="0.25">
      <c r="A293" s="104" t="str">
        <f t="shared" si="4"/>
        <v>Malawi2010UrbanCommercialPill</v>
      </c>
      <c r="B293" t="s">
        <v>142</v>
      </c>
      <c r="C293">
        <v>2010</v>
      </c>
      <c r="D293" t="s">
        <v>20</v>
      </c>
      <c r="E293" t="s">
        <v>59</v>
      </c>
      <c r="F293" t="s">
        <v>12</v>
      </c>
      <c r="I293">
        <v>4.6569999999999997E-3</v>
      </c>
    </row>
    <row r="294" spans="1:9" x14ac:dyDescent="0.25">
      <c r="A294" s="104" t="str">
        <f t="shared" si="4"/>
        <v>Malawi2010UrbanOtherPill</v>
      </c>
      <c r="B294" t="s">
        <v>142</v>
      </c>
      <c r="C294">
        <v>2010</v>
      </c>
      <c r="D294" t="s">
        <v>20</v>
      </c>
      <c r="E294" t="s">
        <v>116</v>
      </c>
      <c r="F294" t="s">
        <v>12</v>
      </c>
      <c r="I294">
        <v>1.2114999999999999E-3</v>
      </c>
    </row>
    <row r="295" spans="1:9" x14ac:dyDescent="0.25">
      <c r="A295" s="104" t="str">
        <f t="shared" si="4"/>
        <v>Malawi2010RuralPub_MedPill</v>
      </c>
      <c r="B295" t="s">
        <v>142</v>
      </c>
      <c r="C295">
        <v>2010</v>
      </c>
      <c r="D295" t="s">
        <v>21</v>
      </c>
      <c r="E295" t="s">
        <v>52</v>
      </c>
      <c r="F295" t="s">
        <v>12</v>
      </c>
      <c r="G295">
        <v>9.6699000000000004E-3</v>
      </c>
      <c r="H295">
        <v>2.6724399999999999E-2</v>
      </c>
      <c r="I295">
        <v>1.05688E-2</v>
      </c>
    </row>
    <row r="296" spans="1:9" x14ac:dyDescent="0.25">
      <c r="A296" s="104" t="str">
        <f t="shared" si="4"/>
        <v>Malawi2010RuralPub_OutreachPill</v>
      </c>
      <c r="B296" t="s">
        <v>142</v>
      </c>
      <c r="C296">
        <v>2010</v>
      </c>
      <c r="D296" t="s">
        <v>21</v>
      </c>
      <c r="E296" t="s">
        <v>54</v>
      </c>
      <c r="F296" t="s">
        <v>12</v>
      </c>
      <c r="G296">
        <v>4.5262000000000002E-3</v>
      </c>
      <c r="H296">
        <v>3.8804E-3</v>
      </c>
    </row>
    <row r="297" spans="1:9" x14ac:dyDescent="0.25">
      <c r="A297" s="104" t="str">
        <f t="shared" si="4"/>
        <v>Malawi2010RuralNGOPill</v>
      </c>
      <c r="B297" t="s">
        <v>142</v>
      </c>
      <c r="C297">
        <v>2010</v>
      </c>
      <c r="D297" t="s">
        <v>21</v>
      </c>
      <c r="E297" t="s">
        <v>170</v>
      </c>
      <c r="F297" t="s">
        <v>12</v>
      </c>
      <c r="G297">
        <v>1.6787E-3</v>
      </c>
      <c r="H297">
        <v>2.9526999999999999E-3</v>
      </c>
    </row>
    <row r="298" spans="1:9" x14ac:dyDescent="0.25">
      <c r="A298" s="104" t="str">
        <f t="shared" si="4"/>
        <v>Malawi2010RuralCommercialPill</v>
      </c>
      <c r="B298" t="s">
        <v>142</v>
      </c>
      <c r="C298">
        <v>2010</v>
      </c>
      <c r="D298" t="s">
        <v>21</v>
      </c>
      <c r="E298" t="s">
        <v>59</v>
      </c>
      <c r="F298" t="s">
        <v>12</v>
      </c>
      <c r="G298">
        <v>2.6810000000000001E-4</v>
      </c>
      <c r="H298">
        <v>3.1250000000000001E-4</v>
      </c>
      <c r="I298">
        <v>6.9884999999999999E-3</v>
      </c>
    </row>
    <row r="299" spans="1:9" x14ac:dyDescent="0.25">
      <c r="A299" s="104" t="str">
        <f t="shared" si="4"/>
        <v>Malawi2010RuralOtherPill</v>
      </c>
      <c r="B299" t="s">
        <v>142</v>
      </c>
      <c r="C299">
        <v>2010</v>
      </c>
      <c r="D299" t="s">
        <v>21</v>
      </c>
      <c r="E299" t="s">
        <v>116</v>
      </c>
      <c r="F299" t="s">
        <v>12</v>
      </c>
      <c r="G299">
        <v>1.773E-4</v>
      </c>
    </row>
    <row r="300" spans="1:9" x14ac:dyDescent="0.25">
      <c r="A300" s="104" t="str">
        <f t="shared" si="4"/>
        <v>Malawi2010RuralPill</v>
      </c>
      <c r="B300" t="s">
        <v>142</v>
      </c>
      <c r="C300">
        <v>2010</v>
      </c>
      <c r="D300" t="s">
        <v>21</v>
      </c>
      <c r="F300" t="s">
        <v>12</v>
      </c>
      <c r="G300">
        <v>4.8399999999999997E-5</v>
      </c>
    </row>
    <row r="301" spans="1:9" x14ac:dyDescent="0.25">
      <c r="A301" s="104" t="str">
        <f t="shared" si="4"/>
        <v>Malawi2010NationalPub_MedIUD</v>
      </c>
      <c r="B301" t="s">
        <v>142</v>
      </c>
      <c r="C301">
        <v>2010</v>
      </c>
      <c r="D301" t="s">
        <v>178</v>
      </c>
      <c r="E301" t="s">
        <v>52</v>
      </c>
      <c r="F301" t="s">
        <v>16</v>
      </c>
      <c r="G301">
        <v>1.4663E-3</v>
      </c>
      <c r="H301">
        <v>2.196E-4</v>
      </c>
      <c r="I301">
        <v>1.126E-3</v>
      </c>
    </row>
    <row r="302" spans="1:9" x14ac:dyDescent="0.25">
      <c r="A302" s="104" t="str">
        <f t="shared" si="4"/>
        <v>Malawi2010NationalPub_OutreachIUD</v>
      </c>
      <c r="B302" t="s">
        <v>142</v>
      </c>
      <c r="C302">
        <v>2010</v>
      </c>
      <c r="D302" t="s">
        <v>178</v>
      </c>
      <c r="E302" t="s">
        <v>54</v>
      </c>
      <c r="F302" t="s">
        <v>16</v>
      </c>
      <c r="G302">
        <v>1.9300000000000002E-5</v>
      </c>
    </row>
    <row r="303" spans="1:9" x14ac:dyDescent="0.25">
      <c r="A303" s="104" t="str">
        <f t="shared" si="4"/>
        <v>Malawi2010NationalNGOIUD</v>
      </c>
      <c r="B303" t="s">
        <v>142</v>
      </c>
      <c r="C303">
        <v>2010</v>
      </c>
      <c r="D303" t="s">
        <v>178</v>
      </c>
      <c r="E303" t="s">
        <v>170</v>
      </c>
      <c r="F303" t="s">
        <v>16</v>
      </c>
      <c r="G303">
        <v>1.7569999999999999E-4</v>
      </c>
      <c r="H303">
        <v>2.6611999999999999E-3</v>
      </c>
      <c r="I303">
        <v>2.1846999999999999E-3</v>
      </c>
    </row>
    <row r="304" spans="1:9" x14ac:dyDescent="0.25">
      <c r="A304" s="104" t="str">
        <f t="shared" si="4"/>
        <v>Malawi2010NationalCommercialIUD</v>
      </c>
      <c r="B304" t="s">
        <v>142</v>
      </c>
      <c r="C304">
        <v>2010</v>
      </c>
      <c r="D304" t="s">
        <v>178</v>
      </c>
      <c r="E304" t="s">
        <v>59</v>
      </c>
      <c r="F304" t="s">
        <v>16</v>
      </c>
      <c r="G304">
        <v>1.3699999999999999E-5</v>
      </c>
    </row>
    <row r="305" spans="1:9" x14ac:dyDescent="0.25">
      <c r="A305" s="104" t="str">
        <f t="shared" si="4"/>
        <v>Malawi2010UrbanPub_MedIUD</v>
      </c>
      <c r="B305" t="s">
        <v>142</v>
      </c>
      <c r="C305">
        <v>2010</v>
      </c>
      <c r="D305" t="s">
        <v>20</v>
      </c>
      <c r="E305" t="s">
        <v>52</v>
      </c>
      <c r="F305" t="s">
        <v>16</v>
      </c>
      <c r="G305">
        <v>2.9970999999999999E-3</v>
      </c>
      <c r="H305">
        <v>3.6029999999999998E-4</v>
      </c>
      <c r="I305">
        <v>1.3844E-3</v>
      </c>
    </row>
    <row r="306" spans="1:9" x14ac:dyDescent="0.25">
      <c r="A306" s="104" t="str">
        <f t="shared" si="4"/>
        <v>Malawi2010UrbanNGOIUD</v>
      </c>
      <c r="B306" t="s">
        <v>142</v>
      </c>
      <c r="C306">
        <v>2010</v>
      </c>
      <c r="D306" t="s">
        <v>20</v>
      </c>
      <c r="E306" t="s">
        <v>170</v>
      </c>
      <c r="F306" t="s">
        <v>16</v>
      </c>
      <c r="H306">
        <v>3.5184000000000001E-3</v>
      </c>
      <c r="I306">
        <v>1.6590000000000001E-3</v>
      </c>
    </row>
    <row r="307" spans="1:9" x14ac:dyDescent="0.25">
      <c r="A307" s="104" t="str">
        <f t="shared" si="4"/>
        <v>Malawi2010RuralPub_MedIUD</v>
      </c>
      <c r="B307" t="s">
        <v>142</v>
      </c>
      <c r="C307">
        <v>2010</v>
      </c>
      <c r="D307" t="s">
        <v>21</v>
      </c>
      <c r="E307" t="s">
        <v>52</v>
      </c>
      <c r="F307" t="s">
        <v>16</v>
      </c>
      <c r="G307">
        <v>1.2853000000000001E-3</v>
      </c>
    </row>
    <row r="308" spans="1:9" x14ac:dyDescent="0.25">
      <c r="A308" s="104" t="str">
        <f t="shared" si="4"/>
        <v>Malawi2010RuralPub_OutreachIUD</v>
      </c>
      <c r="B308" t="s">
        <v>142</v>
      </c>
      <c r="C308">
        <v>2010</v>
      </c>
      <c r="D308" t="s">
        <v>21</v>
      </c>
      <c r="E308" t="s">
        <v>54</v>
      </c>
      <c r="F308" t="s">
        <v>16</v>
      </c>
      <c r="G308">
        <v>2.16E-5</v>
      </c>
    </row>
    <row r="309" spans="1:9" x14ac:dyDescent="0.25">
      <c r="A309" s="104" t="str">
        <f t="shared" si="4"/>
        <v>Malawi2010RuralNGOIUD</v>
      </c>
      <c r="B309" t="s">
        <v>142</v>
      </c>
      <c r="C309">
        <v>2010</v>
      </c>
      <c r="D309" t="s">
        <v>21</v>
      </c>
      <c r="E309" t="s">
        <v>170</v>
      </c>
      <c r="F309" t="s">
        <v>16</v>
      </c>
      <c r="G309">
        <v>1.964E-4</v>
      </c>
      <c r="H309">
        <v>1.3236999999999999E-3</v>
      </c>
      <c r="I309">
        <v>4.4749000000000004E-3</v>
      </c>
    </row>
    <row r="310" spans="1:9" x14ac:dyDescent="0.25">
      <c r="A310" s="104" t="str">
        <f t="shared" si="4"/>
        <v>Malawi2010RuralCommercialIUD</v>
      </c>
      <c r="B310" t="s">
        <v>142</v>
      </c>
      <c r="C310">
        <v>2010</v>
      </c>
      <c r="D310" t="s">
        <v>21</v>
      </c>
      <c r="E310" t="s">
        <v>59</v>
      </c>
      <c r="F310" t="s">
        <v>16</v>
      </c>
      <c r="G310">
        <v>1.5299999999999999E-5</v>
      </c>
    </row>
    <row r="311" spans="1:9" x14ac:dyDescent="0.25">
      <c r="A311" s="104" t="str">
        <f t="shared" si="4"/>
        <v>Malawi2010NationalPub_MedInjectable</v>
      </c>
      <c r="B311" t="s">
        <v>142</v>
      </c>
      <c r="C311">
        <v>2010</v>
      </c>
      <c r="D311" t="s">
        <v>178</v>
      </c>
      <c r="E311" t="s">
        <v>52</v>
      </c>
      <c r="F311" t="s">
        <v>22</v>
      </c>
      <c r="G311">
        <v>0.15398290000000001</v>
      </c>
      <c r="H311">
        <v>0.1297228</v>
      </c>
      <c r="I311">
        <v>5.0517100000000002E-2</v>
      </c>
    </row>
    <row r="312" spans="1:9" x14ac:dyDescent="0.25">
      <c r="A312" s="104" t="str">
        <f t="shared" si="4"/>
        <v>Malawi2010NationalPub_OutreachInjectable</v>
      </c>
      <c r="B312" t="s">
        <v>142</v>
      </c>
      <c r="C312">
        <v>2010</v>
      </c>
      <c r="D312" t="s">
        <v>178</v>
      </c>
      <c r="E312" t="s">
        <v>54</v>
      </c>
      <c r="F312" t="s">
        <v>22</v>
      </c>
      <c r="G312">
        <v>1.6187E-2</v>
      </c>
      <c r="H312">
        <v>6.9531000000000003E-3</v>
      </c>
      <c r="I312">
        <v>4.4172999999999999E-3</v>
      </c>
    </row>
    <row r="313" spans="1:9" x14ac:dyDescent="0.25">
      <c r="A313" s="104" t="str">
        <f t="shared" si="4"/>
        <v>Malawi2010NationalNGOInjectable</v>
      </c>
      <c r="B313" t="s">
        <v>142</v>
      </c>
      <c r="C313">
        <v>2010</v>
      </c>
      <c r="D313" t="s">
        <v>178</v>
      </c>
      <c r="E313" t="s">
        <v>170</v>
      </c>
      <c r="F313" t="s">
        <v>22</v>
      </c>
      <c r="G313">
        <v>2.01654E-2</v>
      </c>
      <c r="H313">
        <v>2.18011E-2</v>
      </c>
      <c r="I313">
        <v>2.73558E-2</v>
      </c>
    </row>
    <row r="314" spans="1:9" x14ac:dyDescent="0.25">
      <c r="A314" s="104" t="str">
        <f t="shared" si="4"/>
        <v>Malawi2010NationalCommercialInjectable</v>
      </c>
      <c r="B314" t="s">
        <v>142</v>
      </c>
      <c r="C314">
        <v>2010</v>
      </c>
      <c r="D314" t="s">
        <v>178</v>
      </c>
      <c r="E314" t="s">
        <v>59</v>
      </c>
      <c r="F314" t="s">
        <v>22</v>
      </c>
      <c r="G314">
        <v>8.0021999999999992E-3</v>
      </c>
      <c r="H314">
        <v>1.4585799999999999E-2</v>
      </c>
      <c r="I314">
        <v>1.65702E-2</v>
      </c>
    </row>
    <row r="315" spans="1:9" x14ac:dyDescent="0.25">
      <c r="A315" s="104" t="str">
        <f t="shared" si="4"/>
        <v>Malawi2010NationalOtherInjectable</v>
      </c>
      <c r="B315" t="s">
        <v>142</v>
      </c>
      <c r="C315">
        <v>2010</v>
      </c>
      <c r="D315" t="s">
        <v>178</v>
      </c>
      <c r="E315" t="s">
        <v>116</v>
      </c>
      <c r="F315" t="s">
        <v>22</v>
      </c>
      <c r="G315">
        <v>1.752E-4</v>
      </c>
    </row>
    <row r="316" spans="1:9" x14ac:dyDescent="0.25">
      <c r="A316" s="104" t="str">
        <f t="shared" si="4"/>
        <v>Malawi2010NationalInjectable</v>
      </c>
      <c r="B316" t="s">
        <v>142</v>
      </c>
      <c r="C316">
        <v>2010</v>
      </c>
      <c r="D316" t="s">
        <v>178</v>
      </c>
      <c r="F316" t="s">
        <v>22</v>
      </c>
      <c r="G316">
        <v>6.1260000000000004E-4</v>
      </c>
      <c r="H316">
        <v>6.8440000000000005E-4</v>
      </c>
      <c r="I316">
        <v>4.9010000000000004E-4</v>
      </c>
    </row>
    <row r="317" spans="1:9" x14ac:dyDescent="0.25">
      <c r="A317" s="104" t="str">
        <f t="shared" si="4"/>
        <v>Malawi2010UrbanPub_MedInjectable</v>
      </c>
      <c r="B317" t="s">
        <v>142</v>
      </c>
      <c r="C317">
        <v>2010</v>
      </c>
      <c r="D317" t="s">
        <v>20</v>
      </c>
      <c r="E317" t="s">
        <v>52</v>
      </c>
      <c r="F317" t="s">
        <v>22</v>
      </c>
      <c r="G317">
        <v>0.1912828</v>
      </c>
      <c r="H317">
        <v>0.14354249999999999</v>
      </c>
      <c r="I317">
        <v>4.4501600000000002E-2</v>
      </c>
    </row>
    <row r="318" spans="1:9" x14ac:dyDescent="0.25">
      <c r="A318" s="104" t="str">
        <f t="shared" si="4"/>
        <v>Malawi2010UrbanPub_OutreachInjectable</v>
      </c>
      <c r="B318" t="s">
        <v>142</v>
      </c>
      <c r="C318">
        <v>2010</v>
      </c>
      <c r="D318" t="s">
        <v>20</v>
      </c>
      <c r="E318" t="s">
        <v>54</v>
      </c>
      <c r="F318" t="s">
        <v>22</v>
      </c>
      <c r="G318">
        <v>1.4696000000000001E-2</v>
      </c>
      <c r="H318">
        <v>8.9788999999999997E-3</v>
      </c>
      <c r="I318">
        <v>5.4313E-3</v>
      </c>
    </row>
    <row r="319" spans="1:9" x14ac:dyDescent="0.25">
      <c r="A319" s="104" t="str">
        <f t="shared" si="4"/>
        <v>Malawi2010UrbanNGOInjectable</v>
      </c>
      <c r="B319" t="s">
        <v>142</v>
      </c>
      <c r="C319">
        <v>2010</v>
      </c>
      <c r="D319" t="s">
        <v>20</v>
      </c>
      <c r="E319" t="s">
        <v>170</v>
      </c>
      <c r="F319" t="s">
        <v>22</v>
      </c>
      <c r="G319">
        <v>7.2103000000000002E-3</v>
      </c>
      <c r="H319">
        <v>1.6671499999999999E-2</v>
      </c>
      <c r="I319">
        <v>3.0592399999999999E-2</v>
      </c>
    </row>
    <row r="320" spans="1:9" x14ac:dyDescent="0.25">
      <c r="A320" s="104" t="str">
        <f t="shared" si="4"/>
        <v>Malawi2010UrbanCommercialInjectable</v>
      </c>
      <c r="B320" t="s">
        <v>142</v>
      </c>
      <c r="C320">
        <v>2010</v>
      </c>
      <c r="D320" t="s">
        <v>20</v>
      </c>
      <c r="E320" t="s">
        <v>59</v>
      </c>
      <c r="F320" t="s">
        <v>22</v>
      </c>
      <c r="G320">
        <v>8.2494000000000005E-3</v>
      </c>
      <c r="H320">
        <v>1.29722E-2</v>
      </c>
      <c r="I320">
        <v>1.7623400000000001E-2</v>
      </c>
    </row>
    <row r="321" spans="1:9" x14ac:dyDescent="0.25">
      <c r="A321" s="104" t="str">
        <f t="shared" si="4"/>
        <v>Malawi2010UrbanInjectable</v>
      </c>
      <c r="B321" t="s">
        <v>142</v>
      </c>
      <c r="C321">
        <v>2010</v>
      </c>
      <c r="D321" t="s">
        <v>20</v>
      </c>
      <c r="F321" t="s">
        <v>22</v>
      </c>
      <c r="G321">
        <v>1.8090000000000001E-4</v>
      </c>
      <c r="I321">
        <v>6.0249999999999995E-4</v>
      </c>
    </row>
    <row r="322" spans="1:9" x14ac:dyDescent="0.25">
      <c r="A322" s="104" t="str">
        <f t="shared" si="4"/>
        <v>Malawi2010RuralPub_MedInjectable</v>
      </c>
      <c r="B322" t="s">
        <v>142</v>
      </c>
      <c r="C322">
        <v>2010</v>
      </c>
      <c r="D322" t="s">
        <v>21</v>
      </c>
      <c r="E322" t="s">
        <v>52</v>
      </c>
      <c r="F322" t="s">
        <v>22</v>
      </c>
      <c r="G322">
        <v>0.1495747</v>
      </c>
      <c r="H322">
        <v>0.10815859999999999</v>
      </c>
      <c r="I322">
        <v>7.6724100000000003E-2</v>
      </c>
    </row>
    <row r="323" spans="1:9" x14ac:dyDescent="0.25">
      <c r="A323" s="104" t="str">
        <f t="shared" ref="A323:A386" si="5">B323&amp;C323&amp;D323&amp;E323&amp;F323</f>
        <v>Malawi2010RuralPub_OutreachInjectable</v>
      </c>
      <c r="B323" t="s">
        <v>142</v>
      </c>
      <c r="C323">
        <v>2010</v>
      </c>
      <c r="D323" t="s">
        <v>21</v>
      </c>
      <c r="E323" t="s">
        <v>54</v>
      </c>
      <c r="F323" t="s">
        <v>22</v>
      </c>
      <c r="G323">
        <v>1.6363200000000001E-2</v>
      </c>
      <c r="H323">
        <v>3.7919E-3</v>
      </c>
    </row>
    <row r="324" spans="1:9" x14ac:dyDescent="0.25">
      <c r="A324" s="104" t="str">
        <f t="shared" si="5"/>
        <v>Malawi2010RuralNGOInjectable</v>
      </c>
      <c r="B324" t="s">
        <v>142</v>
      </c>
      <c r="C324">
        <v>2010</v>
      </c>
      <c r="D324" t="s">
        <v>21</v>
      </c>
      <c r="E324" t="s">
        <v>170</v>
      </c>
      <c r="F324" t="s">
        <v>22</v>
      </c>
      <c r="G324">
        <v>2.1696400000000001E-2</v>
      </c>
      <c r="H324">
        <v>2.9805399999999999E-2</v>
      </c>
      <c r="I324">
        <v>1.3255400000000001E-2</v>
      </c>
    </row>
    <row r="325" spans="1:9" x14ac:dyDescent="0.25">
      <c r="A325" s="104" t="str">
        <f t="shared" si="5"/>
        <v>Malawi2010RuralCommercialInjectable</v>
      </c>
      <c r="B325" t="s">
        <v>142</v>
      </c>
      <c r="C325">
        <v>2010</v>
      </c>
      <c r="D325" t="s">
        <v>21</v>
      </c>
      <c r="E325" t="s">
        <v>59</v>
      </c>
      <c r="F325" t="s">
        <v>22</v>
      </c>
      <c r="G325">
        <v>7.9729999999999992E-3</v>
      </c>
      <c r="H325">
        <v>1.71036E-2</v>
      </c>
      <c r="I325">
        <v>1.19819E-2</v>
      </c>
    </row>
    <row r="326" spans="1:9" x14ac:dyDescent="0.25">
      <c r="A326" s="104" t="str">
        <f t="shared" si="5"/>
        <v>Malawi2010RuralOtherInjectable</v>
      </c>
      <c r="B326" t="s">
        <v>142</v>
      </c>
      <c r="C326">
        <v>2010</v>
      </c>
      <c r="D326" t="s">
        <v>21</v>
      </c>
      <c r="E326" t="s">
        <v>116</v>
      </c>
      <c r="F326" t="s">
        <v>22</v>
      </c>
      <c r="G326">
        <v>1.9589999999999999E-4</v>
      </c>
    </row>
    <row r="327" spans="1:9" x14ac:dyDescent="0.25">
      <c r="A327" s="104" t="str">
        <f t="shared" si="5"/>
        <v>Malawi2010RuralInjectable</v>
      </c>
      <c r="B327" t="s">
        <v>142</v>
      </c>
      <c r="C327">
        <v>2010</v>
      </c>
      <c r="D327" t="s">
        <v>21</v>
      </c>
      <c r="F327" t="s">
        <v>22</v>
      </c>
      <c r="G327">
        <v>6.6359999999999998E-4</v>
      </c>
      <c r="H327">
        <v>1.7523E-3</v>
      </c>
    </row>
    <row r="328" spans="1:9" x14ac:dyDescent="0.25">
      <c r="A328" s="104" t="str">
        <f t="shared" si="5"/>
        <v>Malawi2010NationalPub_MedCondom</v>
      </c>
      <c r="B328" t="s">
        <v>142</v>
      </c>
      <c r="C328">
        <v>2010</v>
      </c>
      <c r="D328" t="s">
        <v>178</v>
      </c>
      <c r="E328" t="s">
        <v>52</v>
      </c>
      <c r="F328" t="s">
        <v>25</v>
      </c>
      <c r="G328">
        <v>8.9878000000000006E-3</v>
      </c>
      <c r="H328">
        <v>1.7433500000000001E-2</v>
      </c>
      <c r="I328">
        <v>7.0087999999999999E-3</v>
      </c>
    </row>
    <row r="329" spans="1:9" x14ac:dyDescent="0.25">
      <c r="A329" s="104" t="str">
        <f t="shared" si="5"/>
        <v>Malawi2010NationalPub_OutreachCondom</v>
      </c>
      <c r="B329" t="s">
        <v>142</v>
      </c>
      <c r="C329">
        <v>2010</v>
      </c>
      <c r="D329" t="s">
        <v>178</v>
      </c>
      <c r="E329" t="s">
        <v>54</v>
      </c>
      <c r="F329" t="s">
        <v>25</v>
      </c>
      <c r="G329">
        <v>3.0565000000000002E-3</v>
      </c>
      <c r="H329">
        <v>6.1309999999999999E-4</v>
      </c>
    </row>
    <row r="330" spans="1:9" x14ac:dyDescent="0.25">
      <c r="A330" s="104" t="str">
        <f t="shared" si="5"/>
        <v>Malawi2010NationalNGOCondom</v>
      </c>
      <c r="B330" t="s">
        <v>142</v>
      </c>
      <c r="C330">
        <v>2010</v>
      </c>
      <c r="D330" t="s">
        <v>178</v>
      </c>
      <c r="E330" t="s">
        <v>170</v>
      </c>
      <c r="F330" t="s">
        <v>25</v>
      </c>
      <c r="G330">
        <v>1.6446E-3</v>
      </c>
      <c r="H330">
        <v>1.7013E-3</v>
      </c>
      <c r="I330">
        <v>2.1719999999999999E-3</v>
      </c>
    </row>
    <row r="331" spans="1:9" x14ac:dyDescent="0.25">
      <c r="A331" s="104" t="str">
        <f t="shared" si="5"/>
        <v>Malawi2010NationalCommercialCondom</v>
      </c>
      <c r="B331" t="s">
        <v>142</v>
      </c>
      <c r="C331">
        <v>2010</v>
      </c>
      <c r="D331" t="s">
        <v>178</v>
      </c>
      <c r="E331" t="s">
        <v>59</v>
      </c>
      <c r="F331" t="s">
        <v>25</v>
      </c>
      <c r="G331">
        <v>3.478E-4</v>
      </c>
      <c r="H331">
        <v>2.8105999999999999E-3</v>
      </c>
      <c r="I331">
        <v>9.3650000000000005E-4</v>
      </c>
    </row>
    <row r="332" spans="1:9" x14ac:dyDescent="0.25">
      <c r="A332" s="104" t="str">
        <f t="shared" si="5"/>
        <v>Malawi2010NationalNonTradCondom</v>
      </c>
      <c r="B332" t="s">
        <v>142</v>
      </c>
      <c r="C332">
        <v>2010</v>
      </c>
      <c r="D332" t="s">
        <v>178</v>
      </c>
      <c r="E332" t="s">
        <v>171</v>
      </c>
      <c r="F332" t="s">
        <v>25</v>
      </c>
      <c r="G332">
        <v>6.5123999999999998E-3</v>
      </c>
      <c r="H332">
        <v>2.11813E-2</v>
      </c>
      <c r="I332">
        <v>5.2961099999999997E-2</v>
      </c>
    </row>
    <row r="333" spans="1:9" x14ac:dyDescent="0.25">
      <c r="A333" s="104" t="str">
        <f t="shared" si="5"/>
        <v>Malawi2010NationalOtherCondom</v>
      </c>
      <c r="B333" t="s">
        <v>142</v>
      </c>
      <c r="C333">
        <v>2010</v>
      </c>
      <c r="D333" t="s">
        <v>178</v>
      </c>
      <c r="E333" t="s">
        <v>116</v>
      </c>
      <c r="F333" t="s">
        <v>25</v>
      </c>
      <c r="G333">
        <v>1.3741000000000001E-3</v>
      </c>
      <c r="H333">
        <v>4.3977E-3</v>
      </c>
      <c r="I333">
        <v>6.7400000000000003E-3</v>
      </c>
    </row>
    <row r="334" spans="1:9" x14ac:dyDescent="0.25">
      <c r="A334" s="104" t="str">
        <f t="shared" si="5"/>
        <v>Malawi2010NationalCondom</v>
      </c>
      <c r="B334" t="s">
        <v>142</v>
      </c>
      <c r="C334">
        <v>2010</v>
      </c>
      <c r="D334" t="s">
        <v>178</v>
      </c>
      <c r="F334" t="s">
        <v>25</v>
      </c>
      <c r="H334">
        <v>1.5012000000000001E-3</v>
      </c>
      <c r="I334">
        <v>4.2539999999999999E-4</v>
      </c>
    </row>
    <row r="335" spans="1:9" x14ac:dyDescent="0.25">
      <c r="A335" s="104" t="str">
        <f t="shared" si="5"/>
        <v>Malawi2010UrbanPub_MedCondom</v>
      </c>
      <c r="B335" t="s">
        <v>142</v>
      </c>
      <c r="C335">
        <v>2010</v>
      </c>
      <c r="D335" t="s">
        <v>20</v>
      </c>
      <c r="E335" t="s">
        <v>52</v>
      </c>
      <c r="F335" t="s">
        <v>25</v>
      </c>
      <c r="G335">
        <v>1.08059E-2</v>
      </c>
      <c r="H335">
        <v>2.2556799999999998E-2</v>
      </c>
      <c r="I335">
        <v>5.2839000000000002E-3</v>
      </c>
    </row>
    <row r="336" spans="1:9" x14ac:dyDescent="0.25">
      <c r="A336" s="104" t="str">
        <f t="shared" si="5"/>
        <v>Malawi2010UrbanNGOCondom</v>
      </c>
      <c r="B336" t="s">
        <v>142</v>
      </c>
      <c r="C336">
        <v>2010</v>
      </c>
      <c r="D336" t="s">
        <v>20</v>
      </c>
      <c r="E336" t="s">
        <v>170</v>
      </c>
      <c r="F336" t="s">
        <v>25</v>
      </c>
      <c r="G336">
        <v>3.0175000000000002E-3</v>
      </c>
      <c r="H336">
        <v>2.4486999999999998E-3</v>
      </c>
      <c r="I336">
        <v>2.6706E-3</v>
      </c>
    </row>
    <row r="337" spans="1:9" x14ac:dyDescent="0.25">
      <c r="A337" s="104" t="str">
        <f t="shared" si="5"/>
        <v>Malawi2010UrbanCommercialCondom</v>
      </c>
      <c r="B337" t="s">
        <v>142</v>
      </c>
      <c r="C337">
        <v>2010</v>
      </c>
      <c r="D337" t="s">
        <v>20</v>
      </c>
      <c r="E337" t="s">
        <v>59</v>
      </c>
      <c r="F337" t="s">
        <v>25</v>
      </c>
      <c r="H337">
        <v>3.7967999999999999E-3</v>
      </c>
      <c r="I337">
        <v>1.1513999999999999E-3</v>
      </c>
    </row>
    <row r="338" spans="1:9" x14ac:dyDescent="0.25">
      <c r="A338" s="104" t="str">
        <f t="shared" si="5"/>
        <v>Malawi2010UrbanNonTradCondom</v>
      </c>
      <c r="B338" t="s">
        <v>142</v>
      </c>
      <c r="C338">
        <v>2010</v>
      </c>
      <c r="D338" t="s">
        <v>20</v>
      </c>
      <c r="E338" t="s">
        <v>171</v>
      </c>
      <c r="F338" t="s">
        <v>25</v>
      </c>
      <c r="G338">
        <v>1.66765E-2</v>
      </c>
      <c r="H338">
        <v>2.9215000000000001E-2</v>
      </c>
      <c r="I338">
        <v>6.2642100000000006E-2</v>
      </c>
    </row>
    <row r="339" spans="1:9" x14ac:dyDescent="0.25">
      <c r="A339" s="104" t="str">
        <f t="shared" si="5"/>
        <v>Malawi2010UrbanOtherCondom</v>
      </c>
      <c r="B339" t="s">
        <v>142</v>
      </c>
      <c r="C339">
        <v>2010</v>
      </c>
      <c r="D339" t="s">
        <v>20</v>
      </c>
      <c r="E339" t="s">
        <v>116</v>
      </c>
      <c r="F339" t="s">
        <v>25</v>
      </c>
      <c r="G339">
        <v>3.7602E-3</v>
      </c>
      <c r="H339">
        <v>7.2160000000000002E-3</v>
      </c>
      <c r="I339">
        <v>7.2391E-3</v>
      </c>
    </row>
    <row r="340" spans="1:9" x14ac:dyDescent="0.25">
      <c r="A340" s="104" t="str">
        <f t="shared" si="5"/>
        <v>Malawi2010UrbanCondom</v>
      </c>
      <c r="B340" t="s">
        <v>142</v>
      </c>
      <c r="C340">
        <v>2010</v>
      </c>
      <c r="D340" t="s">
        <v>20</v>
      </c>
      <c r="F340" t="s">
        <v>25</v>
      </c>
      <c r="H340">
        <v>2.0306E-3</v>
      </c>
    </row>
    <row r="341" spans="1:9" x14ac:dyDescent="0.25">
      <c r="A341" s="104" t="str">
        <f t="shared" si="5"/>
        <v>Malawi2010RuralPub_MedCondom</v>
      </c>
      <c r="B341" t="s">
        <v>142</v>
      </c>
      <c r="C341">
        <v>2010</v>
      </c>
      <c r="D341" t="s">
        <v>21</v>
      </c>
      <c r="E341" t="s">
        <v>52</v>
      </c>
      <c r="F341" t="s">
        <v>25</v>
      </c>
      <c r="G341">
        <v>8.7729999999999995E-3</v>
      </c>
      <c r="H341">
        <v>9.4392E-3</v>
      </c>
      <c r="I341">
        <v>1.4523299999999999E-2</v>
      </c>
    </row>
    <row r="342" spans="1:9" x14ac:dyDescent="0.25">
      <c r="A342" s="104" t="str">
        <f t="shared" si="5"/>
        <v>Malawi2010RuralPub_OutreachCondom</v>
      </c>
      <c r="B342" t="s">
        <v>142</v>
      </c>
      <c r="C342">
        <v>2010</v>
      </c>
      <c r="D342" t="s">
        <v>21</v>
      </c>
      <c r="E342" t="s">
        <v>54</v>
      </c>
      <c r="F342" t="s">
        <v>25</v>
      </c>
      <c r="G342">
        <v>3.4177000000000001E-3</v>
      </c>
      <c r="H342">
        <v>1.5698999999999999E-3</v>
      </c>
    </row>
    <row r="343" spans="1:9" x14ac:dyDescent="0.25">
      <c r="A343" s="104" t="str">
        <f t="shared" si="5"/>
        <v>Malawi2010RuralNGOCondom</v>
      </c>
      <c r="B343" t="s">
        <v>142</v>
      </c>
      <c r="C343">
        <v>2010</v>
      </c>
      <c r="D343" t="s">
        <v>21</v>
      </c>
      <c r="E343" t="s">
        <v>170</v>
      </c>
      <c r="F343" t="s">
        <v>25</v>
      </c>
      <c r="G343">
        <v>1.4824E-3</v>
      </c>
      <c r="H343">
        <v>5.3499999999999999E-4</v>
      </c>
    </row>
    <row r="344" spans="1:9" x14ac:dyDescent="0.25">
      <c r="A344" s="104" t="str">
        <f t="shared" si="5"/>
        <v>Malawi2010RuralCommercialCondom</v>
      </c>
      <c r="B344" t="s">
        <v>142</v>
      </c>
      <c r="C344">
        <v>2010</v>
      </c>
      <c r="D344" t="s">
        <v>21</v>
      </c>
      <c r="E344" t="s">
        <v>59</v>
      </c>
      <c r="F344" t="s">
        <v>25</v>
      </c>
      <c r="G344">
        <v>3.8900000000000002E-4</v>
      </c>
      <c r="H344">
        <v>1.2718E-3</v>
      </c>
    </row>
    <row r="345" spans="1:9" x14ac:dyDescent="0.25">
      <c r="A345" s="104" t="str">
        <f t="shared" si="5"/>
        <v>Malawi2010RuralNonTradCondom</v>
      </c>
      <c r="B345" t="s">
        <v>142</v>
      </c>
      <c r="C345">
        <v>2010</v>
      </c>
      <c r="D345" t="s">
        <v>21</v>
      </c>
      <c r="E345" t="s">
        <v>171</v>
      </c>
      <c r="F345" t="s">
        <v>25</v>
      </c>
      <c r="G345">
        <v>5.3112000000000003E-3</v>
      </c>
      <c r="H345">
        <v>8.6456999999999992E-3</v>
      </c>
      <c r="I345">
        <v>1.0785100000000001E-2</v>
      </c>
    </row>
    <row r="346" spans="1:9" x14ac:dyDescent="0.25">
      <c r="A346" s="104" t="str">
        <f t="shared" si="5"/>
        <v>Malawi2010RuralOtherCondom</v>
      </c>
      <c r="B346" t="s">
        <v>142</v>
      </c>
      <c r="C346">
        <v>2010</v>
      </c>
      <c r="D346" t="s">
        <v>21</v>
      </c>
      <c r="E346" t="s">
        <v>116</v>
      </c>
      <c r="F346" t="s">
        <v>25</v>
      </c>
      <c r="G346">
        <v>1.0920999999999999E-3</v>
      </c>
      <c r="I346">
        <v>4.5656999999999998E-3</v>
      </c>
    </row>
    <row r="347" spans="1:9" x14ac:dyDescent="0.25">
      <c r="A347" s="104" t="str">
        <f t="shared" si="5"/>
        <v>Malawi2010RuralCondom</v>
      </c>
      <c r="B347" t="s">
        <v>142</v>
      </c>
      <c r="C347">
        <v>2010</v>
      </c>
      <c r="D347" t="s">
        <v>21</v>
      </c>
      <c r="F347" t="s">
        <v>25</v>
      </c>
      <c r="H347">
        <v>6.7500000000000004E-4</v>
      </c>
      <c r="I347">
        <v>2.2788999999999999E-3</v>
      </c>
    </row>
    <row r="348" spans="1:9" x14ac:dyDescent="0.25">
      <c r="A348" s="104" t="str">
        <f t="shared" si="5"/>
        <v>Malawi2010NationalPub_MedNorplant</v>
      </c>
      <c r="B348" t="s">
        <v>142</v>
      </c>
      <c r="C348">
        <v>2010</v>
      </c>
      <c r="D348" t="s">
        <v>178</v>
      </c>
      <c r="E348" t="s">
        <v>52</v>
      </c>
      <c r="F348" t="s">
        <v>263</v>
      </c>
      <c r="G348">
        <v>8.1679000000000005E-3</v>
      </c>
      <c r="H348">
        <v>1.0870400000000001E-2</v>
      </c>
      <c r="I348">
        <v>1.3107300000000001E-2</v>
      </c>
    </row>
    <row r="349" spans="1:9" x14ac:dyDescent="0.25">
      <c r="A349" s="104" t="str">
        <f t="shared" si="5"/>
        <v>Malawi2010NationalPub_OutreachNorplant</v>
      </c>
      <c r="B349" t="s">
        <v>142</v>
      </c>
      <c r="C349">
        <v>2010</v>
      </c>
      <c r="D349" t="s">
        <v>178</v>
      </c>
      <c r="E349" t="s">
        <v>54</v>
      </c>
      <c r="F349" t="s">
        <v>263</v>
      </c>
      <c r="G349">
        <v>1.117E-4</v>
      </c>
    </row>
    <row r="350" spans="1:9" x14ac:dyDescent="0.25">
      <c r="A350" s="104" t="str">
        <f t="shared" si="5"/>
        <v>Malawi2010NationalNGONorplant</v>
      </c>
      <c r="B350" t="s">
        <v>142</v>
      </c>
      <c r="C350">
        <v>2010</v>
      </c>
      <c r="D350" t="s">
        <v>178</v>
      </c>
      <c r="E350" t="s">
        <v>170</v>
      </c>
      <c r="F350" t="s">
        <v>263</v>
      </c>
      <c r="G350">
        <v>6.4880000000000005E-4</v>
      </c>
      <c r="H350">
        <v>6.8126000000000003E-3</v>
      </c>
      <c r="I350">
        <v>7.6198999999999998E-3</v>
      </c>
    </row>
    <row r="351" spans="1:9" x14ac:dyDescent="0.25">
      <c r="A351" s="104" t="str">
        <f t="shared" si="5"/>
        <v>Malawi2010NationalCommercialNorplant</v>
      </c>
      <c r="B351" t="s">
        <v>142</v>
      </c>
      <c r="C351">
        <v>2010</v>
      </c>
      <c r="D351" t="s">
        <v>178</v>
      </c>
      <c r="E351" t="s">
        <v>59</v>
      </c>
      <c r="F351" t="s">
        <v>263</v>
      </c>
      <c r="G351">
        <v>1.8899999999999999E-5</v>
      </c>
      <c r="H351">
        <v>1.0356E-3</v>
      </c>
      <c r="I351">
        <v>1.4533E-3</v>
      </c>
    </row>
    <row r="352" spans="1:9" x14ac:dyDescent="0.25">
      <c r="A352" s="104" t="str">
        <f t="shared" si="5"/>
        <v>Malawi2010NationalNorplant</v>
      </c>
      <c r="B352" t="s">
        <v>142</v>
      </c>
      <c r="C352">
        <v>2010</v>
      </c>
      <c r="D352" t="s">
        <v>178</v>
      </c>
      <c r="F352" t="s">
        <v>263</v>
      </c>
      <c r="G352">
        <v>3.8099999999999998E-5</v>
      </c>
    </row>
    <row r="353" spans="1:9" x14ac:dyDescent="0.25">
      <c r="A353" s="104" t="str">
        <f t="shared" si="5"/>
        <v>Malawi2010UrbanPub_MedNorplant</v>
      </c>
      <c r="B353" t="s">
        <v>142</v>
      </c>
      <c r="C353">
        <v>2010</v>
      </c>
      <c r="D353" t="s">
        <v>20</v>
      </c>
      <c r="E353" t="s">
        <v>52</v>
      </c>
      <c r="F353" t="s">
        <v>263</v>
      </c>
      <c r="G353">
        <v>1.63254E-2</v>
      </c>
      <c r="H353">
        <v>1.09414E-2</v>
      </c>
      <c r="I353">
        <v>1.11609E-2</v>
      </c>
    </row>
    <row r="354" spans="1:9" x14ac:dyDescent="0.25">
      <c r="A354" s="104" t="str">
        <f t="shared" si="5"/>
        <v>Malawi2010UrbanNGONorplant</v>
      </c>
      <c r="B354" t="s">
        <v>142</v>
      </c>
      <c r="C354">
        <v>2010</v>
      </c>
      <c r="D354" t="s">
        <v>20</v>
      </c>
      <c r="E354" t="s">
        <v>170</v>
      </c>
      <c r="F354" t="s">
        <v>263</v>
      </c>
      <c r="H354">
        <v>6.9579999999999998E-3</v>
      </c>
      <c r="I354">
        <v>2.6159E-3</v>
      </c>
    </row>
    <row r="355" spans="1:9" x14ac:dyDescent="0.25">
      <c r="A355" s="104" t="str">
        <f t="shared" si="5"/>
        <v>Malawi2010UrbanCommercialNorplant</v>
      </c>
      <c r="B355" t="s">
        <v>142</v>
      </c>
      <c r="C355">
        <v>2010</v>
      </c>
      <c r="D355" t="s">
        <v>20</v>
      </c>
      <c r="E355" t="s">
        <v>59</v>
      </c>
      <c r="F355" t="s">
        <v>263</v>
      </c>
      <c r="H355">
        <v>1.6992999999999999E-3</v>
      </c>
      <c r="I355">
        <v>1.7868999999999999E-3</v>
      </c>
    </row>
    <row r="356" spans="1:9" x14ac:dyDescent="0.25">
      <c r="A356" s="104" t="str">
        <f t="shared" si="5"/>
        <v>Malawi2010RuralPub_MedNorplant</v>
      </c>
      <c r="B356" t="s">
        <v>142</v>
      </c>
      <c r="C356">
        <v>2010</v>
      </c>
      <c r="D356" t="s">
        <v>21</v>
      </c>
      <c r="E356" t="s">
        <v>52</v>
      </c>
      <c r="F356" t="s">
        <v>263</v>
      </c>
      <c r="G356">
        <v>7.2037999999999998E-3</v>
      </c>
      <c r="H356">
        <v>1.07595E-2</v>
      </c>
      <c r="I356">
        <v>2.15868E-2</v>
      </c>
    </row>
    <row r="357" spans="1:9" x14ac:dyDescent="0.25">
      <c r="A357" s="104" t="str">
        <f t="shared" si="5"/>
        <v>Malawi2010RuralPub_OutreachNorplant</v>
      </c>
      <c r="B357" t="s">
        <v>142</v>
      </c>
      <c r="C357">
        <v>2010</v>
      </c>
      <c r="D357" t="s">
        <v>21</v>
      </c>
      <c r="E357" t="s">
        <v>54</v>
      </c>
      <c r="F357" t="s">
        <v>263</v>
      </c>
      <c r="G357">
        <v>1.249E-4</v>
      </c>
    </row>
    <row r="358" spans="1:9" x14ac:dyDescent="0.25">
      <c r="A358" s="104" t="str">
        <f t="shared" si="5"/>
        <v>Malawi2010RuralNGONorplant</v>
      </c>
      <c r="B358" t="s">
        <v>142</v>
      </c>
      <c r="C358">
        <v>2010</v>
      </c>
      <c r="D358" t="s">
        <v>21</v>
      </c>
      <c r="E358" t="s">
        <v>170</v>
      </c>
      <c r="F358" t="s">
        <v>263</v>
      </c>
      <c r="G358">
        <v>7.2539999999999996E-4</v>
      </c>
      <c r="H358">
        <v>6.5855999999999996E-3</v>
      </c>
      <c r="I358">
        <v>2.9420000000000002E-2</v>
      </c>
    </row>
    <row r="359" spans="1:9" x14ac:dyDescent="0.25">
      <c r="A359" s="104" t="str">
        <f t="shared" si="5"/>
        <v>Malawi2010RuralCommercialNorplant</v>
      </c>
      <c r="B359" t="s">
        <v>142</v>
      </c>
      <c r="C359">
        <v>2010</v>
      </c>
      <c r="D359" t="s">
        <v>21</v>
      </c>
      <c r="E359" t="s">
        <v>59</v>
      </c>
      <c r="F359" t="s">
        <v>263</v>
      </c>
      <c r="G359">
        <v>2.1100000000000001E-5</v>
      </c>
    </row>
    <row r="360" spans="1:9" x14ac:dyDescent="0.25">
      <c r="A360" s="104" t="str">
        <f t="shared" si="5"/>
        <v>Malawi2010RuralNorplant</v>
      </c>
      <c r="B360" t="s">
        <v>142</v>
      </c>
      <c r="C360">
        <v>2010</v>
      </c>
      <c r="D360" t="s">
        <v>21</v>
      </c>
      <c r="F360" t="s">
        <v>263</v>
      </c>
      <c r="G360">
        <v>4.2599999999999999E-5</v>
      </c>
    </row>
    <row r="361" spans="1:9" x14ac:dyDescent="0.25">
      <c r="A361" s="104" t="str">
        <f t="shared" si="5"/>
        <v>Malawi2015.5NationalPub_MedPill</v>
      </c>
      <c r="B361" t="s">
        <v>142</v>
      </c>
      <c r="C361">
        <v>2015.5</v>
      </c>
      <c r="D361" t="s">
        <v>178</v>
      </c>
      <c r="E361" t="s">
        <v>52</v>
      </c>
      <c r="F361" t="s">
        <v>12</v>
      </c>
      <c r="G361">
        <v>8.9823999999999998E-3</v>
      </c>
      <c r="H361">
        <v>1.9192899999999999E-2</v>
      </c>
      <c r="I361">
        <v>9.6626000000000004E-3</v>
      </c>
    </row>
    <row r="362" spans="1:9" x14ac:dyDescent="0.25">
      <c r="A362" s="104" t="str">
        <f t="shared" si="5"/>
        <v>Malawi2015.5NationalPub_OutreachPill</v>
      </c>
      <c r="B362" t="s">
        <v>142</v>
      </c>
      <c r="C362">
        <v>2015.5</v>
      </c>
      <c r="D362" t="s">
        <v>178</v>
      </c>
      <c r="E362" t="s">
        <v>54</v>
      </c>
      <c r="F362" t="s">
        <v>12</v>
      </c>
      <c r="G362">
        <v>4.4070000000000003E-3</v>
      </c>
      <c r="H362">
        <v>4.8376000000000001E-3</v>
      </c>
      <c r="I362">
        <v>3.792E-4</v>
      </c>
    </row>
    <row r="363" spans="1:9" x14ac:dyDescent="0.25">
      <c r="A363" s="104" t="str">
        <f t="shared" si="5"/>
        <v>Malawi2015.5NationalNGOPill</v>
      </c>
      <c r="B363" t="s">
        <v>142</v>
      </c>
      <c r="C363">
        <v>2015.5</v>
      </c>
      <c r="D363" t="s">
        <v>178</v>
      </c>
      <c r="E363" t="s">
        <v>170</v>
      </c>
      <c r="F363" t="s">
        <v>12</v>
      </c>
      <c r="G363">
        <v>7.9589999999999999E-4</v>
      </c>
      <c r="H363">
        <v>3.4678999999999999E-3</v>
      </c>
      <c r="I363">
        <v>1.6163E-3</v>
      </c>
    </row>
    <row r="364" spans="1:9" x14ac:dyDescent="0.25">
      <c r="A364" s="104" t="str">
        <f t="shared" si="5"/>
        <v>Malawi2015.5NationalCommercialPill</v>
      </c>
      <c r="B364" t="s">
        <v>142</v>
      </c>
      <c r="C364">
        <v>2015.5</v>
      </c>
      <c r="D364" t="s">
        <v>178</v>
      </c>
      <c r="E364" t="s">
        <v>59</v>
      </c>
      <c r="F364" t="s">
        <v>12</v>
      </c>
      <c r="G364">
        <v>7.069E-4</v>
      </c>
      <c r="H364">
        <v>7.0334000000000004E-3</v>
      </c>
      <c r="I364">
        <v>1.39501E-2</v>
      </c>
    </row>
    <row r="365" spans="1:9" x14ac:dyDescent="0.25">
      <c r="A365" s="104" t="str">
        <f t="shared" si="5"/>
        <v>Malawi2015.5NationalNonTradPill</v>
      </c>
      <c r="B365" t="s">
        <v>142</v>
      </c>
      <c r="C365">
        <v>2015.5</v>
      </c>
      <c r="D365" t="s">
        <v>178</v>
      </c>
      <c r="E365" t="s">
        <v>171</v>
      </c>
      <c r="F365" t="s">
        <v>12</v>
      </c>
      <c r="H365">
        <v>1.6321E-3</v>
      </c>
    </row>
    <row r="366" spans="1:9" x14ac:dyDescent="0.25">
      <c r="A366" s="104" t="str">
        <f t="shared" si="5"/>
        <v>Malawi2015.5NationalOtherPill</v>
      </c>
      <c r="B366" t="s">
        <v>142</v>
      </c>
      <c r="C366">
        <v>2015.5</v>
      </c>
      <c r="D366" t="s">
        <v>178</v>
      </c>
      <c r="E366" t="s">
        <v>116</v>
      </c>
      <c r="F366" t="s">
        <v>12</v>
      </c>
      <c r="G366">
        <v>4.3300000000000002E-5</v>
      </c>
    </row>
    <row r="367" spans="1:9" x14ac:dyDescent="0.25">
      <c r="A367" s="104" t="str">
        <f t="shared" si="5"/>
        <v>Malawi2015.5UrbanPub_MedPill</v>
      </c>
      <c r="B367" t="s">
        <v>142</v>
      </c>
      <c r="C367">
        <v>2015.5</v>
      </c>
      <c r="D367" t="s">
        <v>20</v>
      </c>
      <c r="E367" t="s">
        <v>52</v>
      </c>
      <c r="F367" t="s">
        <v>12</v>
      </c>
      <c r="G367">
        <v>8.1255000000000008E-3</v>
      </c>
      <c r="H367">
        <v>2.1951700000000001E-2</v>
      </c>
      <c r="I367">
        <v>9.0348000000000008E-3</v>
      </c>
    </row>
    <row r="368" spans="1:9" x14ac:dyDescent="0.25">
      <c r="A368" s="104" t="str">
        <f t="shared" si="5"/>
        <v>Malawi2015.5UrbanPub_OutreachPill</v>
      </c>
      <c r="B368" t="s">
        <v>142</v>
      </c>
      <c r="C368">
        <v>2015.5</v>
      </c>
      <c r="D368" t="s">
        <v>20</v>
      </c>
      <c r="E368" t="s">
        <v>54</v>
      </c>
      <c r="F368" t="s">
        <v>12</v>
      </c>
      <c r="G368">
        <v>3.2079000000000001E-3</v>
      </c>
      <c r="H368">
        <v>7.1361999999999997E-3</v>
      </c>
      <c r="I368">
        <v>4.2539999999999999E-4</v>
      </c>
    </row>
    <row r="369" spans="1:9" x14ac:dyDescent="0.25">
      <c r="A369" s="104" t="str">
        <f t="shared" si="5"/>
        <v>Malawi2015.5UrbanNGOPill</v>
      </c>
      <c r="B369" t="s">
        <v>142</v>
      </c>
      <c r="C369">
        <v>2015.5</v>
      </c>
      <c r="D369" t="s">
        <v>20</v>
      </c>
      <c r="E369" t="s">
        <v>170</v>
      </c>
      <c r="F369" t="s">
        <v>12</v>
      </c>
      <c r="G369">
        <v>1.795E-4</v>
      </c>
      <c r="H369">
        <v>4.3731999999999998E-3</v>
      </c>
      <c r="I369">
        <v>1.7826999999999999E-3</v>
      </c>
    </row>
    <row r="370" spans="1:9" x14ac:dyDescent="0.25">
      <c r="A370" s="104" t="str">
        <f t="shared" si="5"/>
        <v>Malawi2015.5UrbanCommercialPill</v>
      </c>
      <c r="B370" t="s">
        <v>142</v>
      </c>
      <c r="C370">
        <v>2015.5</v>
      </c>
      <c r="D370" t="s">
        <v>20</v>
      </c>
      <c r="E370" t="s">
        <v>59</v>
      </c>
      <c r="F370" t="s">
        <v>12</v>
      </c>
      <c r="G370">
        <v>1.5223000000000001E-3</v>
      </c>
      <c r="H370">
        <v>9.1985000000000001E-3</v>
      </c>
      <c r="I370">
        <v>1.25603E-2</v>
      </c>
    </row>
    <row r="371" spans="1:9" x14ac:dyDescent="0.25">
      <c r="A371" s="104" t="str">
        <f t="shared" si="5"/>
        <v>Malawi2015.5UrbanNonTradPill</v>
      </c>
      <c r="B371" t="s">
        <v>142</v>
      </c>
      <c r="C371">
        <v>2015.5</v>
      </c>
      <c r="D371" t="s">
        <v>20</v>
      </c>
      <c r="E371" t="s">
        <v>171</v>
      </c>
      <c r="F371" t="s">
        <v>12</v>
      </c>
      <c r="H371">
        <v>1.6050000000000001E-3</v>
      </c>
    </row>
    <row r="372" spans="1:9" x14ac:dyDescent="0.25">
      <c r="A372" s="104" t="str">
        <f t="shared" si="5"/>
        <v>Malawi2015.5RuralPub_MedPill</v>
      </c>
      <c r="B372" t="s">
        <v>142</v>
      </c>
      <c r="C372">
        <v>2015.5</v>
      </c>
      <c r="D372" t="s">
        <v>21</v>
      </c>
      <c r="E372" t="s">
        <v>52</v>
      </c>
      <c r="F372" t="s">
        <v>12</v>
      </c>
      <c r="G372">
        <v>9.0638999999999997E-3</v>
      </c>
      <c r="H372">
        <v>1.3387E-2</v>
      </c>
      <c r="I372">
        <v>1.48238E-2</v>
      </c>
    </row>
    <row r="373" spans="1:9" x14ac:dyDescent="0.25">
      <c r="A373" s="104" t="str">
        <f t="shared" si="5"/>
        <v>Malawi2015.5RuralPub_OutreachPill</v>
      </c>
      <c r="B373" t="s">
        <v>142</v>
      </c>
      <c r="C373">
        <v>2015.5</v>
      </c>
      <c r="D373" t="s">
        <v>21</v>
      </c>
      <c r="E373" t="s">
        <v>54</v>
      </c>
      <c r="F373" t="s">
        <v>12</v>
      </c>
      <c r="G373">
        <v>4.5209999999999998E-3</v>
      </c>
    </row>
    <row r="374" spans="1:9" x14ac:dyDescent="0.25">
      <c r="A374" s="104" t="str">
        <f t="shared" si="5"/>
        <v>Malawi2015.5RuralNGOPill</v>
      </c>
      <c r="B374" t="s">
        <v>142</v>
      </c>
      <c r="C374">
        <v>2015.5</v>
      </c>
      <c r="D374" t="s">
        <v>21</v>
      </c>
      <c r="E374" t="s">
        <v>170</v>
      </c>
      <c r="F374" t="s">
        <v>12</v>
      </c>
      <c r="G374">
        <v>8.5450000000000001E-4</v>
      </c>
      <c r="H374">
        <v>1.5625000000000001E-3</v>
      </c>
      <c r="I374">
        <v>2.4840000000000002E-4</v>
      </c>
    </row>
    <row r="375" spans="1:9" x14ac:dyDescent="0.25">
      <c r="A375" s="104" t="str">
        <f t="shared" si="5"/>
        <v>Malawi2015.5RuralCommercialPill</v>
      </c>
      <c r="B375" t="s">
        <v>142</v>
      </c>
      <c r="C375">
        <v>2015.5</v>
      </c>
      <c r="D375" t="s">
        <v>21</v>
      </c>
      <c r="E375" t="s">
        <v>59</v>
      </c>
      <c r="F375" t="s">
        <v>12</v>
      </c>
      <c r="G375">
        <v>6.2940000000000001E-4</v>
      </c>
      <c r="H375">
        <v>2.4767999999999999E-3</v>
      </c>
      <c r="I375">
        <v>2.5375999999999999E-2</v>
      </c>
    </row>
    <row r="376" spans="1:9" x14ac:dyDescent="0.25">
      <c r="A376" s="104" t="str">
        <f t="shared" si="5"/>
        <v>Malawi2015.5RuralNonTradPill</v>
      </c>
      <c r="B376" t="s">
        <v>142</v>
      </c>
      <c r="C376">
        <v>2015.5</v>
      </c>
      <c r="D376" t="s">
        <v>21</v>
      </c>
      <c r="E376" t="s">
        <v>171</v>
      </c>
      <c r="F376" t="s">
        <v>12</v>
      </c>
      <c r="H376">
        <v>1.6888999999999999E-3</v>
      </c>
    </row>
    <row r="377" spans="1:9" x14ac:dyDescent="0.25">
      <c r="A377" s="104" t="str">
        <f t="shared" si="5"/>
        <v>Malawi2015.5RuralOtherPill</v>
      </c>
      <c r="B377" t="s">
        <v>142</v>
      </c>
      <c r="C377">
        <v>2015.5</v>
      </c>
      <c r="D377" t="s">
        <v>21</v>
      </c>
      <c r="E377" t="s">
        <v>116</v>
      </c>
      <c r="F377" t="s">
        <v>12</v>
      </c>
      <c r="G377">
        <v>4.74E-5</v>
      </c>
    </row>
    <row r="378" spans="1:9" x14ac:dyDescent="0.25">
      <c r="A378" s="104" t="str">
        <f t="shared" si="5"/>
        <v>Malawi2015.5NationalPub_MedIUD</v>
      </c>
      <c r="B378" t="s">
        <v>142</v>
      </c>
      <c r="C378">
        <v>2015.5</v>
      </c>
      <c r="D378" t="s">
        <v>178</v>
      </c>
      <c r="E378" t="s">
        <v>52</v>
      </c>
      <c r="F378" t="s">
        <v>16</v>
      </c>
      <c r="G378">
        <v>4.7593999999999996E-3</v>
      </c>
      <c r="H378">
        <v>4.8530999999999999E-3</v>
      </c>
      <c r="I378">
        <v>9.8694999999999998E-3</v>
      </c>
    </row>
    <row r="379" spans="1:9" x14ac:dyDescent="0.25">
      <c r="A379" s="104" t="str">
        <f t="shared" si="5"/>
        <v>Malawi2015.5NationalPub_OutreachIUD</v>
      </c>
      <c r="B379" t="s">
        <v>142</v>
      </c>
      <c r="C379">
        <v>2015.5</v>
      </c>
      <c r="D379" t="s">
        <v>178</v>
      </c>
      <c r="E379" t="s">
        <v>54</v>
      </c>
      <c r="F379" t="s">
        <v>16</v>
      </c>
      <c r="G379">
        <v>6.8079999999999996E-4</v>
      </c>
      <c r="H379">
        <v>2.176E-4</v>
      </c>
    </row>
    <row r="380" spans="1:9" x14ac:dyDescent="0.25">
      <c r="A380" s="104" t="str">
        <f t="shared" si="5"/>
        <v>Malawi2015.5NationalNGOIUD</v>
      </c>
      <c r="B380" t="s">
        <v>142</v>
      </c>
      <c r="C380">
        <v>2015.5</v>
      </c>
      <c r="D380" t="s">
        <v>178</v>
      </c>
      <c r="E380" t="s">
        <v>170</v>
      </c>
      <c r="F380" t="s">
        <v>16</v>
      </c>
      <c r="G380">
        <v>7.8019999999999999E-4</v>
      </c>
      <c r="H380">
        <v>3.7986999999999999E-3</v>
      </c>
      <c r="I380">
        <v>1.85022E-2</v>
      </c>
    </row>
    <row r="381" spans="1:9" x14ac:dyDescent="0.25">
      <c r="A381" s="104" t="str">
        <f t="shared" si="5"/>
        <v>Malawi2015.5NationalCommercialIUD</v>
      </c>
      <c r="B381" t="s">
        <v>142</v>
      </c>
      <c r="C381">
        <v>2015.5</v>
      </c>
      <c r="D381" t="s">
        <v>178</v>
      </c>
      <c r="E381" t="s">
        <v>59</v>
      </c>
      <c r="F381" t="s">
        <v>16</v>
      </c>
      <c r="G381">
        <v>4.2250000000000002E-4</v>
      </c>
    </row>
    <row r="382" spans="1:9" x14ac:dyDescent="0.25">
      <c r="A382" s="104" t="str">
        <f t="shared" si="5"/>
        <v>Malawi2015.5UrbanPub_MedIUD</v>
      </c>
      <c r="B382" t="s">
        <v>142</v>
      </c>
      <c r="C382">
        <v>2015.5</v>
      </c>
      <c r="D382" t="s">
        <v>20</v>
      </c>
      <c r="E382" t="s">
        <v>52</v>
      </c>
      <c r="F382" t="s">
        <v>16</v>
      </c>
      <c r="G382">
        <v>4.4549000000000004E-3</v>
      </c>
      <c r="H382">
        <v>5.3400000000000001E-3</v>
      </c>
      <c r="I382">
        <v>1.0167600000000001E-2</v>
      </c>
    </row>
    <row r="383" spans="1:9" x14ac:dyDescent="0.25">
      <c r="A383" s="104" t="str">
        <f t="shared" si="5"/>
        <v>Malawi2015.5UrbanNGOIUD</v>
      </c>
      <c r="B383" t="s">
        <v>142</v>
      </c>
      <c r="C383">
        <v>2015.5</v>
      </c>
      <c r="D383" t="s">
        <v>20</v>
      </c>
      <c r="E383" t="s">
        <v>170</v>
      </c>
      <c r="F383" t="s">
        <v>16</v>
      </c>
      <c r="G383">
        <v>1.3748E-3</v>
      </c>
      <c r="H383">
        <v>4.6413000000000001E-3</v>
      </c>
      <c r="I383">
        <v>1.90122E-2</v>
      </c>
    </row>
    <row r="384" spans="1:9" x14ac:dyDescent="0.25">
      <c r="A384" s="104" t="str">
        <f t="shared" si="5"/>
        <v>Malawi2015.5UrbanCommercialIUD</v>
      </c>
      <c r="B384" t="s">
        <v>142</v>
      </c>
      <c r="C384">
        <v>2015.5</v>
      </c>
      <c r="D384" t="s">
        <v>20</v>
      </c>
      <c r="E384" t="s">
        <v>59</v>
      </c>
      <c r="F384" t="s">
        <v>16</v>
      </c>
      <c r="G384">
        <v>2.03E-4</v>
      </c>
    </row>
    <row r="385" spans="1:9" x14ac:dyDescent="0.25">
      <c r="A385" s="104" t="str">
        <f t="shared" si="5"/>
        <v>Malawi2015.5RuralPub_MedIUD</v>
      </c>
      <c r="B385" t="s">
        <v>142</v>
      </c>
      <c r="C385">
        <v>2015.5</v>
      </c>
      <c r="D385" t="s">
        <v>21</v>
      </c>
      <c r="E385" t="s">
        <v>52</v>
      </c>
      <c r="F385" t="s">
        <v>16</v>
      </c>
      <c r="G385">
        <v>4.7883999999999999E-3</v>
      </c>
      <c r="H385">
        <v>3.8283000000000002E-3</v>
      </c>
      <c r="I385">
        <v>7.4186E-3</v>
      </c>
    </row>
    <row r="386" spans="1:9" x14ac:dyDescent="0.25">
      <c r="A386" s="104" t="str">
        <f t="shared" si="5"/>
        <v>Malawi2015.5RuralPub_OutreachIUD</v>
      </c>
      <c r="B386" t="s">
        <v>142</v>
      </c>
      <c r="C386">
        <v>2015.5</v>
      </c>
      <c r="D386" t="s">
        <v>21</v>
      </c>
      <c r="E386" t="s">
        <v>54</v>
      </c>
      <c r="F386" t="s">
        <v>16</v>
      </c>
      <c r="G386">
        <v>7.4549999999999996E-4</v>
      </c>
      <c r="H386">
        <v>6.7549999999999999E-4</v>
      </c>
    </row>
    <row r="387" spans="1:9" x14ac:dyDescent="0.25">
      <c r="A387" s="104" t="str">
        <f t="shared" ref="A387:A450" si="6">B387&amp;C387&amp;D387&amp;E387&amp;F387</f>
        <v>Malawi2015.5RuralNGOIUD</v>
      </c>
      <c r="B387" t="s">
        <v>142</v>
      </c>
      <c r="C387">
        <v>2015.5</v>
      </c>
      <c r="D387" t="s">
        <v>21</v>
      </c>
      <c r="E387" t="s">
        <v>170</v>
      </c>
      <c r="F387" t="s">
        <v>16</v>
      </c>
      <c r="G387">
        <v>7.2360000000000002E-4</v>
      </c>
      <c r="H387">
        <v>2.0252E-3</v>
      </c>
      <c r="I387">
        <v>1.4309199999999999E-2</v>
      </c>
    </row>
    <row r="388" spans="1:9" x14ac:dyDescent="0.25">
      <c r="A388" s="104" t="str">
        <f t="shared" si="6"/>
        <v>Malawi2015.5RuralCommercialIUD</v>
      </c>
      <c r="B388" t="s">
        <v>142</v>
      </c>
      <c r="C388">
        <v>2015.5</v>
      </c>
      <c r="D388" t="s">
        <v>21</v>
      </c>
      <c r="E388" t="s">
        <v>59</v>
      </c>
      <c r="F388" t="s">
        <v>16</v>
      </c>
      <c r="G388">
        <v>4.4329999999999999E-4</v>
      </c>
    </row>
    <row r="389" spans="1:9" x14ac:dyDescent="0.25">
      <c r="A389" s="104" t="str">
        <f t="shared" si="6"/>
        <v>Malawi2015.5NationalPub_MedInjectable</v>
      </c>
      <c r="B389" t="s">
        <v>142</v>
      </c>
      <c r="C389">
        <v>2015.5</v>
      </c>
      <c r="D389" t="s">
        <v>178</v>
      </c>
      <c r="E389" t="s">
        <v>52</v>
      </c>
      <c r="F389" t="s">
        <v>22</v>
      </c>
      <c r="G389">
        <v>0.16633390000000001</v>
      </c>
      <c r="H389">
        <v>0.1182141</v>
      </c>
      <c r="I389">
        <v>5.2957999999999998E-2</v>
      </c>
    </row>
    <row r="390" spans="1:9" x14ac:dyDescent="0.25">
      <c r="A390" s="104" t="str">
        <f t="shared" si="6"/>
        <v>Malawi2015.5NationalPub_OutreachInjectable</v>
      </c>
      <c r="B390" t="s">
        <v>142</v>
      </c>
      <c r="C390">
        <v>2015.5</v>
      </c>
      <c r="D390" t="s">
        <v>178</v>
      </c>
      <c r="E390" t="s">
        <v>54</v>
      </c>
      <c r="F390" t="s">
        <v>22</v>
      </c>
      <c r="G390">
        <v>4.3598900000000003E-2</v>
      </c>
      <c r="H390">
        <v>1.5579000000000001E-2</v>
      </c>
      <c r="I390">
        <v>1.7861000000000001E-3</v>
      </c>
    </row>
    <row r="391" spans="1:9" x14ac:dyDescent="0.25">
      <c r="A391" s="104" t="str">
        <f t="shared" si="6"/>
        <v>Malawi2015.5NationalNGOInjectable</v>
      </c>
      <c r="B391" t="s">
        <v>142</v>
      </c>
      <c r="C391">
        <v>2015.5</v>
      </c>
      <c r="D391" t="s">
        <v>178</v>
      </c>
      <c r="E391" t="s">
        <v>170</v>
      </c>
      <c r="F391" t="s">
        <v>22</v>
      </c>
      <c r="G391">
        <v>1.45533E-2</v>
      </c>
      <c r="H391">
        <v>1.7296499999999999E-2</v>
      </c>
      <c r="I391">
        <v>1.1488E-2</v>
      </c>
    </row>
    <row r="392" spans="1:9" x14ac:dyDescent="0.25">
      <c r="A392" s="104" t="str">
        <f t="shared" si="6"/>
        <v>Malawi2015.5NationalCommercialInjectable</v>
      </c>
      <c r="B392" t="s">
        <v>142</v>
      </c>
      <c r="C392">
        <v>2015.5</v>
      </c>
      <c r="D392" t="s">
        <v>178</v>
      </c>
      <c r="E392" t="s">
        <v>59</v>
      </c>
      <c r="F392" t="s">
        <v>22</v>
      </c>
      <c r="G392">
        <v>1.1299200000000001E-2</v>
      </c>
      <c r="H392">
        <v>3.9746400000000001E-2</v>
      </c>
      <c r="I392">
        <v>2.56971E-2</v>
      </c>
    </row>
    <row r="393" spans="1:9" x14ac:dyDescent="0.25">
      <c r="A393" s="104" t="str">
        <f t="shared" si="6"/>
        <v>Malawi2015.5NationalNonTradInjectable</v>
      </c>
      <c r="B393" t="s">
        <v>142</v>
      </c>
      <c r="C393">
        <v>2015.5</v>
      </c>
      <c r="D393" t="s">
        <v>178</v>
      </c>
      <c r="E393" t="s">
        <v>171</v>
      </c>
      <c r="F393" t="s">
        <v>22</v>
      </c>
      <c r="G393">
        <v>1.583E-4</v>
      </c>
    </row>
    <row r="394" spans="1:9" x14ac:dyDescent="0.25">
      <c r="A394" s="104" t="str">
        <f t="shared" si="6"/>
        <v>Malawi2015.5NationalOtherInjectable</v>
      </c>
      <c r="B394" t="s">
        <v>142</v>
      </c>
      <c r="C394">
        <v>2015.5</v>
      </c>
      <c r="D394" t="s">
        <v>178</v>
      </c>
      <c r="E394" t="s">
        <v>116</v>
      </c>
      <c r="F394" t="s">
        <v>22</v>
      </c>
      <c r="G394">
        <v>9.3630000000000004E-4</v>
      </c>
      <c r="H394">
        <v>7.2650000000000004E-4</v>
      </c>
    </row>
    <row r="395" spans="1:9" x14ac:dyDescent="0.25">
      <c r="A395" s="104" t="str">
        <f t="shared" si="6"/>
        <v>Malawi2015.5NationalInjectable</v>
      </c>
      <c r="B395" t="s">
        <v>142</v>
      </c>
      <c r="C395">
        <v>2015.5</v>
      </c>
      <c r="D395" t="s">
        <v>178</v>
      </c>
      <c r="F395" t="s">
        <v>22</v>
      </c>
      <c r="G395">
        <v>6.5400000000000004E-5</v>
      </c>
    </row>
    <row r="396" spans="1:9" x14ac:dyDescent="0.25">
      <c r="A396" s="104" t="str">
        <f t="shared" si="6"/>
        <v>Malawi2015.5UrbanPub_MedInjectable</v>
      </c>
      <c r="B396" t="s">
        <v>142</v>
      </c>
      <c r="C396">
        <v>2015.5</v>
      </c>
      <c r="D396" t="s">
        <v>20</v>
      </c>
      <c r="E396" t="s">
        <v>52</v>
      </c>
      <c r="F396" t="s">
        <v>22</v>
      </c>
      <c r="G396">
        <v>0.208123</v>
      </c>
      <c r="H396">
        <v>0.1149483</v>
      </c>
      <c r="I396">
        <v>5.1374599999999999E-2</v>
      </c>
    </row>
    <row r="397" spans="1:9" x14ac:dyDescent="0.25">
      <c r="A397" s="104" t="str">
        <f t="shared" si="6"/>
        <v>Malawi2015.5UrbanPub_OutreachInjectable</v>
      </c>
      <c r="B397" t="s">
        <v>142</v>
      </c>
      <c r="C397">
        <v>2015.5</v>
      </c>
      <c r="D397" t="s">
        <v>20</v>
      </c>
      <c r="E397" t="s">
        <v>54</v>
      </c>
      <c r="F397" t="s">
        <v>22</v>
      </c>
      <c r="G397">
        <v>1.31463E-2</v>
      </c>
      <c r="H397">
        <v>8.4446E-3</v>
      </c>
      <c r="I397">
        <v>6.3060000000000004E-4</v>
      </c>
    </row>
    <row r="398" spans="1:9" x14ac:dyDescent="0.25">
      <c r="A398" s="104" t="str">
        <f t="shared" si="6"/>
        <v>Malawi2015.5UrbanNGOInjectable</v>
      </c>
      <c r="B398" t="s">
        <v>142</v>
      </c>
      <c r="C398">
        <v>2015.5</v>
      </c>
      <c r="D398" t="s">
        <v>20</v>
      </c>
      <c r="E398" t="s">
        <v>170</v>
      </c>
      <c r="F398" t="s">
        <v>22</v>
      </c>
      <c r="G398">
        <v>8.3973999999999993E-3</v>
      </c>
      <c r="H398">
        <v>1.60789E-2</v>
      </c>
      <c r="I398">
        <v>1.0474199999999999E-2</v>
      </c>
    </row>
    <row r="399" spans="1:9" x14ac:dyDescent="0.25">
      <c r="A399" s="104" t="str">
        <f t="shared" si="6"/>
        <v>Malawi2015.5UrbanCommercialInjectable</v>
      </c>
      <c r="B399" t="s">
        <v>142</v>
      </c>
      <c r="C399">
        <v>2015.5</v>
      </c>
      <c r="D399" t="s">
        <v>20</v>
      </c>
      <c r="E399" t="s">
        <v>59</v>
      </c>
      <c r="F399" t="s">
        <v>22</v>
      </c>
      <c r="G399">
        <v>3.6481399999999997E-2</v>
      </c>
      <c r="H399">
        <v>4.9699199999999999E-2</v>
      </c>
      <c r="I399">
        <v>2.8177000000000001E-2</v>
      </c>
    </row>
    <row r="400" spans="1:9" x14ac:dyDescent="0.25">
      <c r="A400" s="104" t="str">
        <f t="shared" si="6"/>
        <v>Malawi2015.5UrbanOtherInjectable</v>
      </c>
      <c r="B400" t="s">
        <v>142</v>
      </c>
      <c r="C400">
        <v>2015.5</v>
      </c>
      <c r="D400" t="s">
        <v>20</v>
      </c>
      <c r="E400" t="s">
        <v>116</v>
      </c>
      <c r="F400" t="s">
        <v>22</v>
      </c>
      <c r="G400">
        <v>1.3300000000000001E-4</v>
      </c>
      <c r="H400">
        <v>1.896E-4</v>
      </c>
    </row>
    <row r="401" spans="1:9" x14ac:dyDescent="0.25">
      <c r="A401" s="104" t="str">
        <f t="shared" si="6"/>
        <v>Malawi2015.5RuralPub_MedInjectable</v>
      </c>
      <c r="B401" t="s">
        <v>142</v>
      </c>
      <c r="C401">
        <v>2015.5</v>
      </c>
      <c r="D401" t="s">
        <v>21</v>
      </c>
      <c r="E401" t="s">
        <v>52</v>
      </c>
      <c r="F401" t="s">
        <v>22</v>
      </c>
      <c r="G401">
        <v>0.16236100000000001</v>
      </c>
      <c r="H401">
        <v>0.12508720000000001</v>
      </c>
      <c r="I401">
        <v>6.5976400000000004E-2</v>
      </c>
    </row>
    <row r="402" spans="1:9" x14ac:dyDescent="0.25">
      <c r="A402" s="104" t="str">
        <f t="shared" si="6"/>
        <v>Malawi2015.5RuralPub_OutreachInjectable</v>
      </c>
      <c r="B402" t="s">
        <v>142</v>
      </c>
      <c r="C402">
        <v>2015.5</v>
      </c>
      <c r="D402" t="s">
        <v>21</v>
      </c>
      <c r="E402" t="s">
        <v>54</v>
      </c>
      <c r="F402" t="s">
        <v>22</v>
      </c>
      <c r="G402">
        <v>4.6494000000000001E-2</v>
      </c>
      <c r="H402">
        <v>3.0593499999999999E-2</v>
      </c>
      <c r="I402">
        <v>1.12862E-2</v>
      </c>
    </row>
    <row r="403" spans="1:9" x14ac:dyDescent="0.25">
      <c r="A403" s="104" t="str">
        <f t="shared" si="6"/>
        <v>Malawi2015.5RuralNGOInjectable</v>
      </c>
      <c r="B403" t="s">
        <v>142</v>
      </c>
      <c r="C403">
        <v>2015.5</v>
      </c>
      <c r="D403" t="s">
        <v>21</v>
      </c>
      <c r="E403" t="s">
        <v>170</v>
      </c>
      <c r="F403" t="s">
        <v>22</v>
      </c>
      <c r="G403">
        <v>1.5138499999999999E-2</v>
      </c>
      <c r="H403">
        <v>1.9858899999999999E-2</v>
      </c>
      <c r="I403">
        <v>1.9822800000000002E-2</v>
      </c>
    </row>
    <row r="404" spans="1:9" x14ac:dyDescent="0.25">
      <c r="A404" s="104" t="str">
        <f t="shared" si="6"/>
        <v>Malawi2015.5RuralCommercialInjectable</v>
      </c>
      <c r="B404" t="s">
        <v>142</v>
      </c>
      <c r="C404">
        <v>2015.5</v>
      </c>
      <c r="D404" t="s">
        <v>21</v>
      </c>
      <c r="E404" t="s">
        <v>59</v>
      </c>
      <c r="F404" t="s">
        <v>22</v>
      </c>
      <c r="G404">
        <v>8.9052000000000003E-3</v>
      </c>
      <c r="H404">
        <v>1.8800600000000001E-2</v>
      </c>
      <c r="I404">
        <v>5.3093999999999997E-3</v>
      </c>
    </row>
    <row r="405" spans="1:9" x14ac:dyDescent="0.25">
      <c r="A405" s="104" t="str">
        <f t="shared" si="6"/>
        <v>Malawi2015.5RuralNonTradInjectable</v>
      </c>
      <c r="B405" t="s">
        <v>142</v>
      </c>
      <c r="C405">
        <v>2015.5</v>
      </c>
      <c r="D405" t="s">
        <v>21</v>
      </c>
      <c r="E405" t="s">
        <v>171</v>
      </c>
      <c r="F405" t="s">
        <v>22</v>
      </c>
      <c r="G405">
        <v>1.7330000000000001E-4</v>
      </c>
    </row>
    <row r="406" spans="1:9" x14ac:dyDescent="0.25">
      <c r="A406" s="104" t="str">
        <f t="shared" si="6"/>
        <v>Malawi2015.5RuralOtherInjectable</v>
      </c>
      <c r="B406" t="s">
        <v>142</v>
      </c>
      <c r="C406">
        <v>2015.5</v>
      </c>
      <c r="D406" t="s">
        <v>21</v>
      </c>
      <c r="E406" t="s">
        <v>116</v>
      </c>
      <c r="F406" t="s">
        <v>22</v>
      </c>
      <c r="G406">
        <v>1.0126E-3</v>
      </c>
      <c r="H406">
        <v>1.8565000000000001E-3</v>
      </c>
    </row>
    <row r="407" spans="1:9" x14ac:dyDescent="0.25">
      <c r="A407" s="104" t="str">
        <f t="shared" si="6"/>
        <v>Malawi2015.5RuralInjectable</v>
      </c>
      <c r="B407" t="s">
        <v>142</v>
      </c>
      <c r="C407">
        <v>2015.5</v>
      </c>
      <c r="D407" t="s">
        <v>21</v>
      </c>
      <c r="F407" t="s">
        <v>22</v>
      </c>
      <c r="G407">
        <v>7.1600000000000006E-5</v>
      </c>
    </row>
    <row r="408" spans="1:9" x14ac:dyDescent="0.25">
      <c r="A408" s="104" t="str">
        <f t="shared" si="6"/>
        <v>Malawi2015.5NationalPub_MedCondom</v>
      </c>
      <c r="B408" t="s">
        <v>142</v>
      </c>
      <c r="C408">
        <v>2015.5</v>
      </c>
      <c r="D408" t="s">
        <v>178</v>
      </c>
      <c r="E408" t="s">
        <v>52</v>
      </c>
      <c r="F408" t="s">
        <v>25</v>
      </c>
      <c r="G408">
        <v>1.0267200000000001E-2</v>
      </c>
      <c r="H408">
        <v>1.1628299999999999E-2</v>
      </c>
      <c r="I408">
        <v>1.0705599999999999E-2</v>
      </c>
    </row>
    <row r="409" spans="1:9" x14ac:dyDescent="0.25">
      <c r="A409" s="104" t="str">
        <f t="shared" si="6"/>
        <v>Malawi2015.5NationalPub_OutreachCondom</v>
      </c>
      <c r="B409" t="s">
        <v>142</v>
      </c>
      <c r="C409">
        <v>2015.5</v>
      </c>
      <c r="D409" t="s">
        <v>178</v>
      </c>
      <c r="E409" t="s">
        <v>54</v>
      </c>
      <c r="F409" t="s">
        <v>25</v>
      </c>
      <c r="G409">
        <v>3.4865999999999999E-3</v>
      </c>
      <c r="H409">
        <v>1.1232E-3</v>
      </c>
      <c r="I409">
        <v>6.0820000000000004E-4</v>
      </c>
    </row>
    <row r="410" spans="1:9" x14ac:dyDescent="0.25">
      <c r="A410" s="104" t="str">
        <f t="shared" si="6"/>
        <v>Malawi2015.5NationalNGOCondom</v>
      </c>
      <c r="B410" t="s">
        <v>142</v>
      </c>
      <c r="C410">
        <v>2015.5</v>
      </c>
      <c r="D410" t="s">
        <v>178</v>
      </c>
      <c r="E410" t="s">
        <v>170</v>
      </c>
      <c r="F410" t="s">
        <v>25</v>
      </c>
      <c r="G410">
        <v>1.2578000000000001E-3</v>
      </c>
      <c r="H410">
        <v>3.2878E-3</v>
      </c>
      <c r="I410">
        <v>5.1029999999999999E-4</v>
      </c>
    </row>
    <row r="411" spans="1:9" x14ac:dyDescent="0.25">
      <c r="A411" s="104" t="str">
        <f t="shared" si="6"/>
        <v>Malawi2015.5NationalCommercialCondom</v>
      </c>
      <c r="B411" t="s">
        <v>142</v>
      </c>
      <c r="C411">
        <v>2015.5</v>
      </c>
      <c r="D411" t="s">
        <v>178</v>
      </c>
      <c r="E411" t="s">
        <v>59</v>
      </c>
      <c r="F411" t="s">
        <v>25</v>
      </c>
      <c r="G411">
        <v>9.6940000000000004E-4</v>
      </c>
      <c r="H411">
        <v>2.4269999999999999E-3</v>
      </c>
      <c r="I411">
        <v>5.3749000000000002E-3</v>
      </c>
    </row>
    <row r="412" spans="1:9" x14ac:dyDescent="0.25">
      <c r="A412" s="104" t="str">
        <f t="shared" si="6"/>
        <v>Malawi2015.5NationalNonTradCondom</v>
      </c>
      <c r="B412" t="s">
        <v>142</v>
      </c>
      <c r="C412">
        <v>2015.5</v>
      </c>
      <c r="D412" t="s">
        <v>178</v>
      </c>
      <c r="E412" t="s">
        <v>171</v>
      </c>
      <c r="F412" t="s">
        <v>25</v>
      </c>
      <c r="G412">
        <v>5.6527000000000001E-3</v>
      </c>
      <c r="H412">
        <v>1.489E-2</v>
      </c>
      <c r="I412">
        <v>3.0546500000000001E-2</v>
      </c>
    </row>
    <row r="413" spans="1:9" x14ac:dyDescent="0.25">
      <c r="A413" s="104" t="str">
        <f t="shared" si="6"/>
        <v>Malawi2015.5NationalOtherCondom</v>
      </c>
      <c r="B413" t="s">
        <v>142</v>
      </c>
      <c r="C413">
        <v>2015.5</v>
      </c>
      <c r="D413" t="s">
        <v>178</v>
      </c>
      <c r="E413" t="s">
        <v>116</v>
      </c>
      <c r="F413" t="s">
        <v>25</v>
      </c>
      <c r="G413">
        <v>1.475E-3</v>
      </c>
      <c r="H413">
        <v>2.5520999999999999E-3</v>
      </c>
      <c r="I413">
        <v>1.6351E-3</v>
      </c>
    </row>
    <row r="414" spans="1:9" x14ac:dyDescent="0.25">
      <c r="A414" s="104" t="str">
        <f t="shared" si="6"/>
        <v>Malawi2015.5UrbanPub_MedCondom</v>
      </c>
      <c r="B414" t="s">
        <v>142</v>
      </c>
      <c r="C414">
        <v>2015.5</v>
      </c>
      <c r="D414" t="s">
        <v>20</v>
      </c>
      <c r="E414" t="s">
        <v>52</v>
      </c>
      <c r="F414" t="s">
        <v>25</v>
      </c>
      <c r="G414">
        <v>1.3260600000000001E-2</v>
      </c>
      <c r="H414">
        <v>1.24292E-2</v>
      </c>
      <c r="I414">
        <v>8.8894000000000004E-3</v>
      </c>
    </row>
    <row r="415" spans="1:9" x14ac:dyDescent="0.25">
      <c r="A415" s="104" t="str">
        <f t="shared" si="6"/>
        <v>Malawi2015.5UrbanPub_OutreachCondom</v>
      </c>
      <c r="B415" t="s">
        <v>142</v>
      </c>
      <c r="C415">
        <v>2015.5</v>
      </c>
      <c r="D415" t="s">
        <v>20</v>
      </c>
      <c r="E415" t="s">
        <v>54</v>
      </c>
      <c r="F415" t="s">
        <v>25</v>
      </c>
      <c r="G415">
        <v>8.3969999999999997E-4</v>
      </c>
      <c r="H415">
        <v>1.3679E-3</v>
      </c>
      <c r="I415">
        <v>6.8219999999999999E-4</v>
      </c>
    </row>
    <row r="416" spans="1:9" x14ac:dyDescent="0.25">
      <c r="A416" s="104" t="str">
        <f t="shared" si="6"/>
        <v>Malawi2015.5UrbanNGOCondom</v>
      </c>
      <c r="B416" t="s">
        <v>142</v>
      </c>
      <c r="C416">
        <v>2015.5</v>
      </c>
      <c r="D416" t="s">
        <v>20</v>
      </c>
      <c r="E416" t="s">
        <v>170</v>
      </c>
      <c r="F416" t="s">
        <v>25</v>
      </c>
      <c r="G416">
        <v>5.9920000000000004E-4</v>
      </c>
      <c r="H416">
        <v>4.8237000000000002E-3</v>
      </c>
      <c r="I416">
        <v>5.7229999999999998E-4</v>
      </c>
    </row>
    <row r="417" spans="1:9" x14ac:dyDescent="0.25">
      <c r="A417" s="104" t="str">
        <f t="shared" si="6"/>
        <v>Malawi2015.5UrbanCommercialCondom</v>
      </c>
      <c r="B417" t="s">
        <v>142</v>
      </c>
      <c r="C417">
        <v>2015.5</v>
      </c>
      <c r="D417" t="s">
        <v>20</v>
      </c>
      <c r="E417" t="s">
        <v>59</v>
      </c>
      <c r="F417" t="s">
        <v>25</v>
      </c>
      <c r="G417">
        <v>1.2650000000000001E-4</v>
      </c>
      <c r="H417">
        <v>3.5802E-3</v>
      </c>
      <c r="I417">
        <v>6.0286000000000003E-3</v>
      </c>
    </row>
    <row r="418" spans="1:9" x14ac:dyDescent="0.25">
      <c r="A418" s="104" t="str">
        <f t="shared" si="6"/>
        <v>Malawi2015.5UrbanNonTradCondom</v>
      </c>
      <c r="B418" t="s">
        <v>142</v>
      </c>
      <c r="C418">
        <v>2015.5</v>
      </c>
      <c r="D418" t="s">
        <v>20</v>
      </c>
      <c r="E418" t="s">
        <v>171</v>
      </c>
      <c r="F418" t="s">
        <v>25</v>
      </c>
      <c r="G418">
        <v>8.8777999999999999E-3</v>
      </c>
      <c r="H418">
        <v>1.5795E-2</v>
      </c>
      <c r="I418">
        <v>3.1923399999999998E-2</v>
      </c>
    </row>
    <row r="419" spans="1:9" x14ac:dyDescent="0.25">
      <c r="A419" s="104" t="str">
        <f t="shared" si="6"/>
        <v>Malawi2015.5UrbanOtherCondom</v>
      </c>
      <c r="B419" t="s">
        <v>142</v>
      </c>
      <c r="C419">
        <v>2015.5</v>
      </c>
      <c r="D419" t="s">
        <v>20</v>
      </c>
      <c r="E419" t="s">
        <v>116</v>
      </c>
      <c r="F419" t="s">
        <v>25</v>
      </c>
      <c r="G419">
        <v>2.789E-4</v>
      </c>
      <c r="H419">
        <v>3.7648E-3</v>
      </c>
      <c r="I419">
        <v>1.8339999999999999E-3</v>
      </c>
    </row>
    <row r="420" spans="1:9" x14ac:dyDescent="0.25">
      <c r="A420" s="104" t="str">
        <f t="shared" si="6"/>
        <v>Malawi2015.5RuralPub_MedCondom</v>
      </c>
      <c r="B420" t="s">
        <v>142</v>
      </c>
      <c r="C420">
        <v>2015.5</v>
      </c>
      <c r="D420" t="s">
        <v>21</v>
      </c>
      <c r="E420" t="s">
        <v>52</v>
      </c>
      <c r="F420" t="s">
        <v>25</v>
      </c>
      <c r="G420">
        <v>9.9825999999999995E-3</v>
      </c>
      <c r="H420">
        <v>9.9425999999999994E-3</v>
      </c>
      <c r="I420">
        <v>2.5637799999999999E-2</v>
      </c>
    </row>
    <row r="421" spans="1:9" x14ac:dyDescent="0.25">
      <c r="A421" s="104" t="str">
        <f t="shared" si="6"/>
        <v>Malawi2015.5RuralPub_OutreachCondom</v>
      </c>
      <c r="B421" t="s">
        <v>142</v>
      </c>
      <c r="C421">
        <v>2015.5</v>
      </c>
      <c r="D421" t="s">
        <v>21</v>
      </c>
      <c r="E421" t="s">
        <v>54</v>
      </c>
      <c r="F421" t="s">
        <v>25</v>
      </c>
      <c r="G421">
        <v>3.7382000000000001E-3</v>
      </c>
      <c r="H421">
        <v>6.0820000000000004E-4</v>
      </c>
    </row>
    <row r="422" spans="1:9" x14ac:dyDescent="0.25">
      <c r="A422" s="104" t="str">
        <f t="shared" si="6"/>
        <v>Malawi2015.5RuralNGOCondom</v>
      </c>
      <c r="B422" t="s">
        <v>142</v>
      </c>
      <c r="C422">
        <v>2015.5</v>
      </c>
      <c r="D422" t="s">
        <v>21</v>
      </c>
      <c r="E422" t="s">
        <v>170</v>
      </c>
      <c r="F422" t="s">
        <v>25</v>
      </c>
      <c r="G422">
        <v>1.3204E-3</v>
      </c>
      <c r="H422">
        <v>5.5399999999999998E-5</v>
      </c>
    </row>
    <row r="423" spans="1:9" x14ac:dyDescent="0.25">
      <c r="A423" s="104" t="str">
        <f t="shared" si="6"/>
        <v>Malawi2015.5RuralCommercialCondom</v>
      </c>
      <c r="B423" t="s">
        <v>142</v>
      </c>
      <c r="C423">
        <v>2015.5</v>
      </c>
      <c r="D423" t="s">
        <v>21</v>
      </c>
      <c r="E423" t="s">
        <v>59</v>
      </c>
      <c r="F423" t="s">
        <v>25</v>
      </c>
      <c r="G423">
        <v>1.0495999999999999E-3</v>
      </c>
    </row>
    <row r="424" spans="1:9" x14ac:dyDescent="0.25">
      <c r="A424" s="104" t="str">
        <f t="shared" si="6"/>
        <v>Malawi2015.5RuralNonTradCondom</v>
      </c>
      <c r="B424" t="s">
        <v>142</v>
      </c>
      <c r="C424">
        <v>2015.5</v>
      </c>
      <c r="D424" t="s">
        <v>21</v>
      </c>
      <c r="E424" t="s">
        <v>171</v>
      </c>
      <c r="F424" t="s">
        <v>25</v>
      </c>
      <c r="G424">
        <v>5.3460000000000001E-3</v>
      </c>
      <c r="H424">
        <v>1.29853E-2</v>
      </c>
      <c r="I424">
        <v>1.9226099999999999E-2</v>
      </c>
    </row>
    <row r="425" spans="1:9" x14ac:dyDescent="0.25">
      <c r="A425" s="104" t="str">
        <f t="shared" si="6"/>
        <v>Malawi2015.5RuralOtherCondom</v>
      </c>
      <c r="B425" t="s">
        <v>142</v>
      </c>
      <c r="C425">
        <v>2015.5</v>
      </c>
      <c r="D425" t="s">
        <v>21</v>
      </c>
      <c r="E425" t="s">
        <v>116</v>
      </c>
      <c r="F425" t="s">
        <v>25</v>
      </c>
      <c r="G425">
        <v>1.5887E-3</v>
      </c>
    </row>
    <row r="426" spans="1:9" x14ac:dyDescent="0.25">
      <c r="A426" s="104" t="str">
        <f t="shared" si="6"/>
        <v>Malawi2015.5NationalPub_MedNorplant</v>
      </c>
      <c r="B426" t="s">
        <v>142</v>
      </c>
      <c r="C426">
        <v>2015.5</v>
      </c>
      <c r="D426" t="s">
        <v>178</v>
      </c>
      <c r="E426" t="s">
        <v>52</v>
      </c>
      <c r="F426" t="s">
        <v>263</v>
      </c>
      <c r="G426">
        <v>6.8633299999999994E-2</v>
      </c>
      <c r="H426">
        <v>4.8045600000000001E-2</v>
      </c>
      <c r="I426">
        <v>2.99542E-2</v>
      </c>
    </row>
    <row r="427" spans="1:9" x14ac:dyDescent="0.25">
      <c r="A427" s="104" t="str">
        <f t="shared" si="6"/>
        <v>Malawi2015.5NationalPub_OutreachNorplant</v>
      </c>
      <c r="B427" t="s">
        <v>142</v>
      </c>
      <c r="C427">
        <v>2015.5</v>
      </c>
      <c r="D427" t="s">
        <v>178</v>
      </c>
      <c r="E427" t="s">
        <v>54</v>
      </c>
      <c r="F427" t="s">
        <v>263</v>
      </c>
      <c r="G427">
        <v>8.8541000000000002E-3</v>
      </c>
      <c r="H427">
        <v>1.8798E-3</v>
      </c>
      <c r="I427">
        <v>2.4202E-3</v>
      </c>
    </row>
    <row r="428" spans="1:9" x14ac:dyDescent="0.25">
      <c r="A428" s="104" t="str">
        <f t="shared" si="6"/>
        <v>Malawi2015.5NationalNGONorplant</v>
      </c>
      <c r="B428" t="s">
        <v>142</v>
      </c>
      <c r="C428">
        <v>2015.5</v>
      </c>
      <c r="D428" t="s">
        <v>178</v>
      </c>
      <c r="E428" t="s">
        <v>170</v>
      </c>
      <c r="F428" t="s">
        <v>263</v>
      </c>
      <c r="G428">
        <v>8.9630000000000005E-3</v>
      </c>
      <c r="H428">
        <v>2.20342E-2</v>
      </c>
      <c r="I428">
        <v>3.1343299999999998E-2</v>
      </c>
    </row>
    <row r="429" spans="1:9" x14ac:dyDescent="0.25">
      <c r="A429" s="104" t="str">
        <f t="shared" si="6"/>
        <v>Malawi2015.5NationalCommercialNorplant</v>
      </c>
      <c r="B429" t="s">
        <v>142</v>
      </c>
      <c r="C429">
        <v>2015.5</v>
      </c>
      <c r="D429" t="s">
        <v>178</v>
      </c>
      <c r="E429" t="s">
        <v>59</v>
      </c>
      <c r="F429" t="s">
        <v>263</v>
      </c>
      <c r="G429">
        <v>4.5924E-3</v>
      </c>
      <c r="H429">
        <v>9.1576000000000001E-3</v>
      </c>
      <c r="I429">
        <v>1.4671699999999999E-2</v>
      </c>
    </row>
    <row r="430" spans="1:9" x14ac:dyDescent="0.25">
      <c r="A430" s="104" t="str">
        <f t="shared" si="6"/>
        <v>Malawi2015.5NationalOtherNorplant</v>
      </c>
      <c r="B430" t="s">
        <v>142</v>
      </c>
      <c r="C430">
        <v>2015.5</v>
      </c>
      <c r="D430" t="s">
        <v>178</v>
      </c>
      <c r="E430" t="s">
        <v>116</v>
      </c>
      <c r="F430" t="s">
        <v>263</v>
      </c>
      <c r="G430">
        <v>1.283E-4</v>
      </c>
    </row>
    <row r="431" spans="1:9" x14ac:dyDescent="0.25">
      <c r="A431" s="104" t="str">
        <f t="shared" si="6"/>
        <v>Malawi2015.5UrbanPub_MedNorplant</v>
      </c>
      <c r="B431" t="s">
        <v>142</v>
      </c>
      <c r="C431">
        <v>2015.5</v>
      </c>
      <c r="D431" t="s">
        <v>20</v>
      </c>
      <c r="E431" t="s">
        <v>52</v>
      </c>
      <c r="F431" t="s">
        <v>263</v>
      </c>
      <c r="G431">
        <v>6.6847000000000004E-2</v>
      </c>
      <c r="H431">
        <v>5.0001200000000003E-2</v>
      </c>
      <c r="I431">
        <v>2.7834899999999999E-2</v>
      </c>
    </row>
    <row r="432" spans="1:9" x14ac:dyDescent="0.25">
      <c r="A432" s="104" t="str">
        <f t="shared" si="6"/>
        <v>Malawi2015.5UrbanPub_OutreachNorplant</v>
      </c>
      <c r="B432" t="s">
        <v>142</v>
      </c>
      <c r="C432">
        <v>2015.5</v>
      </c>
      <c r="D432" t="s">
        <v>20</v>
      </c>
      <c r="E432" t="s">
        <v>54</v>
      </c>
      <c r="F432" t="s">
        <v>263</v>
      </c>
      <c r="G432">
        <v>8.0887000000000008E-3</v>
      </c>
      <c r="H432">
        <v>1.7809E-3</v>
      </c>
      <c r="I432">
        <v>2.7146000000000002E-3</v>
      </c>
    </row>
    <row r="433" spans="1:9" x14ac:dyDescent="0.25">
      <c r="A433" s="104" t="str">
        <f t="shared" si="6"/>
        <v>Malawi2015.5UrbanNGONorplant</v>
      </c>
      <c r="B433" t="s">
        <v>142</v>
      </c>
      <c r="C433">
        <v>2015.5</v>
      </c>
      <c r="D433" t="s">
        <v>20</v>
      </c>
      <c r="E433" t="s">
        <v>170</v>
      </c>
      <c r="F433" t="s">
        <v>263</v>
      </c>
      <c r="G433">
        <v>1.19702E-2</v>
      </c>
      <c r="H433">
        <v>2.6196400000000002E-2</v>
      </c>
      <c r="I433">
        <v>2.9352900000000001E-2</v>
      </c>
    </row>
    <row r="434" spans="1:9" x14ac:dyDescent="0.25">
      <c r="A434" s="104" t="str">
        <f t="shared" si="6"/>
        <v>Malawi2015.5UrbanCommercialNorplant</v>
      </c>
      <c r="B434" t="s">
        <v>142</v>
      </c>
      <c r="C434">
        <v>2015.5</v>
      </c>
      <c r="D434" t="s">
        <v>20</v>
      </c>
      <c r="E434" t="s">
        <v>59</v>
      </c>
      <c r="F434" t="s">
        <v>263</v>
      </c>
      <c r="G434">
        <v>1.14214E-2</v>
      </c>
      <c r="H434">
        <v>8.3277999999999998E-3</v>
      </c>
      <c r="I434">
        <v>1.64563E-2</v>
      </c>
    </row>
    <row r="435" spans="1:9" x14ac:dyDescent="0.25">
      <c r="A435" s="104" t="str">
        <f t="shared" si="6"/>
        <v>Malawi2015.5UrbanOtherNorplant</v>
      </c>
      <c r="B435" t="s">
        <v>142</v>
      </c>
      <c r="C435">
        <v>2015.5</v>
      </c>
      <c r="D435" t="s">
        <v>20</v>
      </c>
      <c r="E435" t="s">
        <v>116</v>
      </c>
      <c r="F435" t="s">
        <v>263</v>
      </c>
      <c r="G435">
        <v>2.5290000000000002E-4</v>
      </c>
    </row>
    <row r="436" spans="1:9" x14ac:dyDescent="0.25">
      <c r="A436" s="104" t="str">
        <f t="shared" si="6"/>
        <v>Malawi2015.5RuralPub_MedNorplant</v>
      </c>
      <c r="B436" t="s">
        <v>142</v>
      </c>
      <c r="C436">
        <v>2015.5</v>
      </c>
      <c r="D436" t="s">
        <v>21</v>
      </c>
      <c r="E436" t="s">
        <v>52</v>
      </c>
      <c r="F436" t="s">
        <v>263</v>
      </c>
      <c r="G436">
        <v>6.8803199999999995E-2</v>
      </c>
      <c r="H436">
        <v>4.3929999999999997E-2</v>
      </c>
      <c r="I436">
        <v>4.7377799999999998E-2</v>
      </c>
    </row>
    <row r="437" spans="1:9" x14ac:dyDescent="0.25">
      <c r="A437" s="104" t="str">
        <f t="shared" si="6"/>
        <v>Malawi2015.5RuralPub_OutreachNorplant</v>
      </c>
      <c r="B437" t="s">
        <v>142</v>
      </c>
      <c r="C437">
        <v>2015.5</v>
      </c>
      <c r="D437" t="s">
        <v>21</v>
      </c>
      <c r="E437" t="s">
        <v>54</v>
      </c>
      <c r="F437" t="s">
        <v>263</v>
      </c>
      <c r="G437">
        <v>8.9268000000000004E-3</v>
      </c>
      <c r="H437">
        <v>2.0877999999999999E-3</v>
      </c>
    </row>
    <row r="438" spans="1:9" x14ac:dyDescent="0.25">
      <c r="A438" s="104" t="str">
        <f t="shared" si="6"/>
        <v>Malawi2015.5RuralNGONorplant</v>
      </c>
      <c r="B438" t="s">
        <v>142</v>
      </c>
      <c r="C438">
        <v>2015.5</v>
      </c>
      <c r="D438" t="s">
        <v>21</v>
      </c>
      <c r="E438" t="s">
        <v>170</v>
      </c>
      <c r="F438" t="s">
        <v>263</v>
      </c>
      <c r="G438">
        <v>8.6771000000000001E-3</v>
      </c>
      <c r="H438">
        <v>1.3275E-2</v>
      </c>
      <c r="I438">
        <v>4.7707699999999999E-2</v>
      </c>
    </row>
    <row r="439" spans="1:9" x14ac:dyDescent="0.25">
      <c r="A439" s="104" t="str">
        <f t="shared" si="6"/>
        <v>Malawi2015.5RuralCommercialNorplant</v>
      </c>
      <c r="B439" t="s">
        <v>142</v>
      </c>
      <c r="C439">
        <v>2015.5</v>
      </c>
      <c r="D439" t="s">
        <v>21</v>
      </c>
      <c r="E439" t="s">
        <v>59</v>
      </c>
      <c r="F439" t="s">
        <v>263</v>
      </c>
      <c r="G439">
        <v>3.9432E-3</v>
      </c>
      <c r="H439">
        <v>1.09038E-2</v>
      </c>
    </row>
    <row r="440" spans="1:9" x14ac:dyDescent="0.25">
      <c r="A440" s="104" t="str">
        <f t="shared" si="6"/>
        <v>Malawi2015.5RuralOtherNorplant</v>
      </c>
      <c r="B440" t="s">
        <v>142</v>
      </c>
      <c r="C440">
        <v>2015.5</v>
      </c>
      <c r="D440" t="s">
        <v>21</v>
      </c>
      <c r="E440" t="s">
        <v>116</v>
      </c>
      <c r="F440" t="s">
        <v>263</v>
      </c>
      <c r="G440">
        <v>1.164E-4</v>
      </c>
    </row>
    <row r="441" spans="1:9" x14ac:dyDescent="0.25">
      <c r="A441" s="104" t="str">
        <f t="shared" si="6"/>
        <v>Nepal2011NationalPub_MedPill</v>
      </c>
      <c r="B441" t="s">
        <v>144</v>
      </c>
      <c r="C441">
        <v>2011</v>
      </c>
      <c r="D441" t="s">
        <v>178</v>
      </c>
      <c r="E441" t="s">
        <v>52</v>
      </c>
      <c r="F441" t="s">
        <v>12</v>
      </c>
      <c r="G441">
        <v>1.08065E-2</v>
      </c>
      <c r="H441">
        <v>1.2066800000000001E-2</v>
      </c>
      <c r="I441">
        <v>6.0644000000000002E-3</v>
      </c>
    </row>
    <row r="442" spans="1:9" x14ac:dyDescent="0.25">
      <c r="A442" s="104" t="str">
        <f t="shared" si="6"/>
        <v>Nepal2011NationalPub_OutreachPill</v>
      </c>
      <c r="B442" t="s">
        <v>144</v>
      </c>
      <c r="C442">
        <v>2011</v>
      </c>
      <c r="D442" t="s">
        <v>178</v>
      </c>
      <c r="E442" t="s">
        <v>54</v>
      </c>
      <c r="F442" t="s">
        <v>12</v>
      </c>
      <c r="G442">
        <v>7.6785000000000004E-3</v>
      </c>
      <c r="H442">
        <v>5.6419E-3</v>
      </c>
      <c r="I442">
        <v>1.2015999999999999E-3</v>
      </c>
    </row>
    <row r="443" spans="1:9" x14ac:dyDescent="0.25">
      <c r="A443" s="104" t="str">
        <f t="shared" si="6"/>
        <v>Nepal2011NationalNGOPill</v>
      </c>
      <c r="B443" t="s">
        <v>144</v>
      </c>
      <c r="C443">
        <v>2011</v>
      </c>
      <c r="D443" t="s">
        <v>178</v>
      </c>
      <c r="E443" t="s">
        <v>170</v>
      </c>
      <c r="F443" t="s">
        <v>12</v>
      </c>
      <c r="G443">
        <v>1.3630000000000001E-3</v>
      </c>
      <c r="H443">
        <v>7.8129999999999996E-4</v>
      </c>
      <c r="I443">
        <v>1.0116999999999999E-3</v>
      </c>
    </row>
    <row r="444" spans="1:9" x14ac:dyDescent="0.25">
      <c r="A444" s="104" t="str">
        <f t="shared" si="6"/>
        <v>Nepal2011NationalCommercialPill</v>
      </c>
      <c r="B444" t="s">
        <v>144</v>
      </c>
      <c r="C444">
        <v>2011</v>
      </c>
      <c r="D444" t="s">
        <v>178</v>
      </c>
      <c r="E444" t="s">
        <v>59</v>
      </c>
      <c r="F444" t="s">
        <v>12</v>
      </c>
      <c r="G444">
        <v>4.0140999999999996E-3</v>
      </c>
      <c r="H444">
        <v>1.26961E-2</v>
      </c>
      <c r="I444">
        <v>3.7227999999999997E-2</v>
      </c>
    </row>
    <row r="445" spans="1:9" x14ac:dyDescent="0.25">
      <c r="A445" s="104" t="str">
        <f t="shared" si="6"/>
        <v>Nepal2011NationalNonTradPill</v>
      </c>
      <c r="B445" t="s">
        <v>144</v>
      </c>
      <c r="C445">
        <v>2011</v>
      </c>
      <c r="D445" t="s">
        <v>178</v>
      </c>
      <c r="E445" t="s">
        <v>171</v>
      </c>
      <c r="F445" t="s">
        <v>12</v>
      </c>
      <c r="I445">
        <v>6.5799999999999995E-4</v>
      </c>
    </row>
    <row r="446" spans="1:9" x14ac:dyDescent="0.25">
      <c r="A446" s="104" t="str">
        <f t="shared" si="6"/>
        <v>Nepal2011NationalOtherPill</v>
      </c>
      <c r="B446" t="s">
        <v>144</v>
      </c>
      <c r="C446">
        <v>2011</v>
      </c>
      <c r="D446" t="s">
        <v>178</v>
      </c>
      <c r="E446" t="s">
        <v>116</v>
      </c>
      <c r="F446" t="s">
        <v>12</v>
      </c>
      <c r="G446">
        <v>5.9610000000000002E-4</v>
      </c>
      <c r="H446">
        <v>1.6275E-3</v>
      </c>
      <c r="I446">
        <v>4.7320000000000001E-4</v>
      </c>
    </row>
    <row r="447" spans="1:9" x14ac:dyDescent="0.25">
      <c r="A447" s="104" t="str">
        <f t="shared" si="6"/>
        <v>Nepal2011UrbanPub_MedPill</v>
      </c>
      <c r="B447" t="s">
        <v>144</v>
      </c>
      <c r="C447">
        <v>2011</v>
      </c>
      <c r="D447" t="s">
        <v>20</v>
      </c>
      <c r="E447" t="s">
        <v>52</v>
      </c>
      <c r="F447" t="s">
        <v>12</v>
      </c>
      <c r="G447">
        <v>6.9331000000000002E-3</v>
      </c>
      <c r="H447">
        <v>1.11392E-2</v>
      </c>
      <c r="I447">
        <v>5.9877999999999997E-3</v>
      </c>
    </row>
    <row r="448" spans="1:9" x14ac:dyDescent="0.25">
      <c r="A448" s="104" t="str">
        <f t="shared" si="6"/>
        <v>Nepal2011UrbanPub_OutreachPill</v>
      </c>
      <c r="B448" t="s">
        <v>144</v>
      </c>
      <c r="C448">
        <v>2011</v>
      </c>
      <c r="D448" t="s">
        <v>20</v>
      </c>
      <c r="E448" t="s">
        <v>54</v>
      </c>
      <c r="F448" t="s">
        <v>12</v>
      </c>
      <c r="G448">
        <v>4.8504999999999998E-3</v>
      </c>
      <c r="H448">
        <v>1.7003999999999999E-3</v>
      </c>
      <c r="I448">
        <v>1.9984E-3</v>
      </c>
    </row>
    <row r="449" spans="1:9" x14ac:dyDescent="0.25">
      <c r="A449" s="104" t="str">
        <f t="shared" si="6"/>
        <v>Nepal2011UrbanNGOPill</v>
      </c>
      <c r="B449" t="s">
        <v>144</v>
      </c>
      <c r="C449">
        <v>2011</v>
      </c>
      <c r="D449" t="s">
        <v>20</v>
      </c>
      <c r="E449" t="s">
        <v>170</v>
      </c>
      <c r="F449" t="s">
        <v>12</v>
      </c>
      <c r="G449">
        <v>1.7271000000000001E-3</v>
      </c>
      <c r="H449">
        <v>2.3092E-3</v>
      </c>
      <c r="I449">
        <v>1.5181999999999999E-3</v>
      </c>
    </row>
    <row r="450" spans="1:9" x14ac:dyDescent="0.25">
      <c r="A450" s="104" t="str">
        <f t="shared" si="6"/>
        <v>Nepal2011UrbanCommercialPill</v>
      </c>
      <c r="B450" t="s">
        <v>144</v>
      </c>
      <c r="C450">
        <v>2011</v>
      </c>
      <c r="D450" t="s">
        <v>20</v>
      </c>
      <c r="E450" t="s">
        <v>59</v>
      </c>
      <c r="F450" t="s">
        <v>12</v>
      </c>
      <c r="G450">
        <v>2.9191499999999999E-2</v>
      </c>
      <c r="H450">
        <v>2.0238599999999999E-2</v>
      </c>
      <c r="I450">
        <v>3.6758399999999997E-2</v>
      </c>
    </row>
    <row r="451" spans="1:9" x14ac:dyDescent="0.25">
      <c r="A451" s="104" t="str">
        <f t="shared" ref="A451:A514" si="7">B451&amp;C451&amp;D451&amp;E451&amp;F451</f>
        <v>Nepal2011UrbanOtherPill</v>
      </c>
      <c r="B451" t="s">
        <v>144</v>
      </c>
      <c r="C451">
        <v>2011</v>
      </c>
      <c r="D451" t="s">
        <v>20</v>
      </c>
      <c r="E451" t="s">
        <v>116</v>
      </c>
      <c r="F451" t="s">
        <v>12</v>
      </c>
      <c r="I451">
        <v>1.0855000000000001E-3</v>
      </c>
    </row>
    <row r="452" spans="1:9" x14ac:dyDescent="0.25">
      <c r="A452" s="104" t="str">
        <f t="shared" si="7"/>
        <v>Nepal2011RuralPub_MedPill</v>
      </c>
      <c r="B452" t="s">
        <v>144</v>
      </c>
      <c r="C452">
        <v>2011</v>
      </c>
      <c r="D452" t="s">
        <v>21</v>
      </c>
      <c r="E452" t="s">
        <v>52</v>
      </c>
      <c r="F452" t="s">
        <v>12</v>
      </c>
      <c r="G452">
        <v>1.09085E-2</v>
      </c>
      <c r="H452">
        <v>1.22185E-2</v>
      </c>
      <c r="I452">
        <v>6.1234999999999996E-3</v>
      </c>
    </row>
    <row r="453" spans="1:9" x14ac:dyDescent="0.25">
      <c r="A453" s="104" t="str">
        <f t="shared" si="7"/>
        <v>Nepal2011RuralPub_OutreachPill</v>
      </c>
      <c r="B453" t="s">
        <v>144</v>
      </c>
      <c r="C453">
        <v>2011</v>
      </c>
      <c r="D453" t="s">
        <v>21</v>
      </c>
      <c r="E453" t="s">
        <v>54</v>
      </c>
      <c r="F453" t="s">
        <v>12</v>
      </c>
      <c r="G453">
        <v>7.7529000000000001E-3</v>
      </c>
      <c r="H453">
        <v>6.2868000000000004E-3</v>
      </c>
      <c r="I453">
        <v>5.8569999999999998E-4</v>
      </c>
    </row>
    <row r="454" spans="1:9" x14ac:dyDescent="0.25">
      <c r="A454" s="104" t="str">
        <f t="shared" si="7"/>
        <v>Nepal2011RuralNGOPill</v>
      </c>
      <c r="B454" t="s">
        <v>144</v>
      </c>
      <c r="C454">
        <v>2011</v>
      </c>
      <c r="D454" t="s">
        <v>21</v>
      </c>
      <c r="E454" t="s">
        <v>170</v>
      </c>
      <c r="F454" t="s">
        <v>12</v>
      </c>
      <c r="G454">
        <v>1.3534E-3</v>
      </c>
      <c r="H454">
        <v>5.3129999999999996E-4</v>
      </c>
      <c r="I454">
        <v>6.202E-4</v>
      </c>
    </row>
    <row r="455" spans="1:9" x14ac:dyDescent="0.25">
      <c r="A455" s="104" t="str">
        <f t="shared" si="7"/>
        <v>Nepal2011RuralCommercialPill</v>
      </c>
      <c r="B455" t="s">
        <v>144</v>
      </c>
      <c r="C455">
        <v>2011</v>
      </c>
      <c r="D455" t="s">
        <v>21</v>
      </c>
      <c r="E455" t="s">
        <v>59</v>
      </c>
      <c r="F455" t="s">
        <v>12</v>
      </c>
      <c r="G455">
        <v>3.3517E-3</v>
      </c>
      <c r="H455">
        <v>1.1462099999999999E-2</v>
      </c>
      <c r="I455">
        <v>3.7591100000000002E-2</v>
      </c>
    </row>
    <row r="456" spans="1:9" x14ac:dyDescent="0.25">
      <c r="A456" s="104" t="str">
        <f t="shared" si="7"/>
        <v>Nepal2011RuralNonTradPill</v>
      </c>
      <c r="B456" t="s">
        <v>144</v>
      </c>
      <c r="C456">
        <v>2011</v>
      </c>
      <c r="D456" t="s">
        <v>21</v>
      </c>
      <c r="E456" t="s">
        <v>171</v>
      </c>
      <c r="F456" t="s">
        <v>12</v>
      </c>
      <c r="I456">
        <v>1.1666000000000001E-3</v>
      </c>
    </row>
    <row r="457" spans="1:9" x14ac:dyDescent="0.25">
      <c r="A457" s="104" t="str">
        <f t="shared" si="7"/>
        <v>Nepal2011RuralOtherPill</v>
      </c>
      <c r="B457" t="s">
        <v>144</v>
      </c>
      <c r="C457">
        <v>2011</v>
      </c>
      <c r="D457" t="s">
        <v>21</v>
      </c>
      <c r="E457" t="s">
        <v>116</v>
      </c>
      <c r="F457" t="s">
        <v>12</v>
      </c>
      <c r="G457">
        <v>6.1169999999999996E-4</v>
      </c>
      <c r="H457">
        <v>1.8936999999999999E-3</v>
      </c>
    </row>
    <row r="458" spans="1:9" x14ac:dyDescent="0.25">
      <c r="A458" s="104" t="str">
        <f t="shared" si="7"/>
        <v>Nepal2011NationalPub_MedIUD</v>
      </c>
      <c r="B458" t="s">
        <v>144</v>
      </c>
      <c r="C458">
        <v>2011</v>
      </c>
      <c r="D458" t="s">
        <v>178</v>
      </c>
      <c r="E458" t="s">
        <v>52</v>
      </c>
      <c r="F458" t="s">
        <v>16</v>
      </c>
      <c r="G458">
        <v>5.8439E-3</v>
      </c>
      <c r="H458">
        <v>3.1361000000000002E-3</v>
      </c>
      <c r="I458">
        <v>4.8485999999999998E-3</v>
      </c>
    </row>
    <row r="459" spans="1:9" x14ac:dyDescent="0.25">
      <c r="A459" s="104" t="str">
        <f t="shared" si="7"/>
        <v>Nepal2011NationalPub_OutreachIUD</v>
      </c>
      <c r="B459" t="s">
        <v>144</v>
      </c>
      <c r="C459">
        <v>2011</v>
      </c>
      <c r="D459" t="s">
        <v>178</v>
      </c>
      <c r="E459" t="s">
        <v>54</v>
      </c>
      <c r="F459" t="s">
        <v>16</v>
      </c>
      <c r="G459">
        <v>1.7891999999999999E-3</v>
      </c>
      <c r="H459">
        <v>3.3050000000000001E-4</v>
      </c>
    </row>
    <row r="460" spans="1:9" x14ac:dyDescent="0.25">
      <c r="A460" s="104" t="str">
        <f t="shared" si="7"/>
        <v>Nepal2011NationalNGOIUD</v>
      </c>
      <c r="B460" t="s">
        <v>144</v>
      </c>
      <c r="C460">
        <v>2011</v>
      </c>
      <c r="D460" t="s">
        <v>178</v>
      </c>
      <c r="E460" t="s">
        <v>170</v>
      </c>
      <c r="F460" t="s">
        <v>16</v>
      </c>
      <c r="G460">
        <v>6.0170000000000004E-4</v>
      </c>
      <c r="H460">
        <v>1.5083E-3</v>
      </c>
      <c r="I460">
        <v>2.8904E-3</v>
      </c>
    </row>
    <row r="461" spans="1:9" x14ac:dyDescent="0.25">
      <c r="A461" s="104" t="str">
        <f t="shared" si="7"/>
        <v>Nepal2011NationalCommercialIUD</v>
      </c>
      <c r="B461" t="s">
        <v>144</v>
      </c>
      <c r="C461">
        <v>2011</v>
      </c>
      <c r="D461" t="s">
        <v>178</v>
      </c>
      <c r="E461" t="s">
        <v>59</v>
      </c>
      <c r="F461" t="s">
        <v>16</v>
      </c>
      <c r="G461">
        <v>7.0879999999999999E-4</v>
      </c>
      <c r="H461">
        <v>8.0840000000000003E-4</v>
      </c>
      <c r="I461">
        <v>7.961E-4</v>
      </c>
    </row>
    <row r="462" spans="1:9" x14ac:dyDescent="0.25">
      <c r="A462" s="104" t="str">
        <f t="shared" si="7"/>
        <v>Nepal2011NationalIUD</v>
      </c>
      <c r="B462" t="s">
        <v>144</v>
      </c>
      <c r="C462">
        <v>2011</v>
      </c>
      <c r="D462" t="s">
        <v>178</v>
      </c>
      <c r="F462" t="s">
        <v>16</v>
      </c>
      <c r="G462">
        <v>9.4370000000000001E-4</v>
      </c>
      <c r="H462">
        <v>9.9949999999999995E-4</v>
      </c>
      <c r="I462">
        <v>6.4806000000000004E-3</v>
      </c>
    </row>
    <row r="463" spans="1:9" x14ac:dyDescent="0.25">
      <c r="A463" s="104" t="str">
        <f t="shared" si="7"/>
        <v>Nepal2011UrbanPub_MedIUD</v>
      </c>
      <c r="B463" t="s">
        <v>144</v>
      </c>
      <c r="C463">
        <v>2011</v>
      </c>
      <c r="D463" t="s">
        <v>20</v>
      </c>
      <c r="E463" t="s">
        <v>52</v>
      </c>
      <c r="F463" t="s">
        <v>16</v>
      </c>
      <c r="G463">
        <v>3.4542000000000002E-3</v>
      </c>
      <c r="H463">
        <v>5.9838000000000001E-3</v>
      </c>
      <c r="I463">
        <v>4.0956999999999999E-3</v>
      </c>
    </row>
    <row r="464" spans="1:9" x14ac:dyDescent="0.25">
      <c r="A464" s="104" t="str">
        <f t="shared" si="7"/>
        <v>Nepal2011UrbanNGOIUD</v>
      </c>
      <c r="B464" t="s">
        <v>144</v>
      </c>
      <c r="C464">
        <v>2011</v>
      </c>
      <c r="D464" t="s">
        <v>20</v>
      </c>
      <c r="E464" t="s">
        <v>170</v>
      </c>
      <c r="F464" t="s">
        <v>16</v>
      </c>
      <c r="G464">
        <v>1.6168000000000001E-3</v>
      </c>
      <c r="H464">
        <v>8.5999999999999998E-4</v>
      </c>
      <c r="I464">
        <v>2.0198E-3</v>
      </c>
    </row>
    <row r="465" spans="1:9" x14ac:dyDescent="0.25">
      <c r="A465" s="104" t="str">
        <f t="shared" si="7"/>
        <v>Nepal2011UrbanCommercialIUD</v>
      </c>
      <c r="B465" t="s">
        <v>144</v>
      </c>
      <c r="C465">
        <v>2011</v>
      </c>
      <c r="D465" t="s">
        <v>20</v>
      </c>
      <c r="E465" t="s">
        <v>59</v>
      </c>
      <c r="F465" t="s">
        <v>16</v>
      </c>
      <c r="G465">
        <v>3.6086999999999998E-3</v>
      </c>
      <c r="H465">
        <v>1.882E-3</v>
      </c>
      <c r="I465">
        <v>3.1690000000000001E-4</v>
      </c>
    </row>
    <row r="466" spans="1:9" x14ac:dyDescent="0.25">
      <c r="A466" s="104" t="str">
        <f t="shared" si="7"/>
        <v>Nepal2011UrbanIUD</v>
      </c>
      <c r="B466" t="s">
        <v>144</v>
      </c>
      <c r="C466">
        <v>2011</v>
      </c>
      <c r="D466" t="s">
        <v>20</v>
      </c>
      <c r="F466" t="s">
        <v>16</v>
      </c>
      <c r="G466">
        <v>1.6168000000000001E-3</v>
      </c>
      <c r="H466">
        <v>1.882E-3</v>
      </c>
      <c r="I466">
        <v>8.5968999999999993E-3</v>
      </c>
    </row>
    <row r="467" spans="1:9" x14ac:dyDescent="0.25">
      <c r="A467" s="104" t="str">
        <f t="shared" si="7"/>
        <v>Nepal2011RuralPub_MedIUD</v>
      </c>
      <c r="B467" t="s">
        <v>144</v>
      </c>
      <c r="C467">
        <v>2011</v>
      </c>
      <c r="D467" t="s">
        <v>21</v>
      </c>
      <c r="E467" t="s">
        <v>52</v>
      </c>
      <c r="F467" t="s">
        <v>16</v>
      </c>
      <c r="G467">
        <v>5.9067E-3</v>
      </c>
      <c r="H467">
        <v>2.6702000000000002E-3</v>
      </c>
      <c r="I467">
        <v>5.4305000000000004E-3</v>
      </c>
    </row>
    <row r="468" spans="1:9" x14ac:dyDescent="0.25">
      <c r="A468" s="104" t="str">
        <f t="shared" si="7"/>
        <v>Nepal2011RuralPub_OutreachIUD</v>
      </c>
      <c r="B468" t="s">
        <v>144</v>
      </c>
      <c r="C468">
        <v>2011</v>
      </c>
      <c r="D468" t="s">
        <v>21</v>
      </c>
      <c r="E468" t="s">
        <v>54</v>
      </c>
      <c r="F468" t="s">
        <v>16</v>
      </c>
      <c r="G468">
        <v>1.8362999999999999E-3</v>
      </c>
      <c r="H468">
        <v>3.8450000000000002E-4</v>
      </c>
    </row>
    <row r="469" spans="1:9" x14ac:dyDescent="0.25">
      <c r="A469" s="104" t="str">
        <f t="shared" si="7"/>
        <v>Nepal2011RuralNGOIUD</v>
      </c>
      <c r="B469" t="s">
        <v>144</v>
      </c>
      <c r="C469">
        <v>2011</v>
      </c>
      <c r="D469" t="s">
        <v>21</v>
      </c>
      <c r="E469" t="s">
        <v>170</v>
      </c>
      <c r="F469" t="s">
        <v>16</v>
      </c>
      <c r="G469">
        <v>5.7490000000000004E-4</v>
      </c>
      <c r="H469">
        <v>1.6142999999999999E-3</v>
      </c>
      <c r="I469">
        <v>3.5634999999999998E-3</v>
      </c>
    </row>
    <row r="470" spans="1:9" x14ac:dyDescent="0.25">
      <c r="A470" s="104" t="str">
        <f t="shared" si="7"/>
        <v>Nepal2011RuralCommercialIUD</v>
      </c>
      <c r="B470" t="s">
        <v>144</v>
      </c>
      <c r="C470">
        <v>2011</v>
      </c>
      <c r="D470" t="s">
        <v>21</v>
      </c>
      <c r="E470" t="s">
        <v>59</v>
      </c>
      <c r="F470" t="s">
        <v>16</v>
      </c>
      <c r="G470">
        <v>6.3250000000000003E-4</v>
      </c>
      <c r="H470">
        <v>6.3279999999999999E-4</v>
      </c>
      <c r="I470">
        <v>1.1666000000000001E-3</v>
      </c>
    </row>
    <row r="471" spans="1:9" x14ac:dyDescent="0.25">
      <c r="A471" s="104" t="str">
        <f t="shared" si="7"/>
        <v>Nepal2011RuralIUD</v>
      </c>
      <c r="B471" t="s">
        <v>144</v>
      </c>
      <c r="C471">
        <v>2011</v>
      </c>
      <c r="D471" t="s">
        <v>21</v>
      </c>
      <c r="F471" t="s">
        <v>16</v>
      </c>
      <c r="G471">
        <v>9.2599999999999996E-4</v>
      </c>
      <c r="H471">
        <v>8.5510000000000002E-4</v>
      </c>
      <c r="I471">
        <v>4.8447999999999998E-3</v>
      </c>
    </row>
    <row r="472" spans="1:9" x14ac:dyDescent="0.25">
      <c r="A472" s="104" t="str">
        <f t="shared" si="7"/>
        <v>Nepal2011NationalPub_MedInjectable</v>
      </c>
      <c r="B472" t="s">
        <v>144</v>
      </c>
      <c r="C472">
        <v>2011</v>
      </c>
      <c r="D472" t="s">
        <v>178</v>
      </c>
      <c r="E472" t="s">
        <v>52</v>
      </c>
      <c r="F472" t="s">
        <v>22</v>
      </c>
      <c r="G472">
        <v>5.3345400000000001E-2</v>
      </c>
      <c r="H472">
        <v>4.0611399999999999E-2</v>
      </c>
      <c r="I472">
        <v>1.88649E-2</v>
      </c>
    </row>
    <row r="473" spans="1:9" x14ac:dyDescent="0.25">
      <c r="A473" s="104" t="str">
        <f t="shared" si="7"/>
        <v>Nepal2011NationalPub_OutreachInjectable</v>
      </c>
      <c r="B473" t="s">
        <v>144</v>
      </c>
      <c r="C473">
        <v>2011</v>
      </c>
      <c r="D473" t="s">
        <v>178</v>
      </c>
      <c r="E473" t="s">
        <v>54</v>
      </c>
      <c r="F473" t="s">
        <v>22</v>
      </c>
      <c r="G473">
        <v>8.1778000000000007E-3</v>
      </c>
      <c r="H473">
        <v>4.0318000000000003E-3</v>
      </c>
      <c r="I473">
        <v>2.0233999999999999E-3</v>
      </c>
    </row>
    <row r="474" spans="1:9" x14ac:dyDescent="0.25">
      <c r="A474" s="104" t="str">
        <f t="shared" si="7"/>
        <v>Nepal2011NationalNGOInjectable</v>
      </c>
      <c r="B474" t="s">
        <v>144</v>
      </c>
      <c r="C474">
        <v>2011</v>
      </c>
      <c r="D474" t="s">
        <v>178</v>
      </c>
      <c r="E474" t="s">
        <v>170</v>
      </c>
      <c r="F474" t="s">
        <v>22</v>
      </c>
      <c r="G474">
        <v>4.9975000000000002E-3</v>
      </c>
      <c r="H474">
        <v>8.1825000000000005E-3</v>
      </c>
      <c r="I474">
        <v>7.7114000000000002E-3</v>
      </c>
    </row>
    <row r="475" spans="1:9" x14ac:dyDescent="0.25">
      <c r="A475" s="104" t="str">
        <f t="shared" si="7"/>
        <v>Nepal2011NationalCommercialInjectable</v>
      </c>
      <c r="B475" t="s">
        <v>144</v>
      </c>
      <c r="C475">
        <v>2011</v>
      </c>
      <c r="D475" t="s">
        <v>178</v>
      </c>
      <c r="E475" t="s">
        <v>59</v>
      </c>
      <c r="F475" t="s">
        <v>22</v>
      </c>
      <c r="G475">
        <v>7.6626999999999997E-3</v>
      </c>
      <c r="H475">
        <v>1.68278E-2</v>
      </c>
      <c r="I475">
        <v>2.74614E-2</v>
      </c>
    </row>
    <row r="476" spans="1:9" x14ac:dyDescent="0.25">
      <c r="A476" s="104" t="str">
        <f t="shared" si="7"/>
        <v>Nepal2011NationalNonTradInjectable</v>
      </c>
      <c r="B476" t="s">
        <v>144</v>
      </c>
      <c r="C476">
        <v>2011</v>
      </c>
      <c r="D476" t="s">
        <v>178</v>
      </c>
      <c r="E476" t="s">
        <v>171</v>
      </c>
      <c r="F476" t="s">
        <v>22</v>
      </c>
      <c r="G476">
        <v>1.4320000000000001E-4</v>
      </c>
    </row>
    <row r="477" spans="1:9" x14ac:dyDescent="0.25">
      <c r="A477" s="104" t="str">
        <f t="shared" si="7"/>
        <v>Nepal2011NationalOtherInjectable</v>
      </c>
      <c r="B477" t="s">
        <v>144</v>
      </c>
      <c r="C477">
        <v>2011</v>
      </c>
      <c r="D477" t="s">
        <v>178</v>
      </c>
      <c r="E477" t="s">
        <v>116</v>
      </c>
      <c r="F477" t="s">
        <v>22</v>
      </c>
      <c r="G477">
        <v>1.4320000000000001E-4</v>
      </c>
      <c r="H477">
        <v>7.4149999999999997E-4</v>
      </c>
      <c r="I477">
        <v>1.0119999999999999E-4</v>
      </c>
    </row>
    <row r="478" spans="1:9" x14ac:dyDescent="0.25">
      <c r="A478" s="104" t="str">
        <f t="shared" si="7"/>
        <v>Nepal2011UrbanPub_MedInjectable</v>
      </c>
      <c r="B478" t="s">
        <v>144</v>
      </c>
      <c r="C478">
        <v>2011</v>
      </c>
      <c r="D478" t="s">
        <v>20</v>
      </c>
      <c r="E478" t="s">
        <v>52</v>
      </c>
      <c r="F478" t="s">
        <v>22</v>
      </c>
      <c r="G478">
        <v>6.0248299999999998E-2</v>
      </c>
      <c r="H478">
        <v>3.2763500000000001E-2</v>
      </c>
      <c r="I478">
        <v>1.6113499999999999E-2</v>
      </c>
    </row>
    <row r="479" spans="1:9" x14ac:dyDescent="0.25">
      <c r="A479" s="104" t="str">
        <f t="shared" si="7"/>
        <v>Nepal2011UrbanPub_OutreachInjectable</v>
      </c>
      <c r="B479" t="s">
        <v>144</v>
      </c>
      <c r="C479">
        <v>2011</v>
      </c>
      <c r="D479" t="s">
        <v>20</v>
      </c>
      <c r="E479" t="s">
        <v>54</v>
      </c>
      <c r="F479" t="s">
        <v>22</v>
      </c>
      <c r="H479">
        <v>4.3159999999999997E-4</v>
      </c>
      <c r="I479">
        <v>2.4800000000000001E-4</v>
      </c>
    </row>
    <row r="480" spans="1:9" x14ac:dyDescent="0.25">
      <c r="A480" s="104" t="str">
        <f t="shared" si="7"/>
        <v>Nepal2011UrbanNGOInjectable</v>
      </c>
      <c r="B480" t="s">
        <v>144</v>
      </c>
      <c r="C480">
        <v>2011</v>
      </c>
      <c r="D480" t="s">
        <v>20</v>
      </c>
      <c r="E480" t="s">
        <v>170</v>
      </c>
      <c r="F480" t="s">
        <v>22</v>
      </c>
      <c r="G480">
        <v>4.4006999999999996E-3</v>
      </c>
      <c r="H480">
        <v>2.4017899999999998E-2</v>
      </c>
      <c r="I480">
        <v>8.2564000000000005E-3</v>
      </c>
    </row>
    <row r="481" spans="1:9" x14ac:dyDescent="0.25">
      <c r="A481" s="104" t="str">
        <f t="shared" si="7"/>
        <v>Nepal2011UrbanCommercialInjectable</v>
      </c>
      <c r="B481" t="s">
        <v>144</v>
      </c>
      <c r="C481">
        <v>2011</v>
      </c>
      <c r="D481" t="s">
        <v>20</v>
      </c>
      <c r="E481" t="s">
        <v>59</v>
      </c>
      <c r="F481" t="s">
        <v>22</v>
      </c>
      <c r="G481">
        <v>2.1526199999999999E-2</v>
      </c>
      <c r="H481">
        <v>4.3989E-2</v>
      </c>
      <c r="I481">
        <v>2.7612000000000001E-2</v>
      </c>
    </row>
    <row r="482" spans="1:9" x14ac:dyDescent="0.25">
      <c r="A482" s="104" t="str">
        <f t="shared" si="7"/>
        <v>Nepal2011UrbanOtherInjectable</v>
      </c>
      <c r="B482" t="s">
        <v>144</v>
      </c>
      <c r="C482">
        <v>2011</v>
      </c>
      <c r="D482" t="s">
        <v>20</v>
      </c>
      <c r="E482" t="s">
        <v>116</v>
      </c>
      <c r="F482" t="s">
        <v>22</v>
      </c>
      <c r="H482">
        <v>8.5999999999999998E-4</v>
      </c>
      <c r="I482">
        <v>2.3220000000000001E-4</v>
      </c>
    </row>
    <row r="483" spans="1:9" x14ac:dyDescent="0.25">
      <c r="A483" s="104" t="str">
        <f t="shared" si="7"/>
        <v>Nepal2011RuralPub_MedInjectable</v>
      </c>
      <c r="B483" t="s">
        <v>144</v>
      </c>
      <c r="C483">
        <v>2011</v>
      </c>
      <c r="D483" t="s">
        <v>21</v>
      </c>
      <c r="E483" t="s">
        <v>52</v>
      </c>
      <c r="F483" t="s">
        <v>22</v>
      </c>
      <c r="G483">
        <v>5.3163799999999997E-2</v>
      </c>
      <c r="H483">
        <v>4.1895300000000003E-2</v>
      </c>
      <c r="I483">
        <v>2.0991699999999999E-2</v>
      </c>
    </row>
    <row r="484" spans="1:9" x14ac:dyDescent="0.25">
      <c r="A484" s="104" t="str">
        <f t="shared" si="7"/>
        <v>Nepal2011RuralPub_OutreachInjectable</v>
      </c>
      <c r="B484" t="s">
        <v>144</v>
      </c>
      <c r="C484">
        <v>2011</v>
      </c>
      <c r="D484" t="s">
        <v>21</v>
      </c>
      <c r="E484" t="s">
        <v>54</v>
      </c>
      <c r="F484" t="s">
        <v>22</v>
      </c>
      <c r="G484">
        <v>8.3929999999999994E-3</v>
      </c>
      <c r="H484">
        <v>4.6208000000000004E-3</v>
      </c>
      <c r="I484">
        <v>3.3958E-3</v>
      </c>
    </row>
    <row r="485" spans="1:9" x14ac:dyDescent="0.25">
      <c r="A485" s="104" t="str">
        <f t="shared" si="7"/>
        <v>Nepal2011RuralNGOInjectable</v>
      </c>
      <c r="B485" t="s">
        <v>144</v>
      </c>
      <c r="C485">
        <v>2011</v>
      </c>
      <c r="D485" t="s">
        <v>21</v>
      </c>
      <c r="E485" t="s">
        <v>170</v>
      </c>
      <c r="F485" t="s">
        <v>22</v>
      </c>
      <c r="G485">
        <v>5.0131999999999998E-3</v>
      </c>
      <c r="H485">
        <v>5.5918000000000001E-3</v>
      </c>
      <c r="I485">
        <v>7.2900999999999999E-3</v>
      </c>
    </row>
    <row r="486" spans="1:9" x14ac:dyDescent="0.25">
      <c r="A486" s="104" t="str">
        <f t="shared" si="7"/>
        <v>Nepal2011RuralCommercialInjectable</v>
      </c>
      <c r="B486" t="s">
        <v>144</v>
      </c>
      <c r="C486">
        <v>2011</v>
      </c>
      <c r="D486" t="s">
        <v>21</v>
      </c>
      <c r="E486" t="s">
        <v>59</v>
      </c>
      <c r="F486" t="s">
        <v>22</v>
      </c>
      <c r="G486">
        <v>7.2979000000000004E-3</v>
      </c>
      <c r="H486">
        <v>1.23841E-2</v>
      </c>
      <c r="I486">
        <v>2.7345000000000001E-2</v>
      </c>
    </row>
    <row r="487" spans="1:9" x14ac:dyDescent="0.25">
      <c r="A487" s="104" t="str">
        <f t="shared" si="7"/>
        <v>Nepal2011RuralNonTradInjectable</v>
      </c>
      <c r="B487" t="s">
        <v>144</v>
      </c>
      <c r="C487">
        <v>2011</v>
      </c>
      <c r="D487" t="s">
        <v>21</v>
      </c>
      <c r="E487" t="s">
        <v>171</v>
      </c>
      <c r="F487" t="s">
        <v>22</v>
      </c>
      <c r="G487">
        <v>1.47E-4</v>
      </c>
    </row>
    <row r="488" spans="1:9" x14ac:dyDescent="0.25">
      <c r="A488" s="104" t="str">
        <f t="shared" si="7"/>
        <v>Nepal2011RuralOtherInjectable</v>
      </c>
      <c r="B488" t="s">
        <v>144</v>
      </c>
      <c r="C488">
        <v>2011</v>
      </c>
      <c r="D488" t="s">
        <v>21</v>
      </c>
      <c r="E488" t="s">
        <v>116</v>
      </c>
      <c r="F488" t="s">
        <v>22</v>
      </c>
      <c r="G488">
        <v>1.47E-4</v>
      </c>
      <c r="H488">
        <v>7.2210000000000004E-4</v>
      </c>
    </row>
    <row r="489" spans="1:9" x14ac:dyDescent="0.25">
      <c r="A489" s="104" t="str">
        <f t="shared" si="7"/>
        <v>Nepal2011NationalPub_MedCondom</v>
      </c>
      <c r="B489" t="s">
        <v>144</v>
      </c>
      <c r="C489">
        <v>2011</v>
      </c>
      <c r="D489" t="s">
        <v>178</v>
      </c>
      <c r="E489" t="s">
        <v>52</v>
      </c>
      <c r="F489" t="s">
        <v>25</v>
      </c>
      <c r="G489">
        <v>6.8736999999999999E-3</v>
      </c>
      <c r="H489">
        <v>8.2953999999999996E-3</v>
      </c>
      <c r="I489">
        <v>7.1054999999999998E-3</v>
      </c>
    </row>
    <row r="490" spans="1:9" x14ac:dyDescent="0.25">
      <c r="A490" s="104" t="str">
        <f t="shared" si="7"/>
        <v>Nepal2011NationalPub_OutreachCondom</v>
      </c>
      <c r="B490" t="s">
        <v>144</v>
      </c>
      <c r="C490">
        <v>2011</v>
      </c>
      <c r="D490" t="s">
        <v>178</v>
      </c>
      <c r="E490" t="s">
        <v>54</v>
      </c>
      <c r="F490" t="s">
        <v>25</v>
      </c>
      <c r="G490">
        <v>3.9044000000000001E-3</v>
      </c>
      <c r="H490">
        <v>3.7014000000000001E-3</v>
      </c>
      <c r="I490">
        <v>1.1724000000000001E-3</v>
      </c>
    </row>
    <row r="491" spans="1:9" x14ac:dyDescent="0.25">
      <c r="A491" s="104" t="str">
        <f t="shared" si="7"/>
        <v>Nepal2011NationalNGOCondom</v>
      </c>
      <c r="B491" t="s">
        <v>144</v>
      </c>
      <c r="C491">
        <v>2011</v>
      </c>
      <c r="D491" t="s">
        <v>178</v>
      </c>
      <c r="E491" t="s">
        <v>170</v>
      </c>
      <c r="F491" t="s">
        <v>25</v>
      </c>
      <c r="G491">
        <v>4.4299999999999999E-5</v>
      </c>
      <c r="H491">
        <v>1.4947999999999999E-3</v>
      </c>
      <c r="I491">
        <v>1.4813000000000001E-3</v>
      </c>
    </row>
    <row r="492" spans="1:9" x14ac:dyDescent="0.25">
      <c r="A492" s="104" t="str">
        <f t="shared" si="7"/>
        <v>Nepal2011NationalCommercialCondom</v>
      </c>
      <c r="B492" t="s">
        <v>144</v>
      </c>
      <c r="C492">
        <v>2011</v>
      </c>
      <c r="D492" t="s">
        <v>178</v>
      </c>
      <c r="E492" t="s">
        <v>59</v>
      </c>
      <c r="F492" t="s">
        <v>25</v>
      </c>
      <c r="G492">
        <v>7.5084000000000001E-3</v>
      </c>
      <c r="H492">
        <v>1.4846099999999999E-2</v>
      </c>
      <c r="I492">
        <v>5.75262E-2</v>
      </c>
    </row>
    <row r="493" spans="1:9" x14ac:dyDescent="0.25">
      <c r="A493" s="104" t="str">
        <f t="shared" si="7"/>
        <v>Nepal2011NationalNonTradCondom</v>
      </c>
      <c r="B493" t="s">
        <v>144</v>
      </c>
      <c r="C493">
        <v>2011</v>
      </c>
      <c r="D493" t="s">
        <v>178</v>
      </c>
      <c r="E493" t="s">
        <v>171</v>
      </c>
      <c r="F493" t="s">
        <v>25</v>
      </c>
      <c r="G493">
        <v>3.8519999999999998E-4</v>
      </c>
      <c r="H493">
        <v>5.6630000000000005E-4</v>
      </c>
      <c r="I493">
        <v>9.4550000000000005E-4</v>
      </c>
    </row>
    <row r="494" spans="1:9" x14ac:dyDescent="0.25">
      <c r="A494" s="104" t="str">
        <f t="shared" si="7"/>
        <v>Nepal2011NationalOtherCondom</v>
      </c>
      <c r="B494" t="s">
        <v>144</v>
      </c>
      <c r="C494">
        <v>2011</v>
      </c>
      <c r="D494" t="s">
        <v>178</v>
      </c>
      <c r="E494" t="s">
        <v>116</v>
      </c>
      <c r="F494" t="s">
        <v>25</v>
      </c>
      <c r="G494">
        <v>8.3589999999999999E-4</v>
      </c>
      <c r="H494">
        <v>2.2193999999999998E-3</v>
      </c>
      <c r="I494">
        <v>2.1578999999999999E-3</v>
      </c>
    </row>
    <row r="495" spans="1:9" x14ac:dyDescent="0.25">
      <c r="A495" s="104" t="str">
        <f t="shared" si="7"/>
        <v>Nepal2011UrbanPub_MedCondom</v>
      </c>
      <c r="B495" t="s">
        <v>144</v>
      </c>
      <c r="C495">
        <v>2011</v>
      </c>
      <c r="D495" t="s">
        <v>20</v>
      </c>
      <c r="E495" t="s">
        <v>52</v>
      </c>
      <c r="F495" t="s">
        <v>25</v>
      </c>
      <c r="G495">
        <v>8.5497999999999998E-3</v>
      </c>
      <c r="H495">
        <v>7.809E-3</v>
      </c>
      <c r="I495">
        <v>6.4365999999999998E-3</v>
      </c>
    </row>
    <row r="496" spans="1:9" x14ac:dyDescent="0.25">
      <c r="A496" s="104" t="str">
        <f t="shared" si="7"/>
        <v>Nepal2011UrbanPub_OutreachCondom</v>
      </c>
      <c r="B496" t="s">
        <v>144</v>
      </c>
      <c r="C496">
        <v>2011</v>
      </c>
      <c r="D496" t="s">
        <v>20</v>
      </c>
      <c r="E496" t="s">
        <v>54</v>
      </c>
      <c r="F496" t="s">
        <v>25</v>
      </c>
      <c r="G496">
        <v>4.8309E-3</v>
      </c>
      <c r="H496">
        <v>1.1528E-3</v>
      </c>
      <c r="I496">
        <v>2.6892000000000001E-3</v>
      </c>
    </row>
    <row r="497" spans="1:9" x14ac:dyDescent="0.25">
      <c r="A497" s="104" t="str">
        <f t="shared" si="7"/>
        <v>Nepal2011UrbanNGOCondom</v>
      </c>
      <c r="B497" t="s">
        <v>144</v>
      </c>
      <c r="C497">
        <v>2011</v>
      </c>
      <c r="D497" t="s">
        <v>20</v>
      </c>
      <c r="E497" t="s">
        <v>170</v>
      </c>
      <c r="F497" t="s">
        <v>25</v>
      </c>
      <c r="G497">
        <v>1.7271000000000001E-3</v>
      </c>
      <c r="H497">
        <v>3.2588999999999999E-3</v>
      </c>
      <c r="I497">
        <v>3.3977E-3</v>
      </c>
    </row>
    <row r="498" spans="1:9" x14ac:dyDescent="0.25">
      <c r="A498" s="104" t="str">
        <f t="shared" si="7"/>
        <v>Nepal2011UrbanCommercialCondom</v>
      </c>
      <c r="B498" t="s">
        <v>144</v>
      </c>
      <c r="C498">
        <v>2011</v>
      </c>
      <c r="D498" t="s">
        <v>20</v>
      </c>
      <c r="E498" t="s">
        <v>59</v>
      </c>
      <c r="F498" t="s">
        <v>25</v>
      </c>
      <c r="G498">
        <v>1.9901700000000001E-2</v>
      </c>
      <c r="H498">
        <v>1.70002E-2</v>
      </c>
      <c r="I498">
        <v>6.5763299999999997E-2</v>
      </c>
    </row>
    <row r="499" spans="1:9" x14ac:dyDescent="0.25">
      <c r="A499" s="104" t="str">
        <f t="shared" si="7"/>
        <v>Nepal2011UrbanNonTradCondom</v>
      </c>
      <c r="B499" t="s">
        <v>144</v>
      </c>
      <c r="C499">
        <v>2011</v>
      </c>
      <c r="D499" t="s">
        <v>20</v>
      </c>
      <c r="E499" t="s">
        <v>171</v>
      </c>
      <c r="F499" t="s">
        <v>25</v>
      </c>
      <c r="H499">
        <v>4.0279000000000001E-3</v>
      </c>
      <c r="I499">
        <v>2.1686000000000001E-3</v>
      </c>
    </row>
    <row r="500" spans="1:9" x14ac:dyDescent="0.25">
      <c r="A500" s="104" t="str">
        <f t="shared" si="7"/>
        <v>Nepal2011UrbanOtherCondom</v>
      </c>
      <c r="B500" t="s">
        <v>144</v>
      </c>
      <c r="C500">
        <v>2011</v>
      </c>
      <c r="D500" t="s">
        <v>20</v>
      </c>
      <c r="E500" t="s">
        <v>116</v>
      </c>
      <c r="F500" t="s">
        <v>25</v>
      </c>
      <c r="H500">
        <v>6.0485000000000001E-3</v>
      </c>
      <c r="I500">
        <v>4.9494999999999999E-3</v>
      </c>
    </row>
    <row r="501" spans="1:9" x14ac:dyDescent="0.25">
      <c r="A501" s="104" t="str">
        <f t="shared" si="7"/>
        <v>Nepal2011RuralPub_MedCondom</v>
      </c>
      <c r="B501" t="s">
        <v>144</v>
      </c>
      <c r="C501">
        <v>2011</v>
      </c>
      <c r="D501" t="s">
        <v>21</v>
      </c>
      <c r="E501" t="s">
        <v>52</v>
      </c>
      <c r="F501" t="s">
        <v>25</v>
      </c>
      <c r="G501">
        <v>6.8295999999999999E-3</v>
      </c>
      <c r="H501">
        <v>8.3748999999999994E-3</v>
      </c>
      <c r="I501">
        <v>7.6224999999999999E-3</v>
      </c>
    </row>
    <row r="502" spans="1:9" x14ac:dyDescent="0.25">
      <c r="A502" s="104" t="str">
        <f t="shared" si="7"/>
        <v>Nepal2011RuralPub_OutreachCondom</v>
      </c>
      <c r="B502" t="s">
        <v>144</v>
      </c>
      <c r="C502">
        <v>2011</v>
      </c>
      <c r="D502" t="s">
        <v>21</v>
      </c>
      <c r="E502" t="s">
        <v>54</v>
      </c>
      <c r="F502" t="s">
        <v>25</v>
      </c>
      <c r="G502">
        <v>3.8801E-3</v>
      </c>
      <c r="H502">
        <v>4.1183000000000001E-3</v>
      </c>
    </row>
    <row r="503" spans="1:9" x14ac:dyDescent="0.25">
      <c r="A503" s="104" t="str">
        <f t="shared" si="7"/>
        <v>Nepal2011RuralNGOCondom</v>
      </c>
      <c r="B503" t="s">
        <v>144</v>
      </c>
      <c r="C503">
        <v>2011</v>
      </c>
      <c r="D503" t="s">
        <v>21</v>
      </c>
      <c r="E503" t="s">
        <v>170</v>
      </c>
      <c r="F503" t="s">
        <v>25</v>
      </c>
      <c r="H503">
        <v>1.2061999999999999E-3</v>
      </c>
    </row>
    <row r="504" spans="1:9" x14ac:dyDescent="0.25">
      <c r="A504" s="104" t="str">
        <f t="shared" si="7"/>
        <v>Nepal2011RuralCommercialCondom</v>
      </c>
      <c r="B504" t="s">
        <v>144</v>
      </c>
      <c r="C504">
        <v>2011</v>
      </c>
      <c r="D504" t="s">
        <v>21</v>
      </c>
      <c r="E504" t="s">
        <v>59</v>
      </c>
      <c r="F504" t="s">
        <v>25</v>
      </c>
      <c r="G504">
        <v>7.1823E-3</v>
      </c>
      <c r="H504">
        <v>1.44937E-2</v>
      </c>
      <c r="I504">
        <v>5.1159099999999999E-2</v>
      </c>
    </row>
    <row r="505" spans="1:9" x14ac:dyDescent="0.25">
      <c r="A505" s="104" t="str">
        <f t="shared" si="7"/>
        <v>Nepal2011RuralNonTradCondom</v>
      </c>
      <c r="B505" t="s">
        <v>144</v>
      </c>
      <c r="C505">
        <v>2011</v>
      </c>
      <c r="D505" t="s">
        <v>21</v>
      </c>
      <c r="E505" t="s">
        <v>171</v>
      </c>
      <c r="F505" t="s">
        <v>25</v>
      </c>
      <c r="G505">
        <v>3.9540000000000002E-4</v>
      </c>
    </row>
    <row r="506" spans="1:9" x14ac:dyDescent="0.25">
      <c r="A506" s="104" t="str">
        <f t="shared" si="7"/>
        <v>Nepal2011RuralOtherCondom</v>
      </c>
      <c r="B506" t="s">
        <v>144</v>
      </c>
      <c r="C506">
        <v>2011</v>
      </c>
      <c r="D506" t="s">
        <v>21</v>
      </c>
      <c r="E506" t="s">
        <v>116</v>
      </c>
      <c r="F506" t="s">
        <v>25</v>
      </c>
      <c r="G506">
        <v>8.5789999999999998E-4</v>
      </c>
      <c r="H506">
        <v>1.5929E-3</v>
      </c>
    </row>
    <row r="507" spans="1:9" x14ac:dyDescent="0.25">
      <c r="A507" s="104" t="str">
        <f t="shared" si="7"/>
        <v>Nepal2011NationalPub_MedImplant</v>
      </c>
      <c r="B507" t="s">
        <v>144</v>
      </c>
      <c r="C507">
        <v>2011</v>
      </c>
      <c r="D507" t="s">
        <v>178</v>
      </c>
      <c r="E507" t="s">
        <v>52</v>
      </c>
      <c r="F507" t="s">
        <v>23</v>
      </c>
      <c r="G507">
        <v>7.8504999999999998E-3</v>
      </c>
      <c r="H507">
        <v>2.4907000000000002E-3</v>
      </c>
      <c r="I507">
        <v>3.6285000000000002E-3</v>
      </c>
    </row>
    <row r="508" spans="1:9" x14ac:dyDescent="0.25">
      <c r="A508" s="104" t="str">
        <f t="shared" si="7"/>
        <v>Nepal2011NationalPub_OutreachImplant</v>
      </c>
      <c r="B508" t="s">
        <v>144</v>
      </c>
      <c r="C508">
        <v>2011</v>
      </c>
      <c r="D508" t="s">
        <v>178</v>
      </c>
      <c r="E508" t="s">
        <v>54</v>
      </c>
      <c r="F508" t="s">
        <v>23</v>
      </c>
      <c r="G508">
        <v>1.3791000000000001E-3</v>
      </c>
      <c r="I508">
        <v>6.5799999999999995E-4</v>
      </c>
    </row>
    <row r="509" spans="1:9" x14ac:dyDescent="0.25">
      <c r="A509" s="104" t="str">
        <f t="shared" si="7"/>
        <v>Nepal2011NationalNGOImplant</v>
      </c>
      <c r="B509" t="s">
        <v>144</v>
      </c>
      <c r="C509">
        <v>2011</v>
      </c>
      <c r="D509" t="s">
        <v>178</v>
      </c>
      <c r="E509" t="s">
        <v>170</v>
      </c>
      <c r="F509" t="s">
        <v>23</v>
      </c>
      <c r="G509">
        <v>1.2141999999999999E-3</v>
      </c>
      <c r="H509">
        <v>6.1209999999999997E-4</v>
      </c>
      <c r="I509">
        <v>1.7095999999999999E-3</v>
      </c>
    </row>
    <row r="510" spans="1:9" x14ac:dyDescent="0.25">
      <c r="A510" s="104" t="str">
        <f t="shared" si="7"/>
        <v>Nepal2011NationalCommercialImplant</v>
      </c>
      <c r="B510" t="s">
        <v>144</v>
      </c>
      <c r="C510">
        <v>2011</v>
      </c>
      <c r="D510" t="s">
        <v>178</v>
      </c>
      <c r="E510" t="s">
        <v>59</v>
      </c>
      <c r="F510" t="s">
        <v>23</v>
      </c>
      <c r="G510">
        <v>3.1369999999999998E-4</v>
      </c>
      <c r="H510">
        <v>6.3980000000000005E-4</v>
      </c>
    </row>
    <row r="511" spans="1:9" x14ac:dyDescent="0.25">
      <c r="A511" s="104" t="str">
        <f t="shared" si="7"/>
        <v>Nepal2011NationalImplant</v>
      </c>
      <c r="B511" t="s">
        <v>144</v>
      </c>
      <c r="C511">
        <v>2011</v>
      </c>
      <c r="D511" t="s">
        <v>178</v>
      </c>
      <c r="F511" t="s">
        <v>23</v>
      </c>
      <c r="G511">
        <v>8.4119999999999996E-4</v>
      </c>
      <c r="H511">
        <v>1.946E-3</v>
      </c>
      <c r="I511">
        <v>2.4702000000000001E-3</v>
      </c>
    </row>
    <row r="512" spans="1:9" x14ac:dyDescent="0.25">
      <c r="A512" s="104" t="str">
        <f t="shared" si="7"/>
        <v>Nepal2011UrbanPub_MedImplant</v>
      </c>
      <c r="B512" t="s">
        <v>144</v>
      </c>
      <c r="C512">
        <v>2011</v>
      </c>
      <c r="D512" t="s">
        <v>20</v>
      </c>
      <c r="E512" t="s">
        <v>52</v>
      </c>
      <c r="F512" t="s">
        <v>23</v>
      </c>
      <c r="G512">
        <v>8.8651000000000008E-3</v>
      </c>
      <c r="H512">
        <v>2.9987E-3</v>
      </c>
      <c r="I512">
        <v>5.3236999999999998E-3</v>
      </c>
    </row>
    <row r="513" spans="1:9" x14ac:dyDescent="0.25">
      <c r="A513" s="104" t="str">
        <f t="shared" si="7"/>
        <v>Nepal2011UrbanNGOImplant</v>
      </c>
      <c r="B513" t="s">
        <v>144</v>
      </c>
      <c r="C513">
        <v>2011</v>
      </c>
      <c r="D513" t="s">
        <v>20</v>
      </c>
      <c r="E513" t="s">
        <v>170</v>
      </c>
      <c r="F513" t="s">
        <v>23</v>
      </c>
      <c r="G513">
        <v>1.4017000000000001E-3</v>
      </c>
      <c r="H513">
        <v>3.4900000000000003E-4</v>
      </c>
      <c r="I513">
        <v>3.9213E-3</v>
      </c>
    </row>
    <row r="514" spans="1:9" x14ac:dyDescent="0.25">
      <c r="A514" s="104" t="str">
        <f t="shared" si="7"/>
        <v>Nepal2011UrbanCommercialImplant</v>
      </c>
      <c r="B514" t="s">
        <v>144</v>
      </c>
      <c r="C514">
        <v>2011</v>
      </c>
      <c r="D514" t="s">
        <v>20</v>
      </c>
      <c r="E514" t="s">
        <v>59</v>
      </c>
      <c r="F514" t="s">
        <v>23</v>
      </c>
      <c r="G514">
        <v>1.7271000000000001E-3</v>
      </c>
    </row>
    <row r="515" spans="1:9" x14ac:dyDescent="0.25">
      <c r="A515" s="104" t="str">
        <f t="shared" ref="A515:A578" si="8">B515&amp;C515&amp;D515&amp;E515&amp;F515</f>
        <v>Nepal2011UrbanImplant</v>
      </c>
      <c r="B515" t="s">
        <v>144</v>
      </c>
      <c r="C515">
        <v>2011</v>
      </c>
      <c r="D515" t="s">
        <v>20</v>
      </c>
      <c r="F515" t="s">
        <v>23</v>
      </c>
      <c r="H515">
        <v>7.6448000000000002E-3</v>
      </c>
      <c r="I515">
        <v>2.6670000000000001E-3</v>
      </c>
    </row>
    <row r="516" spans="1:9" x14ac:dyDescent="0.25">
      <c r="A516" s="104" t="str">
        <f t="shared" si="8"/>
        <v>Nepal2011RuralPub_MedImplant</v>
      </c>
      <c r="B516" t="s">
        <v>144</v>
      </c>
      <c r="C516">
        <v>2011</v>
      </c>
      <c r="D516" t="s">
        <v>21</v>
      </c>
      <c r="E516" t="s">
        <v>52</v>
      </c>
      <c r="F516" t="s">
        <v>23</v>
      </c>
      <c r="G516">
        <v>7.8238000000000005E-3</v>
      </c>
      <c r="H516">
        <v>2.4074999999999999E-3</v>
      </c>
      <c r="I516">
        <v>2.3181E-3</v>
      </c>
    </row>
    <row r="517" spans="1:9" x14ac:dyDescent="0.25">
      <c r="A517" s="104" t="str">
        <f t="shared" si="8"/>
        <v>Nepal2011RuralPub_OutreachImplant</v>
      </c>
      <c r="B517" t="s">
        <v>144</v>
      </c>
      <c r="C517">
        <v>2011</v>
      </c>
      <c r="D517" t="s">
        <v>21</v>
      </c>
      <c r="E517" t="s">
        <v>54</v>
      </c>
      <c r="F517" t="s">
        <v>23</v>
      </c>
      <c r="G517">
        <v>1.4154E-3</v>
      </c>
      <c r="I517">
        <v>1.1666000000000001E-3</v>
      </c>
    </row>
    <row r="518" spans="1:9" x14ac:dyDescent="0.25">
      <c r="A518" s="104" t="str">
        <f t="shared" si="8"/>
        <v>Nepal2011RuralNGOImplant</v>
      </c>
      <c r="B518" t="s">
        <v>144</v>
      </c>
      <c r="C518">
        <v>2011</v>
      </c>
      <c r="D518" t="s">
        <v>21</v>
      </c>
      <c r="E518" t="s">
        <v>170</v>
      </c>
      <c r="F518" t="s">
        <v>23</v>
      </c>
      <c r="G518">
        <v>1.2093E-3</v>
      </c>
      <c r="H518">
        <v>6.5510000000000004E-4</v>
      </c>
    </row>
    <row r="519" spans="1:9" x14ac:dyDescent="0.25">
      <c r="A519" s="104" t="str">
        <f t="shared" si="8"/>
        <v>Nepal2011RuralCommercialImplant</v>
      </c>
      <c r="B519" t="s">
        <v>144</v>
      </c>
      <c r="C519">
        <v>2011</v>
      </c>
      <c r="D519" t="s">
        <v>21</v>
      </c>
      <c r="E519" t="s">
        <v>59</v>
      </c>
      <c r="F519" t="s">
        <v>23</v>
      </c>
      <c r="G519">
        <v>2.765E-4</v>
      </c>
      <c r="H519">
        <v>7.4450000000000004E-4</v>
      </c>
    </row>
    <row r="520" spans="1:9" x14ac:dyDescent="0.25">
      <c r="A520" s="104" t="str">
        <f t="shared" si="8"/>
        <v>Nepal2011RuralImplant</v>
      </c>
      <c r="B520" t="s">
        <v>144</v>
      </c>
      <c r="C520">
        <v>2011</v>
      </c>
      <c r="D520" t="s">
        <v>21</v>
      </c>
      <c r="F520" t="s">
        <v>23</v>
      </c>
      <c r="G520">
        <v>8.633E-4</v>
      </c>
      <c r="H520">
        <v>1.0135999999999999E-3</v>
      </c>
      <c r="I520">
        <v>2.3181E-3</v>
      </c>
    </row>
    <row r="521" spans="1:9" x14ac:dyDescent="0.25">
      <c r="A521" s="104" t="str">
        <f t="shared" si="8"/>
        <v>Nepal2016NationalPub_MedPill</v>
      </c>
      <c r="B521" t="s">
        <v>144</v>
      </c>
      <c r="C521">
        <v>2016</v>
      </c>
      <c r="D521" t="s">
        <v>178</v>
      </c>
      <c r="E521" t="s">
        <v>52</v>
      </c>
      <c r="F521" t="s">
        <v>12</v>
      </c>
      <c r="G521">
        <v>1.63669E-2</v>
      </c>
      <c r="H521">
        <v>1.23938E-2</v>
      </c>
      <c r="I521">
        <v>6.6601999999999998E-3</v>
      </c>
    </row>
    <row r="522" spans="1:9" x14ac:dyDescent="0.25">
      <c r="A522" s="104" t="str">
        <f t="shared" si="8"/>
        <v>Nepal2016NationalPub_OutreachPill</v>
      </c>
      <c r="B522" t="s">
        <v>144</v>
      </c>
      <c r="C522">
        <v>2016</v>
      </c>
      <c r="D522" t="s">
        <v>178</v>
      </c>
      <c r="E522" t="s">
        <v>54</v>
      </c>
      <c r="F522" t="s">
        <v>12</v>
      </c>
      <c r="G522">
        <v>8.3361000000000008E-3</v>
      </c>
      <c r="H522">
        <v>7.4238999999999998E-3</v>
      </c>
      <c r="I522">
        <v>1.1098E-3</v>
      </c>
    </row>
    <row r="523" spans="1:9" x14ac:dyDescent="0.25">
      <c r="A523" s="104" t="str">
        <f t="shared" si="8"/>
        <v>Nepal2016NationalNGOPill</v>
      </c>
      <c r="B523" t="s">
        <v>144</v>
      </c>
      <c r="C523">
        <v>2016</v>
      </c>
      <c r="D523" t="s">
        <v>178</v>
      </c>
      <c r="E523" t="s">
        <v>170</v>
      </c>
      <c r="F523" t="s">
        <v>12</v>
      </c>
      <c r="H523">
        <v>1.7440000000000001E-4</v>
      </c>
      <c r="I523">
        <v>6.9200000000000002E-4</v>
      </c>
    </row>
    <row r="524" spans="1:9" x14ac:dyDescent="0.25">
      <c r="A524" s="104" t="str">
        <f t="shared" si="8"/>
        <v>Nepal2016NationalCommercialPill</v>
      </c>
      <c r="B524" t="s">
        <v>144</v>
      </c>
      <c r="C524">
        <v>2016</v>
      </c>
      <c r="D524" t="s">
        <v>178</v>
      </c>
      <c r="E524" t="s">
        <v>59</v>
      </c>
      <c r="F524" t="s">
        <v>12</v>
      </c>
      <c r="G524">
        <v>6.8287E-3</v>
      </c>
      <c r="H524">
        <v>1.7950399999999998E-2</v>
      </c>
      <c r="I524">
        <v>2.6682299999999999E-2</v>
      </c>
    </row>
    <row r="525" spans="1:9" x14ac:dyDescent="0.25">
      <c r="A525" s="104" t="str">
        <f t="shared" si="8"/>
        <v>Nepal2016NationalNonTradPill</v>
      </c>
      <c r="B525" t="s">
        <v>144</v>
      </c>
      <c r="C525">
        <v>2016</v>
      </c>
      <c r="D525" t="s">
        <v>178</v>
      </c>
      <c r="E525" t="s">
        <v>171</v>
      </c>
      <c r="F525" t="s">
        <v>12</v>
      </c>
      <c r="H525">
        <v>4.7599999999999998E-5</v>
      </c>
    </row>
    <row r="526" spans="1:9" x14ac:dyDescent="0.25">
      <c r="A526" s="104" t="str">
        <f t="shared" si="8"/>
        <v>Nepal2016NationalOtherPill</v>
      </c>
      <c r="B526" t="s">
        <v>144</v>
      </c>
      <c r="C526">
        <v>2016</v>
      </c>
      <c r="D526" t="s">
        <v>178</v>
      </c>
      <c r="E526" t="s">
        <v>116</v>
      </c>
      <c r="F526" t="s">
        <v>12</v>
      </c>
      <c r="G526">
        <v>4.0479999999999997E-4</v>
      </c>
      <c r="H526">
        <v>7.4969999999999995E-4</v>
      </c>
      <c r="I526">
        <v>3.4640000000000001E-3</v>
      </c>
    </row>
    <row r="527" spans="1:9" x14ac:dyDescent="0.25">
      <c r="A527" s="104" t="str">
        <f t="shared" si="8"/>
        <v>Nepal2016UrbanPub_MedPill</v>
      </c>
      <c r="B527" t="s">
        <v>144</v>
      </c>
      <c r="C527">
        <v>2016</v>
      </c>
      <c r="D527" t="s">
        <v>20</v>
      </c>
      <c r="E527" t="s">
        <v>52</v>
      </c>
      <c r="F527" t="s">
        <v>12</v>
      </c>
      <c r="G527">
        <v>1.6740999999999999E-2</v>
      </c>
      <c r="H527">
        <v>1.59837E-2</v>
      </c>
      <c r="I527">
        <v>6.6445999999999996E-3</v>
      </c>
    </row>
    <row r="528" spans="1:9" x14ac:dyDescent="0.25">
      <c r="A528" s="104" t="str">
        <f t="shared" si="8"/>
        <v>Nepal2016UrbanPub_OutreachPill</v>
      </c>
      <c r="B528" t="s">
        <v>144</v>
      </c>
      <c r="C528">
        <v>2016</v>
      </c>
      <c r="D528" t="s">
        <v>20</v>
      </c>
      <c r="E528" t="s">
        <v>54</v>
      </c>
      <c r="F528" t="s">
        <v>12</v>
      </c>
      <c r="G528">
        <v>8.4253000000000002E-3</v>
      </c>
      <c r="H528">
        <v>6.1771999999999999E-3</v>
      </c>
      <c r="I528">
        <v>8.7120000000000003E-4</v>
      </c>
    </row>
    <row r="529" spans="1:9" x14ac:dyDescent="0.25">
      <c r="A529" s="104" t="str">
        <f t="shared" si="8"/>
        <v>Nepal2016UrbanNGOPill</v>
      </c>
      <c r="B529" t="s">
        <v>144</v>
      </c>
      <c r="C529">
        <v>2016</v>
      </c>
      <c r="D529" t="s">
        <v>20</v>
      </c>
      <c r="E529" t="s">
        <v>170</v>
      </c>
      <c r="F529" t="s">
        <v>12</v>
      </c>
      <c r="H529">
        <v>2.7290000000000002E-4</v>
      </c>
      <c r="I529">
        <v>7.4609999999999998E-4</v>
      </c>
    </row>
    <row r="530" spans="1:9" x14ac:dyDescent="0.25">
      <c r="A530" s="104" t="str">
        <f t="shared" si="8"/>
        <v>Nepal2016UrbanCommercialPill</v>
      </c>
      <c r="B530" t="s">
        <v>144</v>
      </c>
      <c r="C530">
        <v>2016</v>
      </c>
      <c r="D530" t="s">
        <v>20</v>
      </c>
      <c r="E530" t="s">
        <v>59</v>
      </c>
      <c r="F530" t="s">
        <v>12</v>
      </c>
      <c r="G530">
        <v>8.0902000000000005E-3</v>
      </c>
      <c r="H530">
        <v>2.1597399999999999E-2</v>
      </c>
      <c r="I530">
        <v>2.5428599999999999E-2</v>
      </c>
    </row>
    <row r="531" spans="1:9" x14ac:dyDescent="0.25">
      <c r="A531" s="104" t="str">
        <f t="shared" si="8"/>
        <v>Nepal2016UrbanNonTradPill</v>
      </c>
      <c r="B531" t="s">
        <v>144</v>
      </c>
      <c r="C531">
        <v>2016</v>
      </c>
      <c r="D531" t="s">
        <v>20</v>
      </c>
      <c r="E531" t="s">
        <v>171</v>
      </c>
      <c r="F531" t="s">
        <v>12</v>
      </c>
      <c r="H531">
        <v>7.4599999999999997E-5</v>
      </c>
    </row>
    <row r="532" spans="1:9" x14ac:dyDescent="0.25">
      <c r="A532" s="104" t="str">
        <f t="shared" si="8"/>
        <v>Nepal2016UrbanOtherPill</v>
      </c>
      <c r="B532" t="s">
        <v>144</v>
      </c>
      <c r="C532">
        <v>2016</v>
      </c>
      <c r="D532" t="s">
        <v>20</v>
      </c>
      <c r="E532" t="s">
        <v>116</v>
      </c>
      <c r="F532" t="s">
        <v>12</v>
      </c>
      <c r="G532">
        <v>1.494E-4</v>
      </c>
      <c r="H532">
        <v>7.4529999999999996E-4</v>
      </c>
      <c r="I532">
        <v>2.9784E-3</v>
      </c>
    </row>
    <row r="533" spans="1:9" x14ac:dyDescent="0.25">
      <c r="A533" s="104" t="str">
        <f t="shared" si="8"/>
        <v>Nepal2016RuralPub_MedPill</v>
      </c>
      <c r="B533" t="s">
        <v>144</v>
      </c>
      <c r="C533">
        <v>2016</v>
      </c>
      <c r="D533" t="s">
        <v>21</v>
      </c>
      <c r="E533" t="s">
        <v>52</v>
      </c>
      <c r="F533" t="s">
        <v>12</v>
      </c>
      <c r="G533">
        <v>1.5989199999999999E-2</v>
      </c>
      <c r="H533">
        <v>6.0407999999999998E-3</v>
      </c>
      <c r="I533">
        <v>6.8601000000000001E-3</v>
      </c>
    </row>
    <row r="534" spans="1:9" x14ac:dyDescent="0.25">
      <c r="A534" s="104" t="str">
        <f t="shared" si="8"/>
        <v>Nepal2016RuralPub_OutreachPill</v>
      </c>
      <c r="B534" t="s">
        <v>144</v>
      </c>
      <c r="C534">
        <v>2016</v>
      </c>
      <c r="D534" t="s">
        <v>21</v>
      </c>
      <c r="E534" t="s">
        <v>54</v>
      </c>
      <c r="F534" t="s">
        <v>12</v>
      </c>
      <c r="G534">
        <v>8.2460999999999993E-3</v>
      </c>
      <c r="H534">
        <v>9.6301000000000008E-3</v>
      </c>
      <c r="I534">
        <v>4.1609999999999998E-3</v>
      </c>
    </row>
    <row r="535" spans="1:9" x14ac:dyDescent="0.25">
      <c r="A535" s="104" t="str">
        <f t="shared" si="8"/>
        <v>Nepal2016RuralCommercialPill</v>
      </c>
      <c r="B535" t="s">
        <v>144</v>
      </c>
      <c r="C535">
        <v>2016</v>
      </c>
      <c r="D535" t="s">
        <v>21</v>
      </c>
      <c r="E535" t="s">
        <v>59</v>
      </c>
      <c r="F535" t="s">
        <v>12</v>
      </c>
      <c r="G535">
        <v>5.5548000000000004E-3</v>
      </c>
      <c r="H535">
        <v>1.14965E-2</v>
      </c>
      <c r="I535">
        <v>4.2715799999999998E-2</v>
      </c>
    </row>
    <row r="536" spans="1:9" x14ac:dyDescent="0.25">
      <c r="A536" s="104" t="str">
        <f t="shared" si="8"/>
        <v>Nepal2016RuralOtherPill</v>
      </c>
      <c r="B536" t="s">
        <v>144</v>
      </c>
      <c r="C536">
        <v>2016</v>
      </c>
      <c r="D536" t="s">
        <v>21</v>
      </c>
      <c r="E536" t="s">
        <v>116</v>
      </c>
      <c r="F536" t="s">
        <v>12</v>
      </c>
      <c r="G536">
        <v>6.6270000000000001E-4</v>
      </c>
      <c r="H536">
        <v>7.5759999999999998E-4</v>
      </c>
      <c r="I536">
        <v>9.6737000000000004E-3</v>
      </c>
    </row>
    <row r="537" spans="1:9" x14ac:dyDescent="0.25">
      <c r="A537" s="104" t="str">
        <f t="shared" si="8"/>
        <v>Nepal2016NationalPub_MedIUD</v>
      </c>
      <c r="B537" t="s">
        <v>144</v>
      </c>
      <c r="C537">
        <v>2016</v>
      </c>
      <c r="D537" t="s">
        <v>178</v>
      </c>
      <c r="E537" t="s">
        <v>52</v>
      </c>
      <c r="F537" t="s">
        <v>16</v>
      </c>
      <c r="G537">
        <v>6.8795000000000002E-3</v>
      </c>
      <c r="H537">
        <v>5.3423000000000003E-3</v>
      </c>
      <c r="I537">
        <v>1.0097699999999999E-2</v>
      </c>
    </row>
    <row r="538" spans="1:9" x14ac:dyDescent="0.25">
      <c r="A538" s="104" t="str">
        <f t="shared" si="8"/>
        <v>Nepal2016NationalPub_OutreachIUD</v>
      </c>
      <c r="B538" t="s">
        <v>144</v>
      </c>
      <c r="C538">
        <v>2016</v>
      </c>
      <c r="D538" t="s">
        <v>178</v>
      </c>
      <c r="E538" t="s">
        <v>54</v>
      </c>
      <c r="F538" t="s">
        <v>16</v>
      </c>
      <c r="G538">
        <v>9.7260000000000001E-4</v>
      </c>
      <c r="H538">
        <v>4.7780000000000001E-4</v>
      </c>
      <c r="I538">
        <v>5.3120000000000001E-4</v>
      </c>
    </row>
    <row r="539" spans="1:9" x14ac:dyDescent="0.25">
      <c r="A539" s="104" t="str">
        <f t="shared" si="8"/>
        <v>Nepal2016NationalNGOIUD</v>
      </c>
      <c r="B539" t="s">
        <v>144</v>
      </c>
      <c r="C539">
        <v>2016</v>
      </c>
      <c r="D539" t="s">
        <v>178</v>
      </c>
      <c r="E539" t="s">
        <v>170</v>
      </c>
      <c r="F539" t="s">
        <v>16</v>
      </c>
      <c r="G539">
        <v>1.2784000000000001E-3</v>
      </c>
      <c r="H539">
        <v>1.9096E-3</v>
      </c>
      <c r="I539">
        <v>2.9272E-3</v>
      </c>
    </row>
    <row r="540" spans="1:9" x14ac:dyDescent="0.25">
      <c r="A540" s="104" t="str">
        <f t="shared" si="8"/>
        <v>Nepal2016NationalCommercialIUD</v>
      </c>
      <c r="B540" t="s">
        <v>144</v>
      </c>
      <c r="C540">
        <v>2016</v>
      </c>
      <c r="D540" t="s">
        <v>178</v>
      </c>
      <c r="E540" t="s">
        <v>59</v>
      </c>
      <c r="F540" t="s">
        <v>16</v>
      </c>
      <c r="G540">
        <v>1.0744999999999999E-3</v>
      </c>
      <c r="H540">
        <v>9.7820000000000003E-4</v>
      </c>
      <c r="I540">
        <v>1.5143999999999999E-3</v>
      </c>
    </row>
    <row r="541" spans="1:9" x14ac:dyDescent="0.25">
      <c r="A541" s="104" t="str">
        <f t="shared" si="8"/>
        <v>Nepal2016NationalOtherIUD</v>
      </c>
      <c r="B541" t="s">
        <v>144</v>
      </c>
      <c r="C541">
        <v>2016</v>
      </c>
      <c r="D541" t="s">
        <v>178</v>
      </c>
      <c r="E541" t="s">
        <v>116</v>
      </c>
      <c r="F541" t="s">
        <v>16</v>
      </c>
      <c r="G541">
        <v>3.5050000000000001E-4</v>
      </c>
      <c r="I541">
        <v>8.0659999999999998E-4</v>
      </c>
    </row>
    <row r="542" spans="1:9" x14ac:dyDescent="0.25">
      <c r="A542" s="104" t="str">
        <f t="shared" si="8"/>
        <v>Nepal2016UrbanPub_MedIUD</v>
      </c>
      <c r="B542" t="s">
        <v>144</v>
      </c>
      <c r="C542">
        <v>2016</v>
      </c>
      <c r="D542" t="s">
        <v>20</v>
      </c>
      <c r="E542" t="s">
        <v>52</v>
      </c>
      <c r="F542" t="s">
        <v>16</v>
      </c>
      <c r="G542">
        <v>6.9737999999999996E-3</v>
      </c>
      <c r="H542">
        <v>6.2027999999999996E-3</v>
      </c>
      <c r="I542">
        <v>1.0459E-2</v>
      </c>
    </row>
    <row r="543" spans="1:9" x14ac:dyDescent="0.25">
      <c r="A543" s="104" t="str">
        <f t="shared" si="8"/>
        <v>Nepal2016UrbanPub_OutreachIUD</v>
      </c>
      <c r="B543" t="s">
        <v>144</v>
      </c>
      <c r="C543">
        <v>2016</v>
      </c>
      <c r="D543" t="s">
        <v>20</v>
      </c>
      <c r="E543" t="s">
        <v>54</v>
      </c>
      <c r="F543" t="s">
        <v>16</v>
      </c>
      <c r="G543">
        <v>3.0669999999999997E-4</v>
      </c>
      <c r="I543">
        <v>5.7269999999999999E-4</v>
      </c>
    </row>
    <row r="544" spans="1:9" x14ac:dyDescent="0.25">
      <c r="A544" s="104" t="str">
        <f t="shared" si="8"/>
        <v>Nepal2016UrbanNGOIUD</v>
      </c>
      <c r="B544" t="s">
        <v>144</v>
      </c>
      <c r="C544">
        <v>2016</v>
      </c>
      <c r="D544" t="s">
        <v>20</v>
      </c>
      <c r="E544" t="s">
        <v>170</v>
      </c>
      <c r="F544" t="s">
        <v>16</v>
      </c>
      <c r="G544">
        <v>1.6373E-3</v>
      </c>
      <c r="H544">
        <v>2.0514999999999999E-3</v>
      </c>
      <c r="I544">
        <v>3.1560999999999998E-3</v>
      </c>
    </row>
    <row r="545" spans="1:9" x14ac:dyDescent="0.25">
      <c r="A545" s="104" t="str">
        <f t="shared" si="8"/>
        <v>Nepal2016UrbanCommercialIUD</v>
      </c>
      <c r="B545" t="s">
        <v>144</v>
      </c>
      <c r="C545">
        <v>2016</v>
      </c>
      <c r="D545" t="s">
        <v>20</v>
      </c>
      <c r="E545" t="s">
        <v>59</v>
      </c>
      <c r="F545" t="s">
        <v>16</v>
      </c>
      <c r="G545">
        <v>1.2555000000000001E-3</v>
      </c>
      <c r="H545">
        <v>7.3729999999999998E-4</v>
      </c>
      <c r="I545">
        <v>1.6329000000000001E-3</v>
      </c>
    </row>
    <row r="546" spans="1:9" x14ac:dyDescent="0.25">
      <c r="A546" s="104" t="str">
        <f t="shared" si="8"/>
        <v>Nepal2016UrbanOtherIUD</v>
      </c>
      <c r="B546" t="s">
        <v>144</v>
      </c>
      <c r="C546">
        <v>2016</v>
      </c>
      <c r="D546" t="s">
        <v>20</v>
      </c>
      <c r="E546" t="s">
        <v>116</v>
      </c>
      <c r="F546" t="s">
        <v>16</v>
      </c>
      <c r="I546">
        <v>3.0870000000000002E-4</v>
      </c>
    </row>
    <row r="547" spans="1:9" x14ac:dyDescent="0.25">
      <c r="A547" s="104" t="str">
        <f t="shared" si="8"/>
        <v>Nepal2016RuralPub_MedIUD</v>
      </c>
      <c r="B547" t="s">
        <v>144</v>
      </c>
      <c r="C547">
        <v>2016</v>
      </c>
      <c r="D547" t="s">
        <v>21</v>
      </c>
      <c r="E547" t="s">
        <v>52</v>
      </c>
      <c r="F547" t="s">
        <v>16</v>
      </c>
      <c r="G547">
        <v>6.7841999999999998E-3</v>
      </c>
      <c r="H547">
        <v>3.8195E-3</v>
      </c>
      <c r="I547">
        <v>5.4773000000000001E-3</v>
      </c>
    </row>
    <row r="548" spans="1:9" x14ac:dyDescent="0.25">
      <c r="A548" s="104" t="str">
        <f t="shared" si="8"/>
        <v>Nepal2016RuralPub_OutreachIUD</v>
      </c>
      <c r="B548" t="s">
        <v>144</v>
      </c>
      <c r="C548">
        <v>2016</v>
      </c>
      <c r="D548" t="s">
        <v>21</v>
      </c>
      <c r="E548" t="s">
        <v>54</v>
      </c>
      <c r="F548" t="s">
        <v>16</v>
      </c>
      <c r="G548">
        <v>1.6451E-3</v>
      </c>
      <c r="H548">
        <v>1.3232999999999999E-3</v>
      </c>
    </row>
    <row r="549" spans="1:9" x14ac:dyDescent="0.25">
      <c r="A549" s="104" t="str">
        <f t="shared" si="8"/>
        <v>Nepal2016RuralNGOIUD</v>
      </c>
      <c r="B549" t="s">
        <v>144</v>
      </c>
      <c r="C549">
        <v>2016</v>
      </c>
      <c r="D549" t="s">
        <v>21</v>
      </c>
      <c r="E549" t="s">
        <v>170</v>
      </c>
      <c r="F549" t="s">
        <v>16</v>
      </c>
      <c r="G549">
        <v>9.1589999999999998E-4</v>
      </c>
      <c r="H549">
        <v>1.6584E-3</v>
      </c>
    </row>
    <row r="550" spans="1:9" x14ac:dyDescent="0.25">
      <c r="A550" s="104" t="str">
        <f t="shared" si="8"/>
        <v>Nepal2016RuralCommercialIUD</v>
      </c>
      <c r="B550" t="s">
        <v>144</v>
      </c>
      <c r="C550">
        <v>2016</v>
      </c>
      <c r="D550" t="s">
        <v>21</v>
      </c>
      <c r="E550" t="s">
        <v>59</v>
      </c>
      <c r="F550" t="s">
        <v>16</v>
      </c>
      <c r="G550">
        <v>8.9179999999999999E-4</v>
      </c>
      <c r="H550">
        <v>1.4047E-3</v>
      </c>
    </row>
    <row r="551" spans="1:9" x14ac:dyDescent="0.25">
      <c r="A551" s="104" t="str">
        <f t="shared" si="8"/>
        <v>Nepal2016RuralOtherIUD</v>
      </c>
      <c r="B551" t="s">
        <v>144</v>
      </c>
      <c r="C551">
        <v>2016</v>
      </c>
      <c r="D551" t="s">
        <v>21</v>
      </c>
      <c r="E551" t="s">
        <v>116</v>
      </c>
      <c r="F551" t="s">
        <v>16</v>
      </c>
      <c r="G551">
        <v>7.0450000000000005E-4</v>
      </c>
      <c r="I551">
        <v>7.1741000000000001E-3</v>
      </c>
    </row>
    <row r="552" spans="1:9" x14ac:dyDescent="0.25">
      <c r="A552" s="104" t="str">
        <f t="shared" si="8"/>
        <v>Nepal2016NationalPub_MedInjectable</v>
      </c>
      <c r="B552" t="s">
        <v>144</v>
      </c>
      <c r="C552">
        <v>2016</v>
      </c>
      <c r="D552" t="s">
        <v>178</v>
      </c>
      <c r="E552" t="s">
        <v>52</v>
      </c>
      <c r="F552" t="s">
        <v>22</v>
      </c>
      <c r="G552">
        <v>6.0799699999999998E-2</v>
      </c>
      <c r="H552">
        <v>3.51676E-2</v>
      </c>
      <c r="I552">
        <v>2.4783599999999999E-2</v>
      </c>
    </row>
    <row r="553" spans="1:9" x14ac:dyDescent="0.25">
      <c r="A553" s="104" t="str">
        <f t="shared" si="8"/>
        <v>Nepal2016NationalPub_OutreachInjectable</v>
      </c>
      <c r="B553" t="s">
        <v>144</v>
      </c>
      <c r="C553">
        <v>2016</v>
      </c>
      <c r="D553" t="s">
        <v>178</v>
      </c>
      <c r="E553" t="s">
        <v>54</v>
      </c>
      <c r="F553" t="s">
        <v>22</v>
      </c>
      <c r="G553">
        <v>9.1401E-3</v>
      </c>
      <c r="H553">
        <v>2.6928E-3</v>
      </c>
      <c r="I553">
        <v>6.0030000000000001E-4</v>
      </c>
    </row>
    <row r="554" spans="1:9" x14ac:dyDescent="0.25">
      <c r="A554" s="104" t="str">
        <f t="shared" si="8"/>
        <v>Nepal2016NationalNGOInjectable</v>
      </c>
      <c r="B554" t="s">
        <v>144</v>
      </c>
      <c r="C554">
        <v>2016</v>
      </c>
      <c r="D554" t="s">
        <v>178</v>
      </c>
      <c r="E554" t="s">
        <v>170</v>
      </c>
      <c r="F554" t="s">
        <v>22</v>
      </c>
      <c r="G554">
        <v>7.5969999999999998E-4</v>
      </c>
      <c r="H554">
        <v>8.9910000000000001E-4</v>
      </c>
      <c r="I554">
        <v>1.3829000000000001E-3</v>
      </c>
    </row>
    <row r="555" spans="1:9" x14ac:dyDescent="0.25">
      <c r="A555" s="104" t="str">
        <f t="shared" si="8"/>
        <v>Nepal2016NationalCommercialInjectable</v>
      </c>
      <c r="B555" t="s">
        <v>144</v>
      </c>
      <c r="C555">
        <v>2016</v>
      </c>
      <c r="D555" t="s">
        <v>178</v>
      </c>
      <c r="E555" t="s">
        <v>59</v>
      </c>
      <c r="F555" t="s">
        <v>22</v>
      </c>
      <c r="G555">
        <v>1.2220999999999999E-2</v>
      </c>
      <c r="H555">
        <v>2.1855599999999999E-2</v>
      </c>
      <c r="I555">
        <v>1.94947E-2</v>
      </c>
    </row>
    <row r="556" spans="1:9" x14ac:dyDescent="0.25">
      <c r="A556" s="104" t="str">
        <f t="shared" si="8"/>
        <v>Nepal2016NationalOtherInjectable</v>
      </c>
      <c r="B556" t="s">
        <v>144</v>
      </c>
      <c r="C556">
        <v>2016</v>
      </c>
      <c r="D556" t="s">
        <v>178</v>
      </c>
      <c r="E556" t="s">
        <v>116</v>
      </c>
      <c r="F556" t="s">
        <v>22</v>
      </c>
      <c r="I556">
        <v>4.061E-4</v>
      </c>
    </row>
    <row r="557" spans="1:9" x14ac:dyDescent="0.25">
      <c r="A557" s="104" t="str">
        <f t="shared" si="8"/>
        <v>Nepal2016UrbanPub_MedInjectable</v>
      </c>
      <c r="B557" t="s">
        <v>144</v>
      </c>
      <c r="C557">
        <v>2016</v>
      </c>
      <c r="D557" t="s">
        <v>20</v>
      </c>
      <c r="E557" t="s">
        <v>52</v>
      </c>
      <c r="F557" t="s">
        <v>22</v>
      </c>
      <c r="G557">
        <v>5.9680400000000002E-2</v>
      </c>
      <c r="H557">
        <v>3.7946100000000003E-2</v>
      </c>
      <c r="I557">
        <v>2.2939299999999999E-2</v>
      </c>
    </row>
    <row r="558" spans="1:9" x14ac:dyDescent="0.25">
      <c r="A558" s="104" t="str">
        <f t="shared" si="8"/>
        <v>Nepal2016UrbanPub_OutreachInjectable</v>
      </c>
      <c r="B558" t="s">
        <v>144</v>
      </c>
      <c r="C558">
        <v>2016</v>
      </c>
      <c r="D558" t="s">
        <v>20</v>
      </c>
      <c r="E558" t="s">
        <v>54</v>
      </c>
      <c r="F558" t="s">
        <v>22</v>
      </c>
      <c r="G558">
        <v>7.2278999999999998E-3</v>
      </c>
      <c r="H558">
        <v>1.8959999999999999E-3</v>
      </c>
      <c r="I558">
        <v>6.4720000000000001E-4</v>
      </c>
    </row>
    <row r="559" spans="1:9" x14ac:dyDescent="0.25">
      <c r="A559" s="104" t="str">
        <f t="shared" si="8"/>
        <v>Nepal2016UrbanNGOInjectable</v>
      </c>
      <c r="B559" t="s">
        <v>144</v>
      </c>
      <c r="C559">
        <v>2016</v>
      </c>
      <c r="D559" t="s">
        <v>20</v>
      </c>
      <c r="E559" t="s">
        <v>170</v>
      </c>
      <c r="F559" t="s">
        <v>22</v>
      </c>
      <c r="G559">
        <v>6.8150000000000003E-4</v>
      </c>
      <c r="H559">
        <v>1.1632000000000001E-3</v>
      </c>
      <c r="I559">
        <v>1.4911E-3</v>
      </c>
    </row>
    <row r="560" spans="1:9" x14ac:dyDescent="0.25">
      <c r="A560" s="104" t="str">
        <f t="shared" si="8"/>
        <v>Nepal2016UrbanCommercialInjectable</v>
      </c>
      <c r="B560" t="s">
        <v>144</v>
      </c>
      <c r="C560">
        <v>2016</v>
      </c>
      <c r="D560" t="s">
        <v>20</v>
      </c>
      <c r="E560" t="s">
        <v>59</v>
      </c>
      <c r="F560" t="s">
        <v>22</v>
      </c>
      <c r="G560">
        <v>1.4923199999999999E-2</v>
      </c>
      <c r="H560">
        <v>2.9150300000000001E-2</v>
      </c>
      <c r="I560">
        <v>2.0125500000000001E-2</v>
      </c>
    </row>
    <row r="561" spans="1:9" x14ac:dyDescent="0.25">
      <c r="A561" s="104" t="str">
        <f t="shared" si="8"/>
        <v>Nepal2016UrbanOtherInjectable</v>
      </c>
      <c r="B561" t="s">
        <v>144</v>
      </c>
      <c r="C561">
        <v>2016</v>
      </c>
      <c r="D561" t="s">
        <v>20</v>
      </c>
      <c r="E561" t="s">
        <v>116</v>
      </c>
      <c r="F561" t="s">
        <v>22</v>
      </c>
      <c r="I561">
        <v>4.3780000000000002E-4</v>
      </c>
    </row>
    <row r="562" spans="1:9" x14ac:dyDescent="0.25">
      <c r="A562" s="104" t="str">
        <f t="shared" si="8"/>
        <v>Nepal2016RuralPub_MedInjectable</v>
      </c>
      <c r="B562" t="s">
        <v>144</v>
      </c>
      <c r="C562">
        <v>2016</v>
      </c>
      <c r="D562" t="s">
        <v>21</v>
      </c>
      <c r="E562" t="s">
        <v>52</v>
      </c>
      <c r="F562" t="s">
        <v>22</v>
      </c>
      <c r="G562">
        <v>6.1929999999999999E-2</v>
      </c>
      <c r="H562">
        <v>3.02505E-2</v>
      </c>
      <c r="I562">
        <v>4.83694E-2</v>
      </c>
    </row>
    <row r="563" spans="1:9" x14ac:dyDescent="0.25">
      <c r="A563" s="104" t="str">
        <f t="shared" si="8"/>
        <v>Nepal2016RuralPub_OutreachInjectable</v>
      </c>
      <c r="B563" t="s">
        <v>144</v>
      </c>
      <c r="C563">
        <v>2016</v>
      </c>
      <c r="D563" t="s">
        <v>21</v>
      </c>
      <c r="E563" t="s">
        <v>54</v>
      </c>
      <c r="F563" t="s">
        <v>22</v>
      </c>
      <c r="G563">
        <v>1.1071299999999999E-2</v>
      </c>
      <c r="H563">
        <v>4.1028999999999996E-3</v>
      </c>
    </row>
    <row r="564" spans="1:9" x14ac:dyDescent="0.25">
      <c r="A564" s="104" t="str">
        <f t="shared" si="8"/>
        <v>Nepal2016RuralNGOInjectable</v>
      </c>
      <c r="B564" t="s">
        <v>144</v>
      </c>
      <c r="C564">
        <v>2016</v>
      </c>
      <c r="D564" t="s">
        <v>21</v>
      </c>
      <c r="E564" t="s">
        <v>170</v>
      </c>
      <c r="F564" t="s">
        <v>22</v>
      </c>
      <c r="G564">
        <v>8.3869999999999995E-4</v>
      </c>
      <c r="H564">
        <v>4.3169999999999998E-4</v>
      </c>
    </row>
    <row r="565" spans="1:9" x14ac:dyDescent="0.25">
      <c r="A565" s="104" t="str">
        <f t="shared" si="8"/>
        <v>Nepal2016RuralCommercialInjectable</v>
      </c>
      <c r="B565" t="s">
        <v>144</v>
      </c>
      <c r="C565">
        <v>2016</v>
      </c>
      <c r="D565" t="s">
        <v>21</v>
      </c>
      <c r="E565" t="s">
        <v>59</v>
      </c>
      <c r="F565" t="s">
        <v>22</v>
      </c>
      <c r="G565">
        <v>9.4920999999999998E-3</v>
      </c>
      <c r="H565">
        <v>8.9464000000000002E-3</v>
      </c>
      <c r="I565">
        <v>1.14273E-2</v>
      </c>
    </row>
    <row r="566" spans="1:9" x14ac:dyDescent="0.25">
      <c r="A566" s="104" t="str">
        <f t="shared" si="8"/>
        <v>Nepal2016NationalPub_MedCondom</v>
      </c>
      <c r="B566" t="s">
        <v>144</v>
      </c>
      <c r="C566">
        <v>2016</v>
      </c>
      <c r="D566" t="s">
        <v>178</v>
      </c>
      <c r="E566" t="s">
        <v>52</v>
      </c>
      <c r="F566" t="s">
        <v>25</v>
      </c>
      <c r="G566">
        <v>9.6880000000000004E-3</v>
      </c>
      <c r="H566">
        <v>4.7448999999999998E-3</v>
      </c>
      <c r="I566">
        <v>8.6119999999999999E-3</v>
      </c>
    </row>
    <row r="567" spans="1:9" x14ac:dyDescent="0.25">
      <c r="A567" s="104" t="str">
        <f t="shared" si="8"/>
        <v>Nepal2016NationalPub_OutreachCondom</v>
      </c>
      <c r="B567" t="s">
        <v>144</v>
      </c>
      <c r="C567">
        <v>2016</v>
      </c>
      <c r="D567" t="s">
        <v>178</v>
      </c>
      <c r="E567" t="s">
        <v>54</v>
      </c>
      <c r="F567" t="s">
        <v>25</v>
      </c>
      <c r="G567">
        <v>6.646E-3</v>
      </c>
      <c r="H567">
        <v>2.9857999999999998E-3</v>
      </c>
      <c r="I567">
        <v>2.9439000000000002E-3</v>
      </c>
    </row>
    <row r="568" spans="1:9" x14ac:dyDescent="0.25">
      <c r="A568" s="104" t="str">
        <f t="shared" si="8"/>
        <v>Nepal2016NationalNGOCondom</v>
      </c>
      <c r="B568" t="s">
        <v>144</v>
      </c>
      <c r="C568">
        <v>2016</v>
      </c>
      <c r="D568" t="s">
        <v>178</v>
      </c>
      <c r="E568" t="s">
        <v>170</v>
      </c>
      <c r="F568" t="s">
        <v>25</v>
      </c>
      <c r="G568">
        <v>5.2859999999999995E-4</v>
      </c>
      <c r="I568">
        <v>4.2180000000000001E-4</v>
      </c>
    </row>
    <row r="569" spans="1:9" x14ac:dyDescent="0.25">
      <c r="A569" s="104" t="str">
        <f t="shared" si="8"/>
        <v>Nepal2016NationalCommercialCondom</v>
      </c>
      <c r="B569" t="s">
        <v>144</v>
      </c>
      <c r="C569">
        <v>2016</v>
      </c>
      <c r="D569" t="s">
        <v>178</v>
      </c>
      <c r="E569" t="s">
        <v>59</v>
      </c>
      <c r="F569" t="s">
        <v>25</v>
      </c>
      <c r="G569">
        <v>7.8852999999999996E-3</v>
      </c>
      <c r="H569">
        <v>1.38888E-2</v>
      </c>
      <c r="I569">
        <v>5.4337000000000003E-2</v>
      </c>
    </row>
    <row r="570" spans="1:9" x14ac:dyDescent="0.25">
      <c r="A570" s="104" t="str">
        <f t="shared" si="8"/>
        <v>Nepal2016NationalNonTradCondom</v>
      </c>
      <c r="B570" t="s">
        <v>144</v>
      </c>
      <c r="C570">
        <v>2016</v>
      </c>
      <c r="D570" t="s">
        <v>178</v>
      </c>
      <c r="E570" t="s">
        <v>171</v>
      </c>
      <c r="F570" t="s">
        <v>25</v>
      </c>
      <c r="G570">
        <v>1.7770000000000001E-4</v>
      </c>
      <c r="H570">
        <v>3.2469999999999998E-4</v>
      </c>
      <c r="I570">
        <v>3.1332999999999999E-3</v>
      </c>
    </row>
    <row r="571" spans="1:9" x14ac:dyDescent="0.25">
      <c r="A571" s="104" t="str">
        <f t="shared" si="8"/>
        <v>Nepal2016NationalOtherCondom</v>
      </c>
      <c r="B571" t="s">
        <v>144</v>
      </c>
      <c r="C571">
        <v>2016</v>
      </c>
      <c r="D571" t="s">
        <v>178</v>
      </c>
      <c r="E571" t="s">
        <v>116</v>
      </c>
      <c r="F571" t="s">
        <v>25</v>
      </c>
      <c r="G571">
        <v>2.6410000000000002E-4</v>
      </c>
      <c r="H571">
        <v>8.1820000000000005E-4</v>
      </c>
      <c r="I571">
        <v>4.1159999999999998E-4</v>
      </c>
    </row>
    <row r="572" spans="1:9" x14ac:dyDescent="0.25">
      <c r="A572" s="104" t="str">
        <f t="shared" si="8"/>
        <v>Nepal2016UrbanPub_MedCondom</v>
      </c>
      <c r="B572" t="s">
        <v>144</v>
      </c>
      <c r="C572">
        <v>2016</v>
      </c>
      <c r="D572" t="s">
        <v>20</v>
      </c>
      <c r="E572" t="s">
        <v>52</v>
      </c>
      <c r="F572" t="s">
        <v>25</v>
      </c>
      <c r="G572">
        <v>8.0853000000000001E-3</v>
      </c>
      <c r="H572">
        <v>5.7727999999999998E-3</v>
      </c>
      <c r="I572">
        <v>7.6741999999999999E-3</v>
      </c>
    </row>
    <row r="573" spans="1:9" x14ac:dyDescent="0.25">
      <c r="A573" s="104" t="str">
        <f t="shared" si="8"/>
        <v>Nepal2016UrbanPub_OutreachCondom</v>
      </c>
      <c r="B573" t="s">
        <v>144</v>
      </c>
      <c r="C573">
        <v>2016</v>
      </c>
      <c r="D573" t="s">
        <v>20</v>
      </c>
      <c r="E573" t="s">
        <v>54</v>
      </c>
      <c r="F573" t="s">
        <v>25</v>
      </c>
      <c r="G573">
        <v>6.5719999999999997E-3</v>
      </c>
      <c r="H573">
        <v>2.529E-3</v>
      </c>
      <c r="I573">
        <v>3.1741E-3</v>
      </c>
    </row>
    <row r="574" spans="1:9" x14ac:dyDescent="0.25">
      <c r="A574" s="104" t="str">
        <f t="shared" si="8"/>
        <v>Nepal2016UrbanNGOCondom</v>
      </c>
      <c r="B574" t="s">
        <v>144</v>
      </c>
      <c r="C574">
        <v>2016</v>
      </c>
      <c r="D574" t="s">
        <v>20</v>
      </c>
      <c r="E574" t="s">
        <v>170</v>
      </c>
      <c r="F574" t="s">
        <v>25</v>
      </c>
      <c r="G574">
        <v>1.0521E-3</v>
      </c>
      <c r="I574">
        <v>4.5469999999999999E-4</v>
      </c>
    </row>
    <row r="575" spans="1:9" x14ac:dyDescent="0.25">
      <c r="A575" s="104" t="str">
        <f t="shared" si="8"/>
        <v>Nepal2016UrbanCommercialCondom</v>
      </c>
      <c r="B575" t="s">
        <v>144</v>
      </c>
      <c r="C575">
        <v>2016</v>
      </c>
      <c r="D575" t="s">
        <v>20</v>
      </c>
      <c r="E575" t="s">
        <v>59</v>
      </c>
      <c r="F575" t="s">
        <v>25</v>
      </c>
      <c r="G575">
        <v>9.7698999999999998E-3</v>
      </c>
      <c r="H575">
        <v>1.5973000000000001E-2</v>
      </c>
      <c r="I575">
        <v>5.4672199999999997E-2</v>
      </c>
    </row>
    <row r="576" spans="1:9" x14ac:dyDescent="0.25">
      <c r="A576" s="104" t="str">
        <f t="shared" si="8"/>
        <v>Nepal2016UrbanNonTradCondom</v>
      </c>
      <c r="B576" t="s">
        <v>144</v>
      </c>
      <c r="C576">
        <v>2016</v>
      </c>
      <c r="D576" t="s">
        <v>20</v>
      </c>
      <c r="E576" t="s">
        <v>171</v>
      </c>
      <c r="F576" t="s">
        <v>25</v>
      </c>
      <c r="H576">
        <v>2.3379999999999999E-4</v>
      </c>
      <c r="I576">
        <v>3.3782999999999999E-3</v>
      </c>
    </row>
    <row r="577" spans="1:9" x14ac:dyDescent="0.25">
      <c r="A577" s="104" t="str">
        <f t="shared" si="8"/>
        <v>Nepal2016UrbanOtherCondom</v>
      </c>
      <c r="B577" t="s">
        <v>144</v>
      </c>
      <c r="C577">
        <v>2016</v>
      </c>
      <c r="D577" t="s">
        <v>20</v>
      </c>
      <c r="E577" t="s">
        <v>116</v>
      </c>
      <c r="F577" t="s">
        <v>25</v>
      </c>
      <c r="G577">
        <v>5.2559999999999998E-4</v>
      </c>
      <c r="H577">
        <v>3.925E-4</v>
      </c>
      <c r="I577">
        <v>4.438E-4</v>
      </c>
    </row>
    <row r="578" spans="1:9" x14ac:dyDescent="0.25">
      <c r="A578" s="104" t="str">
        <f t="shared" si="8"/>
        <v>Nepal2016RuralPub_MedCondom</v>
      </c>
      <c r="B578" t="s">
        <v>144</v>
      </c>
      <c r="C578">
        <v>2016</v>
      </c>
      <c r="D578" t="s">
        <v>21</v>
      </c>
      <c r="E578" t="s">
        <v>52</v>
      </c>
      <c r="F578" t="s">
        <v>25</v>
      </c>
      <c r="G578">
        <v>1.13066E-2</v>
      </c>
      <c r="H578">
        <v>2.9258999999999999E-3</v>
      </c>
      <c r="I578">
        <v>2.0605200000000001E-2</v>
      </c>
    </row>
    <row r="579" spans="1:9" x14ac:dyDescent="0.25">
      <c r="A579" s="104" t="str">
        <f t="shared" ref="A579:A642" si="9">B579&amp;C579&amp;D579&amp;E579&amp;F579</f>
        <v>Nepal2016RuralPub_OutreachCondom</v>
      </c>
      <c r="B579" t="s">
        <v>144</v>
      </c>
      <c r="C579">
        <v>2016</v>
      </c>
      <c r="D579" t="s">
        <v>21</v>
      </c>
      <c r="E579" t="s">
        <v>54</v>
      </c>
      <c r="F579" t="s">
        <v>25</v>
      </c>
      <c r="G579">
        <v>6.7207999999999999E-3</v>
      </c>
      <c r="H579">
        <v>3.7943999999999999E-3</v>
      </c>
    </row>
    <row r="580" spans="1:9" x14ac:dyDescent="0.25">
      <c r="A580" s="104" t="str">
        <f t="shared" si="9"/>
        <v>Nepal2016RuralCommercialCondom</v>
      </c>
      <c r="B580" t="s">
        <v>144</v>
      </c>
      <c r="C580">
        <v>2016</v>
      </c>
      <c r="D580" t="s">
        <v>21</v>
      </c>
      <c r="E580" t="s">
        <v>59</v>
      </c>
      <c r="F580" t="s">
        <v>25</v>
      </c>
      <c r="G580">
        <v>5.9822E-3</v>
      </c>
      <c r="H580">
        <v>1.0200499999999999E-2</v>
      </c>
      <c r="I580">
        <v>5.0049999999999997E-2</v>
      </c>
    </row>
    <row r="581" spans="1:9" x14ac:dyDescent="0.25">
      <c r="A581" s="104" t="str">
        <f t="shared" si="9"/>
        <v>Nepal2016RuralNonTradCondom</v>
      </c>
      <c r="B581" t="s">
        <v>144</v>
      </c>
      <c r="C581">
        <v>2016</v>
      </c>
      <c r="D581" t="s">
        <v>21</v>
      </c>
      <c r="E581" t="s">
        <v>171</v>
      </c>
      <c r="F581" t="s">
        <v>25</v>
      </c>
      <c r="G581">
        <v>3.5710000000000001E-4</v>
      </c>
      <c r="H581">
        <v>4.8549999999999998E-4</v>
      </c>
    </row>
    <row r="582" spans="1:9" x14ac:dyDescent="0.25">
      <c r="A582" s="104" t="str">
        <f t="shared" si="9"/>
        <v>Nepal2016RuralOtherCondom</v>
      </c>
      <c r="B582" t="s">
        <v>144</v>
      </c>
      <c r="C582">
        <v>2016</v>
      </c>
      <c r="D582" t="s">
        <v>21</v>
      </c>
      <c r="E582" t="s">
        <v>116</v>
      </c>
      <c r="F582" t="s">
        <v>25</v>
      </c>
      <c r="H582">
        <v>1.5715E-3</v>
      </c>
    </row>
    <row r="583" spans="1:9" x14ac:dyDescent="0.25">
      <c r="A583" s="104" t="str">
        <f t="shared" si="9"/>
        <v>Nepal2016NationalPub_MedImplant</v>
      </c>
      <c r="B583" t="s">
        <v>144</v>
      </c>
      <c r="C583">
        <v>2016</v>
      </c>
      <c r="D583" t="s">
        <v>178</v>
      </c>
      <c r="E583" t="s">
        <v>52</v>
      </c>
      <c r="F583" t="s">
        <v>23</v>
      </c>
      <c r="G583">
        <v>2.8561599999999999E-2</v>
      </c>
      <c r="H583">
        <v>1.28174E-2</v>
      </c>
      <c r="I583">
        <v>3.0580999999999998E-3</v>
      </c>
    </row>
    <row r="584" spans="1:9" x14ac:dyDescent="0.25">
      <c r="A584" s="104" t="str">
        <f t="shared" si="9"/>
        <v>Nepal2016NationalPub_OutreachImplant</v>
      </c>
      <c r="B584" t="s">
        <v>144</v>
      </c>
      <c r="C584">
        <v>2016</v>
      </c>
      <c r="D584" t="s">
        <v>178</v>
      </c>
      <c r="E584" t="s">
        <v>54</v>
      </c>
      <c r="F584" t="s">
        <v>23</v>
      </c>
      <c r="G584">
        <v>4.1602999999999996E-3</v>
      </c>
      <c r="H584">
        <v>2.8259000000000001E-3</v>
      </c>
      <c r="I584">
        <v>4.529E-4</v>
      </c>
    </row>
    <row r="585" spans="1:9" x14ac:dyDescent="0.25">
      <c r="A585" s="104" t="str">
        <f t="shared" si="9"/>
        <v>Nepal2016NationalNGOImplant</v>
      </c>
      <c r="B585" t="s">
        <v>144</v>
      </c>
      <c r="C585">
        <v>2016</v>
      </c>
      <c r="D585" t="s">
        <v>178</v>
      </c>
      <c r="E585" t="s">
        <v>170</v>
      </c>
      <c r="F585" t="s">
        <v>23</v>
      </c>
      <c r="G585">
        <v>3.4730999999999998E-3</v>
      </c>
      <c r="H585">
        <v>2.1989000000000002E-3</v>
      </c>
      <c r="I585">
        <v>4.7314000000000002E-3</v>
      </c>
    </row>
    <row r="586" spans="1:9" x14ac:dyDescent="0.25">
      <c r="A586" s="104" t="str">
        <f t="shared" si="9"/>
        <v>Nepal2016NationalCommercialImplant</v>
      </c>
      <c r="B586" t="s">
        <v>144</v>
      </c>
      <c r="C586">
        <v>2016</v>
      </c>
      <c r="D586" t="s">
        <v>178</v>
      </c>
      <c r="E586" t="s">
        <v>59</v>
      </c>
      <c r="F586" t="s">
        <v>23</v>
      </c>
      <c r="G586">
        <v>8.3379999999999999E-4</v>
      </c>
      <c r="H586">
        <v>9.4079999999999999E-4</v>
      </c>
      <c r="I586">
        <v>4.2180000000000001E-4</v>
      </c>
    </row>
    <row r="587" spans="1:9" x14ac:dyDescent="0.25">
      <c r="A587" s="104" t="str">
        <f t="shared" si="9"/>
        <v>Nepal2016UrbanPub_MedImplant</v>
      </c>
      <c r="B587" t="s">
        <v>144</v>
      </c>
      <c r="C587">
        <v>2016</v>
      </c>
      <c r="D587" t="s">
        <v>20</v>
      </c>
      <c r="E587" t="s">
        <v>52</v>
      </c>
      <c r="F587" t="s">
        <v>23</v>
      </c>
      <c r="G587">
        <v>2.6884600000000002E-2</v>
      </c>
      <c r="H587">
        <v>1.20287E-2</v>
      </c>
      <c r="I587">
        <v>2.4453999999999999E-3</v>
      </c>
    </row>
    <row r="588" spans="1:9" x14ac:dyDescent="0.25">
      <c r="A588" s="104" t="str">
        <f t="shared" si="9"/>
        <v>Nepal2016UrbanPub_OutreachImplant</v>
      </c>
      <c r="B588" t="s">
        <v>144</v>
      </c>
      <c r="C588">
        <v>2016</v>
      </c>
      <c r="D588" t="s">
        <v>20</v>
      </c>
      <c r="E588" t="s">
        <v>54</v>
      </c>
      <c r="F588" t="s">
        <v>23</v>
      </c>
      <c r="G588">
        <v>2.3497000000000001E-3</v>
      </c>
      <c r="H588">
        <v>1.3550000000000001E-3</v>
      </c>
      <c r="I588">
        <v>4.883E-4</v>
      </c>
    </row>
    <row r="589" spans="1:9" x14ac:dyDescent="0.25">
      <c r="A589" s="104" t="str">
        <f t="shared" si="9"/>
        <v>Nepal2016UrbanNGOImplant</v>
      </c>
      <c r="B589" t="s">
        <v>144</v>
      </c>
      <c r="C589">
        <v>2016</v>
      </c>
      <c r="D589" t="s">
        <v>20</v>
      </c>
      <c r="E589" t="s">
        <v>170</v>
      </c>
      <c r="F589" t="s">
        <v>23</v>
      </c>
      <c r="G589">
        <v>5.5069999999999997E-3</v>
      </c>
      <c r="H589">
        <v>1.7321999999999999E-3</v>
      </c>
      <c r="I589">
        <v>5.1013999999999999E-3</v>
      </c>
    </row>
    <row r="590" spans="1:9" x14ac:dyDescent="0.25">
      <c r="A590" s="104" t="str">
        <f t="shared" si="9"/>
        <v>Nepal2016UrbanCommercialImplant</v>
      </c>
      <c r="B590" t="s">
        <v>144</v>
      </c>
      <c r="C590">
        <v>2016</v>
      </c>
      <c r="D590" t="s">
        <v>20</v>
      </c>
      <c r="E590" t="s">
        <v>59</v>
      </c>
      <c r="F590" t="s">
        <v>23</v>
      </c>
      <c r="G590">
        <v>1.6579999999999999E-4</v>
      </c>
      <c r="H590">
        <v>7.762E-4</v>
      </c>
      <c r="I590">
        <v>4.5469999999999999E-4</v>
      </c>
    </row>
    <row r="591" spans="1:9" x14ac:dyDescent="0.25">
      <c r="A591" s="104" t="str">
        <f t="shared" si="9"/>
        <v>Nepal2016RuralPub_MedImplant</v>
      </c>
      <c r="B591" t="s">
        <v>144</v>
      </c>
      <c r="C591">
        <v>2016</v>
      </c>
      <c r="D591" t="s">
        <v>21</v>
      </c>
      <c r="E591" t="s">
        <v>52</v>
      </c>
      <c r="F591" t="s">
        <v>23</v>
      </c>
      <c r="G591">
        <v>3.0255199999999999E-2</v>
      </c>
      <c r="H591">
        <v>1.42133E-2</v>
      </c>
      <c r="I591">
        <v>1.08938E-2</v>
      </c>
    </row>
    <row r="592" spans="1:9" x14ac:dyDescent="0.25">
      <c r="A592" s="104" t="str">
        <f t="shared" si="9"/>
        <v>Nepal2016RuralPub_OutreachImplant</v>
      </c>
      <c r="B592" t="s">
        <v>144</v>
      </c>
      <c r="C592">
        <v>2016</v>
      </c>
      <c r="D592" t="s">
        <v>21</v>
      </c>
      <c r="E592" t="s">
        <v>54</v>
      </c>
      <c r="F592" t="s">
        <v>23</v>
      </c>
      <c r="G592">
        <v>5.9886999999999996E-3</v>
      </c>
      <c r="H592">
        <v>5.4289000000000004E-3</v>
      </c>
    </row>
    <row r="593" spans="1:9" x14ac:dyDescent="0.25">
      <c r="A593" s="104" t="str">
        <f t="shared" si="9"/>
        <v>Nepal2016RuralNGOImplant</v>
      </c>
      <c r="B593" t="s">
        <v>144</v>
      </c>
      <c r="C593">
        <v>2016</v>
      </c>
      <c r="D593" t="s">
        <v>21</v>
      </c>
      <c r="E593" t="s">
        <v>170</v>
      </c>
      <c r="F593" t="s">
        <v>23</v>
      </c>
      <c r="G593">
        <v>1.4192E-3</v>
      </c>
      <c r="H593">
        <v>3.0249999999999999E-3</v>
      </c>
    </row>
    <row r="594" spans="1:9" x14ac:dyDescent="0.25">
      <c r="A594" s="104" t="str">
        <f t="shared" si="9"/>
        <v>Nepal2016RuralCommercialImplant</v>
      </c>
      <c r="B594" t="s">
        <v>144</v>
      </c>
      <c r="C594">
        <v>2016</v>
      </c>
      <c r="D594" t="s">
        <v>21</v>
      </c>
      <c r="E594" t="s">
        <v>59</v>
      </c>
      <c r="F594" t="s">
        <v>23</v>
      </c>
      <c r="G594">
        <v>1.5084E-3</v>
      </c>
      <c r="H594">
        <v>1.2321000000000001E-3</v>
      </c>
    </row>
    <row r="595" spans="1:9" x14ac:dyDescent="0.25">
      <c r="A595" s="104" t="str">
        <f t="shared" si="9"/>
        <v>Pakistan2012.5NationalPub_MedPill</v>
      </c>
      <c r="B595" t="s">
        <v>146</v>
      </c>
      <c r="C595">
        <v>2012.5</v>
      </c>
      <c r="D595" t="s">
        <v>178</v>
      </c>
      <c r="E595" t="s">
        <v>52</v>
      </c>
      <c r="F595" t="s">
        <v>12</v>
      </c>
      <c r="G595">
        <v>3.0071E-3</v>
      </c>
      <c r="H595">
        <v>2.6126000000000001E-3</v>
      </c>
      <c r="I595">
        <v>2.4881E-3</v>
      </c>
    </row>
    <row r="596" spans="1:9" x14ac:dyDescent="0.25">
      <c r="A596" s="104" t="str">
        <f t="shared" si="9"/>
        <v>Pakistan2012.5NationalPub_OutreachPill</v>
      </c>
      <c r="B596" t="s">
        <v>146</v>
      </c>
      <c r="C596">
        <v>2012.5</v>
      </c>
      <c r="D596" t="s">
        <v>178</v>
      </c>
      <c r="E596" t="s">
        <v>54</v>
      </c>
      <c r="F596" t="s">
        <v>12</v>
      </c>
      <c r="G596">
        <v>3.6034000000000001E-3</v>
      </c>
      <c r="H596">
        <v>5.7441000000000002E-3</v>
      </c>
      <c r="I596">
        <v>3.3587000000000001E-3</v>
      </c>
    </row>
    <row r="597" spans="1:9" x14ac:dyDescent="0.25">
      <c r="A597" s="104" t="str">
        <f t="shared" si="9"/>
        <v>Pakistan2012.5NationalNGOPill</v>
      </c>
      <c r="B597" t="s">
        <v>146</v>
      </c>
      <c r="C597">
        <v>2012.5</v>
      </c>
      <c r="D597" t="s">
        <v>178</v>
      </c>
      <c r="E597" t="s">
        <v>170</v>
      </c>
      <c r="F597" t="s">
        <v>12</v>
      </c>
      <c r="G597">
        <v>9.4780000000000005E-4</v>
      </c>
      <c r="H597">
        <v>1.0378E-3</v>
      </c>
      <c r="I597">
        <v>2.7910000000000001E-4</v>
      </c>
    </row>
    <row r="598" spans="1:9" x14ac:dyDescent="0.25">
      <c r="A598" s="104" t="str">
        <f t="shared" si="9"/>
        <v>Pakistan2012.5NationalCommercialPill</v>
      </c>
      <c r="B598" t="s">
        <v>146</v>
      </c>
      <c r="C598">
        <v>2012.5</v>
      </c>
      <c r="D598" t="s">
        <v>178</v>
      </c>
      <c r="E598" t="s">
        <v>59</v>
      </c>
      <c r="F598" t="s">
        <v>12</v>
      </c>
      <c r="G598">
        <v>4.7130000000000002E-3</v>
      </c>
      <c r="H598">
        <v>4.9737000000000002E-3</v>
      </c>
      <c r="I598">
        <v>3.6145000000000001E-3</v>
      </c>
    </row>
    <row r="599" spans="1:9" x14ac:dyDescent="0.25">
      <c r="A599" s="104" t="str">
        <f t="shared" si="9"/>
        <v>Pakistan2012.5NationalNonTradPill</v>
      </c>
      <c r="B599" t="s">
        <v>146</v>
      </c>
      <c r="C599">
        <v>2012.5</v>
      </c>
      <c r="D599" t="s">
        <v>178</v>
      </c>
      <c r="E599" t="s">
        <v>171</v>
      </c>
      <c r="F599" t="s">
        <v>12</v>
      </c>
      <c r="G599">
        <v>2.4545999999999999E-3</v>
      </c>
      <c r="H599">
        <v>1.0380999999999999E-3</v>
      </c>
      <c r="I599">
        <v>1.0212999999999999E-3</v>
      </c>
    </row>
    <row r="600" spans="1:9" x14ac:dyDescent="0.25">
      <c r="A600" s="104" t="str">
        <f t="shared" si="9"/>
        <v>Pakistan2012.5NationalOtherPill</v>
      </c>
      <c r="B600" t="s">
        <v>146</v>
      </c>
      <c r="C600">
        <v>2012.5</v>
      </c>
      <c r="D600" t="s">
        <v>178</v>
      </c>
      <c r="E600" t="s">
        <v>116</v>
      </c>
      <c r="F600" t="s">
        <v>12</v>
      </c>
      <c r="G600">
        <v>4.1990000000000001E-4</v>
      </c>
      <c r="H600">
        <v>1.3715000000000001E-3</v>
      </c>
      <c r="I600">
        <v>8.2620000000000002E-4</v>
      </c>
    </row>
    <row r="601" spans="1:9" x14ac:dyDescent="0.25">
      <c r="A601" s="104" t="str">
        <f t="shared" si="9"/>
        <v>Pakistan2012.5UrbanPub_MedPill</v>
      </c>
      <c r="B601" t="s">
        <v>146</v>
      </c>
      <c r="C601">
        <v>2012.5</v>
      </c>
      <c r="D601" t="s">
        <v>20</v>
      </c>
      <c r="E601" t="s">
        <v>52</v>
      </c>
      <c r="F601" t="s">
        <v>12</v>
      </c>
      <c r="G601">
        <v>1.1158899999999999E-2</v>
      </c>
      <c r="H601">
        <v>2.8938000000000002E-3</v>
      </c>
      <c r="I601">
        <v>2.8847E-3</v>
      </c>
    </row>
    <row r="602" spans="1:9" x14ac:dyDescent="0.25">
      <c r="A602" s="104" t="str">
        <f t="shared" si="9"/>
        <v>Pakistan2012.5UrbanPub_OutreachPill</v>
      </c>
      <c r="B602" t="s">
        <v>146</v>
      </c>
      <c r="C602">
        <v>2012.5</v>
      </c>
      <c r="D602" t="s">
        <v>20</v>
      </c>
      <c r="E602" t="s">
        <v>54</v>
      </c>
      <c r="F602" t="s">
        <v>12</v>
      </c>
      <c r="G602">
        <v>3.5270000000000002E-3</v>
      </c>
      <c r="H602">
        <v>5.5414000000000001E-3</v>
      </c>
      <c r="I602">
        <v>2.9137999999999998E-3</v>
      </c>
    </row>
    <row r="603" spans="1:9" x14ac:dyDescent="0.25">
      <c r="A603" s="104" t="str">
        <f t="shared" si="9"/>
        <v>Pakistan2012.5UrbanNGOPill</v>
      </c>
      <c r="B603" t="s">
        <v>146</v>
      </c>
      <c r="C603">
        <v>2012.5</v>
      </c>
      <c r="D603" t="s">
        <v>20</v>
      </c>
      <c r="E603" t="s">
        <v>170</v>
      </c>
      <c r="F603" t="s">
        <v>12</v>
      </c>
      <c r="G603">
        <v>6.8345999999999997E-3</v>
      </c>
      <c r="H603">
        <v>2.6219999999999998E-4</v>
      </c>
      <c r="I603">
        <v>3.4299999999999999E-4</v>
      </c>
    </row>
    <row r="604" spans="1:9" x14ac:dyDescent="0.25">
      <c r="A604" s="104" t="str">
        <f t="shared" si="9"/>
        <v>Pakistan2012.5UrbanCommercialPill</v>
      </c>
      <c r="B604" t="s">
        <v>146</v>
      </c>
      <c r="C604">
        <v>2012.5</v>
      </c>
      <c r="D604" t="s">
        <v>20</v>
      </c>
      <c r="E604" t="s">
        <v>59</v>
      </c>
      <c r="F604" t="s">
        <v>12</v>
      </c>
      <c r="G604">
        <v>1.167E-4</v>
      </c>
      <c r="H604">
        <v>5.7936999999999997E-3</v>
      </c>
      <c r="I604">
        <v>3.9919999999999999E-3</v>
      </c>
    </row>
    <row r="605" spans="1:9" x14ac:dyDescent="0.25">
      <c r="A605" s="104" t="str">
        <f t="shared" si="9"/>
        <v>Pakistan2012.5UrbanNonTradPill</v>
      </c>
      <c r="B605" t="s">
        <v>146</v>
      </c>
      <c r="C605">
        <v>2012.5</v>
      </c>
      <c r="D605" t="s">
        <v>20</v>
      </c>
      <c r="E605" t="s">
        <v>171</v>
      </c>
      <c r="F605" t="s">
        <v>12</v>
      </c>
      <c r="G605">
        <v>3.5103999999999999E-3</v>
      </c>
      <c r="H605">
        <v>1.58E-3</v>
      </c>
      <c r="I605">
        <v>6.4179999999999999E-4</v>
      </c>
    </row>
    <row r="606" spans="1:9" x14ac:dyDescent="0.25">
      <c r="A606" s="104" t="str">
        <f t="shared" si="9"/>
        <v>Pakistan2012.5UrbanOtherPill</v>
      </c>
      <c r="B606" t="s">
        <v>146</v>
      </c>
      <c r="C606">
        <v>2012.5</v>
      </c>
      <c r="D606" t="s">
        <v>20</v>
      </c>
      <c r="E606" t="s">
        <v>116</v>
      </c>
      <c r="F606" t="s">
        <v>12</v>
      </c>
      <c r="H606">
        <v>8.2479999999999999E-4</v>
      </c>
      <c r="I606">
        <v>1.3349999999999999E-4</v>
      </c>
    </row>
    <row r="607" spans="1:9" x14ac:dyDescent="0.25">
      <c r="A607" s="104" t="str">
        <f t="shared" si="9"/>
        <v>Pakistan2012.5RuralPub_MedPill</v>
      </c>
      <c r="B607" t="s">
        <v>146</v>
      </c>
      <c r="C607">
        <v>2012.5</v>
      </c>
      <c r="D607" t="s">
        <v>21</v>
      </c>
      <c r="E607" t="s">
        <v>52</v>
      </c>
      <c r="F607" t="s">
        <v>12</v>
      </c>
      <c r="G607">
        <v>2.5994999999999998E-3</v>
      </c>
      <c r="H607">
        <v>2.4566000000000002E-3</v>
      </c>
      <c r="I607">
        <v>7.5580000000000005E-4</v>
      </c>
    </row>
    <row r="608" spans="1:9" x14ac:dyDescent="0.25">
      <c r="A608" s="104" t="str">
        <f t="shared" si="9"/>
        <v>Pakistan2012.5RuralPub_OutreachPill</v>
      </c>
      <c r="B608" t="s">
        <v>146</v>
      </c>
      <c r="C608">
        <v>2012.5</v>
      </c>
      <c r="D608" t="s">
        <v>21</v>
      </c>
      <c r="E608" t="s">
        <v>54</v>
      </c>
      <c r="F608" t="s">
        <v>12</v>
      </c>
      <c r="G608">
        <v>3.6072000000000001E-3</v>
      </c>
      <c r="H608">
        <v>5.8566E-3</v>
      </c>
      <c r="I608">
        <v>5.3022E-3</v>
      </c>
    </row>
    <row r="609" spans="1:9" x14ac:dyDescent="0.25">
      <c r="A609" s="104" t="str">
        <f t="shared" si="9"/>
        <v>Pakistan2012.5RuralNGOPill</v>
      </c>
      <c r="B609" t="s">
        <v>146</v>
      </c>
      <c r="C609">
        <v>2012.5</v>
      </c>
      <c r="D609" t="s">
        <v>21</v>
      </c>
      <c r="E609" t="s">
        <v>170</v>
      </c>
      <c r="F609" t="s">
        <v>12</v>
      </c>
      <c r="G609">
        <v>6.5340000000000005E-4</v>
      </c>
      <c r="H609">
        <v>1.4682E-3</v>
      </c>
    </row>
    <row r="610" spans="1:9" x14ac:dyDescent="0.25">
      <c r="A610" s="104" t="str">
        <f t="shared" si="9"/>
        <v>Pakistan2012.5RuralCommercialPill</v>
      </c>
      <c r="B610" t="s">
        <v>146</v>
      </c>
      <c r="C610">
        <v>2012.5</v>
      </c>
      <c r="D610" t="s">
        <v>21</v>
      </c>
      <c r="E610" t="s">
        <v>59</v>
      </c>
      <c r="F610" t="s">
        <v>12</v>
      </c>
      <c r="G610">
        <v>4.9429000000000001E-3</v>
      </c>
      <c r="H610">
        <v>4.5186999999999996E-3</v>
      </c>
      <c r="I610">
        <v>1.9656999999999999E-3</v>
      </c>
    </row>
    <row r="611" spans="1:9" x14ac:dyDescent="0.25">
      <c r="A611" s="104" t="str">
        <f t="shared" si="9"/>
        <v>Pakistan2012.5RuralNonTradPill</v>
      </c>
      <c r="B611" t="s">
        <v>146</v>
      </c>
      <c r="C611">
        <v>2012.5</v>
      </c>
      <c r="D611" t="s">
        <v>21</v>
      </c>
      <c r="E611" t="s">
        <v>171</v>
      </c>
      <c r="F611" t="s">
        <v>12</v>
      </c>
      <c r="G611">
        <v>2.4017999999999999E-3</v>
      </c>
      <c r="H611">
        <v>7.3740000000000003E-4</v>
      </c>
      <c r="I611">
        <v>2.6789000000000001E-3</v>
      </c>
    </row>
    <row r="612" spans="1:9" x14ac:dyDescent="0.25">
      <c r="A612" s="104" t="str">
        <f t="shared" si="9"/>
        <v>Pakistan2012.5RuralOtherPill</v>
      </c>
      <c r="B612" t="s">
        <v>146</v>
      </c>
      <c r="C612">
        <v>2012.5</v>
      </c>
      <c r="D612" t="s">
        <v>21</v>
      </c>
      <c r="E612" t="s">
        <v>116</v>
      </c>
      <c r="F612" t="s">
        <v>12</v>
      </c>
      <c r="G612">
        <v>4.4089999999999998E-4</v>
      </c>
      <c r="H612">
        <v>1.6749E-3</v>
      </c>
      <c r="I612">
        <v>3.8522000000000001E-3</v>
      </c>
    </row>
    <row r="613" spans="1:9" x14ac:dyDescent="0.25">
      <c r="A613" s="104" t="str">
        <f t="shared" si="9"/>
        <v>Pakistan2012.5NationalPub_MedIUD</v>
      </c>
      <c r="B613" t="s">
        <v>146</v>
      </c>
      <c r="C613">
        <v>2012.5</v>
      </c>
      <c r="D613" t="s">
        <v>178</v>
      </c>
      <c r="E613" t="s">
        <v>52</v>
      </c>
      <c r="F613" t="s">
        <v>16</v>
      </c>
      <c r="G613">
        <v>6.7767000000000001E-3</v>
      </c>
      <c r="H613">
        <v>1.11565E-2</v>
      </c>
      <c r="I613">
        <v>9.7605999999999995E-3</v>
      </c>
    </row>
    <row r="614" spans="1:9" x14ac:dyDescent="0.25">
      <c r="A614" s="104" t="str">
        <f t="shared" si="9"/>
        <v>Pakistan2012.5NationalPub_OutreachIUD</v>
      </c>
      <c r="B614" t="s">
        <v>146</v>
      </c>
      <c r="C614">
        <v>2012.5</v>
      </c>
      <c r="D614" t="s">
        <v>178</v>
      </c>
      <c r="E614" t="s">
        <v>54</v>
      </c>
      <c r="F614" t="s">
        <v>16</v>
      </c>
      <c r="G614">
        <v>2.8944999999999999E-3</v>
      </c>
      <c r="H614">
        <v>2.8107000000000002E-3</v>
      </c>
      <c r="I614">
        <v>1.6034000000000001E-3</v>
      </c>
    </row>
    <row r="615" spans="1:9" x14ac:dyDescent="0.25">
      <c r="A615" s="104" t="str">
        <f t="shared" si="9"/>
        <v>Pakistan2012.5NationalNGOIUD</v>
      </c>
      <c r="B615" t="s">
        <v>146</v>
      </c>
      <c r="C615">
        <v>2012.5</v>
      </c>
      <c r="D615" t="s">
        <v>178</v>
      </c>
      <c r="E615" t="s">
        <v>170</v>
      </c>
      <c r="F615" t="s">
        <v>16</v>
      </c>
      <c r="G615">
        <v>5.7508000000000004E-3</v>
      </c>
      <c r="H615">
        <v>8.0850999999999996E-3</v>
      </c>
      <c r="I615">
        <v>1.08399E-2</v>
      </c>
    </row>
    <row r="616" spans="1:9" x14ac:dyDescent="0.25">
      <c r="A616" s="104" t="str">
        <f t="shared" si="9"/>
        <v>Pakistan2012.5NationalCommercialIUD</v>
      </c>
      <c r="B616" t="s">
        <v>146</v>
      </c>
      <c r="C616">
        <v>2012.5</v>
      </c>
      <c r="D616" t="s">
        <v>178</v>
      </c>
      <c r="E616" t="s">
        <v>59</v>
      </c>
      <c r="F616" t="s">
        <v>16</v>
      </c>
      <c r="G616">
        <v>1.6544000000000001E-3</v>
      </c>
      <c r="H616">
        <v>2.4713999999999999E-3</v>
      </c>
      <c r="I616">
        <v>3.3628E-3</v>
      </c>
    </row>
    <row r="617" spans="1:9" x14ac:dyDescent="0.25">
      <c r="A617" s="104" t="str">
        <f t="shared" si="9"/>
        <v>Pakistan2012.5NationalOtherIUD</v>
      </c>
      <c r="B617" t="s">
        <v>146</v>
      </c>
      <c r="C617">
        <v>2012.5</v>
      </c>
      <c r="D617" t="s">
        <v>178</v>
      </c>
      <c r="E617" t="s">
        <v>116</v>
      </c>
      <c r="F617" t="s">
        <v>16</v>
      </c>
      <c r="H617">
        <v>1.37E-4</v>
      </c>
    </row>
    <row r="618" spans="1:9" x14ac:dyDescent="0.25">
      <c r="A618" s="104" t="str">
        <f t="shared" si="9"/>
        <v>Pakistan2012.5UrbanPub_MedIUD</v>
      </c>
      <c r="B618" t="s">
        <v>146</v>
      </c>
      <c r="C618">
        <v>2012.5</v>
      </c>
      <c r="D618" t="s">
        <v>20</v>
      </c>
      <c r="E618" t="s">
        <v>52</v>
      </c>
      <c r="F618" t="s">
        <v>16</v>
      </c>
      <c r="G618">
        <v>1.7788000000000001E-3</v>
      </c>
      <c r="H618">
        <v>1.18327E-2</v>
      </c>
      <c r="I618">
        <v>8.9487999999999998E-3</v>
      </c>
    </row>
    <row r="619" spans="1:9" x14ac:dyDescent="0.25">
      <c r="A619" s="104" t="str">
        <f t="shared" si="9"/>
        <v>Pakistan2012.5UrbanPub_OutreachIUD</v>
      </c>
      <c r="B619" t="s">
        <v>146</v>
      </c>
      <c r="C619">
        <v>2012.5</v>
      </c>
      <c r="D619" t="s">
        <v>20</v>
      </c>
      <c r="E619" t="s">
        <v>54</v>
      </c>
      <c r="F619" t="s">
        <v>16</v>
      </c>
      <c r="H619">
        <v>1.1919000000000001E-3</v>
      </c>
      <c r="I619">
        <v>1.9704000000000002E-3</v>
      </c>
    </row>
    <row r="620" spans="1:9" x14ac:dyDescent="0.25">
      <c r="A620" s="104" t="str">
        <f t="shared" si="9"/>
        <v>Pakistan2012.5UrbanNGOIUD</v>
      </c>
      <c r="B620" t="s">
        <v>146</v>
      </c>
      <c r="C620">
        <v>2012.5</v>
      </c>
      <c r="D620" t="s">
        <v>20</v>
      </c>
      <c r="E620" t="s">
        <v>170</v>
      </c>
      <c r="F620" t="s">
        <v>16</v>
      </c>
      <c r="G620">
        <v>7.9441000000000008E-3</v>
      </c>
      <c r="H620">
        <v>7.4016000000000004E-3</v>
      </c>
      <c r="I620">
        <v>1.1520600000000001E-2</v>
      </c>
    </row>
    <row r="621" spans="1:9" x14ac:dyDescent="0.25">
      <c r="A621" s="104" t="str">
        <f t="shared" si="9"/>
        <v>Pakistan2012.5UrbanCommercialIUD</v>
      </c>
      <c r="B621" t="s">
        <v>146</v>
      </c>
      <c r="C621">
        <v>2012.5</v>
      </c>
      <c r="D621" t="s">
        <v>20</v>
      </c>
      <c r="E621" t="s">
        <v>59</v>
      </c>
      <c r="F621" t="s">
        <v>16</v>
      </c>
      <c r="G621">
        <v>6.9607000000000002E-3</v>
      </c>
      <c r="H621">
        <v>4.7244000000000001E-3</v>
      </c>
      <c r="I621">
        <v>2.9351999999999998E-3</v>
      </c>
    </row>
    <row r="622" spans="1:9" x14ac:dyDescent="0.25">
      <c r="A622" s="104" t="str">
        <f t="shared" si="9"/>
        <v>Pakistan2012.5RuralPub_MedIUD</v>
      </c>
      <c r="B622" t="s">
        <v>146</v>
      </c>
      <c r="C622">
        <v>2012.5</v>
      </c>
      <c r="D622" t="s">
        <v>21</v>
      </c>
      <c r="E622" t="s">
        <v>52</v>
      </c>
      <c r="F622" t="s">
        <v>16</v>
      </c>
      <c r="G622">
        <v>7.0266E-3</v>
      </c>
      <c r="H622">
        <v>1.0781300000000001E-2</v>
      </c>
      <c r="I622">
        <v>1.33066E-2</v>
      </c>
    </row>
    <row r="623" spans="1:9" x14ac:dyDescent="0.25">
      <c r="A623" s="104" t="str">
        <f t="shared" si="9"/>
        <v>Pakistan2012.5RuralPub_OutreachIUD</v>
      </c>
      <c r="B623" t="s">
        <v>146</v>
      </c>
      <c r="C623">
        <v>2012.5</v>
      </c>
      <c r="D623" t="s">
        <v>21</v>
      </c>
      <c r="E623" t="s">
        <v>54</v>
      </c>
      <c r="F623" t="s">
        <v>16</v>
      </c>
      <c r="G623">
        <v>3.0392000000000001E-3</v>
      </c>
      <c r="H623">
        <v>3.7090000000000001E-3</v>
      </c>
    </row>
    <row r="624" spans="1:9" x14ac:dyDescent="0.25">
      <c r="A624" s="104" t="str">
        <f t="shared" si="9"/>
        <v>Pakistan2012.5RuralNGOIUD</v>
      </c>
      <c r="B624" t="s">
        <v>146</v>
      </c>
      <c r="C624">
        <v>2012.5</v>
      </c>
      <c r="D624" t="s">
        <v>21</v>
      </c>
      <c r="E624" t="s">
        <v>170</v>
      </c>
      <c r="F624" t="s">
        <v>16</v>
      </c>
      <c r="G624">
        <v>5.6411999999999999E-3</v>
      </c>
      <c r="H624">
        <v>8.4644000000000004E-3</v>
      </c>
      <c r="I624">
        <v>7.8668999999999996E-3</v>
      </c>
    </row>
    <row r="625" spans="1:9" x14ac:dyDescent="0.25">
      <c r="A625" s="104" t="str">
        <f t="shared" si="9"/>
        <v>Pakistan2012.5RuralCommercialIUD</v>
      </c>
      <c r="B625" t="s">
        <v>146</v>
      </c>
      <c r="C625">
        <v>2012.5</v>
      </c>
      <c r="D625" t="s">
        <v>21</v>
      </c>
      <c r="E625" t="s">
        <v>59</v>
      </c>
      <c r="F625" t="s">
        <v>16</v>
      </c>
      <c r="G625">
        <v>1.3891000000000001E-3</v>
      </c>
      <c r="H625">
        <v>1.2212E-3</v>
      </c>
      <c r="I625">
        <v>5.2304999999999999E-3</v>
      </c>
    </row>
    <row r="626" spans="1:9" x14ac:dyDescent="0.25">
      <c r="A626" s="104" t="str">
        <f t="shared" si="9"/>
        <v>Pakistan2012.5RuralOtherIUD</v>
      </c>
      <c r="B626" t="s">
        <v>146</v>
      </c>
      <c r="C626">
        <v>2012.5</v>
      </c>
      <c r="D626" t="s">
        <v>21</v>
      </c>
      <c r="E626" t="s">
        <v>116</v>
      </c>
      <c r="F626" t="s">
        <v>16</v>
      </c>
      <c r="H626">
        <v>2.129E-4</v>
      </c>
    </row>
    <row r="627" spans="1:9" x14ac:dyDescent="0.25">
      <c r="A627" s="104" t="str">
        <f t="shared" si="9"/>
        <v>Pakistan2012.5NationalPub_MedInjectable</v>
      </c>
      <c r="B627" t="s">
        <v>146</v>
      </c>
      <c r="C627">
        <v>2012.5</v>
      </c>
      <c r="D627" t="s">
        <v>178</v>
      </c>
      <c r="E627" t="s">
        <v>52</v>
      </c>
      <c r="F627" t="s">
        <v>22</v>
      </c>
      <c r="G627">
        <v>9.4736999999999998E-3</v>
      </c>
      <c r="H627">
        <v>1.0420199999999999E-2</v>
      </c>
      <c r="I627">
        <v>4.2988999999999996E-3</v>
      </c>
    </row>
    <row r="628" spans="1:9" x14ac:dyDescent="0.25">
      <c r="A628" s="104" t="str">
        <f t="shared" si="9"/>
        <v>Pakistan2012.5NationalPub_OutreachInjectable</v>
      </c>
      <c r="B628" t="s">
        <v>146</v>
      </c>
      <c r="C628">
        <v>2012.5</v>
      </c>
      <c r="D628" t="s">
        <v>178</v>
      </c>
      <c r="E628" t="s">
        <v>54</v>
      </c>
      <c r="F628" t="s">
        <v>22</v>
      </c>
      <c r="G628">
        <v>5.6601999999999998E-3</v>
      </c>
      <c r="H628">
        <v>7.7491000000000001E-3</v>
      </c>
      <c r="I628">
        <v>3.5487000000000001E-3</v>
      </c>
    </row>
    <row r="629" spans="1:9" x14ac:dyDescent="0.25">
      <c r="A629" s="104" t="str">
        <f t="shared" si="9"/>
        <v>Pakistan2012.5NationalNGOInjectable</v>
      </c>
      <c r="B629" t="s">
        <v>146</v>
      </c>
      <c r="C629">
        <v>2012.5</v>
      </c>
      <c r="D629" t="s">
        <v>178</v>
      </c>
      <c r="E629" t="s">
        <v>170</v>
      </c>
      <c r="F629" t="s">
        <v>22</v>
      </c>
      <c r="G629">
        <v>4.9617999999999997E-3</v>
      </c>
      <c r="H629">
        <v>8.3482000000000001E-3</v>
      </c>
      <c r="I629">
        <v>4.4859000000000001E-3</v>
      </c>
    </row>
    <row r="630" spans="1:9" x14ac:dyDescent="0.25">
      <c r="A630" s="104" t="str">
        <f t="shared" si="9"/>
        <v>Pakistan2012.5NationalCommercialInjectable</v>
      </c>
      <c r="B630" t="s">
        <v>146</v>
      </c>
      <c r="C630">
        <v>2012.5</v>
      </c>
      <c r="D630" t="s">
        <v>178</v>
      </c>
      <c r="E630" t="s">
        <v>59</v>
      </c>
      <c r="F630" t="s">
        <v>22</v>
      </c>
      <c r="G630">
        <v>7.2040999999999997E-3</v>
      </c>
      <c r="H630">
        <v>4.5545999999999998E-3</v>
      </c>
      <c r="I630">
        <v>8.9559999999999998E-4</v>
      </c>
    </row>
    <row r="631" spans="1:9" x14ac:dyDescent="0.25">
      <c r="A631" s="104" t="str">
        <f t="shared" si="9"/>
        <v>Pakistan2012.5NationalNonTradInjectable</v>
      </c>
      <c r="B631" t="s">
        <v>146</v>
      </c>
      <c r="C631">
        <v>2012.5</v>
      </c>
      <c r="D631" t="s">
        <v>178</v>
      </c>
      <c r="E631" t="s">
        <v>171</v>
      </c>
      <c r="F631" t="s">
        <v>22</v>
      </c>
      <c r="G631">
        <v>8.2070000000000005E-4</v>
      </c>
      <c r="I631">
        <v>2.745E-4</v>
      </c>
    </row>
    <row r="632" spans="1:9" x14ac:dyDescent="0.25">
      <c r="A632" s="104" t="str">
        <f t="shared" si="9"/>
        <v>Pakistan2012.5NationalOtherInjectable</v>
      </c>
      <c r="B632" t="s">
        <v>146</v>
      </c>
      <c r="C632">
        <v>2012.5</v>
      </c>
      <c r="D632" t="s">
        <v>178</v>
      </c>
      <c r="E632" t="s">
        <v>116</v>
      </c>
      <c r="F632" t="s">
        <v>22</v>
      </c>
      <c r="G632">
        <v>1.5449999999999999E-4</v>
      </c>
      <c r="H632">
        <v>3.29E-5</v>
      </c>
      <c r="I632">
        <v>6.8700000000000003E-5</v>
      </c>
    </row>
    <row r="633" spans="1:9" x14ac:dyDescent="0.25">
      <c r="A633" s="104" t="str">
        <f t="shared" si="9"/>
        <v>Pakistan2012.5UrbanPub_MedInjectable</v>
      </c>
      <c r="B633" t="s">
        <v>146</v>
      </c>
      <c r="C633">
        <v>2012.5</v>
      </c>
      <c r="D633" t="s">
        <v>20</v>
      </c>
      <c r="E633" t="s">
        <v>52</v>
      </c>
      <c r="F633" t="s">
        <v>22</v>
      </c>
      <c r="G633">
        <v>1.9539399999999998E-2</v>
      </c>
      <c r="H633">
        <v>9.4439999999999993E-3</v>
      </c>
      <c r="I633">
        <v>5.2830000000000004E-3</v>
      </c>
    </row>
    <row r="634" spans="1:9" x14ac:dyDescent="0.25">
      <c r="A634" s="104" t="str">
        <f t="shared" si="9"/>
        <v>Pakistan2012.5UrbanPub_OutreachInjectable</v>
      </c>
      <c r="B634" t="s">
        <v>146</v>
      </c>
      <c r="C634">
        <v>2012.5</v>
      </c>
      <c r="D634" t="s">
        <v>20</v>
      </c>
      <c r="E634" t="s">
        <v>54</v>
      </c>
      <c r="F634" t="s">
        <v>22</v>
      </c>
      <c r="G634">
        <v>6.1151E-3</v>
      </c>
      <c r="H634">
        <v>4.0964E-3</v>
      </c>
      <c r="I634">
        <v>3.5297000000000002E-3</v>
      </c>
    </row>
    <row r="635" spans="1:9" x14ac:dyDescent="0.25">
      <c r="A635" s="104" t="str">
        <f t="shared" si="9"/>
        <v>Pakistan2012.5UrbanNGOInjectable</v>
      </c>
      <c r="B635" t="s">
        <v>146</v>
      </c>
      <c r="C635">
        <v>2012.5</v>
      </c>
      <c r="D635" t="s">
        <v>20</v>
      </c>
      <c r="E635" t="s">
        <v>170</v>
      </c>
      <c r="F635" t="s">
        <v>22</v>
      </c>
      <c r="G635">
        <v>1.0705999999999999E-3</v>
      </c>
      <c r="H635">
        <v>1.27464E-2</v>
      </c>
      <c r="I635">
        <v>5.1710999999999997E-3</v>
      </c>
    </row>
    <row r="636" spans="1:9" x14ac:dyDescent="0.25">
      <c r="A636" s="104" t="str">
        <f t="shared" si="9"/>
        <v>Pakistan2012.5UrbanCommercialInjectable</v>
      </c>
      <c r="B636" t="s">
        <v>146</v>
      </c>
      <c r="C636">
        <v>2012.5</v>
      </c>
      <c r="D636" t="s">
        <v>20</v>
      </c>
      <c r="E636" t="s">
        <v>59</v>
      </c>
      <c r="F636" t="s">
        <v>22</v>
      </c>
      <c r="G636">
        <v>1.6986000000000001E-2</v>
      </c>
      <c r="H636">
        <v>4.4048999999999998E-3</v>
      </c>
      <c r="I636">
        <v>6.6049999999999995E-4</v>
      </c>
    </row>
    <row r="637" spans="1:9" x14ac:dyDescent="0.25">
      <c r="A637" s="104" t="str">
        <f t="shared" si="9"/>
        <v>Pakistan2012.5UrbanNonTradInjectable</v>
      </c>
      <c r="B637" t="s">
        <v>146</v>
      </c>
      <c r="C637">
        <v>2012.5</v>
      </c>
      <c r="D637" t="s">
        <v>20</v>
      </c>
      <c r="E637" t="s">
        <v>171</v>
      </c>
      <c r="F637" t="s">
        <v>22</v>
      </c>
      <c r="I637">
        <v>3.3730000000000001E-4</v>
      </c>
    </row>
    <row r="638" spans="1:9" x14ac:dyDescent="0.25">
      <c r="A638" s="104" t="str">
        <f t="shared" si="9"/>
        <v>Pakistan2012.5UrbanOtherInjectable</v>
      </c>
      <c r="B638" t="s">
        <v>146</v>
      </c>
      <c r="C638">
        <v>2012.5</v>
      </c>
      <c r="D638" t="s">
        <v>20</v>
      </c>
      <c r="E638" t="s">
        <v>116</v>
      </c>
      <c r="F638" t="s">
        <v>22</v>
      </c>
      <c r="H638">
        <v>9.2299999999999994E-5</v>
      </c>
      <c r="I638">
        <v>8.4499999999999994E-5</v>
      </c>
    </row>
    <row r="639" spans="1:9" x14ac:dyDescent="0.25">
      <c r="A639" s="104" t="str">
        <f t="shared" si="9"/>
        <v>Pakistan2012.5RuralPub_MedInjectable</v>
      </c>
      <c r="B639" t="s">
        <v>146</v>
      </c>
      <c r="C639">
        <v>2012.5</v>
      </c>
      <c r="D639" t="s">
        <v>21</v>
      </c>
      <c r="E639" t="s">
        <v>52</v>
      </c>
      <c r="F639" t="s">
        <v>22</v>
      </c>
      <c r="G639">
        <v>8.9703999999999999E-3</v>
      </c>
      <c r="H639">
        <v>1.0961800000000001E-2</v>
      </c>
    </row>
    <row r="640" spans="1:9" x14ac:dyDescent="0.25">
      <c r="A640" s="104" t="str">
        <f t="shared" si="9"/>
        <v>Pakistan2012.5RuralPub_OutreachInjectable</v>
      </c>
      <c r="B640" t="s">
        <v>146</v>
      </c>
      <c r="C640">
        <v>2012.5</v>
      </c>
      <c r="D640" t="s">
        <v>21</v>
      </c>
      <c r="E640" t="s">
        <v>54</v>
      </c>
      <c r="F640" t="s">
        <v>22</v>
      </c>
      <c r="G640">
        <v>5.6375000000000001E-3</v>
      </c>
      <c r="H640">
        <v>9.776E-3</v>
      </c>
      <c r="I640">
        <v>3.6316E-3</v>
      </c>
    </row>
    <row r="641" spans="1:9" x14ac:dyDescent="0.25">
      <c r="A641" s="104" t="str">
        <f t="shared" si="9"/>
        <v>Pakistan2012.5RuralNGOInjectable</v>
      </c>
      <c r="B641" t="s">
        <v>146</v>
      </c>
      <c r="C641">
        <v>2012.5</v>
      </c>
      <c r="D641" t="s">
        <v>21</v>
      </c>
      <c r="E641" t="s">
        <v>170</v>
      </c>
      <c r="F641" t="s">
        <v>22</v>
      </c>
      <c r="G641">
        <v>5.1564000000000002E-3</v>
      </c>
      <c r="H641">
        <v>5.9077000000000001E-3</v>
      </c>
      <c r="I641">
        <v>1.4928999999999999E-3</v>
      </c>
    </row>
    <row r="642" spans="1:9" x14ac:dyDescent="0.25">
      <c r="A642" s="104" t="str">
        <f t="shared" si="9"/>
        <v>Pakistan2012.5RuralCommercialInjectable</v>
      </c>
      <c r="B642" t="s">
        <v>146</v>
      </c>
      <c r="C642">
        <v>2012.5</v>
      </c>
      <c r="D642" t="s">
        <v>21</v>
      </c>
      <c r="E642" t="s">
        <v>59</v>
      </c>
      <c r="F642" t="s">
        <v>22</v>
      </c>
      <c r="G642">
        <v>6.7149999999999996E-3</v>
      </c>
      <c r="H642">
        <v>4.6376999999999998E-3</v>
      </c>
      <c r="I642">
        <v>1.9224999999999999E-3</v>
      </c>
    </row>
    <row r="643" spans="1:9" x14ac:dyDescent="0.25">
      <c r="A643" s="104" t="str">
        <f t="shared" ref="A643:A706" si="10">B643&amp;C643&amp;D643&amp;E643&amp;F643</f>
        <v>Pakistan2012.5RuralNonTradInjectable</v>
      </c>
      <c r="B643" t="s">
        <v>146</v>
      </c>
      <c r="C643">
        <v>2012.5</v>
      </c>
      <c r="D643" t="s">
        <v>21</v>
      </c>
      <c r="E643" t="s">
        <v>171</v>
      </c>
      <c r="F643" t="s">
        <v>22</v>
      </c>
      <c r="G643">
        <v>8.6169999999999997E-4</v>
      </c>
    </row>
    <row r="644" spans="1:9" x14ac:dyDescent="0.25">
      <c r="A644" s="104" t="str">
        <f t="shared" si="10"/>
        <v>Pakistan2012.5RuralOtherInjectable</v>
      </c>
      <c r="B644" t="s">
        <v>146</v>
      </c>
      <c r="C644">
        <v>2012.5</v>
      </c>
      <c r="D644" t="s">
        <v>21</v>
      </c>
      <c r="E644" t="s">
        <v>116</v>
      </c>
      <c r="F644" t="s">
        <v>22</v>
      </c>
      <c r="G644">
        <v>1.6229999999999999E-4</v>
      </c>
    </row>
    <row r="645" spans="1:9" x14ac:dyDescent="0.25">
      <c r="A645" s="104" t="str">
        <f t="shared" si="10"/>
        <v>Pakistan2012.5NationalPub_MedCondom</v>
      </c>
      <c r="B645" t="s">
        <v>146</v>
      </c>
      <c r="C645">
        <v>2012.5</v>
      </c>
      <c r="D645" t="s">
        <v>178</v>
      </c>
      <c r="E645" t="s">
        <v>52</v>
      </c>
      <c r="F645" t="s">
        <v>25</v>
      </c>
      <c r="G645">
        <v>1.0120000000000001E-3</v>
      </c>
      <c r="H645">
        <v>3.3373999999999999E-3</v>
      </c>
      <c r="I645">
        <v>4.5009999999999998E-3</v>
      </c>
    </row>
    <row r="646" spans="1:9" x14ac:dyDescent="0.25">
      <c r="A646" s="104" t="str">
        <f t="shared" si="10"/>
        <v>Pakistan2012.5NationalPub_OutreachCondom</v>
      </c>
      <c r="B646" t="s">
        <v>146</v>
      </c>
      <c r="C646">
        <v>2012.5</v>
      </c>
      <c r="D646" t="s">
        <v>178</v>
      </c>
      <c r="E646" t="s">
        <v>54</v>
      </c>
      <c r="F646" t="s">
        <v>25</v>
      </c>
      <c r="G646">
        <v>6.5024000000000002E-3</v>
      </c>
      <c r="H646">
        <v>1.7798499999999998E-2</v>
      </c>
      <c r="I646">
        <v>1.19054E-2</v>
      </c>
    </row>
    <row r="647" spans="1:9" x14ac:dyDescent="0.25">
      <c r="A647" s="104" t="str">
        <f t="shared" si="10"/>
        <v>Pakistan2012.5NationalNGOCondom</v>
      </c>
      <c r="B647" t="s">
        <v>146</v>
      </c>
      <c r="C647">
        <v>2012.5</v>
      </c>
      <c r="D647" t="s">
        <v>178</v>
      </c>
      <c r="E647" t="s">
        <v>170</v>
      </c>
      <c r="F647" t="s">
        <v>25</v>
      </c>
      <c r="G647">
        <v>7.6000000000000004E-5</v>
      </c>
      <c r="H647">
        <v>1.2466000000000001E-3</v>
      </c>
      <c r="I647">
        <v>4.2271000000000001E-3</v>
      </c>
    </row>
    <row r="648" spans="1:9" x14ac:dyDescent="0.25">
      <c r="A648" s="104" t="str">
        <f t="shared" si="10"/>
        <v>Pakistan2012.5NationalCommercialCondom</v>
      </c>
      <c r="B648" t="s">
        <v>146</v>
      </c>
      <c r="C648">
        <v>2012.5</v>
      </c>
      <c r="D648" t="s">
        <v>178</v>
      </c>
      <c r="E648" t="s">
        <v>59</v>
      </c>
      <c r="F648" t="s">
        <v>25</v>
      </c>
      <c r="G648">
        <v>4.5201E-3</v>
      </c>
      <c r="H648">
        <v>2.4449100000000001E-2</v>
      </c>
      <c r="I648">
        <v>7.6930399999999996E-2</v>
      </c>
    </row>
    <row r="649" spans="1:9" x14ac:dyDescent="0.25">
      <c r="A649" s="104" t="str">
        <f t="shared" si="10"/>
        <v>Pakistan2012.5NationalNonTradCondom</v>
      </c>
      <c r="B649" t="s">
        <v>146</v>
      </c>
      <c r="C649">
        <v>2012.5</v>
      </c>
      <c r="D649" t="s">
        <v>178</v>
      </c>
      <c r="E649" t="s">
        <v>171</v>
      </c>
      <c r="F649" t="s">
        <v>25</v>
      </c>
      <c r="G649">
        <v>1.22244E-2</v>
      </c>
      <c r="H649">
        <v>3.0966899999999999E-2</v>
      </c>
      <c r="I649">
        <v>2.5379800000000001E-2</v>
      </c>
    </row>
    <row r="650" spans="1:9" x14ac:dyDescent="0.25">
      <c r="A650" s="104" t="str">
        <f t="shared" si="10"/>
        <v>Pakistan2012.5NationalOtherCondom</v>
      </c>
      <c r="B650" t="s">
        <v>146</v>
      </c>
      <c r="C650">
        <v>2012.5</v>
      </c>
      <c r="D650" t="s">
        <v>178</v>
      </c>
      <c r="E650" t="s">
        <v>116</v>
      </c>
      <c r="F650" t="s">
        <v>25</v>
      </c>
      <c r="G650">
        <v>5.7378000000000004E-3</v>
      </c>
      <c r="H650">
        <v>2.3694400000000001E-2</v>
      </c>
      <c r="I650">
        <v>2.59717E-2</v>
      </c>
    </row>
    <row r="651" spans="1:9" x14ac:dyDescent="0.25">
      <c r="A651" s="104" t="str">
        <f t="shared" si="10"/>
        <v>Pakistan2012.5UrbanPub_MedCondom</v>
      </c>
      <c r="B651" t="s">
        <v>146</v>
      </c>
      <c r="C651">
        <v>2012.5</v>
      </c>
      <c r="D651" t="s">
        <v>20</v>
      </c>
      <c r="E651" t="s">
        <v>52</v>
      </c>
      <c r="F651" t="s">
        <v>25</v>
      </c>
      <c r="G651">
        <v>4.4579999999999999E-4</v>
      </c>
      <c r="H651">
        <v>2.4759000000000001E-3</v>
      </c>
      <c r="I651">
        <v>5.4998E-3</v>
      </c>
    </row>
    <row r="652" spans="1:9" x14ac:dyDescent="0.25">
      <c r="A652" s="104" t="str">
        <f t="shared" si="10"/>
        <v>Pakistan2012.5UrbanPub_OutreachCondom</v>
      </c>
      <c r="B652" t="s">
        <v>146</v>
      </c>
      <c r="C652">
        <v>2012.5</v>
      </c>
      <c r="D652" t="s">
        <v>20</v>
      </c>
      <c r="E652" t="s">
        <v>54</v>
      </c>
      <c r="F652" t="s">
        <v>25</v>
      </c>
      <c r="G652">
        <v>5.5881999999999998E-3</v>
      </c>
      <c r="H652">
        <v>1.53426E-2</v>
      </c>
      <c r="I652">
        <v>9.4395999999999994E-3</v>
      </c>
    </row>
    <row r="653" spans="1:9" x14ac:dyDescent="0.25">
      <c r="A653" s="104" t="str">
        <f t="shared" si="10"/>
        <v>Pakistan2012.5UrbanNGOCondom</v>
      </c>
      <c r="B653" t="s">
        <v>146</v>
      </c>
      <c r="C653">
        <v>2012.5</v>
      </c>
      <c r="D653" t="s">
        <v>20</v>
      </c>
      <c r="E653" t="s">
        <v>170</v>
      </c>
      <c r="F653" t="s">
        <v>25</v>
      </c>
      <c r="G653">
        <v>2.085E-4</v>
      </c>
      <c r="H653">
        <v>2.4218E-3</v>
      </c>
      <c r="I653">
        <v>4.3635000000000002E-3</v>
      </c>
    </row>
    <row r="654" spans="1:9" x14ac:dyDescent="0.25">
      <c r="A654" s="104" t="str">
        <f t="shared" si="10"/>
        <v>Pakistan2012.5UrbanCommercialCondom</v>
      </c>
      <c r="B654" t="s">
        <v>146</v>
      </c>
      <c r="C654">
        <v>2012.5</v>
      </c>
      <c r="D654" t="s">
        <v>20</v>
      </c>
      <c r="E654" t="s">
        <v>59</v>
      </c>
      <c r="F654" t="s">
        <v>25</v>
      </c>
      <c r="G654">
        <v>1.21364E-2</v>
      </c>
      <c r="H654">
        <v>4.01655E-2</v>
      </c>
      <c r="I654">
        <v>8.9122199999999999E-2</v>
      </c>
    </row>
    <row r="655" spans="1:9" x14ac:dyDescent="0.25">
      <c r="A655" s="104" t="str">
        <f t="shared" si="10"/>
        <v>Pakistan2012.5UrbanNonTradCondom</v>
      </c>
      <c r="B655" t="s">
        <v>146</v>
      </c>
      <c r="C655">
        <v>2012.5</v>
      </c>
      <c r="D655" t="s">
        <v>20</v>
      </c>
      <c r="E655" t="s">
        <v>171</v>
      </c>
      <c r="F655" t="s">
        <v>25</v>
      </c>
      <c r="G655">
        <v>1.4823899999999999E-2</v>
      </c>
      <c r="H655">
        <v>3.2219999999999999E-2</v>
      </c>
      <c r="I655">
        <v>2.19607E-2</v>
      </c>
    </row>
    <row r="656" spans="1:9" x14ac:dyDescent="0.25">
      <c r="A656" s="104" t="str">
        <f t="shared" si="10"/>
        <v>Pakistan2012.5UrbanOtherCondom</v>
      </c>
      <c r="B656" t="s">
        <v>146</v>
      </c>
      <c r="C656">
        <v>2012.5</v>
      </c>
      <c r="D656" t="s">
        <v>20</v>
      </c>
      <c r="E656" t="s">
        <v>116</v>
      </c>
      <c r="F656" t="s">
        <v>25</v>
      </c>
      <c r="G656">
        <v>6.9062000000000004E-3</v>
      </c>
      <c r="H656">
        <v>3.5380099999999998E-2</v>
      </c>
      <c r="I656">
        <v>3.0512000000000001E-2</v>
      </c>
    </row>
    <row r="657" spans="1:9" x14ac:dyDescent="0.25">
      <c r="A657" s="104" t="str">
        <f t="shared" si="10"/>
        <v>Pakistan2012.5RuralPub_MedCondom</v>
      </c>
      <c r="B657" t="s">
        <v>146</v>
      </c>
      <c r="C657">
        <v>2012.5</v>
      </c>
      <c r="D657" t="s">
        <v>21</v>
      </c>
      <c r="E657" t="s">
        <v>52</v>
      </c>
      <c r="F657" t="s">
        <v>25</v>
      </c>
      <c r="G657">
        <v>1.0403000000000001E-3</v>
      </c>
      <c r="H657">
        <v>3.8154E-3</v>
      </c>
      <c r="I657">
        <v>1.3789999999999999E-4</v>
      </c>
    </row>
    <row r="658" spans="1:9" x14ac:dyDescent="0.25">
      <c r="A658" s="104" t="str">
        <f t="shared" si="10"/>
        <v>Pakistan2012.5RuralPub_OutreachCondom</v>
      </c>
      <c r="B658" t="s">
        <v>146</v>
      </c>
      <c r="C658">
        <v>2012.5</v>
      </c>
      <c r="D658" t="s">
        <v>21</v>
      </c>
      <c r="E658" t="s">
        <v>54</v>
      </c>
      <c r="F658" t="s">
        <v>25</v>
      </c>
      <c r="G658">
        <v>6.5481000000000003E-3</v>
      </c>
      <c r="H658">
        <v>1.91612E-2</v>
      </c>
      <c r="I658">
        <v>2.2676200000000001E-2</v>
      </c>
    </row>
    <row r="659" spans="1:9" x14ac:dyDescent="0.25">
      <c r="A659" s="104" t="str">
        <f t="shared" si="10"/>
        <v>Pakistan2012.5RuralNGOCondom</v>
      </c>
      <c r="B659" t="s">
        <v>146</v>
      </c>
      <c r="C659">
        <v>2012.5</v>
      </c>
      <c r="D659" t="s">
        <v>21</v>
      </c>
      <c r="E659" t="s">
        <v>170</v>
      </c>
      <c r="F659" t="s">
        <v>25</v>
      </c>
      <c r="G659">
        <v>6.9300000000000004E-5</v>
      </c>
      <c r="H659">
        <v>5.9449999999999998E-4</v>
      </c>
      <c r="I659">
        <v>3.6316E-3</v>
      </c>
    </row>
    <row r="660" spans="1:9" x14ac:dyDescent="0.25">
      <c r="A660" s="104" t="str">
        <f t="shared" si="10"/>
        <v>Pakistan2012.5RuralCommercialCondom</v>
      </c>
      <c r="B660" t="s">
        <v>146</v>
      </c>
      <c r="C660">
        <v>2012.5</v>
      </c>
      <c r="D660" t="s">
        <v>21</v>
      </c>
      <c r="E660" t="s">
        <v>59</v>
      </c>
      <c r="F660" t="s">
        <v>25</v>
      </c>
      <c r="G660">
        <v>4.1392E-3</v>
      </c>
      <c r="H660">
        <v>1.5728499999999999E-2</v>
      </c>
      <c r="I660">
        <v>2.3674600000000001E-2</v>
      </c>
    </row>
    <row r="661" spans="1:9" x14ac:dyDescent="0.25">
      <c r="A661" s="104" t="str">
        <f t="shared" si="10"/>
        <v>Pakistan2012.5RuralNonTradCondom</v>
      </c>
      <c r="B661" t="s">
        <v>146</v>
      </c>
      <c r="C661">
        <v>2012.5</v>
      </c>
      <c r="D661" t="s">
        <v>21</v>
      </c>
      <c r="E661" t="s">
        <v>171</v>
      </c>
      <c r="F661" t="s">
        <v>25</v>
      </c>
      <c r="G661">
        <v>1.20944E-2</v>
      </c>
      <c r="H661">
        <v>3.02715E-2</v>
      </c>
      <c r="I661">
        <v>4.0314700000000002E-2</v>
      </c>
    </row>
    <row r="662" spans="1:9" x14ac:dyDescent="0.25">
      <c r="A662" s="104" t="str">
        <f t="shared" si="10"/>
        <v>Pakistan2012.5RuralOtherCondom</v>
      </c>
      <c r="B662" t="s">
        <v>146</v>
      </c>
      <c r="C662">
        <v>2012.5</v>
      </c>
      <c r="D662" t="s">
        <v>21</v>
      </c>
      <c r="E662" t="s">
        <v>116</v>
      </c>
      <c r="F662" t="s">
        <v>25</v>
      </c>
      <c r="G662">
        <v>5.6794000000000002E-3</v>
      </c>
      <c r="H662">
        <v>1.7210300000000001E-2</v>
      </c>
      <c r="I662">
        <v>6.1389000000000001E-3</v>
      </c>
    </row>
    <row r="663" spans="1:9" x14ac:dyDescent="0.25">
      <c r="A663" s="104" t="str">
        <f t="shared" si="10"/>
        <v>Pakistan2012.5NationalPub_MedImplant</v>
      </c>
      <c r="B663" t="s">
        <v>146</v>
      </c>
      <c r="C663">
        <v>2012.5</v>
      </c>
      <c r="D663" t="s">
        <v>178</v>
      </c>
      <c r="E663" t="s">
        <v>52</v>
      </c>
      <c r="F663" t="s">
        <v>23</v>
      </c>
      <c r="G663">
        <v>3.4959999999999999E-4</v>
      </c>
      <c r="H663" s="222">
        <v>8.6200000000000005E-6</v>
      </c>
      <c r="I663">
        <v>7.7749999999999998E-4</v>
      </c>
    </row>
    <row r="664" spans="1:9" x14ac:dyDescent="0.25">
      <c r="A664" s="104" t="str">
        <f t="shared" si="10"/>
        <v>Pakistan2012.5NationalNGOImplant</v>
      </c>
      <c r="B664" t="s">
        <v>146</v>
      </c>
      <c r="C664">
        <v>2012.5</v>
      </c>
      <c r="D664" t="s">
        <v>178</v>
      </c>
      <c r="E664" t="s">
        <v>170</v>
      </c>
      <c r="F664" t="s">
        <v>23</v>
      </c>
      <c r="G664">
        <v>1.7900000000000001E-5</v>
      </c>
      <c r="H664">
        <v>4.9350000000000002E-4</v>
      </c>
      <c r="I664">
        <v>3.235E-4</v>
      </c>
    </row>
    <row r="665" spans="1:9" x14ac:dyDescent="0.25">
      <c r="A665" s="104" t="str">
        <f t="shared" si="10"/>
        <v>Pakistan2012.5NationalCommercialImplant</v>
      </c>
      <c r="B665" t="s">
        <v>146</v>
      </c>
      <c r="C665">
        <v>2012.5</v>
      </c>
      <c r="D665" t="s">
        <v>178</v>
      </c>
      <c r="E665" t="s">
        <v>59</v>
      </c>
      <c r="F665" t="s">
        <v>23</v>
      </c>
      <c r="H665">
        <v>7.5400000000000003E-5</v>
      </c>
    </row>
    <row r="666" spans="1:9" x14ac:dyDescent="0.25">
      <c r="A666" s="104" t="str">
        <f t="shared" si="10"/>
        <v>Pakistan2012.5UrbanPub_MedImplant</v>
      </c>
      <c r="B666" t="s">
        <v>146</v>
      </c>
      <c r="C666">
        <v>2012.5</v>
      </c>
      <c r="D666" t="s">
        <v>20</v>
      </c>
      <c r="E666" t="s">
        <v>52</v>
      </c>
      <c r="F666" t="s">
        <v>23</v>
      </c>
      <c r="H666">
        <v>2.4199999999999999E-5</v>
      </c>
      <c r="I666">
        <v>9.1920000000000001E-4</v>
      </c>
    </row>
    <row r="667" spans="1:9" x14ac:dyDescent="0.25">
      <c r="A667" s="104" t="str">
        <f t="shared" si="10"/>
        <v>Pakistan2012.5UrbanNGOImplant</v>
      </c>
      <c r="B667" t="s">
        <v>146</v>
      </c>
      <c r="C667">
        <v>2012.5</v>
      </c>
      <c r="D667" t="s">
        <v>20</v>
      </c>
      <c r="E667" t="s">
        <v>170</v>
      </c>
      <c r="F667" t="s">
        <v>23</v>
      </c>
      <c r="G667">
        <v>3.7609999999999998E-4</v>
      </c>
      <c r="H667">
        <v>2.3589999999999999E-4</v>
      </c>
      <c r="I667">
        <v>3.9760000000000002E-4</v>
      </c>
    </row>
    <row r="668" spans="1:9" x14ac:dyDescent="0.25">
      <c r="A668" s="104" t="str">
        <f t="shared" si="10"/>
        <v>Pakistan2012.5RuralPub_MedImplant</v>
      </c>
      <c r="B668" t="s">
        <v>146</v>
      </c>
      <c r="C668">
        <v>2012.5</v>
      </c>
      <c r="D668" t="s">
        <v>21</v>
      </c>
      <c r="E668" t="s">
        <v>52</v>
      </c>
      <c r="F668" t="s">
        <v>23</v>
      </c>
      <c r="G668">
        <v>3.6699999999999998E-4</v>
      </c>
      <c r="I668">
        <v>1.582E-4</v>
      </c>
    </row>
    <row r="669" spans="1:9" x14ac:dyDescent="0.25">
      <c r="A669" s="104" t="str">
        <f t="shared" si="10"/>
        <v>Pakistan2012.5RuralNGOImplant</v>
      </c>
      <c r="B669" t="s">
        <v>146</v>
      </c>
      <c r="C669">
        <v>2012.5</v>
      </c>
      <c r="D669" t="s">
        <v>21</v>
      </c>
      <c r="E669" t="s">
        <v>170</v>
      </c>
      <c r="F669" t="s">
        <v>23</v>
      </c>
      <c r="H669">
        <v>6.3650000000000002E-4</v>
      </c>
    </row>
    <row r="670" spans="1:9" x14ac:dyDescent="0.25">
      <c r="A670" s="104" t="str">
        <f t="shared" si="10"/>
        <v>Pakistan2012.5RuralCommercialImplant</v>
      </c>
      <c r="B670" t="s">
        <v>146</v>
      </c>
      <c r="C670">
        <v>2012.5</v>
      </c>
      <c r="D670" t="s">
        <v>21</v>
      </c>
      <c r="E670" t="s">
        <v>59</v>
      </c>
      <c r="F670" t="s">
        <v>23</v>
      </c>
      <c r="H670">
        <v>1.172E-4</v>
      </c>
    </row>
    <row r="671" spans="1:9" x14ac:dyDescent="0.25">
      <c r="A671" s="104" t="str">
        <f t="shared" si="10"/>
        <v>Pakistan2017.5NationalPub_MedPill</v>
      </c>
      <c r="B671" t="s">
        <v>146</v>
      </c>
      <c r="C671">
        <v>2017.5</v>
      </c>
      <c r="D671" t="s">
        <v>178</v>
      </c>
      <c r="E671" t="s">
        <v>52</v>
      </c>
      <c r="F671" t="s">
        <v>12</v>
      </c>
      <c r="G671">
        <v>2.8057999999999998E-3</v>
      </c>
      <c r="H671">
        <v>1.1134999999999999E-3</v>
      </c>
      <c r="I671">
        <v>1.0466E-3</v>
      </c>
    </row>
    <row r="672" spans="1:9" x14ac:dyDescent="0.25">
      <c r="A672" s="104" t="str">
        <f t="shared" si="10"/>
        <v>Pakistan2017.5NationalPub_OutreachPill</v>
      </c>
      <c r="B672" t="s">
        <v>146</v>
      </c>
      <c r="C672">
        <v>2017.5</v>
      </c>
      <c r="D672" t="s">
        <v>178</v>
      </c>
      <c r="E672" t="s">
        <v>54</v>
      </c>
      <c r="F672" t="s">
        <v>12</v>
      </c>
      <c r="G672">
        <v>3.8939000000000001E-3</v>
      </c>
      <c r="H672">
        <v>4.4324000000000004E-3</v>
      </c>
      <c r="I672">
        <v>4.7060000000000001E-3</v>
      </c>
    </row>
    <row r="673" spans="1:9" x14ac:dyDescent="0.25">
      <c r="A673" s="104" t="str">
        <f t="shared" si="10"/>
        <v>Pakistan2017.5NationalNGOPill</v>
      </c>
      <c r="B673" t="s">
        <v>146</v>
      </c>
      <c r="C673">
        <v>2017.5</v>
      </c>
      <c r="D673" t="s">
        <v>178</v>
      </c>
      <c r="E673" t="s">
        <v>170</v>
      </c>
      <c r="F673" t="s">
        <v>12</v>
      </c>
      <c r="H673">
        <v>4.2969999999999998E-4</v>
      </c>
      <c r="I673">
        <v>1.4224000000000001E-3</v>
      </c>
    </row>
    <row r="674" spans="1:9" x14ac:dyDescent="0.25">
      <c r="A674" s="104" t="str">
        <f t="shared" si="10"/>
        <v>Pakistan2017.5NationalCommercialPill</v>
      </c>
      <c r="B674" t="s">
        <v>146</v>
      </c>
      <c r="C674">
        <v>2017.5</v>
      </c>
      <c r="D674" t="s">
        <v>178</v>
      </c>
      <c r="E674" t="s">
        <v>59</v>
      </c>
      <c r="F674" t="s">
        <v>12</v>
      </c>
      <c r="G674">
        <v>7.1954000000000002E-3</v>
      </c>
      <c r="H674">
        <v>6.5579999999999996E-3</v>
      </c>
      <c r="I674">
        <v>8.3312999999999998E-3</v>
      </c>
    </row>
    <row r="675" spans="1:9" x14ac:dyDescent="0.25">
      <c r="A675" s="104" t="str">
        <f t="shared" si="10"/>
        <v>Pakistan2017.5NationalNonTradPill</v>
      </c>
      <c r="B675" t="s">
        <v>146</v>
      </c>
      <c r="C675">
        <v>2017.5</v>
      </c>
      <c r="D675" t="s">
        <v>178</v>
      </c>
      <c r="E675" t="s">
        <v>171</v>
      </c>
      <c r="F675" t="s">
        <v>12</v>
      </c>
      <c r="G675">
        <v>1.1229E-3</v>
      </c>
      <c r="H675">
        <v>2.3467000000000002E-3</v>
      </c>
      <c r="I675">
        <v>7.8620000000000003E-4</v>
      </c>
    </row>
    <row r="676" spans="1:9" x14ac:dyDescent="0.25">
      <c r="A676" s="104" t="str">
        <f t="shared" si="10"/>
        <v>Pakistan2017.5NationalOtherPill</v>
      </c>
      <c r="B676" t="s">
        <v>146</v>
      </c>
      <c r="C676">
        <v>2017.5</v>
      </c>
      <c r="D676" t="s">
        <v>178</v>
      </c>
      <c r="E676" t="s">
        <v>116</v>
      </c>
      <c r="F676" t="s">
        <v>12</v>
      </c>
      <c r="G676">
        <v>1.0272E-3</v>
      </c>
      <c r="H676">
        <v>8.4699999999999999E-5</v>
      </c>
      <c r="I676">
        <v>2.1110000000000001E-4</v>
      </c>
    </row>
    <row r="677" spans="1:9" x14ac:dyDescent="0.25">
      <c r="A677" s="104" t="str">
        <f t="shared" si="10"/>
        <v>Pakistan2017.5NationalPill</v>
      </c>
      <c r="B677" t="s">
        <v>146</v>
      </c>
      <c r="C677">
        <v>2017.5</v>
      </c>
      <c r="D677" t="s">
        <v>178</v>
      </c>
      <c r="F677" t="s">
        <v>12</v>
      </c>
      <c r="H677">
        <v>4.616E-4</v>
      </c>
      <c r="I677">
        <v>7.7100000000000004E-5</v>
      </c>
    </row>
    <row r="678" spans="1:9" x14ac:dyDescent="0.25">
      <c r="A678" s="104" t="str">
        <f t="shared" si="10"/>
        <v>Pakistan2017.5UrbanPub_MedPill</v>
      </c>
      <c r="B678" t="s">
        <v>146</v>
      </c>
      <c r="C678">
        <v>2017.5</v>
      </c>
      <c r="D678" t="s">
        <v>20</v>
      </c>
      <c r="E678" t="s">
        <v>52</v>
      </c>
      <c r="F678" t="s">
        <v>12</v>
      </c>
      <c r="G678">
        <v>5.2669999999999995E-4</v>
      </c>
      <c r="H678">
        <v>1.0268E-3</v>
      </c>
      <c r="I678">
        <v>1.4525E-3</v>
      </c>
    </row>
    <row r="679" spans="1:9" x14ac:dyDescent="0.25">
      <c r="A679" s="104" t="str">
        <f t="shared" si="10"/>
        <v>Pakistan2017.5UrbanPub_OutreachPill</v>
      </c>
      <c r="B679" t="s">
        <v>146</v>
      </c>
      <c r="C679">
        <v>2017.5</v>
      </c>
      <c r="D679" t="s">
        <v>20</v>
      </c>
      <c r="E679" t="s">
        <v>54</v>
      </c>
      <c r="F679" t="s">
        <v>12</v>
      </c>
      <c r="G679">
        <v>7.9971E-3</v>
      </c>
      <c r="H679">
        <v>3.1806E-3</v>
      </c>
      <c r="I679">
        <v>4.5558999999999999E-3</v>
      </c>
    </row>
    <row r="680" spans="1:9" x14ac:dyDescent="0.25">
      <c r="A680" s="104" t="str">
        <f t="shared" si="10"/>
        <v>Pakistan2017.5UrbanNGOPill</v>
      </c>
      <c r="B680" t="s">
        <v>146</v>
      </c>
      <c r="C680">
        <v>2017.5</v>
      </c>
      <c r="D680" t="s">
        <v>20</v>
      </c>
      <c r="E680" t="s">
        <v>170</v>
      </c>
      <c r="F680" t="s">
        <v>12</v>
      </c>
      <c r="H680">
        <v>4.057E-4</v>
      </c>
      <c r="I680">
        <v>9.5580000000000003E-4</v>
      </c>
    </row>
    <row r="681" spans="1:9" x14ac:dyDescent="0.25">
      <c r="A681" s="104" t="str">
        <f t="shared" si="10"/>
        <v>Pakistan2017.5UrbanCommercialPill</v>
      </c>
      <c r="B681" t="s">
        <v>146</v>
      </c>
      <c r="C681">
        <v>2017.5</v>
      </c>
      <c r="D681" t="s">
        <v>20</v>
      </c>
      <c r="E681" t="s">
        <v>59</v>
      </c>
      <c r="F681" t="s">
        <v>12</v>
      </c>
      <c r="G681">
        <v>1.1081000000000001E-3</v>
      </c>
      <c r="H681">
        <v>4.4406999999999997E-3</v>
      </c>
      <c r="I681">
        <v>6.8859000000000004E-3</v>
      </c>
    </row>
    <row r="682" spans="1:9" x14ac:dyDescent="0.25">
      <c r="A682" s="104" t="str">
        <f t="shared" si="10"/>
        <v>Pakistan2017.5UrbanNonTradPill</v>
      </c>
      <c r="B682" t="s">
        <v>146</v>
      </c>
      <c r="C682">
        <v>2017.5</v>
      </c>
      <c r="D682" t="s">
        <v>20</v>
      </c>
      <c r="E682" t="s">
        <v>171</v>
      </c>
      <c r="F682" t="s">
        <v>12</v>
      </c>
      <c r="G682">
        <v>4.0439999999999999E-3</v>
      </c>
      <c r="H682">
        <v>3.7441000000000002E-3</v>
      </c>
      <c r="I682">
        <v>1.0911E-3</v>
      </c>
    </row>
    <row r="683" spans="1:9" x14ac:dyDescent="0.25">
      <c r="A683" s="104" t="str">
        <f t="shared" si="10"/>
        <v>Pakistan2017.5UrbanOtherPill</v>
      </c>
      <c r="B683" t="s">
        <v>146</v>
      </c>
      <c r="C683">
        <v>2017.5</v>
      </c>
      <c r="D683" t="s">
        <v>20</v>
      </c>
      <c r="E683" t="s">
        <v>116</v>
      </c>
      <c r="F683" t="s">
        <v>12</v>
      </c>
      <c r="H683">
        <v>2.2450000000000001E-4</v>
      </c>
      <c r="I683">
        <v>1.4579999999999999E-4</v>
      </c>
    </row>
    <row r="684" spans="1:9" x14ac:dyDescent="0.25">
      <c r="A684" s="104" t="str">
        <f t="shared" si="10"/>
        <v>Pakistan2017.5UrbanPill</v>
      </c>
      <c r="B684" t="s">
        <v>146</v>
      </c>
      <c r="C684">
        <v>2017.5</v>
      </c>
      <c r="D684" t="s">
        <v>20</v>
      </c>
      <c r="F684" t="s">
        <v>12</v>
      </c>
      <c r="H684">
        <v>1.224E-3</v>
      </c>
      <c r="I684">
        <v>1.069E-4</v>
      </c>
    </row>
    <row r="685" spans="1:9" x14ac:dyDescent="0.25">
      <c r="A685" s="104" t="str">
        <f t="shared" si="10"/>
        <v>Pakistan2017.5RuralPub_MedPill</v>
      </c>
      <c r="B685" t="s">
        <v>146</v>
      </c>
      <c r="C685">
        <v>2017.5</v>
      </c>
      <c r="D685" t="s">
        <v>21</v>
      </c>
      <c r="E685" t="s">
        <v>52</v>
      </c>
      <c r="F685" t="s">
        <v>12</v>
      </c>
      <c r="G685">
        <v>2.9970999999999999E-3</v>
      </c>
      <c r="H685">
        <v>1.1659000000000001E-3</v>
      </c>
    </row>
    <row r="686" spans="1:9" x14ac:dyDescent="0.25">
      <c r="A686" s="104" t="str">
        <f t="shared" si="10"/>
        <v>Pakistan2017.5RuralPub_OutreachPill</v>
      </c>
      <c r="B686" t="s">
        <v>146</v>
      </c>
      <c r="C686">
        <v>2017.5</v>
      </c>
      <c r="D686" t="s">
        <v>21</v>
      </c>
      <c r="E686" t="s">
        <v>54</v>
      </c>
      <c r="F686" t="s">
        <v>12</v>
      </c>
      <c r="G686">
        <v>3.5493999999999999E-3</v>
      </c>
      <c r="H686">
        <v>5.1903000000000001E-3</v>
      </c>
      <c r="I686">
        <v>5.0930999999999997E-3</v>
      </c>
    </row>
    <row r="687" spans="1:9" x14ac:dyDescent="0.25">
      <c r="A687" s="104" t="str">
        <f t="shared" si="10"/>
        <v>Pakistan2017.5RuralNGOPill</v>
      </c>
      <c r="B687" t="s">
        <v>146</v>
      </c>
      <c r="C687">
        <v>2017.5</v>
      </c>
      <c r="D687" t="s">
        <v>21</v>
      </c>
      <c r="E687" t="s">
        <v>170</v>
      </c>
      <c r="F687" t="s">
        <v>12</v>
      </c>
      <c r="H687">
        <v>4.4420000000000001E-4</v>
      </c>
      <c r="I687">
        <v>2.6256000000000001E-3</v>
      </c>
    </row>
    <row r="688" spans="1:9" x14ac:dyDescent="0.25">
      <c r="A688" s="104" t="str">
        <f t="shared" si="10"/>
        <v>Pakistan2017.5RuralCommercialPill</v>
      </c>
      <c r="B688" t="s">
        <v>146</v>
      </c>
      <c r="C688">
        <v>2017.5</v>
      </c>
      <c r="D688" t="s">
        <v>21</v>
      </c>
      <c r="E688" t="s">
        <v>59</v>
      </c>
      <c r="F688" t="s">
        <v>12</v>
      </c>
      <c r="G688">
        <v>7.7066000000000001E-3</v>
      </c>
      <c r="H688">
        <v>7.8399999999999997E-3</v>
      </c>
      <c r="I688">
        <v>1.20587E-2</v>
      </c>
    </row>
    <row r="689" spans="1:9" x14ac:dyDescent="0.25">
      <c r="A689" s="104" t="str">
        <f t="shared" si="10"/>
        <v>Pakistan2017.5RuralNonTradPill</v>
      </c>
      <c r="B689" t="s">
        <v>146</v>
      </c>
      <c r="C689">
        <v>2017.5</v>
      </c>
      <c r="D689" t="s">
        <v>21</v>
      </c>
      <c r="E689" t="s">
        <v>171</v>
      </c>
      <c r="F689" t="s">
        <v>12</v>
      </c>
      <c r="G689">
        <v>8.7770000000000003E-4</v>
      </c>
      <c r="H689">
        <v>1.5005000000000001E-3</v>
      </c>
    </row>
    <row r="690" spans="1:9" x14ac:dyDescent="0.25">
      <c r="A690" s="104" t="str">
        <f t="shared" si="10"/>
        <v>Pakistan2017.5RuralOtherPill</v>
      </c>
      <c r="B690" t="s">
        <v>146</v>
      </c>
      <c r="C690">
        <v>2017.5</v>
      </c>
      <c r="D690" t="s">
        <v>21</v>
      </c>
      <c r="E690" t="s">
        <v>116</v>
      </c>
      <c r="F690" t="s">
        <v>12</v>
      </c>
      <c r="G690">
        <v>1.1134000000000001E-3</v>
      </c>
      <c r="I690">
        <v>3.7940000000000001E-4</v>
      </c>
    </row>
    <row r="691" spans="1:9" x14ac:dyDescent="0.25">
      <c r="A691" s="104" t="str">
        <f t="shared" si="10"/>
        <v>Pakistan2017.5NationalPub_MedIUD</v>
      </c>
      <c r="B691" t="s">
        <v>146</v>
      </c>
      <c r="C691">
        <v>2017.5</v>
      </c>
      <c r="D691" t="s">
        <v>178</v>
      </c>
      <c r="E691" t="s">
        <v>52</v>
      </c>
      <c r="F691" t="s">
        <v>16</v>
      </c>
      <c r="G691">
        <v>1.0122000000000001E-2</v>
      </c>
      <c r="H691">
        <v>1.5634100000000001E-2</v>
      </c>
      <c r="I691">
        <v>8.8804999999999995E-3</v>
      </c>
    </row>
    <row r="692" spans="1:9" x14ac:dyDescent="0.25">
      <c r="A692" s="104" t="str">
        <f t="shared" si="10"/>
        <v>Pakistan2017.5NationalPub_OutreachIUD</v>
      </c>
      <c r="B692" t="s">
        <v>146</v>
      </c>
      <c r="C692">
        <v>2017.5</v>
      </c>
      <c r="D692" t="s">
        <v>178</v>
      </c>
      <c r="E692" t="s">
        <v>54</v>
      </c>
      <c r="F692" t="s">
        <v>16</v>
      </c>
      <c r="G692">
        <v>3.1080000000000002E-4</v>
      </c>
      <c r="H692">
        <v>1.2642E-3</v>
      </c>
      <c r="I692">
        <v>1.9008E-3</v>
      </c>
    </row>
    <row r="693" spans="1:9" x14ac:dyDescent="0.25">
      <c r="A693" s="104" t="str">
        <f t="shared" si="10"/>
        <v>Pakistan2017.5NationalNGOIUD</v>
      </c>
      <c r="B693" t="s">
        <v>146</v>
      </c>
      <c r="C693">
        <v>2017.5</v>
      </c>
      <c r="D693" t="s">
        <v>178</v>
      </c>
      <c r="E693" t="s">
        <v>170</v>
      </c>
      <c r="F693" t="s">
        <v>16</v>
      </c>
      <c r="G693">
        <v>3.2845000000000001E-3</v>
      </c>
      <c r="H693">
        <v>4.3826000000000004E-3</v>
      </c>
      <c r="I693">
        <v>7.4628000000000003E-3</v>
      </c>
    </row>
    <row r="694" spans="1:9" x14ac:dyDescent="0.25">
      <c r="A694" s="104" t="str">
        <f t="shared" si="10"/>
        <v>Pakistan2017.5NationalCommercialIUD</v>
      </c>
      <c r="B694" t="s">
        <v>146</v>
      </c>
      <c r="C694">
        <v>2017.5</v>
      </c>
      <c r="D694" t="s">
        <v>178</v>
      </c>
      <c r="E694" t="s">
        <v>59</v>
      </c>
      <c r="F694" t="s">
        <v>16</v>
      </c>
      <c r="G694">
        <v>1.5263E-3</v>
      </c>
      <c r="H694">
        <v>2.8214999999999998E-3</v>
      </c>
      <c r="I694">
        <v>3.1836E-3</v>
      </c>
    </row>
    <row r="695" spans="1:9" x14ac:dyDescent="0.25">
      <c r="A695" s="104" t="str">
        <f t="shared" si="10"/>
        <v>Pakistan2017.5UrbanPub_MedIUD</v>
      </c>
      <c r="B695" t="s">
        <v>146</v>
      </c>
      <c r="C695">
        <v>2017.5</v>
      </c>
      <c r="D695" t="s">
        <v>20</v>
      </c>
      <c r="E695" t="s">
        <v>52</v>
      </c>
      <c r="F695" t="s">
        <v>16</v>
      </c>
      <c r="G695">
        <v>3.4708999999999999E-3</v>
      </c>
      <c r="H695">
        <v>1.5982799999999998E-2</v>
      </c>
      <c r="I695">
        <v>1.05877E-2</v>
      </c>
    </row>
    <row r="696" spans="1:9" x14ac:dyDescent="0.25">
      <c r="A696" s="104" t="str">
        <f t="shared" si="10"/>
        <v>Pakistan2017.5UrbanPub_OutreachIUD</v>
      </c>
      <c r="B696" t="s">
        <v>146</v>
      </c>
      <c r="C696">
        <v>2017.5</v>
      </c>
      <c r="D696" t="s">
        <v>20</v>
      </c>
      <c r="E696" t="s">
        <v>54</v>
      </c>
      <c r="F696" t="s">
        <v>16</v>
      </c>
      <c r="G696">
        <v>7.0330000000000002E-4</v>
      </c>
      <c r="H696">
        <v>2.5807E-3</v>
      </c>
      <c r="I696">
        <v>2.2493999999999999E-3</v>
      </c>
    </row>
    <row r="697" spans="1:9" x14ac:dyDescent="0.25">
      <c r="A697" s="104" t="str">
        <f t="shared" si="10"/>
        <v>Pakistan2017.5UrbanNGOIUD</v>
      </c>
      <c r="B697" t="s">
        <v>146</v>
      </c>
      <c r="C697">
        <v>2017.5</v>
      </c>
      <c r="D697" t="s">
        <v>20</v>
      </c>
      <c r="E697" t="s">
        <v>170</v>
      </c>
      <c r="F697" t="s">
        <v>16</v>
      </c>
      <c r="H697">
        <v>3.2022999999999999E-3</v>
      </c>
      <c r="I697">
        <v>6.2626000000000001E-3</v>
      </c>
    </row>
    <row r="698" spans="1:9" x14ac:dyDescent="0.25">
      <c r="A698" s="104" t="str">
        <f t="shared" si="10"/>
        <v>Pakistan2017.5UrbanCommercialIUD</v>
      </c>
      <c r="B698" t="s">
        <v>146</v>
      </c>
      <c r="C698">
        <v>2017.5</v>
      </c>
      <c r="D698" t="s">
        <v>20</v>
      </c>
      <c r="E698" t="s">
        <v>59</v>
      </c>
      <c r="F698" t="s">
        <v>16</v>
      </c>
      <c r="G698">
        <v>8.3719999999999997E-4</v>
      </c>
      <c r="H698">
        <v>5.6860000000000005E-4</v>
      </c>
      <c r="I698">
        <v>3.4421E-3</v>
      </c>
    </row>
    <row r="699" spans="1:9" x14ac:dyDescent="0.25">
      <c r="A699" s="104" t="str">
        <f t="shared" si="10"/>
        <v>Pakistan2017.5RuralPub_MedIUD</v>
      </c>
      <c r="B699" t="s">
        <v>146</v>
      </c>
      <c r="C699">
        <v>2017.5</v>
      </c>
      <c r="D699" t="s">
        <v>21</v>
      </c>
      <c r="E699" t="s">
        <v>52</v>
      </c>
      <c r="F699" t="s">
        <v>16</v>
      </c>
      <c r="G699">
        <v>1.0680500000000001E-2</v>
      </c>
      <c r="H699">
        <v>1.54229E-2</v>
      </c>
      <c r="I699">
        <v>4.4777999999999997E-3</v>
      </c>
    </row>
    <row r="700" spans="1:9" x14ac:dyDescent="0.25">
      <c r="A700" s="104" t="str">
        <f t="shared" si="10"/>
        <v>Pakistan2017.5RuralPub_OutreachIUD</v>
      </c>
      <c r="B700" t="s">
        <v>146</v>
      </c>
      <c r="C700">
        <v>2017.5</v>
      </c>
      <c r="D700" t="s">
        <v>21</v>
      </c>
      <c r="E700" t="s">
        <v>54</v>
      </c>
      <c r="F700" t="s">
        <v>16</v>
      </c>
      <c r="G700">
        <v>2.7779999999999998E-4</v>
      </c>
      <c r="H700">
        <v>4.6710000000000002E-4</v>
      </c>
      <c r="I700">
        <v>1.0016000000000001E-3</v>
      </c>
    </row>
    <row r="701" spans="1:9" x14ac:dyDescent="0.25">
      <c r="A701" s="104" t="str">
        <f t="shared" si="10"/>
        <v>Pakistan2017.5RuralNGOIUD</v>
      </c>
      <c r="B701" t="s">
        <v>146</v>
      </c>
      <c r="C701">
        <v>2017.5</v>
      </c>
      <c r="D701" t="s">
        <v>21</v>
      </c>
      <c r="E701" t="s">
        <v>170</v>
      </c>
      <c r="F701" t="s">
        <v>16</v>
      </c>
      <c r="G701">
        <v>3.5603000000000002E-3</v>
      </c>
      <c r="H701">
        <v>5.0972999999999999E-3</v>
      </c>
      <c r="I701">
        <v>1.05582E-2</v>
      </c>
    </row>
    <row r="702" spans="1:9" x14ac:dyDescent="0.25">
      <c r="A702" s="104" t="str">
        <f t="shared" si="10"/>
        <v>Pakistan2017.5RuralCommercialIUD</v>
      </c>
      <c r="B702" t="s">
        <v>146</v>
      </c>
      <c r="C702">
        <v>2017.5</v>
      </c>
      <c r="D702" t="s">
        <v>21</v>
      </c>
      <c r="E702" t="s">
        <v>59</v>
      </c>
      <c r="F702" t="s">
        <v>16</v>
      </c>
      <c r="G702">
        <v>1.5842E-3</v>
      </c>
      <c r="H702">
        <v>4.1856999999999997E-3</v>
      </c>
      <c r="I702">
        <v>2.5171E-3</v>
      </c>
    </row>
    <row r="703" spans="1:9" x14ac:dyDescent="0.25">
      <c r="A703" s="104" t="str">
        <f t="shared" si="10"/>
        <v>Pakistan2017.5NationalPub_MedInjectable</v>
      </c>
      <c r="B703" t="s">
        <v>146</v>
      </c>
      <c r="C703">
        <v>2017.5</v>
      </c>
      <c r="D703" t="s">
        <v>178</v>
      </c>
      <c r="E703" t="s">
        <v>52</v>
      </c>
      <c r="F703" t="s">
        <v>22</v>
      </c>
      <c r="G703">
        <v>1.5900299999999999E-2</v>
      </c>
      <c r="H703">
        <v>9.0492000000000003E-3</v>
      </c>
      <c r="I703">
        <v>2.8909000000000001E-3</v>
      </c>
    </row>
    <row r="704" spans="1:9" x14ac:dyDescent="0.25">
      <c r="A704" s="104" t="str">
        <f t="shared" si="10"/>
        <v>Pakistan2017.5NationalPub_OutreachInjectable</v>
      </c>
      <c r="B704" t="s">
        <v>146</v>
      </c>
      <c r="C704">
        <v>2017.5</v>
      </c>
      <c r="D704" t="s">
        <v>178</v>
      </c>
      <c r="E704" t="s">
        <v>54</v>
      </c>
      <c r="F704" t="s">
        <v>22</v>
      </c>
      <c r="G704">
        <v>3.6438E-3</v>
      </c>
      <c r="H704">
        <v>7.2195999999999996E-3</v>
      </c>
      <c r="I704">
        <v>3.4261000000000001E-3</v>
      </c>
    </row>
    <row r="705" spans="1:9" x14ac:dyDescent="0.25">
      <c r="A705" s="104" t="str">
        <f t="shared" si="10"/>
        <v>Pakistan2017.5NationalNGOInjectable</v>
      </c>
      <c r="B705" t="s">
        <v>146</v>
      </c>
      <c r="C705">
        <v>2017.5</v>
      </c>
      <c r="D705" t="s">
        <v>178</v>
      </c>
      <c r="E705" t="s">
        <v>170</v>
      </c>
      <c r="F705" t="s">
        <v>22</v>
      </c>
      <c r="G705">
        <v>2.2667999999999998E-3</v>
      </c>
      <c r="H705">
        <v>3.9436999999999996E-3</v>
      </c>
      <c r="I705">
        <v>7.8509999999999995E-4</v>
      </c>
    </row>
    <row r="706" spans="1:9" x14ac:dyDescent="0.25">
      <c r="A706" s="104" t="str">
        <f t="shared" si="10"/>
        <v>Pakistan2017.5NationalCommercialInjectable</v>
      </c>
      <c r="B706" t="s">
        <v>146</v>
      </c>
      <c r="C706">
        <v>2017.5</v>
      </c>
      <c r="D706" t="s">
        <v>178</v>
      </c>
      <c r="E706" t="s">
        <v>59</v>
      </c>
      <c r="F706" t="s">
        <v>22</v>
      </c>
      <c r="G706">
        <v>9.1713000000000003E-3</v>
      </c>
      <c r="H706">
        <v>5.3968000000000002E-3</v>
      </c>
      <c r="I706">
        <v>2.0744000000000001E-3</v>
      </c>
    </row>
    <row r="707" spans="1:9" x14ac:dyDescent="0.25">
      <c r="A707" s="104" t="str">
        <f t="shared" ref="A707:A770" si="11">B707&amp;C707&amp;D707&amp;E707&amp;F707</f>
        <v>Pakistan2017.5NationalNonTradInjectable</v>
      </c>
      <c r="B707" t="s">
        <v>146</v>
      </c>
      <c r="C707">
        <v>2017.5</v>
      </c>
      <c r="D707" t="s">
        <v>178</v>
      </c>
      <c r="E707" t="s">
        <v>171</v>
      </c>
      <c r="F707" t="s">
        <v>22</v>
      </c>
      <c r="G707">
        <v>3.2190000000000002E-4</v>
      </c>
      <c r="H707">
        <v>8.9900000000000003E-5</v>
      </c>
    </row>
    <row r="708" spans="1:9" x14ac:dyDescent="0.25">
      <c r="A708" s="104" t="str">
        <f t="shared" si="11"/>
        <v>Pakistan2017.5NationalOtherInjectable</v>
      </c>
      <c r="B708" t="s">
        <v>146</v>
      </c>
      <c r="C708">
        <v>2017.5</v>
      </c>
      <c r="D708" t="s">
        <v>178</v>
      </c>
      <c r="E708" t="s">
        <v>116</v>
      </c>
      <c r="F708" t="s">
        <v>22</v>
      </c>
      <c r="G708">
        <v>1.1640999999999999E-3</v>
      </c>
      <c r="H708">
        <v>1.76E-4</v>
      </c>
    </row>
    <row r="709" spans="1:9" x14ac:dyDescent="0.25">
      <c r="A709" s="104" t="str">
        <f t="shared" si="11"/>
        <v>Pakistan2017.5NationalInjectable</v>
      </c>
      <c r="B709" t="s">
        <v>146</v>
      </c>
      <c r="C709">
        <v>2017.5</v>
      </c>
      <c r="D709" t="s">
        <v>178</v>
      </c>
      <c r="F709" t="s">
        <v>22</v>
      </c>
      <c r="H709">
        <v>5.2769999999999998E-4</v>
      </c>
    </row>
    <row r="710" spans="1:9" x14ac:dyDescent="0.25">
      <c r="A710" s="104" t="str">
        <f t="shared" si="11"/>
        <v>Pakistan2017.5UrbanPub_MedInjectable</v>
      </c>
      <c r="B710" t="s">
        <v>146</v>
      </c>
      <c r="C710">
        <v>2017.5</v>
      </c>
      <c r="D710" t="s">
        <v>20</v>
      </c>
      <c r="E710" t="s">
        <v>52</v>
      </c>
      <c r="F710" t="s">
        <v>22</v>
      </c>
      <c r="G710">
        <v>1.3831E-2</v>
      </c>
      <c r="H710">
        <v>1.05983E-2</v>
      </c>
      <c r="I710">
        <v>2.8394000000000002E-3</v>
      </c>
    </row>
    <row r="711" spans="1:9" x14ac:dyDescent="0.25">
      <c r="A711" s="104" t="str">
        <f t="shared" si="11"/>
        <v>Pakistan2017.5UrbanPub_OutreachInjectable</v>
      </c>
      <c r="B711" t="s">
        <v>146</v>
      </c>
      <c r="C711">
        <v>2017.5</v>
      </c>
      <c r="D711" t="s">
        <v>20</v>
      </c>
      <c r="E711" t="s">
        <v>54</v>
      </c>
      <c r="F711" t="s">
        <v>22</v>
      </c>
      <c r="G711">
        <v>6.8805999999999997E-3</v>
      </c>
      <c r="H711">
        <v>5.2575E-3</v>
      </c>
      <c r="I711">
        <v>2.7782000000000002E-3</v>
      </c>
    </row>
    <row r="712" spans="1:9" x14ac:dyDescent="0.25">
      <c r="A712" s="104" t="str">
        <f t="shared" si="11"/>
        <v>Pakistan2017.5UrbanNGOInjectable</v>
      </c>
      <c r="B712" t="s">
        <v>146</v>
      </c>
      <c r="C712">
        <v>2017.5</v>
      </c>
      <c r="D712" t="s">
        <v>20</v>
      </c>
      <c r="E712" t="s">
        <v>170</v>
      </c>
      <c r="F712" t="s">
        <v>22</v>
      </c>
      <c r="G712">
        <v>1.4101000000000001E-3</v>
      </c>
      <c r="H712">
        <v>2.9012999999999999E-3</v>
      </c>
    </row>
    <row r="713" spans="1:9" x14ac:dyDescent="0.25">
      <c r="A713" s="104" t="str">
        <f t="shared" si="11"/>
        <v>Pakistan2017.5UrbanCommercialInjectable</v>
      </c>
      <c r="B713" t="s">
        <v>146</v>
      </c>
      <c r="C713">
        <v>2017.5</v>
      </c>
      <c r="D713" t="s">
        <v>20</v>
      </c>
      <c r="E713" t="s">
        <v>59</v>
      </c>
      <c r="F713" t="s">
        <v>22</v>
      </c>
      <c r="G713">
        <v>1.11764E-2</v>
      </c>
      <c r="H713">
        <v>2.1534000000000002E-3</v>
      </c>
      <c r="I713">
        <v>2.1724000000000001E-3</v>
      </c>
    </row>
    <row r="714" spans="1:9" x14ac:dyDescent="0.25">
      <c r="A714" s="104" t="str">
        <f t="shared" si="11"/>
        <v>Pakistan2017.5UrbanNonTradInjectable</v>
      </c>
      <c r="B714" t="s">
        <v>146</v>
      </c>
      <c r="C714">
        <v>2017.5</v>
      </c>
      <c r="D714" t="s">
        <v>20</v>
      </c>
      <c r="E714" t="s">
        <v>171</v>
      </c>
      <c r="F714" t="s">
        <v>22</v>
      </c>
      <c r="H714">
        <v>2.385E-4</v>
      </c>
    </row>
    <row r="715" spans="1:9" x14ac:dyDescent="0.25">
      <c r="A715" s="104" t="str">
        <f t="shared" si="11"/>
        <v>Pakistan2017.5UrbanOtherInjectable</v>
      </c>
      <c r="B715" t="s">
        <v>146</v>
      </c>
      <c r="C715">
        <v>2017.5</v>
      </c>
      <c r="D715" t="s">
        <v>20</v>
      </c>
      <c r="E715" t="s">
        <v>116</v>
      </c>
      <c r="F715" t="s">
        <v>22</v>
      </c>
      <c r="G715">
        <v>9.0799999999999995E-4</v>
      </c>
      <c r="H715">
        <v>4.6670000000000001E-4</v>
      </c>
    </row>
    <row r="716" spans="1:9" x14ac:dyDescent="0.25">
      <c r="A716" s="104" t="str">
        <f t="shared" si="11"/>
        <v>Pakistan2017.5RuralPub_MedInjectable</v>
      </c>
      <c r="B716" t="s">
        <v>146</v>
      </c>
      <c r="C716">
        <v>2017.5</v>
      </c>
      <c r="D716" t="s">
        <v>21</v>
      </c>
      <c r="E716" t="s">
        <v>52</v>
      </c>
      <c r="F716" t="s">
        <v>22</v>
      </c>
      <c r="G716">
        <v>1.6074000000000001E-2</v>
      </c>
      <c r="H716">
        <v>8.1112000000000007E-3</v>
      </c>
      <c r="I716">
        <v>3.0238000000000001E-3</v>
      </c>
    </row>
    <row r="717" spans="1:9" x14ac:dyDescent="0.25">
      <c r="A717" s="104" t="str">
        <f t="shared" si="11"/>
        <v>Pakistan2017.5RuralPub_OutreachInjectable</v>
      </c>
      <c r="B717" t="s">
        <v>146</v>
      </c>
      <c r="C717">
        <v>2017.5</v>
      </c>
      <c r="D717" t="s">
        <v>21</v>
      </c>
      <c r="E717" t="s">
        <v>54</v>
      </c>
      <c r="F717" t="s">
        <v>22</v>
      </c>
      <c r="G717">
        <v>3.372E-3</v>
      </c>
      <c r="H717">
        <v>8.4078E-3</v>
      </c>
      <c r="I717">
        <v>5.0968999999999997E-3</v>
      </c>
    </row>
    <row r="718" spans="1:9" x14ac:dyDescent="0.25">
      <c r="A718" s="104" t="str">
        <f t="shared" si="11"/>
        <v>Pakistan2017.5RuralNGOInjectable</v>
      </c>
      <c r="B718" t="s">
        <v>146</v>
      </c>
      <c r="C718">
        <v>2017.5</v>
      </c>
      <c r="D718" t="s">
        <v>21</v>
      </c>
      <c r="E718" t="s">
        <v>170</v>
      </c>
      <c r="F718" t="s">
        <v>22</v>
      </c>
      <c r="G718">
        <v>2.3387E-3</v>
      </c>
      <c r="H718">
        <v>4.5750000000000001E-3</v>
      </c>
      <c r="I718">
        <v>2.8097E-3</v>
      </c>
    </row>
    <row r="719" spans="1:9" x14ac:dyDescent="0.25">
      <c r="A719" s="104" t="str">
        <f t="shared" si="11"/>
        <v>Pakistan2017.5RuralCommercialInjectable</v>
      </c>
      <c r="B719" t="s">
        <v>146</v>
      </c>
      <c r="C719">
        <v>2017.5</v>
      </c>
      <c r="D719" t="s">
        <v>21</v>
      </c>
      <c r="E719" t="s">
        <v>59</v>
      </c>
      <c r="F719" t="s">
        <v>22</v>
      </c>
      <c r="G719">
        <v>9.0028999999999994E-3</v>
      </c>
      <c r="H719">
        <v>7.3607000000000004E-3</v>
      </c>
      <c r="I719">
        <v>1.8215E-3</v>
      </c>
    </row>
    <row r="720" spans="1:9" x14ac:dyDescent="0.25">
      <c r="A720" s="104" t="str">
        <f t="shared" si="11"/>
        <v>Pakistan2017.5RuralNonTradInjectable</v>
      </c>
      <c r="B720" t="s">
        <v>146</v>
      </c>
      <c r="C720">
        <v>2017.5</v>
      </c>
      <c r="D720" t="s">
        <v>21</v>
      </c>
      <c r="E720" t="s">
        <v>171</v>
      </c>
      <c r="F720" t="s">
        <v>22</v>
      </c>
      <c r="G720">
        <v>3.4890000000000002E-4</v>
      </c>
    </row>
    <row r="721" spans="1:9" x14ac:dyDescent="0.25">
      <c r="A721" s="104" t="str">
        <f t="shared" si="11"/>
        <v>Pakistan2017.5RuralOtherInjectable</v>
      </c>
      <c r="B721" t="s">
        <v>146</v>
      </c>
      <c r="C721">
        <v>2017.5</v>
      </c>
      <c r="D721" t="s">
        <v>21</v>
      </c>
      <c r="E721" t="s">
        <v>116</v>
      </c>
      <c r="F721" t="s">
        <v>22</v>
      </c>
      <c r="G721">
        <v>1.1856E-3</v>
      </c>
    </row>
    <row r="722" spans="1:9" x14ac:dyDescent="0.25">
      <c r="A722" s="104" t="str">
        <f t="shared" si="11"/>
        <v>Pakistan2017.5RuralInjectable</v>
      </c>
      <c r="B722" t="s">
        <v>146</v>
      </c>
      <c r="C722">
        <v>2017.5</v>
      </c>
      <c r="D722" t="s">
        <v>21</v>
      </c>
      <c r="F722" t="s">
        <v>22</v>
      </c>
      <c r="H722">
        <v>8.4730000000000005E-4</v>
      </c>
    </row>
    <row r="723" spans="1:9" x14ac:dyDescent="0.25">
      <c r="A723" s="104" t="str">
        <f t="shared" si="11"/>
        <v>Pakistan2017.5NationalPub_MedCondom</v>
      </c>
      <c r="B723" t="s">
        <v>146</v>
      </c>
      <c r="C723">
        <v>2017.5</v>
      </c>
      <c r="D723" t="s">
        <v>178</v>
      </c>
      <c r="E723" t="s">
        <v>52</v>
      </c>
      <c r="F723" t="s">
        <v>25</v>
      </c>
      <c r="G723">
        <v>1.9113999999999999E-3</v>
      </c>
      <c r="H723">
        <v>3.4058999999999999E-3</v>
      </c>
      <c r="I723">
        <v>3.6746000000000001E-3</v>
      </c>
    </row>
    <row r="724" spans="1:9" x14ac:dyDescent="0.25">
      <c r="A724" s="104" t="str">
        <f t="shared" si="11"/>
        <v>Pakistan2017.5NationalPub_OutreachCondom</v>
      </c>
      <c r="B724" t="s">
        <v>146</v>
      </c>
      <c r="C724">
        <v>2017.5</v>
      </c>
      <c r="D724" t="s">
        <v>178</v>
      </c>
      <c r="E724" t="s">
        <v>54</v>
      </c>
      <c r="F724" t="s">
        <v>25</v>
      </c>
      <c r="G724">
        <v>6.3626999999999998E-3</v>
      </c>
      <c r="H724">
        <v>1.9975199999999999E-2</v>
      </c>
      <c r="I724">
        <v>1.4965900000000001E-2</v>
      </c>
    </row>
    <row r="725" spans="1:9" x14ac:dyDescent="0.25">
      <c r="A725" s="104" t="str">
        <f t="shared" si="11"/>
        <v>Pakistan2017.5NationalNGOCondom</v>
      </c>
      <c r="B725" t="s">
        <v>146</v>
      </c>
      <c r="C725">
        <v>2017.5</v>
      </c>
      <c r="D725" t="s">
        <v>178</v>
      </c>
      <c r="E725" t="s">
        <v>170</v>
      </c>
      <c r="F725" t="s">
        <v>25</v>
      </c>
      <c r="G725">
        <v>1.082E-4</v>
      </c>
      <c r="H725">
        <v>8.1249999999999996E-4</v>
      </c>
      <c r="I725">
        <v>4.3474000000000004E-3</v>
      </c>
    </row>
    <row r="726" spans="1:9" x14ac:dyDescent="0.25">
      <c r="A726" s="104" t="str">
        <f t="shared" si="11"/>
        <v>Pakistan2017.5NationalCommercialCondom</v>
      </c>
      <c r="B726" t="s">
        <v>146</v>
      </c>
      <c r="C726">
        <v>2017.5</v>
      </c>
      <c r="D726" t="s">
        <v>178</v>
      </c>
      <c r="E726" t="s">
        <v>59</v>
      </c>
      <c r="F726" t="s">
        <v>25</v>
      </c>
      <c r="G726">
        <v>8.4711999999999999E-3</v>
      </c>
      <c r="H726">
        <v>4.57756E-2</v>
      </c>
      <c r="I726">
        <v>7.7613500000000002E-2</v>
      </c>
    </row>
    <row r="727" spans="1:9" x14ac:dyDescent="0.25">
      <c r="A727" s="104" t="str">
        <f t="shared" si="11"/>
        <v>Pakistan2017.5NationalNonTradCondom</v>
      </c>
      <c r="B727" t="s">
        <v>146</v>
      </c>
      <c r="C727">
        <v>2017.5</v>
      </c>
      <c r="D727" t="s">
        <v>178</v>
      </c>
      <c r="E727" t="s">
        <v>171</v>
      </c>
      <c r="F727" t="s">
        <v>25</v>
      </c>
      <c r="G727">
        <v>1.3568500000000001E-2</v>
      </c>
      <c r="H727">
        <v>2.5815899999999999E-2</v>
      </c>
      <c r="I727">
        <v>3.6458200000000003E-2</v>
      </c>
    </row>
    <row r="728" spans="1:9" x14ac:dyDescent="0.25">
      <c r="A728" s="104" t="str">
        <f t="shared" si="11"/>
        <v>Pakistan2017.5NationalOtherCondom</v>
      </c>
      <c r="B728" t="s">
        <v>146</v>
      </c>
      <c r="C728">
        <v>2017.5</v>
      </c>
      <c r="D728" t="s">
        <v>178</v>
      </c>
      <c r="E728" t="s">
        <v>116</v>
      </c>
      <c r="F728" t="s">
        <v>25</v>
      </c>
      <c r="G728">
        <v>8.8099999999999995E-4</v>
      </c>
      <c r="H728">
        <v>3.2999000000000001E-3</v>
      </c>
      <c r="I728">
        <v>5.3480000000000003E-3</v>
      </c>
    </row>
    <row r="729" spans="1:9" x14ac:dyDescent="0.25">
      <c r="A729" s="104" t="str">
        <f t="shared" si="11"/>
        <v>Pakistan2017.5NationalCondom</v>
      </c>
      <c r="B729" t="s">
        <v>146</v>
      </c>
      <c r="C729">
        <v>2017.5</v>
      </c>
      <c r="D729" t="s">
        <v>178</v>
      </c>
      <c r="F729" t="s">
        <v>25</v>
      </c>
      <c r="I729">
        <v>8.7009999999999995E-4</v>
      </c>
    </row>
    <row r="730" spans="1:9" x14ac:dyDescent="0.25">
      <c r="A730" s="104" t="str">
        <f t="shared" si="11"/>
        <v>Pakistan2017.5UrbanPub_MedCondom</v>
      </c>
      <c r="B730" t="s">
        <v>146</v>
      </c>
      <c r="C730">
        <v>2017.5</v>
      </c>
      <c r="D730" t="s">
        <v>20</v>
      </c>
      <c r="E730" t="s">
        <v>52</v>
      </c>
      <c r="F730" t="s">
        <v>25</v>
      </c>
      <c r="G730">
        <v>2.6494999999999999E-3</v>
      </c>
      <c r="H730">
        <v>4.0118999999999997E-3</v>
      </c>
      <c r="I730">
        <v>1.5938E-3</v>
      </c>
    </row>
    <row r="731" spans="1:9" x14ac:dyDescent="0.25">
      <c r="A731" s="104" t="str">
        <f t="shared" si="11"/>
        <v>Pakistan2017.5UrbanPub_OutreachCondom</v>
      </c>
      <c r="B731" t="s">
        <v>146</v>
      </c>
      <c r="C731">
        <v>2017.5</v>
      </c>
      <c r="D731" t="s">
        <v>20</v>
      </c>
      <c r="E731" t="s">
        <v>54</v>
      </c>
      <c r="F731" t="s">
        <v>25</v>
      </c>
      <c r="G731">
        <v>8.3569999999999998E-4</v>
      </c>
      <c r="H731">
        <v>1.22705E-2</v>
      </c>
      <c r="I731">
        <v>1.33714E-2</v>
      </c>
    </row>
    <row r="732" spans="1:9" x14ac:dyDescent="0.25">
      <c r="A732" s="104" t="str">
        <f t="shared" si="11"/>
        <v>Pakistan2017.5UrbanNGOCondom</v>
      </c>
      <c r="B732" t="s">
        <v>146</v>
      </c>
      <c r="C732">
        <v>2017.5</v>
      </c>
      <c r="D732" t="s">
        <v>20</v>
      </c>
      <c r="E732" t="s">
        <v>170</v>
      </c>
      <c r="F732" t="s">
        <v>25</v>
      </c>
      <c r="H732">
        <v>1.6754000000000001E-3</v>
      </c>
      <c r="I732">
        <v>6.0331999999999998E-3</v>
      </c>
    </row>
    <row r="733" spans="1:9" x14ac:dyDescent="0.25">
      <c r="A733" s="104" t="str">
        <f t="shared" si="11"/>
        <v>Pakistan2017.5UrbanCommercialCondom</v>
      </c>
      <c r="B733" t="s">
        <v>146</v>
      </c>
      <c r="C733">
        <v>2017.5</v>
      </c>
      <c r="D733" t="s">
        <v>20</v>
      </c>
      <c r="E733" t="s">
        <v>59</v>
      </c>
      <c r="F733" t="s">
        <v>25</v>
      </c>
      <c r="G733">
        <v>1.42097E-2</v>
      </c>
      <c r="H733">
        <v>5.7781600000000002E-2</v>
      </c>
      <c r="I733">
        <v>7.3954900000000004E-2</v>
      </c>
    </row>
    <row r="734" spans="1:9" x14ac:dyDescent="0.25">
      <c r="A734" s="104" t="str">
        <f t="shared" si="11"/>
        <v>Pakistan2017.5UrbanNonTradCondom</v>
      </c>
      <c r="B734" t="s">
        <v>146</v>
      </c>
      <c r="C734">
        <v>2017.5</v>
      </c>
      <c r="D734" t="s">
        <v>20</v>
      </c>
      <c r="E734" t="s">
        <v>171</v>
      </c>
      <c r="F734" t="s">
        <v>25</v>
      </c>
      <c r="G734">
        <v>9.8346000000000006E-3</v>
      </c>
      <c r="H734">
        <v>3.0864599999999999E-2</v>
      </c>
      <c r="I734">
        <v>4.2893000000000001E-2</v>
      </c>
    </row>
    <row r="735" spans="1:9" x14ac:dyDescent="0.25">
      <c r="A735" s="104" t="str">
        <f t="shared" si="11"/>
        <v>Pakistan2017.5UrbanOtherCondom</v>
      </c>
      <c r="B735" t="s">
        <v>146</v>
      </c>
      <c r="C735">
        <v>2017.5</v>
      </c>
      <c r="D735" t="s">
        <v>20</v>
      </c>
      <c r="E735" t="s">
        <v>116</v>
      </c>
      <c r="F735" t="s">
        <v>25</v>
      </c>
      <c r="G735">
        <v>4.8319999999999998E-4</v>
      </c>
      <c r="H735">
        <v>4.6798999999999999E-3</v>
      </c>
      <c r="I735">
        <v>6.2789999999999999E-3</v>
      </c>
    </row>
    <row r="736" spans="1:9" x14ac:dyDescent="0.25">
      <c r="A736" s="104" t="str">
        <f t="shared" si="11"/>
        <v>Pakistan2017.5UrbanCondom</v>
      </c>
      <c r="B736" t="s">
        <v>146</v>
      </c>
      <c r="C736">
        <v>2017.5</v>
      </c>
      <c r="D736" t="s">
        <v>20</v>
      </c>
      <c r="F736" t="s">
        <v>25</v>
      </c>
      <c r="I736">
        <v>1.2075E-3</v>
      </c>
    </row>
    <row r="737" spans="1:9" x14ac:dyDescent="0.25">
      <c r="A737" s="104" t="str">
        <f t="shared" si="11"/>
        <v>Pakistan2017.5RuralPub_MedCondom</v>
      </c>
      <c r="B737" t="s">
        <v>146</v>
      </c>
      <c r="C737">
        <v>2017.5</v>
      </c>
      <c r="D737" t="s">
        <v>21</v>
      </c>
      <c r="E737" t="s">
        <v>52</v>
      </c>
      <c r="F737" t="s">
        <v>25</v>
      </c>
      <c r="G737">
        <v>1.8494E-3</v>
      </c>
      <c r="H737">
        <v>3.039E-3</v>
      </c>
      <c r="I737">
        <v>9.0407999999999999E-3</v>
      </c>
    </row>
    <row r="738" spans="1:9" x14ac:dyDescent="0.25">
      <c r="A738" s="104" t="str">
        <f t="shared" si="11"/>
        <v>Pakistan2017.5RuralPub_OutreachCondom</v>
      </c>
      <c r="B738" t="s">
        <v>146</v>
      </c>
      <c r="C738">
        <v>2017.5</v>
      </c>
      <c r="D738" t="s">
        <v>21</v>
      </c>
      <c r="E738" t="s">
        <v>54</v>
      </c>
      <c r="F738" t="s">
        <v>25</v>
      </c>
      <c r="G738">
        <v>6.8268000000000001E-3</v>
      </c>
      <c r="H738">
        <v>2.4640499999999999E-2</v>
      </c>
      <c r="I738">
        <v>1.9077899999999998E-2</v>
      </c>
    </row>
    <row r="739" spans="1:9" x14ac:dyDescent="0.25">
      <c r="A739" s="104" t="str">
        <f t="shared" si="11"/>
        <v>Pakistan2017.5RuralNGOCondom</v>
      </c>
      <c r="B739" t="s">
        <v>146</v>
      </c>
      <c r="C739">
        <v>2017.5</v>
      </c>
      <c r="D739" t="s">
        <v>21</v>
      </c>
      <c r="E739" t="s">
        <v>170</v>
      </c>
      <c r="F739" t="s">
        <v>25</v>
      </c>
      <c r="G739">
        <v>1.1730000000000001E-4</v>
      </c>
      <c r="H739">
        <v>2.9E-4</v>
      </c>
    </row>
    <row r="740" spans="1:9" x14ac:dyDescent="0.25">
      <c r="A740" s="104" t="str">
        <f t="shared" si="11"/>
        <v>Pakistan2017.5RuralCommercialCondom</v>
      </c>
      <c r="B740" t="s">
        <v>146</v>
      </c>
      <c r="C740">
        <v>2017.5</v>
      </c>
      <c r="D740" t="s">
        <v>21</v>
      </c>
      <c r="E740" t="s">
        <v>59</v>
      </c>
      <c r="F740" t="s">
        <v>25</v>
      </c>
      <c r="G740">
        <v>7.9894000000000007E-3</v>
      </c>
      <c r="H740">
        <v>3.8505699999999997E-2</v>
      </c>
      <c r="I740">
        <v>8.7048700000000007E-2</v>
      </c>
    </row>
    <row r="741" spans="1:9" x14ac:dyDescent="0.25">
      <c r="A741" s="104" t="str">
        <f t="shared" si="11"/>
        <v>Pakistan2017.5RuralNonTradCondom</v>
      </c>
      <c r="B741" t="s">
        <v>146</v>
      </c>
      <c r="C741">
        <v>2017.5</v>
      </c>
      <c r="D741" t="s">
        <v>21</v>
      </c>
      <c r="E741" t="s">
        <v>171</v>
      </c>
      <c r="F741" t="s">
        <v>25</v>
      </c>
      <c r="G741">
        <v>1.3882E-2</v>
      </c>
      <c r="H741">
        <v>2.2758799999999999E-2</v>
      </c>
      <c r="I741">
        <v>1.9863599999999999E-2</v>
      </c>
    </row>
    <row r="742" spans="1:9" x14ac:dyDescent="0.25">
      <c r="A742" s="104" t="str">
        <f t="shared" si="11"/>
        <v>Pakistan2017.5RuralOtherCondom</v>
      </c>
      <c r="B742" t="s">
        <v>146</v>
      </c>
      <c r="C742">
        <v>2017.5</v>
      </c>
      <c r="D742" t="s">
        <v>21</v>
      </c>
      <c r="E742" t="s">
        <v>116</v>
      </c>
      <c r="F742" t="s">
        <v>25</v>
      </c>
      <c r="G742">
        <v>9.144E-4</v>
      </c>
      <c r="H742">
        <v>2.4643E-3</v>
      </c>
      <c r="I742">
        <v>2.947E-3</v>
      </c>
    </row>
    <row r="743" spans="1:9" x14ac:dyDescent="0.25">
      <c r="A743" s="104" t="str">
        <f t="shared" si="11"/>
        <v>Pakistan2017.5NationalPub_MedImplant</v>
      </c>
      <c r="B743" t="s">
        <v>146</v>
      </c>
      <c r="C743">
        <v>2017.5</v>
      </c>
      <c r="D743" t="s">
        <v>178</v>
      </c>
      <c r="E743" t="s">
        <v>52</v>
      </c>
      <c r="F743" t="s">
        <v>23</v>
      </c>
      <c r="G743">
        <v>6.4583000000000002E-3</v>
      </c>
      <c r="H743">
        <v>1.9572000000000001E-3</v>
      </c>
      <c r="I743">
        <v>1.0736000000000001E-3</v>
      </c>
    </row>
    <row r="744" spans="1:9" x14ac:dyDescent="0.25">
      <c r="A744" s="104" t="str">
        <f t="shared" si="11"/>
        <v>Pakistan2017.5NationalPub_OutreachImplant</v>
      </c>
      <c r="B744" t="s">
        <v>146</v>
      </c>
      <c r="C744">
        <v>2017.5</v>
      </c>
      <c r="D744" t="s">
        <v>178</v>
      </c>
      <c r="E744" t="s">
        <v>54</v>
      </c>
      <c r="F744" t="s">
        <v>23</v>
      </c>
      <c r="G744">
        <v>6.7820000000000001E-4</v>
      </c>
      <c r="H744">
        <v>4.0729999999999998E-4</v>
      </c>
      <c r="I744">
        <v>2.5680000000000001E-4</v>
      </c>
    </row>
    <row r="745" spans="1:9" x14ac:dyDescent="0.25">
      <c r="A745" s="104" t="str">
        <f t="shared" si="11"/>
        <v>Pakistan2017.5NationalNGOImplant</v>
      </c>
      <c r="B745" t="s">
        <v>146</v>
      </c>
      <c r="C745">
        <v>2017.5</v>
      </c>
      <c r="D745" t="s">
        <v>178</v>
      </c>
      <c r="E745" t="s">
        <v>170</v>
      </c>
      <c r="F745" t="s">
        <v>23</v>
      </c>
      <c r="G745">
        <v>6.313E-4</v>
      </c>
      <c r="H745">
        <v>2.7819999999999999E-4</v>
      </c>
      <c r="I745">
        <v>6.4349999999999997E-4</v>
      </c>
    </row>
    <row r="746" spans="1:9" x14ac:dyDescent="0.25">
      <c r="A746" s="104" t="str">
        <f t="shared" si="11"/>
        <v>Pakistan2017.5NationalCommercialImplant</v>
      </c>
      <c r="B746" t="s">
        <v>146</v>
      </c>
      <c r="C746">
        <v>2017.5</v>
      </c>
      <c r="D746" t="s">
        <v>178</v>
      </c>
      <c r="E746" t="s">
        <v>59</v>
      </c>
      <c r="F746" t="s">
        <v>23</v>
      </c>
      <c r="H746">
        <v>2.8870000000000002E-4</v>
      </c>
    </row>
    <row r="747" spans="1:9" x14ac:dyDescent="0.25">
      <c r="A747" s="104" t="str">
        <f t="shared" si="11"/>
        <v>Pakistan2017.5UrbanPub_MedImplant</v>
      </c>
      <c r="B747" t="s">
        <v>146</v>
      </c>
      <c r="C747">
        <v>2017.5</v>
      </c>
      <c r="D747" t="s">
        <v>20</v>
      </c>
      <c r="E747" t="s">
        <v>52</v>
      </c>
      <c r="F747" t="s">
        <v>23</v>
      </c>
      <c r="G747">
        <v>2.27809E-2</v>
      </c>
      <c r="H747">
        <v>1.7116E-3</v>
      </c>
      <c r="I747">
        <v>1.4898999999999999E-3</v>
      </c>
    </row>
    <row r="748" spans="1:9" x14ac:dyDescent="0.25">
      <c r="A748" s="104" t="str">
        <f t="shared" si="11"/>
        <v>Pakistan2017.5UrbanPub_OutreachImplant</v>
      </c>
      <c r="B748" t="s">
        <v>146</v>
      </c>
      <c r="C748">
        <v>2017.5</v>
      </c>
      <c r="D748" t="s">
        <v>20</v>
      </c>
      <c r="E748" t="s">
        <v>54</v>
      </c>
      <c r="F748" t="s">
        <v>23</v>
      </c>
      <c r="G748">
        <v>7.7669999999999996E-4</v>
      </c>
      <c r="H748">
        <v>1.08E-3</v>
      </c>
      <c r="I748">
        <v>3.5639999999999999E-4</v>
      </c>
    </row>
    <row r="749" spans="1:9" x14ac:dyDescent="0.25">
      <c r="A749" s="104" t="str">
        <f t="shared" si="11"/>
        <v>Pakistan2017.5UrbanNGOImplant</v>
      </c>
      <c r="B749" t="s">
        <v>146</v>
      </c>
      <c r="C749">
        <v>2017.5</v>
      </c>
      <c r="D749" t="s">
        <v>20</v>
      </c>
      <c r="E749" t="s">
        <v>170</v>
      </c>
      <c r="F749" t="s">
        <v>23</v>
      </c>
      <c r="I749">
        <v>8.9300000000000002E-4</v>
      </c>
    </row>
    <row r="750" spans="1:9" x14ac:dyDescent="0.25">
      <c r="A750" s="104" t="str">
        <f t="shared" si="11"/>
        <v>Pakistan2017.5RuralPub_MedImplant</v>
      </c>
      <c r="B750" t="s">
        <v>146</v>
      </c>
      <c r="C750">
        <v>2017.5</v>
      </c>
      <c r="D750" t="s">
        <v>21</v>
      </c>
      <c r="E750" t="s">
        <v>52</v>
      </c>
      <c r="F750" t="s">
        <v>23</v>
      </c>
      <c r="G750">
        <v>5.0876999999999997E-3</v>
      </c>
      <c r="H750">
        <v>2.1058000000000001E-3</v>
      </c>
    </row>
    <row r="751" spans="1:9" x14ac:dyDescent="0.25">
      <c r="A751" s="104" t="str">
        <f t="shared" si="11"/>
        <v>Pakistan2017.5RuralPub_OutreachImplant</v>
      </c>
      <c r="B751" t="s">
        <v>146</v>
      </c>
      <c r="C751">
        <v>2017.5</v>
      </c>
      <c r="D751" t="s">
        <v>21</v>
      </c>
      <c r="E751" t="s">
        <v>54</v>
      </c>
      <c r="F751" t="s">
        <v>23</v>
      </c>
      <c r="G751">
        <v>6.7000000000000002E-4</v>
      </c>
    </row>
    <row r="752" spans="1:9" x14ac:dyDescent="0.25">
      <c r="A752" s="104" t="str">
        <f t="shared" si="11"/>
        <v>Pakistan2017.5RuralNGOImplant</v>
      </c>
      <c r="B752" t="s">
        <v>146</v>
      </c>
      <c r="C752">
        <v>2017.5</v>
      </c>
      <c r="D752" t="s">
        <v>21</v>
      </c>
      <c r="E752" t="s">
        <v>170</v>
      </c>
      <c r="F752" t="s">
        <v>23</v>
      </c>
      <c r="G752">
        <v>6.8429999999999999E-4</v>
      </c>
      <c r="H752">
        <v>4.4660000000000001E-4</v>
      </c>
    </row>
    <row r="753" spans="1:9" x14ac:dyDescent="0.25">
      <c r="A753" s="104" t="str">
        <f t="shared" si="11"/>
        <v>Pakistan2017.5RuralCommercialImplant</v>
      </c>
      <c r="B753" t="s">
        <v>146</v>
      </c>
      <c r="C753">
        <v>2017.5</v>
      </c>
      <c r="D753" t="s">
        <v>21</v>
      </c>
      <c r="E753" t="s">
        <v>59</v>
      </c>
      <c r="F753" t="s">
        <v>23</v>
      </c>
      <c r="H753">
        <v>4.6359999999999999E-4</v>
      </c>
    </row>
    <row r="754" spans="1:9" x14ac:dyDescent="0.25">
      <c r="A754" s="104" t="str">
        <f t="shared" si="11"/>
        <v>Senegal2016NationalPub_MedPill</v>
      </c>
      <c r="B754" t="s">
        <v>150</v>
      </c>
      <c r="C754">
        <v>2016</v>
      </c>
      <c r="D754" t="s">
        <v>178</v>
      </c>
      <c r="E754" t="s">
        <v>52</v>
      </c>
      <c r="F754" t="s">
        <v>12</v>
      </c>
      <c r="G754">
        <v>1.9475900000000001E-2</v>
      </c>
      <c r="H754">
        <v>3.1806000000000001E-2</v>
      </c>
      <c r="I754">
        <v>2.7392199999999998E-2</v>
      </c>
    </row>
    <row r="755" spans="1:9" x14ac:dyDescent="0.25">
      <c r="A755" s="104" t="str">
        <f t="shared" si="11"/>
        <v>Senegal2016NationalPub_OutreachPill</v>
      </c>
      <c r="B755" t="s">
        <v>150</v>
      </c>
      <c r="C755">
        <v>2016</v>
      </c>
      <c r="D755" t="s">
        <v>178</v>
      </c>
      <c r="E755" t="s">
        <v>54</v>
      </c>
      <c r="F755" t="s">
        <v>12</v>
      </c>
      <c r="G755">
        <v>1.9773999999999998E-3</v>
      </c>
      <c r="H755">
        <v>2.5961000000000001E-3</v>
      </c>
    </row>
    <row r="756" spans="1:9" x14ac:dyDescent="0.25">
      <c r="A756" s="104" t="str">
        <f t="shared" si="11"/>
        <v>Senegal2016NationalCommercialPill</v>
      </c>
      <c r="B756" t="s">
        <v>150</v>
      </c>
      <c r="C756">
        <v>2016</v>
      </c>
      <c r="D756" t="s">
        <v>178</v>
      </c>
      <c r="E756" t="s">
        <v>59</v>
      </c>
      <c r="F756" t="s">
        <v>12</v>
      </c>
      <c r="G756">
        <v>2.6310000000000001E-3</v>
      </c>
      <c r="H756">
        <v>1.3995799999999999E-2</v>
      </c>
      <c r="I756">
        <v>1.0732999999999999E-2</v>
      </c>
    </row>
    <row r="757" spans="1:9" x14ac:dyDescent="0.25">
      <c r="A757" s="104" t="str">
        <f t="shared" si="11"/>
        <v>Senegal2016UrbanPub_MedPill</v>
      </c>
      <c r="B757" t="s">
        <v>150</v>
      </c>
      <c r="C757">
        <v>2016</v>
      </c>
      <c r="D757" t="s">
        <v>20</v>
      </c>
      <c r="E757" t="s">
        <v>52</v>
      </c>
      <c r="F757" t="s">
        <v>12</v>
      </c>
      <c r="G757">
        <v>2.3285199999999999E-2</v>
      </c>
      <c r="H757">
        <v>2.7942600000000001E-2</v>
      </c>
      <c r="I757">
        <v>2.9535599999999999E-2</v>
      </c>
    </row>
    <row r="758" spans="1:9" x14ac:dyDescent="0.25">
      <c r="A758" s="104" t="str">
        <f t="shared" si="11"/>
        <v>Senegal2016UrbanPub_OutreachPill</v>
      </c>
      <c r="B758" t="s">
        <v>150</v>
      </c>
      <c r="C758">
        <v>2016</v>
      </c>
      <c r="D758" t="s">
        <v>20</v>
      </c>
      <c r="E758" t="s">
        <v>54</v>
      </c>
      <c r="F758" t="s">
        <v>12</v>
      </c>
      <c r="G758">
        <v>5.2010000000000001E-4</v>
      </c>
      <c r="H758">
        <v>3.1139000000000002E-3</v>
      </c>
    </row>
    <row r="759" spans="1:9" x14ac:dyDescent="0.25">
      <c r="A759" s="104" t="str">
        <f t="shared" si="11"/>
        <v>Senegal2016UrbanCommercialPill</v>
      </c>
      <c r="B759" t="s">
        <v>150</v>
      </c>
      <c r="C759">
        <v>2016</v>
      </c>
      <c r="D759" t="s">
        <v>20</v>
      </c>
      <c r="E759" t="s">
        <v>59</v>
      </c>
      <c r="F759" t="s">
        <v>12</v>
      </c>
      <c r="G759">
        <v>7.4278E-3</v>
      </c>
      <c r="H759">
        <v>1.6787199999999999E-2</v>
      </c>
      <c r="I759">
        <v>1.08395E-2</v>
      </c>
    </row>
    <row r="760" spans="1:9" x14ac:dyDescent="0.25">
      <c r="A760" s="104" t="str">
        <f t="shared" si="11"/>
        <v>Senegal2016RuralPub_MedPill</v>
      </c>
      <c r="B760" t="s">
        <v>150</v>
      </c>
      <c r="C760">
        <v>2016</v>
      </c>
      <c r="D760" t="s">
        <v>21</v>
      </c>
      <c r="E760" t="s">
        <v>52</v>
      </c>
      <c r="F760" t="s">
        <v>12</v>
      </c>
      <c r="G760">
        <v>1.7840600000000002E-2</v>
      </c>
      <c r="H760">
        <v>5.1177E-2</v>
      </c>
      <c r="I760">
        <v>1.3989700000000001E-2</v>
      </c>
    </row>
    <row r="761" spans="1:9" x14ac:dyDescent="0.25">
      <c r="A761" s="104" t="str">
        <f t="shared" si="11"/>
        <v>Senegal2016RuralPub_OutreachPill</v>
      </c>
      <c r="B761" t="s">
        <v>150</v>
      </c>
      <c r="C761">
        <v>2016</v>
      </c>
      <c r="D761" t="s">
        <v>21</v>
      </c>
      <c r="E761" t="s">
        <v>54</v>
      </c>
      <c r="F761" t="s">
        <v>12</v>
      </c>
      <c r="G761">
        <v>2.6031000000000001E-3</v>
      </c>
    </row>
    <row r="762" spans="1:9" x14ac:dyDescent="0.25">
      <c r="A762" s="104" t="str">
        <f t="shared" si="11"/>
        <v>Senegal2016RuralCommercialPill</v>
      </c>
      <c r="B762" t="s">
        <v>150</v>
      </c>
      <c r="C762">
        <v>2016</v>
      </c>
      <c r="D762" t="s">
        <v>21</v>
      </c>
      <c r="E762" t="s">
        <v>59</v>
      </c>
      <c r="F762" t="s">
        <v>12</v>
      </c>
      <c r="G762">
        <v>5.7180000000000002E-4</v>
      </c>
      <c r="I762">
        <v>1.0067400000000001E-2</v>
      </c>
    </row>
    <row r="763" spans="1:9" x14ac:dyDescent="0.25">
      <c r="A763" s="104" t="str">
        <f t="shared" si="11"/>
        <v>Senegal2016NationalPub_MedIUD</v>
      </c>
      <c r="B763" t="s">
        <v>150</v>
      </c>
      <c r="C763">
        <v>2016</v>
      </c>
      <c r="D763" t="s">
        <v>178</v>
      </c>
      <c r="E763" t="s">
        <v>52</v>
      </c>
      <c r="F763" t="s">
        <v>16</v>
      </c>
      <c r="G763">
        <v>6.7586E-3</v>
      </c>
      <c r="H763">
        <v>1.3384E-2</v>
      </c>
      <c r="I763">
        <v>1.3471199999999999E-2</v>
      </c>
    </row>
    <row r="764" spans="1:9" x14ac:dyDescent="0.25">
      <c r="A764" s="104" t="str">
        <f t="shared" si="11"/>
        <v>Senegal2016NationalPub_OutreachIUD</v>
      </c>
      <c r="B764" t="s">
        <v>150</v>
      </c>
      <c r="C764">
        <v>2016</v>
      </c>
      <c r="D764" t="s">
        <v>178</v>
      </c>
      <c r="E764" t="s">
        <v>54</v>
      </c>
      <c r="F764" t="s">
        <v>16</v>
      </c>
      <c r="G764">
        <v>1.8650000000000001E-4</v>
      </c>
      <c r="I764">
        <v>3.5103999999999999E-3</v>
      </c>
    </row>
    <row r="765" spans="1:9" x14ac:dyDescent="0.25">
      <c r="A765" s="104" t="str">
        <f t="shared" si="11"/>
        <v>Senegal2016NationalCommercialIUD</v>
      </c>
      <c r="B765" t="s">
        <v>150</v>
      </c>
      <c r="C765">
        <v>2016</v>
      </c>
      <c r="D765" t="s">
        <v>178</v>
      </c>
      <c r="E765" t="s">
        <v>59</v>
      </c>
      <c r="F765" t="s">
        <v>16</v>
      </c>
      <c r="H765">
        <v>2.5690000000000001E-4</v>
      </c>
      <c r="I765">
        <v>3.9730000000000001E-4</v>
      </c>
    </row>
    <row r="766" spans="1:9" x14ac:dyDescent="0.25">
      <c r="A766" s="104" t="str">
        <f t="shared" si="11"/>
        <v>Senegal2016NationalIUD</v>
      </c>
      <c r="B766" t="s">
        <v>150</v>
      </c>
      <c r="C766">
        <v>2016</v>
      </c>
      <c r="D766" t="s">
        <v>178</v>
      </c>
      <c r="F766" t="s">
        <v>16</v>
      </c>
      <c r="G766">
        <v>1.4151999999999999E-3</v>
      </c>
      <c r="H766">
        <v>4.7302999999999998E-3</v>
      </c>
    </row>
    <row r="767" spans="1:9" x14ac:dyDescent="0.25">
      <c r="A767" s="104" t="str">
        <f t="shared" si="11"/>
        <v>Senegal2016UrbanPub_MedIUD</v>
      </c>
      <c r="B767" t="s">
        <v>150</v>
      </c>
      <c r="C767">
        <v>2016</v>
      </c>
      <c r="D767" t="s">
        <v>20</v>
      </c>
      <c r="E767" t="s">
        <v>52</v>
      </c>
      <c r="F767" t="s">
        <v>16</v>
      </c>
      <c r="G767">
        <v>1.0474900000000001E-2</v>
      </c>
      <c r="H767">
        <v>1.4976400000000001E-2</v>
      </c>
      <c r="I767">
        <v>1.5625500000000001E-2</v>
      </c>
    </row>
    <row r="768" spans="1:9" x14ac:dyDescent="0.25">
      <c r="A768" s="104" t="str">
        <f t="shared" si="11"/>
        <v>Senegal2016UrbanPub_OutreachIUD</v>
      </c>
      <c r="B768" t="s">
        <v>150</v>
      </c>
      <c r="C768">
        <v>2016</v>
      </c>
      <c r="D768" t="s">
        <v>20</v>
      </c>
      <c r="E768" t="s">
        <v>54</v>
      </c>
      <c r="F768" t="s">
        <v>16</v>
      </c>
      <c r="I768">
        <v>4.0718000000000004E-3</v>
      </c>
    </row>
    <row r="769" spans="1:9" x14ac:dyDescent="0.25">
      <c r="A769" s="104" t="str">
        <f t="shared" si="11"/>
        <v>Senegal2016UrbanCommercialIUD</v>
      </c>
      <c r="B769" t="s">
        <v>150</v>
      </c>
      <c r="C769">
        <v>2016</v>
      </c>
      <c r="D769" t="s">
        <v>20</v>
      </c>
      <c r="E769" t="s">
        <v>59</v>
      </c>
      <c r="F769" t="s">
        <v>16</v>
      </c>
      <c r="H769">
        <v>3.0820000000000001E-4</v>
      </c>
      <c r="I769">
        <v>4.6079999999999998E-4</v>
      </c>
    </row>
    <row r="770" spans="1:9" x14ac:dyDescent="0.25">
      <c r="A770" s="104" t="str">
        <f t="shared" si="11"/>
        <v>Senegal2016UrbanIUD</v>
      </c>
      <c r="B770" t="s">
        <v>150</v>
      </c>
      <c r="C770">
        <v>2016</v>
      </c>
      <c r="D770" t="s">
        <v>20</v>
      </c>
      <c r="F770" t="s">
        <v>16</v>
      </c>
      <c r="G770">
        <v>1.6666999999999999E-3</v>
      </c>
      <c r="H770">
        <v>5.6737999999999997E-3</v>
      </c>
    </row>
    <row r="771" spans="1:9" x14ac:dyDescent="0.25">
      <c r="A771" s="104" t="str">
        <f t="shared" ref="A771:A834" si="12">B771&amp;C771&amp;D771&amp;E771&amp;F771</f>
        <v>Senegal2016RuralPub_MedIUD</v>
      </c>
      <c r="B771" t="s">
        <v>150</v>
      </c>
      <c r="C771">
        <v>2016</v>
      </c>
      <c r="D771" t="s">
        <v>21</v>
      </c>
      <c r="E771" t="s">
        <v>52</v>
      </c>
      <c r="F771" t="s">
        <v>16</v>
      </c>
      <c r="G771">
        <v>5.1633E-3</v>
      </c>
      <c r="H771">
        <v>5.3996000000000001E-3</v>
      </c>
    </row>
    <row r="772" spans="1:9" x14ac:dyDescent="0.25">
      <c r="A772" s="104" t="str">
        <f t="shared" si="12"/>
        <v>Senegal2016RuralPub_OutreachIUD</v>
      </c>
      <c r="B772" t="s">
        <v>150</v>
      </c>
      <c r="C772">
        <v>2016</v>
      </c>
      <c r="D772" t="s">
        <v>21</v>
      </c>
      <c r="E772" t="s">
        <v>54</v>
      </c>
      <c r="F772" t="s">
        <v>16</v>
      </c>
      <c r="G772">
        <v>2.6659999999999998E-4</v>
      </c>
    </row>
    <row r="773" spans="1:9" x14ac:dyDescent="0.25">
      <c r="A773" s="104" t="str">
        <f t="shared" si="12"/>
        <v>Senegal2016RuralIUD</v>
      </c>
      <c r="B773" t="s">
        <v>150</v>
      </c>
      <c r="C773">
        <v>2016</v>
      </c>
      <c r="D773" t="s">
        <v>21</v>
      </c>
      <c r="F773" t="s">
        <v>16</v>
      </c>
      <c r="G773">
        <v>1.3071999999999999E-3</v>
      </c>
    </row>
    <row r="774" spans="1:9" x14ac:dyDescent="0.25">
      <c r="A774" s="104" t="str">
        <f t="shared" si="12"/>
        <v>Senegal2016NationalPub_MedInjectable</v>
      </c>
      <c r="B774" t="s">
        <v>150</v>
      </c>
      <c r="C774">
        <v>2016</v>
      </c>
      <c r="D774" t="s">
        <v>178</v>
      </c>
      <c r="E774" t="s">
        <v>52</v>
      </c>
      <c r="F774" t="s">
        <v>22</v>
      </c>
      <c r="G774">
        <v>5.4887999999999999E-2</v>
      </c>
      <c r="H774">
        <v>6.2191099999999999E-2</v>
      </c>
      <c r="I774">
        <v>3.1798199999999999E-2</v>
      </c>
    </row>
    <row r="775" spans="1:9" x14ac:dyDescent="0.25">
      <c r="A775" s="104" t="str">
        <f t="shared" si="12"/>
        <v>Senegal2016NationalPub_OutreachInjectable</v>
      </c>
      <c r="B775" t="s">
        <v>150</v>
      </c>
      <c r="C775">
        <v>2016</v>
      </c>
      <c r="D775" t="s">
        <v>178</v>
      </c>
      <c r="E775" t="s">
        <v>54</v>
      </c>
      <c r="F775" t="s">
        <v>22</v>
      </c>
      <c r="G775">
        <v>3.3386000000000002E-3</v>
      </c>
      <c r="I775">
        <v>7.5027000000000002E-3</v>
      </c>
    </row>
    <row r="776" spans="1:9" x14ac:dyDescent="0.25">
      <c r="A776" s="104" t="str">
        <f t="shared" si="12"/>
        <v>Senegal2016NationalCommercialInjectable</v>
      </c>
      <c r="B776" t="s">
        <v>150</v>
      </c>
      <c r="C776">
        <v>2016</v>
      </c>
      <c r="D776" t="s">
        <v>178</v>
      </c>
      <c r="E776" t="s">
        <v>59</v>
      </c>
      <c r="F776" t="s">
        <v>22</v>
      </c>
      <c r="G776">
        <v>7.1889999999999996E-4</v>
      </c>
      <c r="I776">
        <v>4.0943000000000004E-3</v>
      </c>
    </row>
    <row r="777" spans="1:9" x14ac:dyDescent="0.25">
      <c r="A777" s="104" t="str">
        <f t="shared" si="12"/>
        <v>Senegal2016NationalOtherInjectable</v>
      </c>
      <c r="B777" t="s">
        <v>150</v>
      </c>
      <c r="C777">
        <v>2016</v>
      </c>
      <c r="D777" t="s">
        <v>178</v>
      </c>
      <c r="E777" t="s">
        <v>116</v>
      </c>
      <c r="F777" t="s">
        <v>22</v>
      </c>
      <c r="G777">
        <v>9.8599999999999998E-5</v>
      </c>
    </row>
    <row r="778" spans="1:9" x14ac:dyDescent="0.25">
      <c r="A778" s="104" t="str">
        <f t="shared" si="12"/>
        <v>Senegal2016NationalInjectable</v>
      </c>
      <c r="B778" t="s">
        <v>150</v>
      </c>
      <c r="C778">
        <v>2016</v>
      </c>
      <c r="D778" t="s">
        <v>178</v>
      </c>
      <c r="F778" t="s">
        <v>22</v>
      </c>
      <c r="G778">
        <v>1.1010000000000001E-4</v>
      </c>
    </row>
    <row r="779" spans="1:9" x14ac:dyDescent="0.25">
      <c r="A779" s="104" t="str">
        <f t="shared" si="12"/>
        <v>Senegal2016UrbanPub_MedInjectable</v>
      </c>
      <c r="B779" t="s">
        <v>150</v>
      </c>
      <c r="C779">
        <v>2016</v>
      </c>
      <c r="D779" t="s">
        <v>20</v>
      </c>
      <c r="E779" t="s">
        <v>52</v>
      </c>
      <c r="F779" t="s">
        <v>22</v>
      </c>
      <c r="G779">
        <v>6.4605899999999994E-2</v>
      </c>
      <c r="H779">
        <v>6.4987500000000004E-2</v>
      </c>
      <c r="I779">
        <v>3.6461100000000003E-2</v>
      </c>
    </row>
    <row r="780" spans="1:9" x14ac:dyDescent="0.25">
      <c r="A780" s="104" t="str">
        <f t="shared" si="12"/>
        <v>Senegal2016UrbanPub_OutreachInjectable</v>
      </c>
      <c r="B780" t="s">
        <v>150</v>
      </c>
      <c r="C780">
        <v>2016</v>
      </c>
      <c r="D780" t="s">
        <v>20</v>
      </c>
      <c r="E780" t="s">
        <v>54</v>
      </c>
      <c r="F780" t="s">
        <v>22</v>
      </c>
      <c r="G780">
        <v>5.2340000000000004E-4</v>
      </c>
      <c r="I780">
        <v>8.7025999999999996E-3</v>
      </c>
    </row>
    <row r="781" spans="1:9" x14ac:dyDescent="0.25">
      <c r="A781" s="104" t="str">
        <f t="shared" si="12"/>
        <v>Senegal2016UrbanCommercialInjectable</v>
      </c>
      <c r="B781" t="s">
        <v>150</v>
      </c>
      <c r="C781">
        <v>2016</v>
      </c>
      <c r="D781" t="s">
        <v>20</v>
      </c>
      <c r="E781" t="s">
        <v>59</v>
      </c>
      <c r="F781" t="s">
        <v>22</v>
      </c>
      <c r="G781">
        <v>1.3307E-3</v>
      </c>
      <c r="I781">
        <v>3.0639999999999999E-3</v>
      </c>
    </row>
    <row r="782" spans="1:9" x14ac:dyDescent="0.25">
      <c r="A782" s="104" t="str">
        <f t="shared" si="12"/>
        <v>Senegal2016UrbanOtherInjectable</v>
      </c>
      <c r="B782" t="s">
        <v>150</v>
      </c>
      <c r="C782">
        <v>2016</v>
      </c>
      <c r="D782" t="s">
        <v>20</v>
      </c>
      <c r="E782" t="s">
        <v>116</v>
      </c>
      <c r="F782" t="s">
        <v>22</v>
      </c>
      <c r="G782">
        <v>3.2830000000000001E-4</v>
      </c>
    </row>
    <row r="783" spans="1:9" x14ac:dyDescent="0.25">
      <c r="A783" s="104" t="str">
        <f t="shared" si="12"/>
        <v>Senegal2016RuralPub_MedInjectable</v>
      </c>
      <c r="B783" t="s">
        <v>150</v>
      </c>
      <c r="C783">
        <v>2016</v>
      </c>
      <c r="D783" t="s">
        <v>21</v>
      </c>
      <c r="E783" t="s">
        <v>52</v>
      </c>
      <c r="F783" t="s">
        <v>22</v>
      </c>
      <c r="G783">
        <v>5.0716299999999999E-2</v>
      </c>
      <c r="H783">
        <v>4.8169999999999998E-2</v>
      </c>
      <c r="I783">
        <v>2.6416999999999999E-3</v>
      </c>
    </row>
    <row r="784" spans="1:9" x14ac:dyDescent="0.25">
      <c r="A784" s="104" t="str">
        <f t="shared" si="12"/>
        <v>Senegal2016RuralPub_OutreachInjectable</v>
      </c>
      <c r="B784" t="s">
        <v>150</v>
      </c>
      <c r="C784">
        <v>2016</v>
      </c>
      <c r="D784" t="s">
        <v>21</v>
      </c>
      <c r="E784" t="s">
        <v>54</v>
      </c>
      <c r="F784" t="s">
        <v>22</v>
      </c>
      <c r="G784">
        <v>4.5469999999999998E-3</v>
      </c>
    </row>
    <row r="785" spans="1:9" x14ac:dyDescent="0.25">
      <c r="A785" s="104" t="str">
        <f t="shared" si="12"/>
        <v>Senegal2016RuralCommercialInjectable</v>
      </c>
      <c r="B785" t="s">
        <v>150</v>
      </c>
      <c r="C785">
        <v>2016</v>
      </c>
      <c r="D785" t="s">
        <v>21</v>
      </c>
      <c r="E785" t="s">
        <v>59</v>
      </c>
      <c r="F785" t="s">
        <v>22</v>
      </c>
      <c r="G785">
        <v>4.5629999999999998E-4</v>
      </c>
      <c r="I785">
        <v>1.05364E-2</v>
      </c>
    </row>
    <row r="786" spans="1:9" x14ac:dyDescent="0.25">
      <c r="A786" s="104" t="str">
        <f t="shared" si="12"/>
        <v>Senegal2016RuralInjectable</v>
      </c>
      <c r="B786" t="s">
        <v>150</v>
      </c>
      <c r="C786">
        <v>2016</v>
      </c>
      <c r="D786" t="s">
        <v>21</v>
      </c>
      <c r="F786" t="s">
        <v>22</v>
      </c>
      <c r="G786">
        <v>1.573E-4</v>
      </c>
    </row>
    <row r="787" spans="1:9" x14ac:dyDescent="0.25">
      <c r="A787" s="104" t="str">
        <f t="shared" si="12"/>
        <v>Senegal2016NationalPub_MedCondom</v>
      </c>
      <c r="B787" t="s">
        <v>150</v>
      </c>
      <c r="C787">
        <v>2016</v>
      </c>
      <c r="D787" t="s">
        <v>178</v>
      </c>
      <c r="E787" t="s">
        <v>52</v>
      </c>
      <c r="F787" t="s">
        <v>25</v>
      </c>
      <c r="G787">
        <v>1.2740000000000001E-4</v>
      </c>
    </row>
    <row r="788" spans="1:9" x14ac:dyDescent="0.25">
      <c r="A788" s="104" t="str">
        <f t="shared" si="12"/>
        <v>Senegal2016NationalPub_OutreachCondom</v>
      </c>
      <c r="B788" t="s">
        <v>150</v>
      </c>
      <c r="C788">
        <v>2016</v>
      </c>
      <c r="D788" t="s">
        <v>178</v>
      </c>
      <c r="E788" t="s">
        <v>54</v>
      </c>
      <c r="F788" t="s">
        <v>25</v>
      </c>
      <c r="G788">
        <v>7.0669999999999999E-4</v>
      </c>
      <c r="H788">
        <v>2.9857E-3</v>
      </c>
      <c r="I788">
        <v>1.7021E-3</v>
      </c>
    </row>
    <row r="789" spans="1:9" x14ac:dyDescent="0.25">
      <c r="A789" s="104" t="str">
        <f t="shared" si="12"/>
        <v>Senegal2016NationalCommercialCondom</v>
      </c>
      <c r="B789" t="s">
        <v>150</v>
      </c>
      <c r="C789">
        <v>2016</v>
      </c>
      <c r="D789" t="s">
        <v>178</v>
      </c>
      <c r="E789" t="s">
        <v>59</v>
      </c>
      <c r="F789" t="s">
        <v>25</v>
      </c>
      <c r="G789">
        <v>1.6440999999999999E-3</v>
      </c>
      <c r="H789">
        <v>3.2074E-3</v>
      </c>
      <c r="I789">
        <v>9.9620000000000004E-3</v>
      </c>
    </row>
    <row r="790" spans="1:9" x14ac:dyDescent="0.25">
      <c r="A790" s="104" t="str">
        <f t="shared" si="12"/>
        <v>Senegal2016NationalNonTradCondom</v>
      </c>
      <c r="B790" t="s">
        <v>150</v>
      </c>
      <c r="C790">
        <v>2016</v>
      </c>
      <c r="D790" t="s">
        <v>178</v>
      </c>
      <c r="E790" t="s">
        <v>171</v>
      </c>
      <c r="F790" t="s">
        <v>25</v>
      </c>
      <c r="G790">
        <v>1.2740000000000001E-4</v>
      </c>
      <c r="I790">
        <v>2.6416E-3</v>
      </c>
    </row>
    <row r="791" spans="1:9" x14ac:dyDescent="0.25">
      <c r="A791" s="104" t="str">
        <f t="shared" si="12"/>
        <v>Senegal2016NationalOtherCondom</v>
      </c>
      <c r="B791" t="s">
        <v>150</v>
      </c>
      <c r="C791">
        <v>2016</v>
      </c>
      <c r="D791" t="s">
        <v>178</v>
      </c>
      <c r="E791" t="s">
        <v>116</v>
      </c>
      <c r="F791" t="s">
        <v>25</v>
      </c>
      <c r="G791">
        <v>1.7917E-3</v>
      </c>
      <c r="H791">
        <v>6.1779999999999995E-4</v>
      </c>
    </row>
    <row r="792" spans="1:9" x14ac:dyDescent="0.25">
      <c r="A792" s="104" t="str">
        <f t="shared" si="12"/>
        <v>Senegal2016UrbanPub_MedCondom</v>
      </c>
      <c r="B792" t="s">
        <v>150</v>
      </c>
      <c r="C792">
        <v>2016</v>
      </c>
      <c r="D792" t="s">
        <v>20</v>
      </c>
      <c r="E792" t="s">
        <v>52</v>
      </c>
      <c r="F792" t="s">
        <v>25</v>
      </c>
      <c r="G792">
        <v>4.2430000000000001E-4</v>
      </c>
    </row>
    <row r="793" spans="1:9" x14ac:dyDescent="0.25">
      <c r="A793" s="104" t="str">
        <f t="shared" si="12"/>
        <v>Senegal2016UrbanPub_OutreachCondom</v>
      </c>
      <c r="B793" t="s">
        <v>150</v>
      </c>
      <c r="C793">
        <v>2016</v>
      </c>
      <c r="D793" t="s">
        <v>20</v>
      </c>
      <c r="E793" t="s">
        <v>54</v>
      </c>
      <c r="F793" t="s">
        <v>25</v>
      </c>
      <c r="G793">
        <v>7.9370000000000005E-4</v>
      </c>
      <c r="H793">
        <v>3.5810999999999998E-3</v>
      </c>
      <c r="I793">
        <v>1.9743E-3</v>
      </c>
    </row>
    <row r="794" spans="1:9" x14ac:dyDescent="0.25">
      <c r="A794" s="104" t="str">
        <f t="shared" si="12"/>
        <v>Senegal2016UrbanCommercialCondom</v>
      </c>
      <c r="B794" t="s">
        <v>150</v>
      </c>
      <c r="C794">
        <v>2016</v>
      </c>
      <c r="D794" t="s">
        <v>20</v>
      </c>
      <c r="E794" t="s">
        <v>59</v>
      </c>
      <c r="F794" t="s">
        <v>25</v>
      </c>
      <c r="G794">
        <v>2.7550000000000001E-3</v>
      </c>
      <c r="H794">
        <v>3.8470000000000002E-3</v>
      </c>
      <c r="I794">
        <v>1.15552E-2</v>
      </c>
    </row>
    <row r="795" spans="1:9" x14ac:dyDescent="0.25">
      <c r="A795" s="104" t="str">
        <f t="shared" si="12"/>
        <v>Senegal2016UrbanNonTradCondom</v>
      </c>
      <c r="B795" t="s">
        <v>150</v>
      </c>
      <c r="C795">
        <v>2016</v>
      </c>
      <c r="D795" t="s">
        <v>20</v>
      </c>
      <c r="E795" t="s">
        <v>171</v>
      </c>
      <c r="F795" t="s">
        <v>25</v>
      </c>
      <c r="G795">
        <v>4.2430000000000001E-4</v>
      </c>
      <c r="I795">
        <v>3.0639999999999999E-3</v>
      </c>
    </row>
    <row r="796" spans="1:9" x14ac:dyDescent="0.25">
      <c r="A796" s="104" t="str">
        <f t="shared" si="12"/>
        <v>Senegal2016UrbanOtherCondom</v>
      </c>
      <c r="B796" t="s">
        <v>150</v>
      </c>
      <c r="C796">
        <v>2016</v>
      </c>
      <c r="D796" t="s">
        <v>20</v>
      </c>
      <c r="E796" t="s">
        <v>116</v>
      </c>
      <c r="F796" t="s">
        <v>25</v>
      </c>
      <c r="G796">
        <v>2.2683999999999998E-3</v>
      </c>
      <c r="H796">
        <v>4.7179999999999998E-4</v>
      </c>
    </row>
    <row r="797" spans="1:9" x14ac:dyDescent="0.25">
      <c r="A797" s="104" t="str">
        <f t="shared" si="12"/>
        <v>Senegal2016RuralPub_OutreachCondom</v>
      </c>
      <c r="B797" t="s">
        <v>150</v>
      </c>
      <c r="C797">
        <v>2016</v>
      </c>
      <c r="D797" t="s">
        <v>21</v>
      </c>
      <c r="E797" t="s">
        <v>54</v>
      </c>
      <c r="F797" t="s">
        <v>25</v>
      </c>
      <c r="G797">
        <v>6.6940000000000001E-4</v>
      </c>
    </row>
    <row r="798" spans="1:9" x14ac:dyDescent="0.25">
      <c r="A798" s="104" t="str">
        <f t="shared" si="12"/>
        <v>Senegal2016RuralCommercialCondom</v>
      </c>
      <c r="B798" t="s">
        <v>150</v>
      </c>
      <c r="C798">
        <v>2016</v>
      </c>
      <c r="D798" t="s">
        <v>21</v>
      </c>
      <c r="E798" t="s">
        <v>59</v>
      </c>
      <c r="F798" t="s">
        <v>25</v>
      </c>
      <c r="G798">
        <v>1.1672E-3</v>
      </c>
    </row>
    <row r="799" spans="1:9" x14ac:dyDescent="0.25">
      <c r="A799" s="104" t="str">
        <f t="shared" si="12"/>
        <v>Senegal2016RuralOtherCondom</v>
      </c>
      <c r="B799" t="s">
        <v>150</v>
      </c>
      <c r="C799">
        <v>2016</v>
      </c>
      <c r="D799" t="s">
        <v>21</v>
      </c>
      <c r="E799" t="s">
        <v>116</v>
      </c>
      <c r="F799" t="s">
        <v>25</v>
      </c>
      <c r="G799">
        <v>1.5870999999999999E-3</v>
      </c>
      <c r="H799">
        <v>1.3496999999999999E-3</v>
      </c>
    </row>
    <row r="800" spans="1:9" x14ac:dyDescent="0.25">
      <c r="A800" s="104" t="str">
        <f t="shared" si="12"/>
        <v>Senegal2016NationalPub_MedImplant</v>
      </c>
      <c r="B800" t="s">
        <v>150</v>
      </c>
      <c r="C800">
        <v>2016</v>
      </c>
      <c r="D800" t="s">
        <v>178</v>
      </c>
      <c r="E800" t="s">
        <v>52</v>
      </c>
      <c r="F800" t="s">
        <v>23</v>
      </c>
      <c r="G800">
        <v>5.16847E-2</v>
      </c>
      <c r="H800">
        <v>4.2388599999999999E-2</v>
      </c>
      <c r="I800">
        <v>3.3559899999999997E-2</v>
      </c>
    </row>
    <row r="801" spans="1:9" x14ac:dyDescent="0.25">
      <c r="A801" s="104" t="str">
        <f t="shared" si="12"/>
        <v>Senegal2016NationalPub_OutreachImplant</v>
      </c>
      <c r="B801" t="s">
        <v>150</v>
      </c>
      <c r="C801">
        <v>2016</v>
      </c>
      <c r="D801" t="s">
        <v>178</v>
      </c>
      <c r="E801" t="s">
        <v>54</v>
      </c>
      <c r="F801" t="s">
        <v>23</v>
      </c>
      <c r="G801">
        <v>2.0933000000000002E-3</v>
      </c>
    </row>
    <row r="802" spans="1:9" x14ac:dyDescent="0.25">
      <c r="A802" s="104" t="str">
        <f t="shared" si="12"/>
        <v>Senegal2016NationalCommercialImplant</v>
      </c>
      <c r="B802" t="s">
        <v>150</v>
      </c>
      <c r="C802">
        <v>2016</v>
      </c>
      <c r="D802" t="s">
        <v>178</v>
      </c>
      <c r="E802" t="s">
        <v>59</v>
      </c>
      <c r="F802" t="s">
        <v>23</v>
      </c>
      <c r="G802">
        <v>1.8354999999999999E-3</v>
      </c>
      <c r="H802">
        <v>2.945E-4</v>
      </c>
      <c r="I802">
        <v>2.0073999999999999E-3</v>
      </c>
    </row>
    <row r="803" spans="1:9" x14ac:dyDescent="0.25">
      <c r="A803" s="104" t="str">
        <f t="shared" si="12"/>
        <v>Senegal2016NationalImplant</v>
      </c>
      <c r="B803" t="s">
        <v>150</v>
      </c>
      <c r="C803">
        <v>2016</v>
      </c>
      <c r="D803" t="s">
        <v>178</v>
      </c>
      <c r="F803" t="s">
        <v>23</v>
      </c>
      <c r="G803">
        <v>1.8680999999999999E-3</v>
      </c>
      <c r="H803">
        <v>1.3707000000000001E-3</v>
      </c>
      <c r="I803">
        <v>3.6441999999999998E-3</v>
      </c>
    </row>
    <row r="804" spans="1:9" x14ac:dyDescent="0.25">
      <c r="A804" s="104" t="str">
        <f t="shared" si="12"/>
        <v>Senegal2016UrbanPub_MedImplant</v>
      </c>
      <c r="B804" t="s">
        <v>150</v>
      </c>
      <c r="C804">
        <v>2016</v>
      </c>
      <c r="D804" t="s">
        <v>20</v>
      </c>
      <c r="E804" t="s">
        <v>52</v>
      </c>
      <c r="F804" t="s">
        <v>23</v>
      </c>
      <c r="G804">
        <v>6.8464300000000006E-2</v>
      </c>
      <c r="H804">
        <v>4.8769100000000003E-2</v>
      </c>
      <c r="I804">
        <v>3.5386399999999998E-2</v>
      </c>
    </row>
    <row r="805" spans="1:9" x14ac:dyDescent="0.25">
      <c r="A805" s="104" t="str">
        <f t="shared" si="12"/>
        <v>Senegal2016UrbanPub_OutreachImplant</v>
      </c>
      <c r="B805" t="s">
        <v>150</v>
      </c>
      <c r="C805">
        <v>2016</v>
      </c>
      <c r="D805" t="s">
        <v>20</v>
      </c>
      <c r="E805" t="s">
        <v>54</v>
      </c>
      <c r="F805" t="s">
        <v>23</v>
      </c>
      <c r="G805">
        <v>4.0650000000000001E-4</v>
      </c>
    </row>
    <row r="806" spans="1:9" x14ac:dyDescent="0.25">
      <c r="A806" s="104" t="str">
        <f t="shared" si="12"/>
        <v>Senegal2016UrbanCommercialImplant</v>
      </c>
      <c r="B806" t="s">
        <v>150</v>
      </c>
      <c r="C806">
        <v>2016</v>
      </c>
      <c r="D806" t="s">
        <v>20</v>
      </c>
      <c r="E806" t="s">
        <v>59</v>
      </c>
      <c r="F806" t="s">
        <v>23</v>
      </c>
      <c r="G806">
        <v>5.7324000000000003E-3</v>
      </c>
      <c r="I806">
        <v>2.3284999999999998E-3</v>
      </c>
    </row>
    <row r="807" spans="1:9" x14ac:dyDescent="0.25">
      <c r="A807" s="104" t="str">
        <f t="shared" si="12"/>
        <v>Senegal2016UrbanImplant</v>
      </c>
      <c r="B807" t="s">
        <v>150</v>
      </c>
      <c r="C807">
        <v>2016</v>
      </c>
      <c r="D807" t="s">
        <v>20</v>
      </c>
      <c r="F807" t="s">
        <v>23</v>
      </c>
      <c r="G807">
        <v>1.9522999999999999E-3</v>
      </c>
      <c r="H807">
        <v>1.6440999999999999E-3</v>
      </c>
      <c r="I807">
        <v>4.2269999999999999E-3</v>
      </c>
    </row>
    <row r="808" spans="1:9" x14ac:dyDescent="0.25">
      <c r="A808" s="104" t="str">
        <f t="shared" si="12"/>
        <v>Senegal2016RuralPub_MedImplant</v>
      </c>
      <c r="B808" t="s">
        <v>150</v>
      </c>
      <c r="C808">
        <v>2016</v>
      </c>
      <c r="D808" t="s">
        <v>21</v>
      </c>
      <c r="E808" t="s">
        <v>52</v>
      </c>
      <c r="F808" t="s">
        <v>23</v>
      </c>
      <c r="G808">
        <v>4.4481600000000003E-2</v>
      </c>
      <c r="H808">
        <v>1.0397200000000001E-2</v>
      </c>
      <c r="I808">
        <v>2.21383E-2</v>
      </c>
    </row>
    <row r="809" spans="1:9" x14ac:dyDescent="0.25">
      <c r="A809" s="104" t="str">
        <f t="shared" si="12"/>
        <v>Senegal2016RuralPub_OutreachImplant</v>
      </c>
      <c r="B809" t="s">
        <v>150</v>
      </c>
      <c r="C809">
        <v>2016</v>
      </c>
      <c r="D809" t="s">
        <v>21</v>
      </c>
      <c r="E809" t="s">
        <v>54</v>
      </c>
      <c r="F809" t="s">
        <v>23</v>
      </c>
      <c r="G809">
        <v>2.8173999999999999E-3</v>
      </c>
    </row>
    <row r="810" spans="1:9" x14ac:dyDescent="0.25">
      <c r="A810" s="104" t="str">
        <f t="shared" si="12"/>
        <v>Senegal2016RuralCommercialImplant</v>
      </c>
      <c r="B810" t="s">
        <v>150</v>
      </c>
      <c r="C810">
        <v>2016</v>
      </c>
      <c r="D810" t="s">
        <v>21</v>
      </c>
      <c r="E810" t="s">
        <v>59</v>
      </c>
      <c r="F810" t="s">
        <v>23</v>
      </c>
      <c r="G810">
        <v>1.6259999999999999E-4</v>
      </c>
      <c r="H810">
        <v>1.7714E-3</v>
      </c>
    </row>
    <row r="811" spans="1:9" x14ac:dyDescent="0.25">
      <c r="A811" s="104" t="str">
        <f t="shared" si="12"/>
        <v>Senegal2016RuralImplant</v>
      </c>
      <c r="B811" t="s">
        <v>150</v>
      </c>
      <c r="C811">
        <v>2016</v>
      </c>
      <c r="D811" t="s">
        <v>21</v>
      </c>
      <c r="F811" t="s">
        <v>23</v>
      </c>
      <c r="G811">
        <v>1.8320000000000001E-3</v>
      </c>
    </row>
    <row r="812" spans="1:9" x14ac:dyDescent="0.25">
      <c r="A812" s="104" t="str">
        <f t="shared" si="12"/>
        <v>Senegal2017NationalPub_MedPill</v>
      </c>
      <c r="B812" t="s">
        <v>150</v>
      </c>
      <c r="C812">
        <v>2017</v>
      </c>
      <c r="D812" t="s">
        <v>178</v>
      </c>
      <c r="E812" t="s">
        <v>52</v>
      </c>
      <c r="F812" t="s">
        <v>12</v>
      </c>
      <c r="G812">
        <v>1.69546E-2</v>
      </c>
      <c r="H812">
        <v>3.34285E-2</v>
      </c>
      <c r="I812">
        <v>1.9138800000000001E-2</v>
      </c>
    </row>
    <row r="813" spans="1:9" x14ac:dyDescent="0.25">
      <c r="A813" s="104" t="str">
        <f t="shared" si="12"/>
        <v>Senegal2017NationalPub_OutreachPill</v>
      </c>
      <c r="B813" t="s">
        <v>150</v>
      </c>
      <c r="C813">
        <v>2017</v>
      </c>
      <c r="D813" t="s">
        <v>178</v>
      </c>
      <c r="E813" t="s">
        <v>54</v>
      </c>
      <c r="F813" t="s">
        <v>12</v>
      </c>
      <c r="G813">
        <v>1.8691999999999999E-3</v>
      </c>
      <c r="H813">
        <v>4.7810000000000002E-4</v>
      </c>
      <c r="I813">
        <v>1.0189000000000001E-3</v>
      </c>
    </row>
    <row r="814" spans="1:9" x14ac:dyDescent="0.25">
      <c r="A814" s="104" t="str">
        <f t="shared" si="12"/>
        <v>Senegal2017NationalNGOPill</v>
      </c>
      <c r="B814" t="s">
        <v>150</v>
      </c>
      <c r="C814">
        <v>2017</v>
      </c>
      <c r="D814" t="s">
        <v>178</v>
      </c>
      <c r="E814" t="s">
        <v>170</v>
      </c>
      <c r="F814" t="s">
        <v>12</v>
      </c>
      <c r="G814">
        <v>2.2929999999999999E-4</v>
      </c>
      <c r="I814">
        <v>9.7059999999999996E-4</v>
      </c>
    </row>
    <row r="815" spans="1:9" x14ac:dyDescent="0.25">
      <c r="A815" s="104" t="str">
        <f t="shared" si="12"/>
        <v>Senegal2017NationalCommercialPill</v>
      </c>
      <c r="B815" t="s">
        <v>150</v>
      </c>
      <c r="C815">
        <v>2017</v>
      </c>
      <c r="D815" t="s">
        <v>178</v>
      </c>
      <c r="E815" t="s">
        <v>59</v>
      </c>
      <c r="F815" t="s">
        <v>12</v>
      </c>
      <c r="G815">
        <v>2.3140000000000001E-3</v>
      </c>
      <c r="H815">
        <v>8.7133000000000002E-3</v>
      </c>
      <c r="I815">
        <v>2.0133499999999999E-2</v>
      </c>
    </row>
    <row r="816" spans="1:9" x14ac:dyDescent="0.25">
      <c r="A816" s="104" t="str">
        <f t="shared" si="12"/>
        <v>Senegal2017NationalNonTradPill</v>
      </c>
      <c r="B816" t="s">
        <v>150</v>
      </c>
      <c r="C816">
        <v>2017</v>
      </c>
      <c r="D816" t="s">
        <v>178</v>
      </c>
      <c r="E816" t="s">
        <v>171</v>
      </c>
      <c r="F816" t="s">
        <v>12</v>
      </c>
      <c r="G816">
        <v>8.5199999999999997E-5</v>
      </c>
    </row>
    <row r="817" spans="1:9" x14ac:dyDescent="0.25">
      <c r="A817" s="104" t="str">
        <f t="shared" si="12"/>
        <v>Senegal2017NationalOtherPill</v>
      </c>
      <c r="B817" t="s">
        <v>150</v>
      </c>
      <c r="C817">
        <v>2017</v>
      </c>
      <c r="D817" t="s">
        <v>178</v>
      </c>
      <c r="E817" t="s">
        <v>116</v>
      </c>
      <c r="F817" t="s">
        <v>12</v>
      </c>
      <c r="G817">
        <v>1.429E-4</v>
      </c>
      <c r="H817">
        <v>3.3960000000000001E-4</v>
      </c>
    </row>
    <row r="818" spans="1:9" x14ac:dyDescent="0.25">
      <c r="A818" s="104" t="str">
        <f t="shared" si="12"/>
        <v>Senegal2017UrbanPub_MedPill</v>
      </c>
      <c r="B818" t="s">
        <v>150</v>
      </c>
      <c r="C818">
        <v>2017</v>
      </c>
      <c r="D818" t="s">
        <v>20</v>
      </c>
      <c r="E818" t="s">
        <v>52</v>
      </c>
      <c r="F818" t="s">
        <v>12</v>
      </c>
      <c r="G818">
        <v>2.66108E-2</v>
      </c>
      <c r="H818">
        <v>3.6701600000000001E-2</v>
      </c>
      <c r="I818">
        <v>2.0372700000000001E-2</v>
      </c>
    </row>
    <row r="819" spans="1:9" x14ac:dyDescent="0.25">
      <c r="A819" s="104" t="str">
        <f t="shared" si="12"/>
        <v>Senegal2017UrbanPub_OutreachPill</v>
      </c>
      <c r="B819" t="s">
        <v>150</v>
      </c>
      <c r="C819">
        <v>2017</v>
      </c>
      <c r="D819" t="s">
        <v>20</v>
      </c>
      <c r="E819" t="s">
        <v>54</v>
      </c>
      <c r="F819" t="s">
        <v>12</v>
      </c>
      <c r="H819">
        <v>3.5790000000000003E-4</v>
      </c>
      <c r="I819">
        <v>1.1088000000000001E-3</v>
      </c>
    </row>
    <row r="820" spans="1:9" x14ac:dyDescent="0.25">
      <c r="A820" s="104" t="str">
        <f t="shared" si="12"/>
        <v>Senegal2017UrbanNGOPill</v>
      </c>
      <c r="B820" t="s">
        <v>150</v>
      </c>
      <c r="C820">
        <v>2017</v>
      </c>
      <c r="D820" t="s">
        <v>20</v>
      </c>
      <c r="E820" t="s">
        <v>170</v>
      </c>
      <c r="F820" t="s">
        <v>12</v>
      </c>
      <c r="I820">
        <v>1.0562E-3</v>
      </c>
    </row>
    <row r="821" spans="1:9" x14ac:dyDescent="0.25">
      <c r="A821" s="104" t="str">
        <f t="shared" si="12"/>
        <v>Senegal2017UrbanCommercialPill</v>
      </c>
      <c r="B821" t="s">
        <v>150</v>
      </c>
      <c r="C821">
        <v>2017</v>
      </c>
      <c r="D821" t="s">
        <v>20</v>
      </c>
      <c r="E821" t="s">
        <v>59</v>
      </c>
      <c r="F821" t="s">
        <v>12</v>
      </c>
      <c r="G821">
        <v>4.3670999999999996E-3</v>
      </c>
      <c r="H821">
        <v>5.9348999999999999E-3</v>
      </c>
      <c r="I821">
        <v>1.94924E-2</v>
      </c>
    </row>
    <row r="822" spans="1:9" x14ac:dyDescent="0.25">
      <c r="A822" s="104" t="str">
        <f t="shared" si="12"/>
        <v>Senegal2017UrbanOtherPill</v>
      </c>
      <c r="B822" t="s">
        <v>150</v>
      </c>
      <c r="C822">
        <v>2017</v>
      </c>
      <c r="D822" t="s">
        <v>20</v>
      </c>
      <c r="E822" t="s">
        <v>116</v>
      </c>
      <c r="F822" t="s">
        <v>12</v>
      </c>
      <c r="G822">
        <v>2.7080000000000002E-4</v>
      </c>
      <c r="H822">
        <v>4.1439999999999999E-4</v>
      </c>
    </row>
    <row r="823" spans="1:9" x14ac:dyDescent="0.25">
      <c r="A823" s="104" t="str">
        <f t="shared" si="12"/>
        <v>Senegal2017RuralPub_MedPill</v>
      </c>
      <c r="B823" t="s">
        <v>150</v>
      </c>
      <c r="C823">
        <v>2017</v>
      </c>
      <c r="D823" t="s">
        <v>21</v>
      </c>
      <c r="E823" t="s">
        <v>52</v>
      </c>
      <c r="F823" t="s">
        <v>12</v>
      </c>
      <c r="G823">
        <v>1.3297700000000001E-2</v>
      </c>
      <c r="H823">
        <v>1.8560500000000001E-2</v>
      </c>
      <c r="I823">
        <v>5.1600999999999999E-3</v>
      </c>
    </row>
    <row r="824" spans="1:9" x14ac:dyDescent="0.25">
      <c r="A824" s="104" t="str">
        <f t="shared" si="12"/>
        <v>Senegal2017RuralPub_OutreachPill</v>
      </c>
      <c r="B824" t="s">
        <v>150</v>
      </c>
      <c r="C824">
        <v>2017</v>
      </c>
      <c r="D824" t="s">
        <v>21</v>
      </c>
      <c r="E824" t="s">
        <v>54</v>
      </c>
      <c r="F824" t="s">
        <v>12</v>
      </c>
      <c r="G824">
        <v>2.5771000000000001E-3</v>
      </c>
      <c r="H824">
        <v>1.0238999999999999E-3</v>
      </c>
    </row>
    <row r="825" spans="1:9" x14ac:dyDescent="0.25">
      <c r="A825" s="104" t="str">
        <f t="shared" si="12"/>
        <v>Senegal2017RuralNGOPill</v>
      </c>
      <c r="B825" t="s">
        <v>150</v>
      </c>
      <c r="C825">
        <v>2017</v>
      </c>
      <c r="D825" t="s">
        <v>21</v>
      </c>
      <c r="E825" t="s">
        <v>170</v>
      </c>
      <c r="F825" t="s">
        <v>12</v>
      </c>
      <c r="G825">
        <v>3.1609999999999999E-4</v>
      </c>
    </row>
    <row r="826" spans="1:9" x14ac:dyDescent="0.25">
      <c r="A826" s="104" t="str">
        <f t="shared" si="12"/>
        <v>Senegal2017RuralCommercialPill</v>
      </c>
      <c r="B826" t="s">
        <v>150</v>
      </c>
      <c r="C826">
        <v>2017</v>
      </c>
      <c r="D826" t="s">
        <v>21</v>
      </c>
      <c r="E826" t="s">
        <v>59</v>
      </c>
      <c r="F826" t="s">
        <v>12</v>
      </c>
      <c r="G826">
        <v>1.5365000000000001E-3</v>
      </c>
      <c r="H826">
        <v>2.1333999999999999E-2</v>
      </c>
      <c r="I826">
        <v>2.7396299999999998E-2</v>
      </c>
    </row>
    <row r="827" spans="1:9" x14ac:dyDescent="0.25">
      <c r="A827" s="104" t="str">
        <f t="shared" si="12"/>
        <v>Senegal2017RuralNonTradPill</v>
      </c>
      <c r="B827" t="s">
        <v>150</v>
      </c>
      <c r="C827">
        <v>2017</v>
      </c>
      <c r="D827" t="s">
        <v>21</v>
      </c>
      <c r="E827" t="s">
        <v>171</v>
      </c>
      <c r="F827" t="s">
        <v>12</v>
      </c>
      <c r="G827">
        <v>1.1739999999999999E-4</v>
      </c>
    </row>
    <row r="828" spans="1:9" x14ac:dyDescent="0.25">
      <c r="A828" s="104" t="str">
        <f t="shared" si="12"/>
        <v>Senegal2017RuralOtherPill</v>
      </c>
      <c r="B828" t="s">
        <v>150</v>
      </c>
      <c r="C828">
        <v>2017</v>
      </c>
      <c r="D828" t="s">
        <v>21</v>
      </c>
      <c r="E828" t="s">
        <v>116</v>
      </c>
      <c r="F828" t="s">
        <v>12</v>
      </c>
      <c r="G828">
        <v>9.4400000000000004E-5</v>
      </c>
    </row>
    <row r="829" spans="1:9" x14ac:dyDescent="0.25">
      <c r="A829" s="104" t="str">
        <f t="shared" si="12"/>
        <v>Senegal2017NationalPub_MedIUD</v>
      </c>
      <c r="B829" t="s">
        <v>150</v>
      </c>
      <c r="C829">
        <v>2017</v>
      </c>
      <c r="D829" t="s">
        <v>178</v>
      </c>
      <c r="E829" t="s">
        <v>52</v>
      </c>
      <c r="F829" t="s">
        <v>16</v>
      </c>
      <c r="G829">
        <v>8.7998999999999994E-3</v>
      </c>
      <c r="H829">
        <v>1.78795E-2</v>
      </c>
      <c r="I829">
        <v>2.1024899999999999E-2</v>
      </c>
    </row>
    <row r="830" spans="1:9" x14ac:dyDescent="0.25">
      <c r="A830" s="104" t="str">
        <f t="shared" si="12"/>
        <v>Senegal2017NationalPub_OutreachIUD</v>
      </c>
      <c r="B830" t="s">
        <v>150</v>
      </c>
      <c r="C830">
        <v>2017</v>
      </c>
      <c r="D830" t="s">
        <v>178</v>
      </c>
      <c r="E830" t="s">
        <v>54</v>
      </c>
      <c r="F830" t="s">
        <v>16</v>
      </c>
      <c r="G830">
        <v>1.0625000000000001E-3</v>
      </c>
      <c r="H830">
        <v>8.5519999999999997E-4</v>
      </c>
      <c r="I830">
        <v>9.8269999999999998E-4</v>
      </c>
    </row>
    <row r="831" spans="1:9" x14ac:dyDescent="0.25">
      <c r="A831" s="104" t="str">
        <f t="shared" si="12"/>
        <v>Senegal2017NationalNGOIUD</v>
      </c>
      <c r="B831" t="s">
        <v>150</v>
      </c>
      <c r="C831">
        <v>2017</v>
      </c>
      <c r="D831" t="s">
        <v>178</v>
      </c>
      <c r="E831" t="s">
        <v>170</v>
      </c>
      <c r="F831" t="s">
        <v>16</v>
      </c>
      <c r="H831">
        <v>6.2980000000000002E-4</v>
      </c>
    </row>
    <row r="832" spans="1:9" x14ac:dyDescent="0.25">
      <c r="A832" s="104" t="str">
        <f t="shared" si="12"/>
        <v>Senegal2017NationalCommercialIUD</v>
      </c>
      <c r="B832" t="s">
        <v>150</v>
      </c>
      <c r="C832">
        <v>2017</v>
      </c>
      <c r="D832" t="s">
        <v>178</v>
      </c>
      <c r="E832" t="s">
        <v>59</v>
      </c>
      <c r="F832" t="s">
        <v>16</v>
      </c>
      <c r="G832">
        <v>1.3520000000000001E-4</v>
      </c>
      <c r="H832">
        <v>1.3139E-3</v>
      </c>
      <c r="I832">
        <v>3.8682E-3</v>
      </c>
    </row>
    <row r="833" spans="1:9" x14ac:dyDescent="0.25">
      <c r="A833" s="104" t="str">
        <f t="shared" si="12"/>
        <v>Senegal2017UrbanPub_MedIUD</v>
      </c>
      <c r="B833" t="s">
        <v>150</v>
      </c>
      <c r="C833">
        <v>2017</v>
      </c>
      <c r="D833" t="s">
        <v>20</v>
      </c>
      <c r="E833" t="s">
        <v>52</v>
      </c>
      <c r="F833" t="s">
        <v>16</v>
      </c>
      <c r="G833">
        <v>1.4945E-2</v>
      </c>
      <c r="H833">
        <v>2.02817E-2</v>
      </c>
      <c r="I833">
        <v>2.1286800000000002E-2</v>
      </c>
    </row>
    <row r="834" spans="1:9" x14ac:dyDescent="0.25">
      <c r="A834" s="104" t="str">
        <f t="shared" si="12"/>
        <v>Senegal2017UrbanPub_OutreachIUD</v>
      </c>
      <c r="B834" t="s">
        <v>150</v>
      </c>
      <c r="C834">
        <v>2017</v>
      </c>
      <c r="D834" t="s">
        <v>20</v>
      </c>
      <c r="E834" t="s">
        <v>54</v>
      </c>
      <c r="F834" t="s">
        <v>16</v>
      </c>
      <c r="G834">
        <v>1.6651999999999999E-3</v>
      </c>
      <c r="H834">
        <v>1.0434999999999999E-3</v>
      </c>
      <c r="I834">
        <v>1.0694999999999999E-3</v>
      </c>
    </row>
    <row r="835" spans="1:9" x14ac:dyDescent="0.25">
      <c r="A835" s="104" t="str">
        <f t="shared" ref="A835:A898" si="13">B835&amp;C835&amp;D835&amp;E835&amp;F835</f>
        <v>Senegal2017UrbanCommercialIUD</v>
      </c>
      <c r="B835" t="s">
        <v>150</v>
      </c>
      <c r="C835">
        <v>2017</v>
      </c>
      <c r="D835" t="s">
        <v>20</v>
      </c>
      <c r="E835" t="s">
        <v>59</v>
      </c>
      <c r="F835" t="s">
        <v>16</v>
      </c>
      <c r="H835">
        <v>1.6031000000000001E-3</v>
      </c>
      <c r="I835">
        <v>4.2097000000000002E-3</v>
      </c>
    </row>
    <row r="836" spans="1:9" x14ac:dyDescent="0.25">
      <c r="A836" s="104" t="str">
        <f t="shared" si="13"/>
        <v>Senegal2017RuralPub_MedIUD</v>
      </c>
      <c r="B836" t="s">
        <v>150</v>
      </c>
      <c r="C836">
        <v>2017</v>
      </c>
      <c r="D836" t="s">
        <v>21</v>
      </c>
      <c r="E836" t="s">
        <v>52</v>
      </c>
      <c r="F836" t="s">
        <v>16</v>
      </c>
      <c r="G836">
        <v>6.4726999999999996E-3</v>
      </c>
      <c r="H836">
        <v>6.9677000000000003E-3</v>
      </c>
      <c r="I836">
        <v>1.8057400000000001E-2</v>
      </c>
    </row>
    <row r="837" spans="1:9" x14ac:dyDescent="0.25">
      <c r="A837" s="104" t="str">
        <f t="shared" si="13"/>
        <v>Senegal2017RuralPub_OutreachIUD</v>
      </c>
      <c r="B837" t="s">
        <v>150</v>
      </c>
      <c r="C837">
        <v>2017</v>
      </c>
      <c r="D837" t="s">
        <v>21</v>
      </c>
      <c r="E837" t="s">
        <v>54</v>
      </c>
      <c r="F837" t="s">
        <v>16</v>
      </c>
      <c r="G837">
        <v>8.342E-4</v>
      </c>
    </row>
    <row r="838" spans="1:9" x14ac:dyDescent="0.25">
      <c r="A838" s="104" t="str">
        <f t="shared" si="13"/>
        <v>Senegal2017RuralNGOIUD</v>
      </c>
      <c r="B838" t="s">
        <v>150</v>
      </c>
      <c r="C838">
        <v>2017</v>
      </c>
      <c r="D838" t="s">
        <v>21</v>
      </c>
      <c r="E838" t="s">
        <v>170</v>
      </c>
      <c r="F838" t="s">
        <v>16</v>
      </c>
      <c r="H838">
        <v>3.4908999999999999E-3</v>
      </c>
    </row>
    <row r="839" spans="1:9" x14ac:dyDescent="0.25">
      <c r="A839" s="104" t="str">
        <f t="shared" si="13"/>
        <v>Senegal2017RuralCommercialIUD</v>
      </c>
      <c r="B839" t="s">
        <v>150</v>
      </c>
      <c r="C839">
        <v>2017</v>
      </c>
      <c r="D839" t="s">
        <v>21</v>
      </c>
      <c r="E839" t="s">
        <v>59</v>
      </c>
      <c r="F839" t="s">
        <v>16</v>
      </c>
      <c r="G839">
        <v>1.864E-4</v>
      </c>
    </row>
    <row r="840" spans="1:9" x14ac:dyDescent="0.25">
      <c r="A840" s="104" t="str">
        <f t="shared" si="13"/>
        <v>Senegal2017NationalPub_MedInjectable</v>
      </c>
      <c r="B840" t="s">
        <v>150</v>
      </c>
      <c r="C840">
        <v>2017</v>
      </c>
      <c r="D840" t="s">
        <v>178</v>
      </c>
      <c r="E840" t="s">
        <v>52</v>
      </c>
      <c r="F840" t="s">
        <v>22</v>
      </c>
      <c r="G840">
        <v>6.1594299999999998E-2</v>
      </c>
      <c r="H840">
        <v>7.9122600000000001E-2</v>
      </c>
      <c r="I840">
        <v>4.4460300000000001E-2</v>
      </c>
    </row>
    <row r="841" spans="1:9" x14ac:dyDescent="0.25">
      <c r="A841" s="104" t="str">
        <f t="shared" si="13"/>
        <v>Senegal2017NationalPub_OutreachInjectable</v>
      </c>
      <c r="B841" t="s">
        <v>150</v>
      </c>
      <c r="C841">
        <v>2017</v>
      </c>
      <c r="D841" t="s">
        <v>178</v>
      </c>
      <c r="E841" t="s">
        <v>54</v>
      </c>
      <c r="F841" t="s">
        <v>22</v>
      </c>
      <c r="G841">
        <v>5.2018999999999998E-3</v>
      </c>
      <c r="H841">
        <v>7.2150000000000003E-4</v>
      </c>
      <c r="I841">
        <v>2.0577E-3</v>
      </c>
    </row>
    <row r="842" spans="1:9" x14ac:dyDescent="0.25">
      <c r="A842" s="104" t="str">
        <f t="shared" si="13"/>
        <v>Senegal2017NationalNGOInjectable</v>
      </c>
      <c r="B842" t="s">
        <v>150</v>
      </c>
      <c r="C842">
        <v>2017</v>
      </c>
      <c r="D842" t="s">
        <v>178</v>
      </c>
      <c r="E842" t="s">
        <v>170</v>
      </c>
      <c r="F842" t="s">
        <v>22</v>
      </c>
      <c r="H842">
        <v>1.1697999999999999E-3</v>
      </c>
    </row>
    <row r="843" spans="1:9" x14ac:dyDescent="0.25">
      <c r="A843" s="104" t="str">
        <f t="shared" si="13"/>
        <v>Senegal2017NationalCommercialInjectable</v>
      </c>
      <c r="B843" t="s">
        <v>150</v>
      </c>
      <c r="C843">
        <v>2017</v>
      </c>
      <c r="D843" t="s">
        <v>178</v>
      </c>
      <c r="E843" t="s">
        <v>59</v>
      </c>
      <c r="F843" t="s">
        <v>22</v>
      </c>
      <c r="G843">
        <v>1.9333E-3</v>
      </c>
      <c r="H843">
        <v>7.6192999999999999E-3</v>
      </c>
      <c r="I843">
        <v>7.0546000000000003E-3</v>
      </c>
    </row>
    <row r="844" spans="1:9" x14ac:dyDescent="0.25">
      <c r="A844" s="104" t="str">
        <f t="shared" si="13"/>
        <v>Senegal2017NationalOtherInjectable</v>
      </c>
      <c r="B844" t="s">
        <v>150</v>
      </c>
      <c r="C844">
        <v>2017</v>
      </c>
      <c r="D844" t="s">
        <v>178</v>
      </c>
      <c r="E844" t="s">
        <v>116</v>
      </c>
      <c r="F844" t="s">
        <v>22</v>
      </c>
      <c r="G844">
        <v>1.5029999999999999E-4</v>
      </c>
      <c r="H844">
        <v>2.319E-4</v>
      </c>
    </row>
    <row r="845" spans="1:9" x14ac:dyDescent="0.25">
      <c r="A845" s="104" t="str">
        <f t="shared" si="13"/>
        <v>Senegal2017UrbanPub_MedInjectable</v>
      </c>
      <c r="B845" t="s">
        <v>150</v>
      </c>
      <c r="C845">
        <v>2017</v>
      </c>
      <c r="D845" t="s">
        <v>20</v>
      </c>
      <c r="E845" t="s">
        <v>52</v>
      </c>
      <c r="F845" t="s">
        <v>22</v>
      </c>
      <c r="G845">
        <v>7.7462000000000003E-2</v>
      </c>
      <c r="H845">
        <v>8.2903699999999997E-2</v>
      </c>
      <c r="I845">
        <v>4.1425900000000002E-2</v>
      </c>
    </row>
    <row r="846" spans="1:9" x14ac:dyDescent="0.25">
      <c r="A846" s="104" t="str">
        <f t="shared" si="13"/>
        <v>Senegal2017UrbanPub_OutreachInjectable</v>
      </c>
      <c r="B846" t="s">
        <v>150</v>
      </c>
      <c r="C846">
        <v>2017</v>
      </c>
      <c r="D846" t="s">
        <v>20</v>
      </c>
      <c r="E846" t="s">
        <v>54</v>
      </c>
      <c r="F846" t="s">
        <v>22</v>
      </c>
      <c r="G846">
        <v>2.2820000000000002E-3</v>
      </c>
      <c r="H846">
        <v>6.7049999999999998E-4</v>
      </c>
      <c r="I846">
        <v>2.2393999999999999E-3</v>
      </c>
    </row>
    <row r="847" spans="1:9" x14ac:dyDescent="0.25">
      <c r="A847" s="104" t="str">
        <f t="shared" si="13"/>
        <v>Senegal2017UrbanNGOInjectable</v>
      </c>
      <c r="B847" t="s">
        <v>150</v>
      </c>
      <c r="C847">
        <v>2017</v>
      </c>
      <c r="D847" t="s">
        <v>20</v>
      </c>
      <c r="E847" t="s">
        <v>170</v>
      </c>
      <c r="F847" t="s">
        <v>22</v>
      </c>
      <c r="H847">
        <v>1.4273000000000001E-3</v>
      </c>
    </row>
    <row r="848" spans="1:9" x14ac:dyDescent="0.25">
      <c r="A848" s="104" t="str">
        <f t="shared" si="13"/>
        <v>Senegal2017UrbanCommercialInjectable</v>
      </c>
      <c r="B848" t="s">
        <v>150</v>
      </c>
      <c r="C848">
        <v>2017</v>
      </c>
      <c r="D848" t="s">
        <v>20</v>
      </c>
      <c r="E848" t="s">
        <v>59</v>
      </c>
      <c r="F848" t="s">
        <v>22</v>
      </c>
      <c r="G848">
        <v>4.3451999999999996E-3</v>
      </c>
      <c r="H848">
        <v>9.2966999999999998E-3</v>
      </c>
      <c r="I848">
        <v>7.6772999999999997E-3</v>
      </c>
    </row>
    <row r="849" spans="1:9" x14ac:dyDescent="0.25">
      <c r="A849" s="104" t="str">
        <f t="shared" si="13"/>
        <v>Senegal2017UrbanOtherInjectable</v>
      </c>
      <c r="B849" t="s">
        <v>150</v>
      </c>
      <c r="C849">
        <v>2017</v>
      </c>
      <c r="D849" t="s">
        <v>20</v>
      </c>
      <c r="E849" t="s">
        <v>116</v>
      </c>
      <c r="F849" t="s">
        <v>22</v>
      </c>
      <c r="H849">
        <v>2.8289999999999999E-4</v>
      </c>
    </row>
    <row r="850" spans="1:9" x14ac:dyDescent="0.25">
      <c r="A850" s="104" t="str">
        <f t="shared" si="13"/>
        <v>Senegal2017RuralPub_MedInjectable</v>
      </c>
      <c r="B850" t="s">
        <v>150</v>
      </c>
      <c r="C850">
        <v>2017</v>
      </c>
      <c r="D850" t="s">
        <v>21</v>
      </c>
      <c r="E850" t="s">
        <v>52</v>
      </c>
      <c r="F850" t="s">
        <v>22</v>
      </c>
      <c r="G850">
        <v>5.5585099999999998E-2</v>
      </c>
      <c r="H850">
        <v>6.1947200000000001E-2</v>
      </c>
      <c r="I850">
        <v>7.8834399999999999E-2</v>
      </c>
    </row>
    <row r="851" spans="1:9" x14ac:dyDescent="0.25">
      <c r="A851" s="104" t="str">
        <f t="shared" si="13"/>
        <v>Senegal2017RuralPub_OutreachInjectable</v>
      </c>
      <c r="B851" t="s">
        <v>150</v>
      </c>
      <c r="C851">
        <v>2017</v>
      </c>
      <c r="D851" t="s">
        <v>21</v>
      </c>
      <c r="E851" t="s">
        <v>54</v>
      </c>
      <c r="F851" t="s">
        <v>22</v>
      </c>
      <c r="G851">
        <v>6.3077000000000003E-3</v>
      </c>
      <c r="H851">
        <v>9.5290000000000001E-4</v>
      </c>
    </row>
    <row r="852" spans="1:9" x14ac:dyDescent="0.25">
      <c r="A852" s="104" t="str">
        <f t="shared" si="13"/>
        <v>Senegal2017RuralCommercialInjectable</v>
      </c>
      <c r="B852" t="s">
        <v>150</v>
      </c>
      <c r="C852">
        <v>2017</v>
      </c>
      <c r="D852" t="s">
        <v>21</v>
      </c>
      <c r="E852" t="s">
        <v>59</v>
      </c>
      <c r="F852" t="s">
        <v>22</v>
      </c>
      <c r="G852">
        <v>1.0199E-3</v>
      </c>
    </row>
    <row r="853" spans="1:9" x14ac:dyDescent="0.25">
      <c r="A853" s="104" t="str">
        <f t="shared" si="13"/>
        <v>Senegal2017RuralOtherInjectable</v>
      </c>
      <c r="B853" t="s">
        <v>150</v>
      </c>
      <c r="C853">
        <v>2017</v>
      </c>
      <c r="D853" t="s">
        <v>21</v>
      </c>
      <c r="E853" t="s">
        <v>116</v>
      </c>
      <c r="F853" t="s">
        <v>22</v>
      </c>
      <c r="G853">
        <v>2.073E-4</v>
      </c>
    </row>
    <row r="854" spans="1:9" x14ac:dyDescent="0.25">
      <c r="A854" s="104" t="str">
        <f t="shared" si="13"/>
        <v>Senegal2017NationalPub_MedCondom</v>
      </c>
      <c r="B854" t="s">
        <v>150</v>
      </c>
      <c r="C854">
        <v>2017</v>
      </c>
      <c r="D854" t="s">
        <v>178</v>
      </c>
      <c r="E854" t="s">
        <v>52</v>
      </c>
      <c r="F854" t="s">
        <v>25</v>
      </c>
      <c r="G854">
        <v>3.168E-4</v>
      </c>
      <c r="H854">
        <v>1.0958000000000001E-3</v>
      </c>
      <c r="I854">
        <v>8.4389999999999997E-4</v>
      </c>
    </row>
    <row r="855" spans="1:9" x14ac:dyDescent="0.25">
      <c r="A855" s="104" t="str">
        <f t="shared" si="13"/>
        <v>Senegal2017NationalPub_OutreachCondom</v>
      </c>
      <c r="B855" t="s">
        <v>150</v>
      </c>
      <c r="C855">
        <v>2017</v>
      </c>
      <c r="D855" t="s">
        <v>178</v>
      </c>
      <c r="E855" t="s">
        <v>54</v>
      </c>
      <c r="F855" t="s">
        <v>25</v>
      </c>
      <c r="H855">
        <v>9.6690000000000003E-4</v>
      </c>
    </row>
    <row r="856" spans="1:9" x14ac:dyDescent="0.25">
      <c r="A856" s="104" t="str">
        <f t="shared" si="13"/>
        <v>Senegal2017NationalCommercialCondom</v>
      </c>
      <c r="B856" t="s">
        <v>150</v>
      </c>
      <c r="C856">
        <v>2017</v>
      </c>
      <c r="D856" t="s">
        <v>178</v>
      </c>
      <c r="E856" t="s">
        <v>59</v>
      </c>
      <c r="F856" t="s">
        <v>25</v>
      </c>
      <c r="G856">
        <v>1.4806000000000001E-3</v>
      </c>
      <c r="H856">
        <v>1.7214299999999998E-2</v>
      </c>
      <c r="I856">
        <v>2.3982799999999999E-2</v>
      </c>
    </row>
    <row r="857" spans="1:9" x14ac:dyDescent="0.25">
      <c r="A857" s="104" t="str">
        <f t="shared" si="13"/>
        <v>Senegal2017NationalOtherCondom</v>
      </c>
      <c r="B857" t="s">
        <v>150</v>
      </c>
      <c r="C857">
        <v>2017</v>
      </c>
      <c r="D857" t="s">
        <v>178</v>
      </c>
      <c r="E857" t="s">
        <v>116</v>
      </c>
      <c r="F857" t="s">
        <v>25</v>
      </c>
      <c r="G857">
        <v>1.5154999999999999E-3</v>
      </c>
      <c r="H857">
        <v>7.8379999999999997E-4</v>
      </c>
      <c r="I857">
        <v>1.7825E-3</v>
      </c>
    </row>
    <row r="858" spans="1:9" x14ac:dyDescent="0.25">
      <c r="A858" s="104" t="str">
        <f t="shared" si="13"/>
        <v>Senegal2017UrbanPub_MedCondom</v>
      </c>
      <c r="B858" t="s">
        <v>150</v>
      </c>
      <c r="C858">
        <v>2017</v>
      </c>
      <c r="D858" t="s">
        <v>20</v>
      </c>
      <c r="E858" t="s">
        <v>52</v>
      </c>
      <c r="F858" t="s">
        <v>25</v>
      </c>
      <c r="H858">
        <v>8.7549999999999998E-4</v>
      </c>
      <c r="I858">
        <v>9.1839999999999999E-4</v>
      </c>
    </row>
    <row r="859" spans="1:9" x14ac:dyDescent="0.25">
      <c r="A859" s="104" t="str">
        <f t="shared" si="13"/>
        <v>Senegal2017UrbanPub_OutreachCondom</v>
      </c>
      <c r="B859" t="s">
        <v>150</v>
      </c>
      <c r="C859">
        <v>2017</v>
      </c>
      <c r="D859" t="s">
        <v>20</v>
      </c>
      <c r="E859" t="s">
        <v>54</v>
      </c>
      <c r="F859" t="s">
        <v>25</v>
      </c>
      <c r="H859">
        <v>1.1797000000000001E-3</v>
      </c>
    </row>
    <row r="860" spans="1:9" x14ac:dyDescent="0.25">
      <c r="A860" s="104" t="str">
        <f t="shared" si="13"/>
        <v>Senegal2017UrbanCommercialCondom</v>
      </c>
      <c r="B860" t="s">
        <v>150</v>
      </c>
      <c r="C860">
        <v>2017</v>
      </c>
      <c r="D860" t="s">
        <v>20</v>
      </c>
      <c r="E860" t="s">
        <v>59</v>
      </c>
      <c r="F860" t="s">
        <v>25</v>
      </c>
      <c r="G860">
        <v>2.7518999999999998E-3</v>
      </c>
      <c r="H860">
        <v>2.1003999999999998E-2</v>
      </c>
      <c r="I860">
        <v>2.5105499999999999E-2</v>
      </c>
    </row>
    <row r="861" spans="1:9" x14ac:dyDescent="0.25">
      <c r="A861" s="104" t="str">
        <f t="shared" si="13"/>
        <v>Senegal2017UrbanOtherCondom</v>
      </c>
      <c r="B861" t="s">
        <v>150</v>
      </c>
      <c r="C861">
        <v>2017</v>
      </c>
      <c r="D861" t="s">
        <v>20</v>
      </c>
      <c r="E861" t="s">
        <v>116</v>
      </c>
      <c r="F861" t="s">
        <v>25</v>
      </c>
      <c r="G861">
        <v>2.0798000000000001E-3</v>
      </c>
      <c r="H861">
        <v>1.428E-4</v>
      </c>
      <c r="I861">
        <v>1.9399E-3</v>
      </c>
    </row>
    <row r="862" spans="1:9" x14ac:dyDescent="0.25">
      <c r="A862" s="104" t="str">
        <f t="shared" si="13"/>
        <v>Senegal2017RuralPub_MedCondom</v>
      </c>
      <c r="B862" t="s">
        <v>150</v>
      </c>
      <c r="C862">
        <v>2017</v>
      </c>
      <c r="D862" t="s">
        <v>21</v>
      </c>
      <c r="E862" t="s">
        <v>52</v>
      </c>
      <c r="F862" t="s">
        <v>25</v>
      </c>
      <c r="G862">
        <v>4.3679999999999999E-4</v>
      </c>
      <c r="H862">
        <v>2.0964999999999998E-3</v>
      </c>
    </row>
    <row r="863" spans="1:9" x14ac:dyDescent="0.25">
      <c r="A863" s="104" t="str">
        <f t="shared" si="13"/>
        <v>Senegal2017RuralCommercialCondom</v>
      </c>
      <c r="B863" t="s">
        <v>150</v>
      </c>
      <c r="C863">
        <v>2017</v>
      </c>
      <c r="D863" t="s">
        <v>21</v>
      </c>
      <c r="E863" t="s">
        <v>59</v>
      </c>
      <c r="F863" t="s">
        <v>25</v>
      </c>
      <c r="G863">
        <v>9.992E-4</v>
      </c>
      <c r="I863">
        <v>1.1264700000000001E-2</v>
      </c>
    </row>
    <row r="864" spans="1:9" x14ac:dyDescent="0.25">
      <c r="A864" s="104" t="str">
        <f t="shared" si="13"/>
        <v>Senegal2017RuralOtherCondom</v>
      </c>
      <c r="B864" t="s">
        <v>150</v>
      </c>
      <c r="C864">
        <v>2017</v>
      </c>
      <c r="D864" t="s">
        <v>21</v>
      </c>
      <c r="E864" t="s">
        <v>116</v>
      </c>
      <c r="F864" t="s">
        <v>25</v>
      </c>
      <c r="G864">
        <v>1.3017E-3</v>
      </c>
      <c r="H864">
        <v>3.6955E-3</v>
      </c>
    </row>
    <row r="865" spans="1:9" x14ac:dyDescent="0.25">
      <c r="A865" s="104" t="str">
        <f t="shared" si="13"/>
        <v>Senegal2017NationalPub_MedImplant</v>
      </c>
      <c r="B865" t="s">
        <v>150</v>
      </c>
      <c r="C865">
        <v>2017</v>
      </c>
      <c r="D865" t="s">
        <v>178</v>
      </c>
      <c r="E865" t="s">
        <v>52</v>
      </c>
      <c r="F865" t="s">
        <v>23</v>
      </c>
      <c r="G865">
        <v>5.8622300000000002E-2</v>
      </c>
      <c r="H865">
        <v>4.8727399999999997E-2</v>
      </c>
      <c r="I865">
        <v>3.86653E-2</v>
      </c>
    </row>
    <row r="866" spans="1:9" x14ac:dyDescent="0.25">
      <c r="A866" s="104" t="str">
        <f t="shared" si="13"/>
        <v>Senegal2017NationalPub_OutreachImplant</v>
      </c>
      <c r="B866" t="s">
        <v>150</v>
      </c>
      <c r="C866">
        <v>2017</v>
      </c>
      <c r="D866" t="s">
        <v>178</v>
      </c>
      <c r="E866" t="s">
        <v>54</v>
      </c>
      <c r="F866" t="s">
        <v>23</v>
      </c>
      <c r="G866">
        <v>3.9093000000000001E-3</v>
      </c>
      <c r="H866">
        <v>2.8689000000000002E-3</v>
      </c>
    </row>
    <row r="867" spans="1:9" x14ac:dyDescent="0.25">
      <c r="A867" s="104" t="str">
        <f t="shared" si="13"/>
        <v>Senegal2017NationalNGOImplant</v>
      </c>
      <c r="B867" t="s">
        <v>150</v>
      </c>
      <c r="C867">
        <v>2017</v>
      </c>
      <c r="D867" t="s">
        <v>178</v>
      </c>
      <c r="E867" t="s">
        <v>170</v>
      </c>
      <c r="F867" t="s">
        <v>23</v>
      </c>
      <c r="G867">
        <v>1.8689999999999999E-4</v>
      </c>
      <c r="H867">
        <v>8.116E-4</v>
      </c>
    </row>
    <row r="868" spans="1:9" x14ac:dyDescent="0.25">
      <c r="A868" s="104" t="str">
        <f t="shared" si="13"/>
        <v>Senegal2017NationalCommercialImplant</v>
      </c>
      <c r="B868" t="s">
        <v>150</v>
      </c>
      <c r="C868">
        <v>2017</v>
      </c>
      <c r="D868" t="s">
        <v>178</v>
      </c>
      <c r="E868" t="s">
        <v>59</v>
      </c>
      <c r="F868" t="s">
        <v>23</v>
      </c>
      <c r="G868">
        <v>1.1682000000000001E-3</v>
      </c>
      <c r="H868">
        <v>4.3607999999999997E-3</v>
      </c>
      <c r="I868">
        <v>1.2616999999999999E-3</v>
      </c>
    </row>
    <row r="869" spans="1:9" x14ac:dyDescent="0.25">
      <c r="A869" s="104" t="str">
        <f t="shared" si="13"/>
        <v>Senegal2017NationalOtherImplant</v>
      </c>
      <c r="B869" t="s">
        <v>150</v>
      </c>
      <c r="C869">
        <v>2017</v>
      </c>
      <c r="D869" t="s">
        <v>178</v>
      </c>
      <c r="E869" t="s">
        <v>116</v>
      </c>
      <c r="F869" t="s">
        <v>23</v>
      </c>
      <c r="G869">
        <v>7.0099999999999996E-5</v>
      </c>
      <c r="H869">
        <v>6.9039999999999998E-4</v>
      </c>
    </row>
    <row r="870" spans="1:9" x14ac:dyDescent="0.25">
      <c r="A870" s="104" t="str">
        <f t="shared" si="13"/>
        <v>Senegal2017NationalImplant</v>
      </c>
      <c r="B870" t="s">
        <v>150</v>
      </c>
      <c r="C870">
        <v>2017</v>
      </c>
      <c r="D870" t="s">
        <v>178</v>
      </c>
      <c r="F870" t="s">
        <v>23</v>
      </c>
      <c r="H870">
        <v>2.1230000000000001E-4</v>
      </c>
    </row>
    <row r="871" spans="1:9" x14ac:dyDescent="0.25">
      <c r="A871" s="104" t="str">
        <f t="shared" si="13"/>
        <v>Senegal2017UrbanPub_MedImplant</v>
      </c>
      <c r="B871" t="s">
        <v>150</v>
      </c>
      <c r="C871">
        <v>2017</v>
      </c>
      <c r="D871" t="s">
        <v>20</v>
      </c>
      <c r="E871" t="s">
        <v>52</v>
      </c>
      <c r="F871" t="s">
        <v>23</v>
      </c>
      <c r="G871">
        <v>7.5307100000000002E-2</v>
      </c>
      <c r="H871">
        <v>5.4418599999999998E-2</v>
      </c>
      <c r="I871">
        <v>3.76002E-2</v>
      </c>
    </row>
    <row r="872" spans="1:9" x14ac:dyDescent="0.25">
      <c r="A872" s="104" t="str">
        <f t="shared" si="13"/>
        <v>Senegal2017UrbanPub_OutreachImplant</v>
      </c>
      <c r="B872" t="s">
        <v>150</v>
      </c>
      <c r="C872">
        <v>2017</v>
      </c>
      <c r="D872" t="s">
        <v>20</v>
      </c>
      <c r="E872" t="s">
        <v>54</v>
      </c>
      <c r="F872" t="s">
        <v>23</v>
      </c>
      <c r="G872">
        <v>1.8358000000000001E-3</v>
      </c>
      <c r="H872">
        <v>2.5065E-3</v>
      </c>
    </row>
    <row r="873" spans="1:9" x14ac:dyDescent="0.25">
      <c r="A873" s="104" t="str">
        <f t="shared" si="13"/>
        <v>Senegal2017UrbanNGOImplant</v>
      </c>
      <c r="B873" t="s">
        <v>150</v>
      </c>
      <c r="C873">
        <v>2017</v>
      </c>
      <c r="D873" t="s">
        <v>20</v>
      </c>
      <c r="E873" t="s">
        <v>170</v>
      </c>
      <c r="F873" t="s">
        <v>23</v>
      </c>
      <c r="H873">
        <v>9.9029999999999995E-4</v>
      </c>
    </row>
    <row r="874" spans="1:9" x14ac:dyDescent="0.25">
      <c r="A874" s="104" t="str">
        <f t="shared" si="13"/>
        <v>Senegal2017UrbanCommercialImplant</v>
      </c>
      <c r="B874" t="s">
        <v>150</v>
      </c>
      <c r="C874">
        <v>2017</v>
      </c>
      <c r="D874" t="s">
        <v>20</v>
      </c>
      <c r="E874" t="s">
        <v>59</v>
      </c>
      <c r="F874" t="s">
        <v>23</v>
      </c>
      <c r="G874">
        <v>2.5688999999999998E-3</v>
      </c>
      <c r="H874">
        <v>5.3207999999999997E-3</v>
      </c>
      <c r="I874">
        <v>1.3730999999999999E-3</v>
      </c>
    </row>
    <row r="875" spans="1:9" x14ac:dyDescent="0.25">
      <c r="A875" s="104" t="str">
        <f t="shared" si="13"/>
        <v>Senegal2017UrbanOtherImplant</v>
      </c>
      <c r="B875" t="s">
        <v>150</v>
      </c>
      <c r="C875">
        <v>2017</v>
      </c>
      <c r="D875" t="s">
        <v>20</v>
      </c>
      <c r="E875" t="s">
        <v>116</v>
      </c>
      <c r="F875" t="s">
        <v>23</v>
      </c>
      <c r="G875">
        <v>2.5520000000000002E-4</v>
      </c>
      <c r="H875">
        <v>8.4239999999999998E-4</v>
      </c>
    </row>
    <row r="876" spans="1:9" x14ac:dyDescent="0.25">
      <c r="A876" s="104" t="str">
        <f t="shared" si="13"/>
        <v>Senegal2017UrbanImplant</v>
      </c>
      <c r="B876" t="s">
        <v>150</v>
      </c>
      <c r="C876">
        <v>2017</v>
      </c>
      <c r="D876" t="s">
        <v>20</v>
      </c>
      <c r="F876" t="s">
        <v>23</v>
      </c>
      <c r="H876">
        <v>2.5910000000000001E-4</v>
      </c>
    </row>
    <row r="877" spans="1:9" x14ac:dyDescent="0.25">
      <c r="A877" s="104" t="str">
        <f t="shared" si="13"/>
        <v>Senegal2017RuralPub_MedImplant</v>
      </c>
      <c r="B877" t="s">
        <v>150</v>
      </c>
      <c r="C877">
        <v>2017</v>
      </c>
      <c r="D877" t="s">
        <v>21</v>
      </c>
      <c r="E877" t="s">
        <v>52</v>
      </c>
      <c r="F877" t="s">
        <v>23</v>
      </c>
      <c r="G877">
        <v>5.2303700000000002E-2</v>
      </c>
      <c r="H877">
        <v>2.2875300000000001E-2</v>
      </c>
      <c r="I877">
        <v>5.0731100000000001E-2</v>
      </c>
    </row>
    <row r="878" spans="1:9" x14ac:dyDescent="0.25">
      <c r="A878" s="104" t="str">
        <f t="shared" si="13"/>
        <v>Senegal2017RuralPub_OutreachImplant</v>
      </c>
      <c r="B878" t="s">
        <v>150</v>
      </c>
      <c r="C878">
        <v>2017</v>
      </c>
      <c r="D878" t="s">
        <v>21</v>
      </c>
      <c r="E878" t="s">
        <v>54</v>
      </c>
      <c r="F878" t="s">
        <v>23</v>
      </c>
      <c r="G878">
        <v>4.6946000000000002E-3</v>
      </c>
      <c r="H878">
        <v>4.5148000000000002E-3</v>
      </c>
    </row>
    <row r="879" spans="1:9" x14ac:dyDescent="0.25">
      <c r="A879" s="104" t="str">
        <f t="shared" si="13"/>
        <v>Senegal2017RuralNGOImplant</v>
      </c>
      <c r="B879" t="s">
        <v>150</v>
      </c>
      <c r="C879">
        <v>2017</v>
      </c>
      <c r="D879" t="s">
        <v>21</v>
      </c>
      <c r="E879" t="s">
        <v>170</v>
      </c>
      <c r="F879" t="s">
        <v>23</v>
      </c>
      <c r="G879">
        <v>2.5759999999999997E-4</v>
      </c>
    </row>
    <row r="880" spans="1:9" x14ac:dyDescent="0.25">
      <c r="A880" s="104" t="str">
        <f t="shared" si="13"/>
        <v>Senegal2017RuralCommercialImplant</v>
      </c>
      <c r="B880" t="s">
        <v>150</v>
      </c>
      <c r="C880">
        <v>2017</v>
      </c>
      <c r="D880" t="s">
        <v>21</v>
      </c>
      <c r="E880" t="s">
        <v>59</v>
      </c>
      <c r="F880" t="s">
        <v>23</v>
      </c>
      <c r="G880">
        <v>6.3770000000000005E-4</v>
      </c>
    </row>
    <row r="881" spans="1:9" x14ac:dyDescent="0.25">
      <c r="A881" s="104" t="str">
        <f t="shared" si="13"/>
        <v>Tanzania2010NationalPub_MedPill</v>
      </c>
      <c r="B881" t="s">
        <v>152</v>
      </c>
      <c r="C881">
        <v>2010</v>
      </c>
      <c r="D881" t="s">
        <v>178</v>
      </c>
      <c r="E881" t="s">
        <v>52</v>
      </c>
      <c r="F881" t="s">
        <v>12</v>
      </c>
      <c r="G881">
        <v>7.6883000000000003E-3</v>
      </c>
      <c r="H881">
        <v>2.0749900000000002E-2</v>
      </c>
      <c r="I881">
        <v>1.5918700000000001E-2</v>
      </c>
    </row>
    <row r="882" spans="1:9" x14ac:dyDescent="0.25">
      <c r="A882" s="104" t="str">
        <f t="shared" si="13"/>
        <v>Tanzania2010NationalPub_OutreachPill</v>
      </c>
      <c r="B882" t="s">
        <v>152</v>
      </c>
      <c r="C882">
        <v>2010</v>
      </c>
      <c r="D882" t="s">
        <v>178</v>
      </c>
      <c r="E882" t="s">
        <v>54</v>
      </c>
      <c r="F882" t="s">
        <v>12</v>
      </c>
      <c r="G882">
        <v>3.0564000000000001E-2</v>
      </c>
      <c r="H882">
        <v>2.1141400000000001E-2</v>
      </c>
      <c r="I882">
        <v>1.12024E-2</v>
      </c>
    </row>
    <row r="883" spans="1:9" x14ac:dyDescent="0.25">
      <c r="A883" s="104" t="str">
        <f t="shared" si="13"/>
        <v>Tanzania2010NationalNGOPill</v>
      </c>
      <c r="B883" t="s">
        <v>152</v>
      </c>
      <c r="C883">
        <v>2010</v>
      </c>
      <c r="D883" t="s">
        <v>178</v>
      </c>
      <c r="E883" t="s">
        <v>170</v>
      </c>
      <c r="F883" t="s">
        <v>12</v>
      </c>
      <c r="G883">
        <v>3.3102000000000001E-3</v>
      </c>
      <c r="H883">
        <v>8.3986000000000009E-3</v>
      </c>
      <c r="I883">
        <v>3.0182E-3</v>
      </c>
    </row>
    <row r="884" spans="1:9" x14ac:dyDescent="0.25">
      <c r="A884" s="104" t="str">
        <f t="shared" si="13"/>
        <v>Tanzania2010NationalCommercialPill</v>
      </c>
      <c r="B884" t="s">
        <v>152</v>
      </c>
      <c r="C884">
        <v>2010</v>
      </c>
      <c r="D884" t="s">
        <v>178</v>
      </c>
      <c r="E884" t="s">
        <v>59</v>
      </c>
      <c r="F884" t="s">
        <v>12</v>
      </c>
      <c r="G884">
        <v>6.9048E-3</v>
      </c>
      <c r="H884">
        <v>1.3539199999999999E-2</v>
      </c>
      <c r="I884">
        <v>1.9427900000000001E-2</v>
      </c>
    </row>
    <row r="885" spans="1:9" x14ac:dyDescent="0.25">
      <c r="A885" s="104" t="str">
        <f t="shared" si="13"/>
        <v>Tanzania2010NationalOtherPill</v>
      </c>
      <c r="B885" t="s">
        <v>152</v>
      </c>
      <c r="C885">
        <v>2010</v>
      </c>
      <c r="D885" t="s">
        <v>178</v>
      </c>
      <c r="E885" t="s">
        <v>116</v>
      </c>
      <c r="F885" t="s">
        <v>12</v>
      </c>
      <c r="G885">
        <v>6.58E-5</v>
      </c>
      <c r="H885">
        <v>8.409E-4</v>
      </c>
    </row>
    <row r="886" spans="1:9" x14ac:dyDescent="0.25">
      <c r="A886" s="104" t="str">
        <f t="shared" si="13"/>
        <v>Tanzania2010UrbanPub_MedPill</v>
      </c>
      <c r="B886" t="s">
        <v>152</v>
      </c>
      <c r="C886">
        <v>2010</v>
      </c>
      <c r="D886" t="s">
        <v>20</v>
      </c>
      <c r="E886" t="s">
        <v>52</v>
      </c>
      <c r="F886" t="s">
        <v>12</v>
      </c>
      <c r="G886">
        <v>2.4419E-2</v>
      </c>
      <c r="H886">
        <v>2.7612000000000001E-2</v>
      </c>
      <c r="I886">
        <v>1.50273E-2</v>
      </c>
    </row>
    <row r="887" spans="1:9" x14ac:dyDescent="0.25">
      <c r="A887" s="104" t="str">
        <f t="shared" si="13"/>
        <v>Tanzania2010UrbanPub_OutreachPill</v>
      </c>
      <c r="B887" t="s">
        <v>152</v>
      </c>
      <c r="C887">
        <v>2010</v>
      </c>
      <c r="D887" t="s">
        <v>20</v>
      </c>
      <c r="E887" t="s">
        <v>54</v>
      </c>
      <c r="F887" t="s">
        <v>12</v>
      </c>
      <c r="G887">
        <v>4.7679000000000003E-3</v>
      </c>
      <c r="H887">
        <v>1.51197E-2</v>
      </c>
      <c r="I887">
        <v>9.1065999999999994E-3</v>
      </c>
    </row>
    <row r="888" spans="1:9" x14ac:dyDescent="0.25">
      <c r="A888" s="104" t="str">
        <f t="shared" si="13"/>
        <v>Tanzania2010UrbanNGOPill</v>
      </c>
      <c r="B888" t="s">
        <v>152</v>
      </c>
      <c r="C888">
        <v>2010</v>
      </c>
      <c r="D888" t="s">
        <v>20</v>
      </c>
      <c r="E888" t="s">
        <v>170</v>
      </c>
      <c r="F888" t="s">
        <v>12</v>
      </c>
      <c r="G888">
        <v>7.8300999999999996E-3</v>
      </c>
      <c r="H888">
        <v>3.5396999999999998E-3</v>
      </c>
      <c r="I888">
        <v>3.2431000000000001E-3</v>
      </c>
    </row>
    <row r="889" spans="1:9" x14ac:dyDescent="0.25">
      <c r="A889" s="104" t="str">
        <f t="shared" si="13"/>
        <v>Tanzania2010UrbanCommercialPill</v>
      </c>
      <c r="B889" t="s">
        <v>152</v>
      </c>
      <c r="C889">
        <v>2010</v>
      </c>
      <c r="D889" t="s">
        <v>20</v>
      </c>
      <c r="E889" t="s">
        <v>59</v>
      </c>
      <c r="F889" t="s">
        <v>12</v>
      </c>
      <c r="G889">
        <v>2.3056799999999999E-2</v>
      </c>
      <c r="H889">
        <v>1.7291399999999998E-2</v>
      </c>
      <c r="I889">
        <v>2.0444199999999999E-2</v>
      </c>
    </row>
    <row r="890" spans="1:9" x14ac:dyDescent="0.25">
      <c r="A890" s="104" t="str">
        <f t="shared" si="13"/>
        <v>Tanzania2010UrbanOtherPill</v>
      </c>
      <c r="B890" t="s">
        <v>152</v>
      </c>
      <c r="C890">
        <v>2010</v>
      </c>
      <c r="D890" t="s">
        <v>20</v>
      </c>
      <c r="E890" t="s">
        <v>116</v>
      </c>
      <c r="F890" t="s">
        <v>12</v>
      </c>
      <c r="H890">
        <v>1.1953000000000001E-3</v>
      </c>
    </row>
    <row r="891" spans="1:9" x14ac:dyDescent="0.25">
      <c r="A891" s="104" t="str">
        <f t="shared" si="13"/>
        <v>Tanzania2010RuralPub_MedPill</v>
      </c>
      <c r="B891" t="s">
        <v>152</v>
      </c>
      <c r="C891">
        <v>2010</v>
      </c>
      <c r="D891" t="s">
        <v>21</v>
      </c>
      <c r="E891" t="s">
        <v>52</v>
      </c>
      <c r="F891" t="s">
        <v>12</v>
      </c>
      <c r="G891">
        <v>5.8260999999999999E-3</v>
      </c>
      <c r="H891">
        <v>4.4688000000000002E-3</v>
      </c>
      <c r="I891">
        <v>2.7882000000000001E-2</v>
      </c>
    </row>
    <row r="892" spans="1:9" x14ac:dyDescent="0.25">
      <c r="A892" s="104" t="str">
        <f t="shared" si="13"/>
        <v>Tanzania2010RuralPub_OutreachPill</v>
      </c>
      <c r="B892" t="s">
        <v>152</v>
      </c>
      <c r="C892">
        <v>2010</v>
      </c>
      <c r="D892" t="s">
        <v>21</v>
      </c>
      <c r="E892" t="s">
        <v>54</v>
      </c>
      <c r="F892" t="s">
        <v>12</v>
      </c>
      <c r="G892">
        <v>3.3435399999999997E-2</v>
      </c>
      <c r="H892">
        <v>3.5428800000000003E-2</v>
      </c>
      <c r="I892">
        <v>3.9328000000000002E-2</v>
      </c>
    </row>
    <row r="893" spans="1:9" x14ac:dyDescent="0.25">
      <c r="A893" s="104" t="str">
        <f t="shared" si="13"/>
        <v>Tanzania2010RuralNGOPill</v>
      </c>
      <c r="B893" t="s">
        <v>152</v>
      </c>
      <c r="C893">
        <v>2010</v>
      </c>
      <c r="D893" t="s">
        <v>21</v>
      </c>
      <c r="E893" t="s">
        <v>170</v>
      </c>
      <c r="F893" t="s">
        <v>12</v>
      </c>
      <c r="G893">
        <v>2.8070999999999999E-3</v>
      </c>
      <c r="H893">
        <v>1.9926900000000001E-2</v>
      </c>
    </row>
    <row r="894" spans="1:9" x14ac:dyDescent="0.25">
      <c r="A894" s="104" t="str">
        <f t="shared" si="13"/>
        <v>Tanzania2010RuralCommercialPill</v>
      </c>
      <c r="B894" t="s">
        <v>152</v>
      </c>
      <c r="C894">
        <v>2010</v>
      </c>
      <c r="D894" t="s">
        <v>21</v>
      </c>
      <c r="E894" t="s">
        <v>59</v>
      </c>
      <c r="F894" t="s">
        <v>12</v>
      </c>
      <c r="G894">
        <v>5.1069000000000002E-3</v>
      </c>
      <c r="H894">
        <v>4.6365E-3</v>
      </c>
      <c r="I894">
        <v>5.7884E-3</v>
      </c>
    </row>
    <row r="895" spans="1:9" x14ac:dyDescent="0.25">
      <c r="A895" s="104" t="str">
        <f t="shared" si="13"/>
        <v>Tanzania2010RuralOtherPill</v>
      </c>
      <c r="B895" t="s">
        <v>152</v>
      </c>
      <c r="C895">
        <v>2010</v>
      </c>
      <c r="D895" t="s">
        <v>21</v>
      </c>
      <c r="E895" t="s">
        <v>116</v>
      </c>
      <c r="F895" t="s">
        <v>12</v>
      </c>
      <c r="G895">
        <v>7.3200000000000004E-5</v>
      </c>
    </row>
    <row r="896" spans="1:9" x14ac:dyDescent="0.25">
      <c r="A896" s="104" t="str">
        <f t="shared" si="13"/>
        <v>Tanzania2010NationalIUD</v>
      </c>
      <c r="B896" t="s">
        <v>152</v>
      </c>
      <c r="C896">
        <v>2010</v>
      </c>
      <c r="D896" t="s">
        <v>178</v>
      </c>
      <c r="F896" t="s">
        <v>16</v>
      </c>
      <c r="G896">
        <v>4.5599000000000004E-3</v>
      </c>
      <c r="H896">
        <v>3.6551999999999999E-3</v>
      </c>
      <c r="I896">
        <v>4.1453999999999996E-3</v>
      </c>
    </row>
    <row r="897" spans="1:9" x14ac:dyDescent="0.25">
      <c r="A897" s="104" t="str">
        <f t="shared" si="13"/>
        <v>Tanzania2010UrbanIUD</v>
      </c>
      <c r="B897" t="s">
        <v>152</v>
      </c>
      <c r="C897">
        <v>2010</v>
      </c>
      <c r="D897" t="s">
        <v>20</v>
      </c>
      <c r="F897" t="s">
        <v>16</v>
      </c>
      <c r="G897">
        <v>8.0482000000000001E-3</v>
      </c>
      <c r="H897">
        <v>2.1513999999999999E-3</v>
      </c>
      <c r="I897">
        <v>4.4542999999999996E-3</v>
      </c>
    </row>
    <row r="898" spans="1:9" x14ac:dyDescent="0.25">
      <c r="A898" s="104" t="str">
        <f t="shared" si="13"/>
        <v>Tanzania2010RuralIUD</v>
      </c>
      <c r="B898" t="s">
        <v>152</v>
      </c>
      <c r="C898">
        <v>2010</v>
      </c>
      <c r="D898" t="s">
        <v>21</v>
      </c>
      <c r="F898" t="s">
        <v>16</v>
      </c>
      <c r="G898">
        <v>4.1717000000000004E-3</v>
      </c>
      <c r="H898">
        <v>7.2233000000000002E-3</v>
      </c>
    </row>
    <row r="899" spans="1:9" x14ac:dyDescent="0.25">
      <c r="A899" s="104" t="str">
        <f t="shared" ref="A899:A962" si="14">B899&amp;C899&amp;D899&amp;E899&amp;F899</f>
        <v>Tanzania2010NationalPub_MedInjectable</v>
      </c>
      <c r="B899" t="s">
        <v>152</v>
      </c>
      <c r="C899">
        <v>2010</v>
      </c>
      <c r="D899" t="s">
        <v>178</v>
      </c>
      <c r="E899" t="s">
        <v>52</v>
      </c>
      <c r="F899" t="s">
        <v>22</v>
      </c>
      <c r="G899">
        <v>1.7644400000000001E-2</v>
      </c>
      <c r="H899">
        <v>4.3705899999999999E-2</v>
      </c>
      <c r="I899">
        <v>3.17881E-2</v>
      </c>
    </row>
    <row r="900" spans="1:9" x14ac:dyDescent="0.25">
      <c r="A900" s="104" t="str">
        <f t="shared" si="14"/>
        <v>Tanzania2010NationalPub_OutreachInjectable</v>
      </c>
      <c r="B900" t="s">
        <v>152</v>
      </c>
      <c r="C900">
        <v>2010</v>
      </c>
      <c r="D900" t="s">
        <v>178</v>
      </c>
      <c r="E900" t="s">
        <v>54</v>
      </c>
      <c r="F900" t="s">
        <v>22</v>
      </c>
      <c r="G900">
        <v>4.8581899999999997E-2</v>
      </c>
      <c r="H900">
        <v>3.5913199999999999E-2</v>
      </c>
      <c r="I900">
        <v>2.1345699999999999E-2</v>
      </c>
    </row>
    <row r="901" spans="1:9" x14ac:dyDescent="0.25">
      <c r="A901" s="104" t="str">
        <f t="shared" si="14"/>
        <v>Tanzania2010NationalNGOInjectable</v>
      </c>
      <c r="B901" t="s">
        <v>152</v>
      </c>
      <c r="C901">
        <v>2010</v>
      </c>
      <c r="D901" t="s">
        <v>178</v>
      </c>
      <c r="E901" t="s">
        <v>170</v>
      </c>
      <c r="F901" t="s">
        <v>22</v>
      </c>
      <c r="G901">
        <v>5.6587E-3</v>
      </c>
      <c r="H901">
        <v>4.1425999999999998E-3</v>
      </c>
      <c r="I901">
        <v>1.0059E-2</v>
      </c>
    </row>
    <row r="902" spans="1:9" x14ac:dyDescent="0.25">
      <c r="A902" s="104" t="str">
        <f t="shared" si="14"/>
        <v>Tanzania2010NationalCommercialInjectable</v>
      </c>
      <c r="B902" t="s">
        <v>152</v>
      </c>
      <c r="C902">
        <v>2010</v>
      </c>
      <c r="D902" t="s">
        <v>178</v>
      </c>
      <c r="E902" t="s">
        <v>59</v>
      </c>
      <c r="F902" t="s">
        <v>22</v>
      </c>
      <c r="G902">
        <v>6.9858999999999997E-3</v>
      </c>
      <c r="H902">
        <v>2.0562899999999999E-2</v>
      </c>
      <c r="I902">
        <v>1.9347300000000001E-2</v>
      </c>
    </row>
    <row r="903" spans="1:9" x14ac:dyDescent="0.25">
      <c r="A903" s="104" t="str">
        <f t="shared" si="14"/>
        <v>Tanzania2010NationalOtherInjectable</v>
      </c>
      <c r="B903" t="s">
        <v>152</v>
      </c>
      <c r="C903">
        <v>2010</v>
      </c>
      <c r="D903" t="s">
        <v>178</v>
      </c>
      <c r="E903" t="s">
        <v>116</v>
      </c>
      <c r="F903" t="s">
        <v>22</v>
      </c>
      <c r="G903">
        <v>1.73E-3</v>
      </c>
    </row>
    <row r="904" spans="1:9" x14ac:dyDescent="0.25">
      <c r="A904" s="104" t="str">
        <f t="shared" si="14"/>
        <v>Tanzania2010UrbanPub_MedInjectable</v>
      </c>
      <c r="B904" t="s">
        <v>152</v>
      </c>
      <c r="C904">
        <v>2010</v>
      </c>
      <c r="D904" t="s">
        <v>20</v>
      </c>
      <c r="E904" t="s">
        <v>52</v>
      </c>
      <c r="F904" t="s">
        <v>22</v>
      </c>
      <c r="G904">
        <v>3.8089999999999999E-2</v>
      </c>
      <c r="H904">
        <v>5.3892900000000001E-2</v>
      </c>
      <c r="I904">
        <v>3.0907899999999999E-2</v>
      </c>
    </row>
    <row r="905" spans="1:9" x14ac:dyDescent="0.25">
      <c r="A905" s="104" t="str">
        <f t="shared" si="14"/>
        <v>Tanzania2010UrbanPub_OutreachInjectable</v>
      </c>
      <c r="B905" t="s">
        <v>152</v>
      </c>
      <c r="C905">
        <v>2010</v>
      </c>
      <c r="D905" t="s">
        <v>20</v>
      </c>
      <c r="E905" t="s">
        <v>54</v>
      </c>
      <c r="F905" t="s">
        <v>22</v>
      </c>
      <c r="G905">
        <v>3.63688E-2</v>
      </c>
      <c r="H905">
        <v>2.2473799999999999E-2</v>
      </c>
      <c r="I905">
        <v>2.2076599999999998E-2</v>
      </c>
    </row>
    <row r="906" spans="1:9" x14ac:dyDescent="0.25">
      <c r="A906" s="104" t="str">
        <f t="shared" si="14"/>
        <v>Tanzania2010UrbanNGOInjectable</v>
      </c>
      <c r="B906" t="s">
        <v>152</v>
      </c>
      <c r="C906">
        <v>2010</v>
      </c>
      <c r="D906" t="s">
        <v>20</v>
      </c>
      <c r="E906" t="s">
        <v>170</v>
      </c>
      <c r="F906" t="s">
        <v>22</v>
      </c>
      <c r="G906">
        <v>1.49503E-2</v>
      </c>
      <c r="H906">
        <v>2.8760999999999999E-3</v>
      </c>
      <c r="I906">
        <v>8.4141000000000007E-3</v>
      </c>
    </row>
    <row r="907" spans="1:9" x14ac:dyDescent="0.25">
      <c r="A907" s="104" t="str">
        <f t="shared" si="14"/>
        <v>Tanzania2010UrbanCommercialInjectable</v>
      </c>
      <c r="B907" t="s">
        <v>152</v>
      </c>
      <c r="C907">
        <v>2010</v>
      </c>
      <c r="D907" t="s">
        <v>20</v>
      </c>
      <c r="E907" t="s">
        <v>59</v>
      </c>
      <c r="F907" t="s">
        <v>22</v>
      </c>
      <c r="G907">
        <v>2.2612699999999999E-2</v>
      </c>
      <c r="H907">
        <v>2.66792E-2</v>
      </c>
      <c r="I907">
        <v>1.60001E-2</v>
      </c>
    </row>
    <row r="908" spans="1:9" x14ac:dyDescent="0.25">
      <c r="A908" s="104" t="str">
        <f t="shared" si="14"/>
        <v>Tanzania2010UrbanOtherInjectable</v>
      </c>
      <c r="B908" t="s">
        <v>152</v>
      </c>
      <c r="C908">
        <v>2010</v>
      </c>
      <c r="D908" t="s">
        <v>20</v>
      </c>
      <c r="E908" t="s">
        <v>116</v>
      </c>
      <c r="F908" t="s">
        <v>22</v>
      </c>
      <c r="G908">
        <v>1.3916E-3</v>
      </c>
    </row>
    <row r="909" spans="1:9" x14ac:dyDescent="0.25">
      <c r="A909" s="104" t="str">
        <f t="shared" si="14"/>
        <v>Tanzania2010RuralPub_MedInjectable</v>
      </c>
      <c r="B909" t="s">
        <v>152</v>
      </c>
      <c r="C909">
        <v>2010</v>
      </c>
      <c r="D909" t="s">
        <v>21</v>
      </c>
      <c r="E909" t="s">
        <v>52</v>
      </c>
      <c r="F909" t="s">
        <v>22</v>
      </c>
      <c r="G909">
        <v>1.5368700000000001E-2</v>
      </c>
      <c r="H909">
        <v>1.95357E-2</v>
      </c>
      <c r="I909">
        <v>4.3600800000000002E-2</v>
      </c>
    </row>
    <row r="910" spans="1:9" x14ac:dyDescent="0.25">
      <c r="A910" s="104" t="str">
        <f t="shared" si="14"/>
        <v>Tanzania2010RuralPub_OutreachInjectable</v>
      </c>
      <c r="B910" t="s">
        <v>152</v>
      </c>
      <c r="C910">
        <v>2010</v>
      </c>
      <c r="D910" t="s">
        <v>21</v>
      </c>
      <c r="E910" t="s">
        <v>54</v>
      </c>
      <c r="F910" t="s">
        <v>22</v>
      </c>
      <c r="G910">
        <v>4.9941300000000001E-2</v>
      </c>
      <c r="H910">
        <v>6.7800200000000005E-2</v>
      </c>
      <c r="I910">
        <v>1.1536599999999999E-2</v>
      </c>
    </row>
    <row r="911" spans="1:9" x14ac:dyDescent="0.25">
      <c r="A911" s="104" t="str">
        <f t="shared" si="14"/>
        <v>Tanzania2010RuralNGOInjectable</v>
      </c>
      <c r="B911" t="s">
        <v>152</v>
      </c>
      <c r="C911">
        <v>2010</v>
      </c>
      <c r="D911" t="s">
        <v>21</v>
      </c>
      <c r="E911" t="s">
        <v>170</v>
      </c>
      <c r="F911" t="s">
        <v>22</v>
      </c>
      <c r="G911">
        <v>4.6243999999999999E-3</v>
      </c>
      <c r="H911">
        <v>7.1475999999999996E-3</v>
      </c>
      <c r="I911">
        <v>3.2134799999999998E-2</v>
      </c>
    </row>
    <row r="912" spans="1:9" x14ac:dyDescent="0.25">
      <c r="A912" s="104" t="str">
        <f t="shared" si="14"/>
        <v>Tanzania2010RuralCommercialInjectable</v>
      </c>
      <c r="B912" t="s">
        <v>152</v>
      </c>
      <c r="C912">
        <v>2010</v>
      </c>
      <c r="D912" t="s">
        <v>21</v>
      </c>
      <c r="E912" t="s">
        <v>59</v>
      </c>
      <c r="F912" t="s">
        <v>22</v>
      </c>
      <c r="G912">
        <v>5.2464E-3</v>
      </c>
      <c r="H912">
        <v>6.051E-3</v>
      </c>
      <c r="I912">
        <v>6.4269599999999996E-2</v>
      </c>
    </row>
    <row r="913" spans="1:9" x14ac:dyDescent="0.25">
      <c r="A913" s="104" t="str">
        <f t="shared" si="14"/>
        <v>Tanzania2010RuralOtherInjectable</v>
      </c>
      <c r="B913" t="s">
        <v>152</v>
      </c>
      <c r="C913">
        <v>2010</v>
      </c>
      <c r="D913" t="s">
        <v>21</v>
      </c>
      <c r="E913" t="s">
        <v>116</v>
      </c>
      <c r="F913" t="s">
        <v>22</v>
      </c>
      <c r="G913">
        <v>1.7677000000000001E-3</v>
      </c>
    </row>
    <row r="914" spans="1:9" x14ac:dyDescent="0.25">
      <c r="A914" s="104" t="str">
        <f t="shared" si="14"/>
        <v>Tanzania2010NationalPub_MedCondom</v>
      </c>
      <c r="B914" t="s">
        <v>152</v>
      </c>
      <c r="C914">
        <v>2010</v>
      </c>
      <c r="D914" t="s">
        <v>178</v>
      </c>
      <c r="E914" t="s">
        <v>52</v>
      </c>
      <c r="F914" t="s">
        <v>25</v>
      </c>
      <c r="G914">
        <v>2.3879999999999999E-3</v>
      </c>
      <c r="H914">
        <v>3.5531E-3</v>
      </c>
      <c r="I914">
        <v>2.9957E-3</v>
      </c>
    </row>
    <row r="915" spans="1:9" x14ac:dyDescent="0.25">
      <c r="A915" s="104" t="str">
        <f t="shared" si="14"/>
        <v>Tanzania2010NationalPub_OutreachCondom</v>
      </c>
      <c r="B915" t="s">
        <v>152</v>
      </c>
      <c r="C915">
        <v>2010</v>
      </c>
      <c r="D915" t="s">
        <v>178</v>
      </c>
      <c r="E915" t="s">
        <v>54</v>
      </c>
      <c r="F915" t="s">
        <v>25</v>
      </c>
      <c r="G915">
        <v>4.5672999999999998E-3</v>
      </c>
      <c r="H915">
        <v>4.3809000000000001E-3</v>
      </c>
      <c r="I915">
        <v>3.9702000000000001E-3</v>
      </c>
    </row>
    <row r="916" spans="1:9" x14ac:dyDescent="0.25">
      <c r="A916" s="104" t="str">
        <f t="shared" si="14"/>
        <v>Tanzania2010NationalNGOCondom</v>
      </c>
      <c r="B916" t="s">
        <v>152</v>
      </c>
      <c r="C916">
        <v>2010</v>
      </c>
      <c r="D916" t="s">
        <v>178</v>
      </c>
      <c r="E916" t="s">
        <v>170</v>
      </c>
      <c r="F916" t="s">
        <v>25</v>
      </c>
      <c r="G916">
        <v>1.8948799999999998E-2</v>
      </c>
      <c r="H916">
        <v>3.6599300000000001E-2</v>
      </c>
      <c r="I916">
        <v>2.8732199999999999E-2</v>
      </c>
    </row>
    <row r="917" spans="1:9" x14ac:dyDescent="0.25">
      <c r="A917" s="104" t="str">
        <f t="shared" si="14"/>
        <v>Tanzania2010NationalCommercialCondom</v>
      </c>
      <c r="B917" t="s">
        <v>152</v>
      </c>
      <c r="C917">
        <v>2010</v>
      </c>
      <c r="D917" t="s">
        <v>178</v>
      </c>
      <c r="E917" t="s">
        <v>59</v>
      </c>
      <c r="F917" t="s">
        <v>25</v>
      </c>
      <c r="G917">
        <v>3.6080000000000001E-3</v>
      </c>
      <c r="H917">
        <v>2.05434E-2</v>
      </c>
      <c r="I917">
        <v>3.3702900000000001E-2</v>
      </c>
    </row>
    <row r="918" spans="1:9" x14ac:dyDescent="0.25">
      <c r="A918" s="104" t="str">
        <f t="shared" si="14"/>
        <v>Tanzania2010NationalOtherCondom</v>
      </c>
      <c r="B918" t="s">
        <v>152</v>
      </c>
      <c r="C918">
        <v>2010</v>
      </c>
      <c r="D918" t="s">
        <v>178</v>
      </c>
      <c r="E918" t="s">
        <v>116</v>
      </c>
      <c r="F918" t="s">
        <v>25</v>
      </c>
      <c r="G918">
        <v>1.6873999999999999E-3</v>
      </c>
      <c r="H918">
        <v>2.5393E-3</v>
      </c>
      <c r="I918">
        <v>1.2095E-2</v>
      </c>
    </row>
    <row r="919" spans="1:9" x14ac:dyDescent="0.25">
      <c r="A919" s="104" t="str">
        <f t="shared" si="14"/>
        <v>Tanzania2010UrbanPub_MedCondom</v>
      </c>
      <c r="B919" t="s">
        <v>152</v>
      </c>
      <c r="C919">
        <v>2010</v>
      </c>
      <c r="D919" t="s">
        <v>20</v>
      </c>
      <c r="E919" t="s">
        <v>52</v>
      </c>
      <c r="F919" t="s">
        <v>25</v>
      </c>
      <c r="G919">
        <v>1.7362E-3</v>
      </c>
      <c r="H919">
        <v>4.9302E-3</v>
      </c>
      <c r="I919">
        <v>3.2188999999999998E-3</v>
      </c>
    </row>
    <row r="920" spans="1:9" x14ac:dyDescent="0.25">
      <c r="A920" s="104" t="str">
        <f t="shared" si="14"/>
        <v>Tanzania2010UrbanPub_OutreachCondom</v>
      </c>
      <c r="B920" t="s">
        <v>152</v>
      </c>
      <c r="C920">
        <v>2010</v>
      </c>
      <c r="D920" t="s">
        <v>20</v>
      </c>
      <c r="E920" t="s">
        <v>54</v>
      </c>
      <c r="F920" t="s">
        <v>25</v>
      </c>
      <c r="H920">
        <v>3.2694E-3</v>
      </c>
      <c r="I920">
        <v>4.2659999999999998E-3</v>
      </c>
    </row>
    <row r="921" spans="1:9" x14ac:dyDescent="0.25">
      <c r="A921" s="104" t="str">
        <f t="shared" si="14"/>
        <v>Tanzania2010UrbanNGOCondom</v>
      </c>
      <c r="B921" t="s">
        <v>152</v>
      </c>
      <c r="C921">
        <v>2010</v>
      </c>
      <c r="D921" t="s">
        <v>20</v>
      </c>
      <c r="E921" t="s">
        <v>170</v>
      </c>
      <c r="F921" t="s">
        <v>25</v>
      </c>
      <c r="G921">
        <v>2.9033400000000001E-2</v>
      </c>
      <c r="H921">
        <v>2.3743199999999999E-2</v>
      </c>
      <c r="I921">
        <v>3.0873100000000001E-2</v>
      </c>
    </row>
    <row r="922" spans="1:9" x14ac:dyDescent="0.25">
      <c r="A922" s="104" t="str">
        <f t="shared" si="14"/>
        <v>Tanzania2010UrbanCommercialCondom</v>
      </c>
      <c r="B922" t="s">
        <v>152</v>
      </c>
      <c r="C922">
        <v>2010</v>
      </c>
      <c r="D922" t="s">
        <v>20</v>
      </c>
      <c r="E922" t="s">
        <v>59</v>
      </c>
      <c r="F922" t="s">
        <v>25</v>
      </c>
      <c r="G922">
        <v>1.1587E-2</v>
      </c>
      <c r="H922">
        <v>2.4236000000000001E-2</v>
      </c>
      <c r="I922">
        <v>3.3819700000000001E-2</v>
      </c>
    </row>
    <row r="923" spans="1:9" x14ac:dyDescent="0.25">
      <c r="A923" s="104" t="str">
        <f t="shared" si="14"/>
        <v>Tanzania2010UrbanOtherCondom</v>
      </c>
      <c r="B923" t="s">
        <v>152</v>
      </c>
      <c r="C923">
        <v>2010</v>
      </c>
      <c r="D923" t="s">
        <v>20</v>
      </c>
      <c r="E923" t="s">
        <v>116</v>
      </c>
      <c r="F923" t="s">
        <v>25</v>
      </c>
      <c r="H923">
        <v>3.6094999999999999E-3</v>
      </c>
      <c r="I923">
        <v>1.2996199999999999E-2</v>
      </c>
    </row>
    <row r="924" spans="1:9" x14ac:dyDescent="0.25">
      <c r="A924" s="104" t="str">
        <f t="shared" si="14"/>
        <v>Tanzania2010RuralPub_MedCondom</v>
      </c>
      <c r="B924" t="s">
        <v>152</v>
      </c>
      <c r="C924">
        <v>2010</v>
      </c>
      <c r="D924" t="s">
        <v>21</v>
      </c>
      <c r="E924" t="s">
        <v>52</v>
      </c>
      <c r="F924" t="s">
        <v>25</v>
      </c>
      <c r="G924">
        <v>2.4605E-3</v>
      </c>
      <c r="H924">
        <v>2.8570000000000001E-4</v>
      </c>
    </row>
    <row r="925" spans="1:9" x14ac:dyDescent="0.25">
      <c r="A925" s="104" t="str">
        <f t="shared" si="14"/>
        <v>Tanzania2010RuralPub_OutreachCondom</v>
      </c>
      <c r="B925" t="s">
        <v>152</v>
      </c>
      <c r="C925">
        <v>2010</v>
      </c>
      <c r="D925" t="s">
        <v>21</v>
      </c>
      <c r="E925" t="s">
        <v>54</v>
      </c>
      <c r="F925" t="s">
        <v>25</v>
      </c>
      <c r="G925">
        <v>5.0756999999999998E-3</v>
      </c>
      <c r="H925">
        <v>7.0178999999999997E-3</v>
      </c>
    </row>
    <row r="926" spans="1:9" x14ac:dyDescent="0.25">
      <c r="A926" s="104" t="str">
        <f t="shared" si="14"/>
        <v>Tanzania2010RuralNGOCondom</v>
      </c>
      <c r="B926" t="s">
        <v>152</v>
      </c>
      <c r="C926">
        <v>2010</v>
      </c>
      <c r="D926" t="s">
        <v>21</v>
      </c>
      <c r="E926" t="s">
        <v>170</v>
      </c>
      <c r="F926" t="s">
        <v>25</v>
      </c>
      <c r="G926">
        <v>1.78263E-2</v>
      </c>
      <c r="H926">
        <v>6.7102300000000004E-2</v>
      </c>
    </row>
    <row r="927" spans="1:9" x14ac:dyDescent="0.25">
      <c r="A927" s="104" t="str">
        <f t="shared" si="14"/>
        <v>Tanzania2010RuralCommercialCondom</v>
      </c>
      <c r="B927" t="s">
        <v>152</v>
      </c>
      <c r="C927">
        <v>2010</v>
      </c>
      <c r="D927" t="s">
        <v>21</v>
      </c>
      <c r="E927" t="s">
        <v>59</v>
      </c>
      <c r="F927" t="s">
        <v>25</v>
      </c>
      <c r="G927">
        <v>2.7198999999999999E-3</v>
      </c>
      <c r="H927">
        <v>1.17821E-2</v>
      </c>
      <c r="I927">
        <v>3.2134799999999998E-2</v>
      </c>
    </row>
    <row r="928" spans="1:9" x14ac:dyDescent="0.25">
      <c r="A928" s="104" t="str">
        <f t="shared" si="14"/>
        <v>Tanzania2010RuralOtherCondom</v>
      </c>
      <c r="B928" t="s">
        <v>152</v>
      </c>
      <c r="C928">
        <v>2010</v>
      </c>
      <c r="D928" t="s">
        <v>21</v>
      </c>
      <c r="E928" t="s">
        <v>116</v>
      </c>
      <c r="F928" t="s">
        <v>25</v>
      </c>
      <c r="G928">
        <v>1.8753000000000001E-3</v>
      </c>
    </row>
    <row r="929" spans="1:9" x14ac:dyDescent="0.25">
      <c r="A929" s="104" t="str">
        <f t="shared" si="14"/>
        <v>Tanzania2010NationalNorplant</v>
      </c>
      <c r="B929" t="s">
        <v>152</v>
      </c>
      <c r="C929">
        <v>2010</v>
      </c>
      <c r="D929" t="s">
        <v>178</v>
      </c>
      <c r="F929" t="s">
        <v>263</v>
      </c>
      <c r="G929">
        <v>1.7268100000000002E-2</v>
      </c>
      <c r="H929">
        <v>1.9954300000000001E-2</v>
      </c>
      <c r="I929">
        <v>2.1403999999999999E-2</v>
      </c>
    </row>
    <row r="930" spans="1:9" x14ac:dyDescent="0.25">
      <c r="A930" s="104" t="str">
        <f t="shared" si="14"/>
        <v>Tanzania2010UrbanNorplant</v>
      </c>
      <c r="B930" t="s">
        <v>152</v>
      </c>
      <c r="C930">
        <v>2010</v>
      </c>
      <c r="D930" t="s">
        <v>20</v>
      </c>
      <c r="F930" t="s">
        <v>263</v>
      </c>
      <c r="G930">
        <v>1.99779E-2</v>
      </c>
      <c r="H930">
        <v>1.7988199999999999E-2</v>
      </c>
      <c r="I930">
        <v>2.2935899999999999E-2</v>
      </c>
    </row>
    <row r="931" spans="1:9" x14ac:dyDescent="0.25">
      <c r="A931" s="104" t="str">
        <f t="shared" si="14"/>
        <v>Tanzania2010RuralNorplant</v>
      </c>
      <c r="B931" t="s">
        <v>152</v>
      </c>
      <c r="C931">
        <v>2010</v>
      </c>
      <c r="D931" t="s">
        <v>21</v>
      </c>
      <c r="F931" t="s">
        <v>263</v>
      </c>
      <c r="G931">
        <v>1.69664E-2</v>
      </c>
      <c r="H931">
        <v>2.46193E-2</v>
      </c>
      <c r="I931">
        <v>8.4639999999999997E-4</v>
      </c>
    </row>
    <row r="932" spans="1:9" x14ac:dyDescent="0.25">
      <c r="A932" s="104" t="str">
        <f t="shared" si="14"/>
        <v>Tanzania2015.5NationalPub_MedPill</v>
      </c>
      <c r="B932" t="s">
        <v>152</v>
      </c>
      <c r="C932">
        <v>2015.5</v>
      </c>
      <c r="D932" t="s">
        <v>178</v>
      </c>
      <c r="E932" t="s">
        <v>52</v>
      </c>
      <c r="F932" t="s">
        <v>12</v>
      </c>
      <c r="G932">
        <v>6.0382999999999999E-3</v>
      </c>
      <c r="H932">
        <v>9.6904000000000001E-3</v>
      </c>
      <c r="I932">
        <v>6.6157000000000004E-3</v>
      </c>
    </row>
    <row r="933" spans="1:9" x14ac:dyDescent="0.25">
      <c r="A933" s="104" t="str">
        <f t="shared" si="14"/>
        <v>Tanzania2015.5NationalPub_OutreachPill</v>
      </c>
      <c r="B933" t="s">
        <v>152</v>
      </c>
      <c r="C933">
        <v>2015.5</v>
      </c>
      <c r="D933" t="s">
        <v>178</v>
      </c>
      <c r="E933" t="s">
        <v>54</v>
      </c>
      <c r="F933" t="s">
        <v>12</v>
      </c>
      <c r="G933">
        <v>1.9468699999999999E-2</v>
      </c>
      <c r="H933">
        <v>4.5450000000000004E-3</v>
      </c>
      <c r="I933">
        <v>2.1787999999999998E-3</v>
      </c>
    </row>
    <row r="934" spans="1:9" x14ac:dyDescent="0.25">
      <c r="A934" s="104" t="str">
        <f t="shared" si="14"/>
        <v>Tanzania2015.5NationalNGOPill</v>
      </c>
      <c r="B934" t="s">
        <v>152</v>
      </c>
      <c r="C934">
        <v>2015.5</v>
      </c>
      <c r="D934" t="s">
        <v>178</v>
      </c>
      <c r="E934" t="s">
        <v>170</v>
      </c>
      <c r="F934" t="s">
        <v>12</v>
      </c>
      <c r="G934">
        <v>1.4911E-3</v>
      </c>
      <c r="H934">
        <v>4.6436000000000003E-3</v>
      </c>
      <c r="I934">
        <v>4.9410000000000003E-4</v>
      </c>
    </row>
    <row r="935" spans="1:9" x14ac:dyDescent="0.25">
      <c r="A935" s="104" t="str">
        <f t="shared" si="14"/>
        <v>Tanzania2015.5NationalCommercialPill</v>
      </c>
      <c r="B935" t="s">
        <v>152</v>
      </c>
      <c r="C935">
        <v>2015.5</v>
      </c>
      <c r="D935" t="s">
        <v>178</v>
      </c>
      <c r="E935" t="s">
        <v>59</v>
      </c>
      <c r="F935" t="s">
        <v>12</v>
      </c>
      <c r="G935">
        <v>1.13416E-2</v>
      </c>
      <c r="H935">
        <v>3.1243300000000002E-2</v>
      </c>
      <c r="I935">
        <v>2.6834400000000001E-2</v>
      </c>
    </row>
    <row r="936" spans="1:9" x14ac:dyDescent="0.25">
      <c r="A936" s="104" t="str">
        <f t="shared" si="14"/>
        <v>Tanzania2015.5NationalNonTradPill</v>
      </c>
      <c r="B936" t="s">
        <v>152</v>
      </c>
      <c r="C936">
        <v>2015.5</v>
      </c>
      <c r="D936" t="s">
        <v>178</v>
      </c>
      <c r="E936" t="s">
        <v>171</v>
      </c>
      <c r="F936" t="s">
        <v>12</v>
      </c>
      <c r="G936">
        <v>9.2860000000000002E-4</v>
      </c>
    </row>
    <row r="937" spans="1:9" x14ac:dyDescent="0.25">
      <c r="A937" s="104" t="str">
        <f t="shared" si="14"/>
        <v>Tanzania2015.5NationalOtherPill</v>
      </c>
      <c r="B937" t="s">
        <v>152</v>
      </c>
      <c r="C937">
        <v>2015.5</v>
      </c>
      <c r="D937" t="s">
        <v>178</v>
      </c>
      <c r="E937" t="s">
        <v>116</v>
      </c>
      <c r="F937" t="s">
        <v>12</v>
      </c>
      <c r="G937">
        <v>2.276E-4</v>
      </c>
    </row>
    <row r="938" spans="1:9" x14ac:dyDescent="0.25">
      <c r="A938" s="104" t="str">
        <f t="shared" si="14"/>
        <v>Tanzania2015.5NationalPill</v>
      </c>
      <c r="B938" t="s">
        <v>152</v>
      </c>
      <c r="C938">
        <v>2015.5</v>
      </c>
      <c r="D938" t="s">
        <v>178</v>
      </c>
      <c r="F938" t="s">
        <v>12</v>
      </c>
      <c r="H938">
        <v>1.6666000000000001E-3</v>
      </c>
    </row>
    <row r="939" spans="1:9" x14ac:dyDescent="0.25">
      <c r="A939" s="104" t="str">
        <f t="shared" si="14"/>
        <v>Tanzania2015.5UrbanPub_MedPill</v>
      </c>
      <c r="B939" t="s">
        <v>152</v>
      </c>
      <c r="C939">
        <v>2015.5</v>
      </c>
      <c r="D939" t="s">
        <v>20</v>
      </c>
      <c r="E939" t="s">
        <v>52</v>
      </c>
      <c r="F939" t="s">
        <v>12</v>
      </c>
      <c r="G939">
        <v>1.4020299999999999E-2</v>
      </c>
      <c r="H939">
        <v>1.0500900000000001E-2</v>
      </c>
      <c r="I939">
        <v>5.6798999999999999E-3</v>
      </c>
    </row>
    <row r="940" spans="1:9" x14ac:dyDescent="0.25">
      <c r="A940" s="104" t="str">
        <f t="shared" si="14"/>
        <v>Tanzania2015.5UrbanPub_OutreachPill</v>
      </c>
      <c r="B940" t="s">
        <v>152</v>
      </c>
      <c r="C940">
        <v>2015.5</v>
      </c>
      <c r="D940" t="s">
        <v>20</v>
      </c>
      <c r="E940" t="s">
        <v>54</v>
      </c>
      <c r="F940" t="s">
        <v>12</v>
      </c>
      <c r="G940">
        <v>7.8968000000000007E-3</v>
      </c>
      <c r="H940">
        <v>2.7261999999999998E-3</v>
      </c>
      <c r="I940">
        <v>2.3976000000000002E-3</v>
      </c>
    </row>
    <row r="941" spans="1:9" x14ac:dyDescent="0.25">
      <c r="A941" s="104" t="str">
        <f t="shared" si="14"/>
        <v>Tanzania2015.5UrbanNGOPill</v>
      </c>
      <c r="B941" t="s">
        <v>152</v>
      </c>
      <c r="C941">
        <v>2015.5</v>
      </c>
      <c r="D941" t="s">
        <v>20</v>
      </c>
      <c r="E941" t="s">
        <v>170</v>
      </c>
      <c r="F941" t="s">
        <v>12</v>
      </c>
      <c r="G941">
        <v>1.5896E-3</v>
      </c>
      <c r="H941">
        <v>3.9832000000000001E-3</v>
      </c>
      <c r="I941">
        <v>3.4709999999999998E-4</v>
      </c>
    </row>
    <row r="942" spans="1:9" x14ac:dyDescent="0.25">
      <c r="A942" s="104" t="str">
        <f t="shared" si="14"/>
        <v>Tanzania2015.5UrbanCommercialPill</v>
      </c>
      <c r="B942" t="s">
        <v>152</v>
      </c>
      <c r="C942">
        <v>2015.5</v>
      </c>
      <c r="D942" t="s">
        <v>20</v>
      </c>
      <c r="E942" t="s">
        <v>59</v>
      </c>
      <c r="F942" t="s">
        <v>12</v>
      </c>
      <c r="G942">
        <v>2.2534800000000001E-2</v>
      </c>
      <c r="H942">
        <v>3.4064999999999998E-2</v>
      </c>
      <c r="I942">
        <v>2.8624299999999998E-2</v>
      </c>
    </row>
    <row r="943" spans="1:9" x14ac:dyDescent="0.25">
      <c r="A943" s="104" t="str">
        <f t="shared" si="14"/>
        <v>Tanzania2015.5UrbanOtherPill</v>
      </c>
      <c r="B943" t="s">
        <v>152</v>
      </c>
      <c r="C943">
        <v>2015.5</v>
      </c>
      <c r="D943" t="s">
        <v>20</v>
      </c>
      <c r="E943" t="s">
        <v>116</v>
      </c>
      <c r="F943" t="s">
        <v>12</v>
      </c>
      <c r="G943">
        <v>6.4199999999999999E-4</v>
      </c>
    </row>
    <row r="944" spans="1:9" x14ac:dyDescent="0.25">
      <c r="A944" s="104" t="str">
        <f t="shared" si="14"/>
        <v>Tanzania2015.5UrbanPill</v>
      </c>
      <c r="B944" t="s">
        <v>152</v>
      </c>
      <c r="C944">
        <v>2015.5</v>
      </c>
      <c r="D944" t="s">
        <v>20</v>
      </c>
      <c r="F944" t="s">
        <v>12</v>
      </c>
      <c r="H944">
        <v>2.013E-3</v>
      </c>
    </row>
    <row r="945" spans="1:9" x14ac:dyDescent="0.25">
      <c r="A945" s="104" t="str">
        <f t="shared" si="14"/>
        <v>Tanzania2015.5RuralPub_MedPill</v>
      </c>
      <c r="B945" t="s">
        <v>152</v>
      </c>
      <c r="C945">
        <v>2015.5</v>
      </c>
      <c r="D945" t="s">
        <v>21</v>
      </c>
      <c r="E945" t="s">
        <v>52</v>
      </c>
      <c r="F945" t="s">
        <v>12</v>
      </c>
      <c r="G945">
        <v>4.4304000000000001E-3</v>
      </c>
      <c r="H945">
        <v>5.7898000000000003E-3</v>
      </c>
      <c r="I945">
        <v>1.5932200000000001E-2</v>
      </c>
    </row>
    <row r="946" spans="1:9" x14ac:dyDescent="0.25">
      <c r="A946" s="104" t="str">
        <f t="shared" si="14"/>
        <v>Tanzania2015.5RuralPub_OutreachPill</v>
      </c>
      <c r="B946" t="s">
        <v>152</v>
      </c>
      <c r="C946">
        <v>2015.5</v>
      </c>
      <c r="D946" t="s">
        <v>21</v>
      </c>
      <c r="E946" t="s">
        <v>54</v>
      </c>
      <c r="F946" t="s">
        <v>12</v>
      </c>
      <c r="G946">
        <v>2.1799800000000001E-2</v>
      </c>
      <c r="H946">
        <v>1.32981E-2</v>
      </c>
    </row>
    <row r="947" spans="1:9" x14ac:dyDescent="0.25">
      <c r="A947" s="104" t="str">
        <f t="shared" si="14"/>
        <v>Tanzania2015.5RuralNGOPill</v>
      </c>
      <c r="B947" t="s">
        <v>152</v>
      </c>
      <c r="C947">
        <v>2015.5</v>
      </c>
      <c r="D947" t="s">
        <v>21</v>
      </c>
      <c r="E947" t="s">
        <v>170</v>
      </c>
      <c r="F947" t="s">
        <v>12</v>
      </c>
      <c r="G947">
        <v>1.4713E-3</v>
      </c>
      <c r="H947">
        <v>7.8218999999999997E-3</v>
      </c>
      <c r="I947">
        <v>1.9578999999999998E-3</v>
      </c>
    </row>
    <row r="948" spans="1:9" x14ac:dyDescent="0.25">
      <c r="A948" s="104" t="str">
        <f t="shared" si="14"/>
        <v>Tanzania2015.5RuralCommercialPill</v>
      </c>
      <c r="B948" t="s">
        <v>152</v>
      </c>
      <c r="C948">
        <v>2015.5</v>
      </c>
      <c r="D948" t="s">
        <v>21</v>
      </c>
      <c r="E948" t="s">
        <v>59</v>
      </c>
      <c r="F948" t="s">
        <v>12</v>
      </c>
      <c r="G948">
        <v>9.0866999999999996E-3</v>
      </c>
      <c r="H948">
        <v>1.7664099999999999E-2</v>
      </c>
      <c r="I948">
        <v>9.0157999999999992E-3</v>
      </c>
    </row>
    <row r="949" spans="1:9" x14ac:dyDescent="0.25">
      <c r="A949" s="104" t="str">
        <f t="shared" si="14"/>
        <v>Tanzania2015.5RuralNonTradPill</v>
      </c>
      <c r="B949" t="s">
        <v>152</v>
      </c>
      <c r="C949">
        <v>2015.5</v>
      </c>
      <c r="D949" t="s">
        <v>21</v>
      </c>
      <c r="E949" t="s">
        <v>171</v>
      </c>
      <c r="F949" t="s">
        <v>12</v>
      </c>
      <c r="G949">
        <v>1.1157000000000001E-3</v>
      </c>
    </row>
    <row r="950" spans="1:9" x14ac:dyDescent="0.25">
      <c r="A950" s="104" t="str">
        <f t="shared" si="14"/>
        <v>Tanzania2015.5RuralOtherPill</v>
      </c>
      <c r="B950" t="s">
        <v>152</v>
      </c>
      <c r="C950">
        <v>2015.5</v>
      </c>
      <c r="D950" t="s">
        <v>21</v>
      </c>
      <c r="E950" t="s">
        <v>116</v>
      </c>
      <c r="F950" t="s">
        <v>12</v>
      </c>
      <c r="G950">
        <v>1.4410000000000001E-4</v>
      </c>
    </row>
    <row r="951" spans="1:9" x14ac:dyDescent="0.25">
      <c r="A951" s="104" t="str">
        <f t="shared" si="14"/>
        <v>Tanzania2015.5NationalPub_MedIUD</v>
      </c>
      <c r="B951" t="s">
        <v>152</v>
      </c>
      <c r="C951">
        <v>2015.5</v>
      </c>
      <c r="D951" t="s">
        <v>178</v>
      </c>
      <c r="E951" t="s">
        <v>52</v>
      </c>
      <c r="F951" t="s">
        <v>16</v>
      </c>
      <c r="G951">
        <v>3.1643999999999999E-3</v>
      </c>
      <c r="H951">
        <v>1.954E-3</v>
      </c>
      <c r="I951">
        <v>1.8002999999999999E-3</v>
      </c>
    </row>
    <row r="952" spans="1:9" x14ac:dyDescent="0.25">
      <c r="A952" s="104" t="str">
        <f t="shared" si="14"/>
        <v>Tanzania2015.5NationalPub_OutreachIUD</v>
      </c>
      <c r="B952" t="s">
        <v>152</v>
      </c>
      <c r="C952">
        <v>2015.5</v>
      </c>
      <c r="D952" t="s">
        <v>178</v>
      </c>
      <c r="E952" t="s">
        <v>54</v>
      </c>
      <c r="F952" t="s">
        <v>16</v>
      </c>
      <c r="G952">
        <v>2.1269000000000001E-3</v>
      </c>
      <c r="H952">
        <v>1.4714000000000001E-3</v>
      </c>
    </row>
    <row r="953" spans="1:9" x14ac:dyDescent="0.25">
      <c r="A953" s="104" t="str">
        <f t="shared" si="14"/>
        <v>Tanzania2015.5NationalNGOIUD</v>
      </c>
      <c r="B953" t="s">
        <v>152</v>
      </c>
      <c r="C953">
        <v>2015.5</v>
      </c>
      <c r="D953" t="s">
        <v>178</v>
      </c>
      <c r="E953" t="s">
        <v>170</v>
      </c>
      <c r="F953" t="s">
        <v>16</v>
      </c>
      <c r="G953">
        <v>1.4617E-3</v>
      </c>
      <c r="H953">
        <v>1.0319999999999999E-3</v>
      </c>
      <c r="I953">
        <v>1.4543E-3</v>
      </c>
    </row>
    <row r="954" spans="1:9" x14ac:dyDescent="0.25">
      <c r="A954" s="104" t="str">
        <f t="shared" si="14"/>
        <v>Tanzania2015.5NationalCommercialIUD</v>
      </c>
      <c r="B954" t="s">
        <v>152</v>
      </c>
      <c r="C954">
        <v>2015.5</v>
      </c>
      <c r="D954" t="s">
        <v>178</v>
      </c>
      <c r="E954" t="s">
        <v>59</v>
      </c>
      <c r="F954" t="s">
        <v>16</v>
      </c>
      <c r="G954">
        <v>4.4799999999999999E-4</v>
      </c>
      <c r="H954">
        <v>1.2015999999999999E-3</v>
      </c>
      <c r="I954">
        <v>2.2561999999999999E-3</v>
      </c>
    </row>
    <row r="955" spans="1:9" x14ac:dyDescent="0.25">
      <c r="A955" s="104" t="str">
        <f t="shared" si="14"/>
        <v>Tanzania2015.5NationalOtherIUD</v>
      </c>
      <c r="B955" t="s">
        <v>152</v>
      </c>
      <c r="C955">
        <v>2015.5</v>
      </c>
      <c r="D955" t="s">
        <v>178</v>
      </c>
      <c r="E955" t="s">
        <v>116</v>
      </c>
      <c r="F955" t="s">
        <v>16</v>
      </c>
      <c r="G955">
        <v>1.0560000000000001E-4</v>
      </c>
    </row>
    <row r="956" spans="1:9" x14ac:dyDescent="0.25">
      <c r="A956" s="104" t="str">
        <f t="shared" si="14"/>
        <v>Tanzania2015.5UrbanPub_MedIUD</v>
      </c>
      <c r="B956" t="s">
        <v>152</v>
      </c>
      <c r="C956">
        <v>2015.5</v>
      </c>
      <c r="D956" t="s">
        <v>20</v>
      </c>
      <c r="E956" t="s">
        <v>52</v>
      </c>
      <c r="F956" t="s">
        <v>16</v>
      </c>
      <c r="G956">
        <v>2.6053000000000001E-3</v>
      </c>
      <c r="H956">
        <v>1.3261E-3</v>
      </c>
      <c r="I956">
        <v>4.5120000000000002E-4</v>
      </c>
    </row>
    <row r="957" spans="1:9" x14ac:dyDescent="0.25">
      <c r="A957" s="104" t="str">
        <f t="shared" si="14"/>
        <v>Tanzania2015.5UrbanPub_OutreachIUD</v>
      </c>
      <c r="B957" t="s">
        <v>152</v>
      </c>
      <c r="C957">
        <v>2015.5</v>
      </c>
      <c r="D957" t="s">
        <v>20</v>
      </c>
      <c r="E957" t="s">
        <v>54</v>
      </c>
      <c r="F957" t="s">
        <v>16</v>
      </c>
      <c r="G957">
        <v>2.8532000000000002E-3</v>
      </c>
      <c r="H957">
        <v>1.4744000000000001E-3</v>
      </c>
    </row>
    <row r="958" spans="1:9" x14ac:dyDescent="0.25">
      <c r="A958" s="104" t="str">
        <f t="shared" si="14"/>
        <v>Tanzania2015.5UrbanNGOIUD</v>
      </c>
      <c r="B958" t="s">
        <v>152</v>
      </c>
      <c r="C958">
        <v>2015.5</v>
      </c>
      <c r="D958" t="s">
        <v>20</v>
      </c>
      <c r="E958" t="s">
        <v>170</v>
      </c>
      <c r="F958" t="s">
        <v>16</v>
      </c>
      <c r="G958">
        <v>7.293E-4</v>
      </c>
      <c r="H958">
        <v>1.2463999999999999E-3</v>
      </c>
    </row>
    <row r="959" spans="1:9" x14ac:dyDescent="0.25">
      <c r="A959" s="104" t="str">
        <f t="shared" si="14"/>
        <v>Tanzania2015.5UrbanCommercialIUD</v>
      </c>
      <c r="B959" t="s">
        <v>152</v>
      </c>
      <c r="C959">
        <v>2015.5</v>
      </c>
      <c r="D959" t="s">
        <v>20</v>
      </c>
      <c r="E959" t="s">
        <v>59</v>
      </c>
      <c r="F959" t="s">
        <v>16</v>
      </c>
      <c r="G959">
        <v>1.2310000000000001E-3</v>
      </c>
      <c r="H959">
        <v>1.4513E-3</v>
      </c>
      <c r="I959">
        <v>2.4829000000000001E-3</v>
      </c>
    </row>
    <row r="960" spans="1:9" x14ac:dyDescent="0.25">
      <c r="A960" s="104" t="str">
        <f t="shared" si="14"/>
        <v>Tanzania2015.5RuralPub_MedIUD</v>
      </c>
      <c r="B960" t="s">
        <v>152</v>
      </c>
      <c r="C960">
        <v>2015.5</v>
      </c>
      <c r="D960" t="s">
        <v>21</v>
      </c>
      <c r="E960" t="s">
        <v>52</v>
      </c>
      <c r="F960" t="s">
        <v>16</v>
      </c>
      <c r="G960">
        <v>3.277E-3</v>
      </c>
      <c r="H960">
        <v>4.9757999999999998E-3</v>
      </c>
      <c r="I960">
        <v>1.52304E-2</v>
      </c>
    </row>
    <row r="961" spans="1:9" x14ac:dyDescent="0.25">
      <c r="A961" s="104" t="str">
        <f t="shared" si="14"/>
        <v>Tanzania2015.5RuralPub_OutreachIUD</v>
      </c>
      <c r="B961" t="s">
        <v>152</v>
      </c>
      <c r="C961">
        <v>2015.5</v>
      </c>
      <c r="D961" t="s">
        <v>21</v>
      </c>
      <c r="E961" t="s">
        <v>54</v>
      </c>
      <c r="F961" t="s">
        <v>16</v>
      </c>
      <c r="G961">
        <v>1.9805999999999999E-3</v>
      </c>
      <c r="H961">
        <v>1.4568000000000001E-3</v>
      </c>
    </row>
    <row r="962" spans="1:9" x14ac:dyDescent="0.25">
      <c r="A962" s="104" t="str">
        <f t="shared" si="14"/>
        <v>Tanzania2015.5RuralNGOIUD</v>
      </c>
      <c r="B962" t="s">
        <v>152</v>
      </c>
      <c r="C962">
        <v>2015.5</v>
      </c>
      <c r="D962" t="s">
        <v>21</v>
      </c>
      <c r="E962" t="s">
        <v>170</v>
      </c>
      <c r="F962" t="s">
        <v>16</v>
      </c>
      <c r="G962">
        <v>1.6092000000000001E-3</v>
      </c>
      <c r="I962">
        <v>1.5932200000000001E-2</v>
      </c>
    </row>
    <row r="963" spans="1:9" x14ac:dyDescent="0.25">
      <c r="A963" s="104" t="str">
        <f t="shared" ref="A963:A1026" si="15">B963&amp;C963&amp;D963&amp;E963&amp;F963</f>
        <v>Tanzania2015.5RuralCommercialIUD</v>
      </c>
      <c r="B963" t="s">
        <v>152</v>
      </c>
      <c r="C963">
        <v>2015.5</v>
      </c>
      <c r="D963" t="s">
        <v>21</v>
      </c>
      <c r="E963" t="s">
        <v>59</v>
      </c>
      <c r="F963" t="s">
        <v>16</v>
      </c>
      <c r="G963">
        <v>2.9020000000000001E-4</v>
      </c>
    </row>
    <row r="964" spans="1:9" x14ac:dyDescent="0.25">
      <c r="A964" s="104" t="str">
        <f t="shared" si="15"/>
        <v>Tanzania2015.5RuralOtherIUD</v>
      </c>
      <c r="B964" t="s">
        <v>152</v>
      </c>
      <c r="C964">
        <v>2015.5</v>
      </c>
      <c r="D964" t="s">
        <v>21</v>
      </c>
      <c r="E964" t="s">
        <v>116</v>
      </c>
      <c r="F964" t="s">
        <v>16</v>
      </c>
      <c r="G964">
        <v>1.2689999999999999E-4</v>
      </c>
    </row>
    <row r="965" spans="1:9" x14ac:dyDescent="0.25">
      <c r="A965" s="104" t="str">
        <f t="shared" si="15"/>
        <v>Tanzania2015.5NationalPub_MedInjectable</v>
      </c>
      <c r="B965" t="s">
        <v>152</v>
      </c>
      <c r="C965">
        <v>2015.5</v>
      </c>
      <c r="D965" t="s">
        <v>178</v>
      </c>
      <c r="E965" t="s">
        <v>52</v>
      </c>
      <c r="F965" t="s">
        <v>22</v>
      </c>
      <c r="G965">
        <v>2.0233500000000001E-2</v>
      </c>
      <c r="H965">
        <v>3.1315599999999999E-2</v>
      </c>
      <c r="I965">
        <v>1.38628E-2</v>
      </c>
    </row>
    <row r="966" spans="1:9" x14ac:dyDescent="0.25">
      <c r="A966" s="104" t="str">
        <f t="shared" si="15"/>
        <v>Tanzania2015.5NationalPub_OutreachInjectable</v>
      </c>
      <c r="B966" t="s">
        <v>152</v>
      </c>
      <c r="C966">
        <v>2015.5</v>
      </c>
      <c r="D966" t="s">
        <v>178</v>
      </c>
      <c r="E966" t="s">
        <v>54</v>
      </c>
      <c r="F966" t="s">
        <v>22</v>
      </c>
      <c r="G966">
        <v>5.6587400000000003E-2</v>
      </c>
      <c r="H966">
        <v>1.82878E-2</v>
      </c>
      <c r="I966">
        <v>6.4443E-3</v>
      </c>
    </row>
    <row r="967" spans="1:9" x14ac:dyDescent="0.25">
      <c r="A967" s="104" t="str">
        <f t="shared" si="15"/>
        <v>Tanzania2015.5NationalNGOInjectable</v>
      </c>
      <c r="B967" t="s">
        <v>152</v>
      </c>
      <c r="C967">
        <v>2015.5</v>
      </c>
      <c r="D967" t="s">
        <v>178</v>
      </c>
      <c r="E967" t="s">
        <v>170</v>
      </c>
      <c r="F967" t="s">
        <v>22</v>
      </c>
      <c r="G967">
        <v>6.2506000000000003E-3</v>
      </c>
      <c r="H967">
        <v>9.2472000000000006E-3</v>
      </c>
      <c r="I967">
        <v>1.8408999999999999E-3</v>
      </c>
    </row>
    <row r="968" spans="1:9" x14ac:dyDescent="0.25">
      <c r="A968" s="104" t="str">
        <f t="shared" si="15"/>
        <v>Tanzania2015.5NationalCommercialInjectable</v>
      </c>
      <c r="B968" t="s">
        <v>152</v>
      </c>
      <c r="C968">
        <v>2015.5</v>
      </c>
      <c r="D968" t="s">
        <v>178</v>
      </c>
      <c r="E968" t="s">
        <v>59</v>
      </c>
      <c r="F968" t="s">
        <v>22</v>
      </c>
      <c r="G968">
        <v>2.47976E-2</v>
      </c>
      <c r="H968">
        <v>3.7512299999999998E-2</v>
      </c>
      <c r="I968">
        <v>1.20202E-2</v>
      </c>
    </row>
    <row r="969" spans="1:9" x14ac:dyDescent="0.25">
      <c r="A969" s="104" t="str">
        <f t="shared" si="15"/>
        <v>Tanzania2015.5NationalOtherInjectable</v>
      </c>
      <c r="B969" t="s">
        <v>152</v>
      </c>
      <c r="C969">
        <v>2015.5</v>
      </c>
      <c r="D969" t="s">
        <v>178</v>
      </c>
      <c r="E969" t="s">
        <v>116</v>
      </c>
      <c r="F969" t="s">
        <v>22</v>
      </c>
      <c r="G969">
        <v>1.0376999999999999E-3</v>
      </c>
      <c r="H969">
        <v>1.2206999999999999E-3</v>
      </c>
    </row>
    <row r="970" spans="1:9" x14ac:dyDescent="0.25">
      <c r="A970" s="104" t="str">
        <f t="shared" si="15"/>
        <v>Tanzania2015.5UrbanPub_MedInjectable</v>
      </c>
      <c r="B970" t="s">
        <v>152</v>
      </c>
      <c r="C970">
        <v>2015.5</v>
      </c>
      <c r="D970" t="s">
        <v>20</v>
      </c>
      <c r="E970" t="s">
        <v>52</v>
      </c>
      <c r="F970" t="s">
        <v>22</v>
      </c>
      <c r="G970">
        <v>4.4980300000000001E-2</v>
      </c>
      <c r="H970">
        <v>3.40624E-2</v>
      </c>
      <c r="I970">
        <v>1.2275599999999999E-2</v>
      </c>
    </row>
    <row r="971" spans="1:9" x14ac:dyDescent="0.25">
      <c r="A971" s="104" t="str">
        <f t="shared" si="15"/>
        <v>Tanzania2015.5UrbanPub_OutreachInjectable</v>
      </c>
      <c r="B971" t="s">
        <v>152</v>
      </c>
      <c r="C971">
        <v>2015.5</v>
      </c>
      <c r="D971" t="s">
        <v>20</v>
      </c>
      <c r="E971" t="s">
        <v>54</v>
      </c>
      <c r="F971" t="s">
        <v>22</v>
      </c>
      <c r="G971">
        <v>3.6703600000000003E-2</v>
      </c>
      <c r="H971">
        <v>1.61047E-2</v>
      </c>
      <c r="I971">
        <v>5.9950999999999997E-3</v>
      </c>
    </row>
    <row r="972" spans="1:9" x14ac:dyDescent="0.25">
      <c r="A972" s="104" t="str">
        <f t="shared" si="15"/>
        <v>Tanzania2015.5UrbanNGOInjectable</v>
      </c>
      <c r="B972" t="s">
        <v>152</v>
      </c>
      <c r="C972">
        <v>2015.5</v>
      </c>
      <c r="D972" t="s">
        <v>20</v>
      </c>
      <c r="E972" t="s">
        <v>170</v>
      </c>
      <c r="F972" t="s">
        <v>22</v>
      </c>
      <c r="G972">
        <v>6.1919999999999996E-3</v>
      </c>
      <c r="H972">
        <v>9.129E-3</v>
      </c>
      <c r="I972">
        <v>1.7144E-3</v>
      </c>
    </row>
    <row r="973" spans="1:9" x14ac:dyDescent="0.25">
      <c r="A973" s="104" t="str">
        <f t="shared" si="15"/>
        <v>Tanzania2015.5UrbanCommercialInjectable</v>
      </c>
      <c r="B973" t="s">
        <v>152</v>
      </c>
      <c r="C973">
        <v>2015.5</v>
      </c>
      <c r="D973" t="s">
        <v>20</v>
      </c>
      <c r="E973" t="s">
        <v>59</v>
      </c>
      <c r="F973" t="s">
        <v>22</v>
      </c>
      <c r="G973">
        <v>3.5753600000000003E-2</v>
      </c>
      <c r="H973">
        <v>4.2844800000000002E-2</v>
      </c>
      <c r="I973">
        <v>1.3227600000000001E-2</v>
      </c>
    </row>
    <row r="974" spans="1:9" x14ac:dyDescent="0.25">
      <c r="A974" s="104" t="str">
        <f t="shared" si="15"/>
        <v>Tanzania2015.5UrbanOtherInjectable</v>
      </c>
      <c r="B974" t="s">
        <v>152</v>
      </c>
      <c r="C974">
        <v>2015.5</v>
      </c>
      <c r="D974" t="s">
        <v>20</v>
      </c>
      <c r="E974" t="s">
        <v>116</v>
      </c>
      <c r="F974" t="s">
        <v>22</v>
      </c>
      <c r="G974">
        <v>3.525E-4</v>
      </c>
      <c r="H974">
        <v>1.4744000000000001E-3</v>
      </c>
    </row>
    <row r="975" spans="1:9" x14ac:dyDescent="0.25">
      <c r="A975" s="104" t="str">
        <f t="shared" si="15"/>
        <v>Tanzania2015.5RuralPub_MedInjectable</v>
      </c>
      <c r="B975" t="s">
        <v>152</v>
      </c>
      <c r="C975">
        <v>2015.5</v>
      </c>
      <c r="D975" t="s">
        <v>21</v>
      </c>
      <c r="E975" t="s">
        <v>52</v>
      </c>
      <c r="F975" t="s">
        <v>22</v>
      </c>
      <c r="G975">
        <v>1.52482E-2</v>
      </c>
      <c r="H975">
        <v>1.8096399999999999E-2</v>
      </c>
      <c r="I975">
        <v>2.9663800000000001E-2</v>
      </c>
    </row>
    <row r="976" spans="1:9" x14ac:dyDescent="0.25">
      <c r="A976" s="104" t="str">
        <f t="shared" si="15"/>
        <v>Tanzania2015.5RuralPub_OutreachInjectable</v>
      </c>
      <c r="B976" t="s">
        <v>152</v>
      </c>
      <c r="C976">
        <v>2015.5</v>
      </c>
      <c r="D976" t="s">
        <v>21</v>
      </c>
      <c r="E976" t="s">
        <v>54</v>
      </c>
      <c r="F976" t="s">
        <v>22</v>
      </c>
      <c r="G976">
        <v>6.0593000000000001E-2</v>
      </c>
      <c r="H976">
        <v>2.8794400000000001E-2</v>
      </c>
      <c r="I976">
        <v>1.09155E-2</v>
      </c>
    </row>
    <row r="977" spans="1:9" x14ac:dyDescent="0.25">
      <c r="A977" s="104" t="str">
        <f t="shared" si="15"/>
        <v>Tanzania2015.5RuralNGOInjectable</v>
      </c>
      <c r="B977" t="s">
        <v>152</v>
      </c>
      <c r="C977">
        <v>2015.5</v>
      </c>
      <c r="D977" t="s">
        <v>21</v>
      </c>
      <c r="E977" t="s">
        <v>170</v>
      </c>
      <c r="F977" t="s">
        <v>22</v>
      </c>
      <c r="G977">
        <v>6.2624000000000004E-3</v>
      </c>
      <c r="H977">
        <v>9.8156000000000007E-3</v>
      </c>
      <c r="I977">
        <v>3.1001000000000002E-3</v>
      </c>
    </row>
    <row r="978" spans="1:9" x14ac:dyDescent="0.25">
      <c r="A978" s="104" t="str">
        <f t="shared" si="15"/>
        <v>Tanzania2015.5RuralCommercialInjectable</v>
      </c>
      <c r="B978" t="s">
        <v>152</v>
      </c>
      <c r="C978">
        <v>2015.5</v>
      </c>
      <c r="D978" t="s">
        <v>21</v>
      </c>
      <c r="E978" t="s">
        <v>59</v>
      </c>
      <c r="F978" t="s">
        <v>22</v>
      </c>
      <c r="G978">
        <v>2.2590599999999999E-2</v>
      </c>
      <c r="H978">
        <v>1.18494E-2</v>
      </c>
    </row>
    <row r="979" spans="1:9" x14ac:dyDescent="0.25">
      <c r="A979" s="104" t="str">
        <f t="shared" si="15"/>
        <v>Tanzania2015.5RuralOtherInjectable</v>
      </c>
      <c r="B979" t="s">
        <v>152</v>
      </c>
      <c r="C979">
        <v>2015.5</v>
      </c>
      <c r="D979" t="s">
        <v>21</v>
      </c>
      <c r="E979" t="s">
        <v>116</v>
      </c>
      <c r="F979" t="s">
        <v>22</v>
      </c>
      <c r="G979">
        <v>1.1758000000000001E-3</v>
      </c>
    </row>
    <row r="980" spans="1:9" x14ac:dyDescent="0.25">
      <c r="A980" s="104" t="str">
        <f t="shared" si="15"/>
        <v>Tanzania2015.5NationalPub_MedCondom</v>
      </c>
      <c r="B980" t="s">
        <v>152</v>
      </c>
      <c r="C980">
        <v>2015.5</v>
      </c>
      <c r="D980" t="s">
        <v>178</v>
      </c>
      <c r="E980" t="s">
        <v>52</v>
      </c>
      <c r="F980" t="s">
        <v>25</v>
      </c>
      <c r="G980">
        <v>1.5499999999999999E-3</v>
      </c>
      <c r="H980">
        <v>2.0175000000000002E-3</v>
      </c>
      <c r="I980">
        <v>1.7202999999999999E-3</v>
      </c>
    </row>
    <row r="981" spans="1:9" x14ac:dyDescent="0.25">
      <c r="A981" s="104" t="str">
        <f t="shared" si="15"/>
        <v>Tanzania2015.5NationalPub_OutreachCondom</v>
      </c>
      <c r="B981" t="s">
        <v>152</v>
      </c>
      <c r="C981">
        <v>2015.5</v>
      </c>
      <c r="D981" t="s">
        <v>178</v>
      </c>
      <c r="E981" t="s">
        <v>54</v>
      </c>
      <c r="F981" t="s">
        <v>25</v>
      </c>
      <c r="G981">
        <v>2.7923000000000002E-3</v>
      </c>
    </row>
    <row r="982" spans="1:9" x14ac:dyDescent="0.25">
      <c r="A982" s="104" t="str">
        <f t="shared" si="15"/>
        <v>Tanzania2015.5NationalNGOCondom</v>
      </c>
      <c r="B982" t="s">
        <v>152</v>
      </c>
      <c r="C982">
        <v>2015.5</v>
      </c>
      <c r="D982" t="s">
        <v>178</v>
      </c>
      <c r="E982" t="s">
        <v>170</v>
      </c>
      <c r="F982" t="s">
        <v>25</v>
      </c>
      <c r="G982">
        <v>9.9540000000000002E-4</v>
      </c>
      <c r="H982">
        <v>2.6689000000000001E-3</v>
      </c>
    </row>
    <row r="983" spans="1:9" x14ac:dyDescent="0.25">
      <c r="A983" s="104" t="str">
        <f t="shared" si="15"/>
        <v>Tanzania2015.5NationalCommercialCondom</v>
      </c>
      <c r="B983" t="s">
        <v>152</v>
      </c>
      <c r="C983">
        <v>2015.5</v>
      </c>
      <c r="D983" t="s">
        <v>178</v>
      </c>
      <c r="E983" t="s">
        <v>59</v>
      </c>
      <c r="F983" t="s">
        <v>25</v>
      </c>
      <c r="G983">
        <v>1.04808E-2</v>
      </c>
      <c r="H983">
        <v>4.2555500000000003E-2</v>
      </c>
      <c r="I983">
        <v>6.7183900000000005E-2</v>
      </c>
    </row>
    <row r="984" spans="1:9" x14ac:dyDescent="0.25">
      <c r="A984" s="104" t="str">
        <f t="shared" si="15"/>
        <v>Tanzania2015.5NationalNonTradCondom</v>
      </c>
      <c r="B984" t="s">
        <v>152</v>
      </c>
      <c r="C984">
        <v>2015.5</v>
      </c>
      <c r="D984" t="s">
        <v>178</v>
      </c>
      <c r="E984" t="s">
        <v>171</v>
      </c>
      <c r="F984" t="s">
        <v>25</v>
      </c>
      <c r="G984">
        <v>7.0910000000000001E-3</v>
      </c>
      <c r="H984">
        <v>1.1407E-2</v>
      </c>
      <c r="I984">
        <v>1.6699499999999999E-2</v>
      </c>
    </row>
    <row r="985" spans="1:9" x14ac:dyDescent="0.25">
      <c r="A985" s="104" t="str">
        <f t="shared" si="15"/>
        <v>Tanzania2015.5NationalOtherCondom</v>
      </c>
      <c r="B985" t="s">
        <v>152</v>
      </c>
      <c r="C985">
        <v>2015.5</v>
      </c>
      <c r="D985" t="s">
        <v>178</v>
      </c>
      <c r="E985" t="s">
        <v>116</v>
      </c>
      <c r="F985" t="s">
        <v>25</v>
      </c>
      <c r="G985">
        <v>2.1334000000000001E-3</v>
      </c>
      <c r="H985">
        <v>2.8345000000000002E-3</v>
      </c>
      <c r="I985">
        <v>1.04683E-2</v>
      </c>
    </row>
    <row r="986" spans="1:9" x14ac:dyDescent="0.25">
      <c r="A986" s="104" t="str">
        <f t="shared" si="15"/>
        <v>Tanzania2015.5UrbanPub_MedCondom</v>
      </c>
      <c r="B986" t="s">
        <v>152</v>
      </c>
      <c r="C986">
        <v>2015.5</v>
      </c>
      <c r="D986" t="s">
        <v>20</v>
      </c>
      <c r="E986" t="s">
        <v>52</v>
      </c>
      <c r="F986" t="s">
        <v>25</v>
      </c>
      <c r="G986">
        <v>2.2185999999999998E-3</v>
      </c>
      <c r="H986">
        <v>1.9323999999999999E-3</v>
      </c>
      <c r="I986">
        <v>1.8931E-3</v>
      </c>
    </row>
    <row r="987" spans="1:9" x14ac:dyDescent="0.25">
      <c r="A987" s="104" t="str">
        <f t="shared" si="15"/>
        <v>Tanzania2015.5UrbanPub_OutreachCondom</v>
      </c>
      <c r="B987" t="s">
        <v>152</v>
      </c>
      <c r="C987">
        <v>2015.5</v>
      </c>
      <c r="D987" t="s">
        <v>20</v>
      </c>
      <c r="E987" t="s">
        <v>54</v>
      </c>
      <c r="F987" t="s">
        <v>25</v>
      </c>
      <c r="G987">
        <v>9.0180000000000002E-4</v>
      </c>
    </row>
    <row r="988" spans="1:9" x14ac:dyDescent="0.25">
      <c r="A988" s="104" t="str">
        <f t="shared" si="15"/>
        <v>Tanzania2015.5UrbanNGOCondom</v>
      </c>
      <c r="B988" t="s">
        <v>152</v>
      </c>
      <c r="C988">
        <v>2015.5</v>
      </c>
      <c r="D988" t="s">
        <v>20</v>
      </c>
      <c r="E988" t="s">
        <v>170</v>
      </c>
      <c r="F988" t="s">
        <v>25</v>
      </c>
      <c r="G988">
        <v>1.3297999999999999E-3</v>
      </c>
      <c r="H988">
        <v>3.2234999999999998E-3</v>
      </c>
    </row>
    <row r="989" spans="1:9" x14ac:dyDescent="0.25">
      <c r="A989" s="104" t="str">
        <f t="shared" si="15"/>
        <v>Tanzania2015.5UrbanCommercialCondom</v>
      </c>
      <c r="B989" t="s">
        <v>152</v>
      </c>
      <c r="C989">
        <v>2015.5</v>
      </c>
      <c r="D989" t="s">
        <v>20</v>
      </c>
      <c r="E989" t="s">
        <v>59</v>
      </c>
      <c r="F989" t="s">
        <v>25</v>
      </c>
      <c r="G989">
        <v>1.97097E-2</v>
      </c>
      <c r="H989">
        <v>4.7367600000000003E-2</v>
      </c>
      <c r="I989">
        <v>6.95717E-2</v>
      </c>
    </row>
    <row r="990" spans="1:9" x14ac:dyDescent="0.25">
      <c r="A990" s="104" t="str">
        <f t="shared" si="15"/>
        <v>Tanzania2015.5UrbanNonTradCondom</v>
      </c>
      <c r="B990" t="s">
        <v>152</v>
      </c>
      <c r="C990">
        <v>2015.5</v>
      </c>
      <c r="D990" t="s">
        <v>20</v>
      </c>
      <c r="E990" t="s">
        <v>171</v>
      </c>
      <c r="F990" t="s">
        <v>25</v>
      </c>
      <c r="G990">
        <v>1.71387E-2</v>
      </c>
      <c r="H990">
        <v>1.1417099999999999E-2</v>
      </c>
      <c r="I990">
        <v>1.70499E-2</v>
      </c>
    </row>
    <row r="991" spans="1:9" x14ac:dyDescent="0.25">
      <c r="A991" s="104" t="str">
        <f t="shared" si="15"/>
        <v>Tanzania2015.5UrbanOtherCondom</v>
      </c>
      <c r="B991" t="s">
        <v>152</v>
      </c>
      <c r="C991">
        <v>2015.5</v>
      </c>
      <c r="D991" t="s">
        <v>20</v>
      </c>
      <c r="E991" t="s">
        <v>116</v>
      </c>
      <c r="F991" t="s">
        <v>25</v>
      </c>
      <c r="G991">
        <v>4.0819999999999997E-3</v>
      </c>
      <c r="H991">
        <v>2.8286000000000001E-3</v>
      </c>
      <c r="I991">
        <v>1.15198E-2</v>
      </c>
    </row>
    <row r="992" spans="1:9" x14ac:dyDescent="0.25">
      <c r="A992" s="104" t="str">
        <f t="shared" si="15"/>
        <v>Tanzania2015.5RuralPub_MedCondom</v>
      </c>
      <c r="B992" t="s">
        <v>152</v>
      </c>
      <c r="C992">
        <v>2015.5</v>
      </c>
      <c r="D992" t="s">
        <v>21</v>
      </c>
      <c r="E992" t="s">
        <v>52</v>
      </c>
      <c r="F992" t="s">
        <v>25</v>
      </c>
      <c r="G992">
        <v>1.4153E-3</v>
      </c>
      <c r="H992">
        <v>2.4271000000000002E-3</v>
      </c>
    </row>
    <row r="993" spans="1:9" x14ac:dyDescent="0.25">
      <c r="A993" s="104" t="str">
        <f t="shared" si="15"/>
        <v>Tanzania2015.5RuralPub_OutreachCondom</v>
      </c>
      <c r="B993" t="s">
        <v>152</v>
      </c>
      <c r="C993">
        <v>2015.5</v>
      </c>
      <c r="D993" t="s">
        <v>21</v>
      </c>
      <c r="E993" t="s">
        <v>54</v>
      </c>
      <c r="F993" t="s">
        <v>25</v>
      </c>
      <c r="G993">
        <v>3.1732000000000002E-3</v>
      </c>
    </row>
    <row r="994" spans="1:9" x14ac:dyDescent="0.25">
      <c r="A994" s="104" t="str">
        <f t="shared" si="15"/>
        <v>Tanzania2015.5RuralNGOCondom</v>
      </c>
      <c r="B994" t="s">
        <v>152</v>
      </c>
      <c r="C994">
        <v>2015.5</v>
      </c>
      <c r="D994" t="s">
        <v>21</v>
      </c>
      <c r="E994" t="s">
        <v>170</v>
      </c>
      <c r="F994" t="s">
        <v>25</v>
      </c>
      <c r="G994">
        <v>9.2800000000000001E-4</v>
      </c>
    </row>
    <row r="995" spans="1:9" x14ac:dyDescent="0.25">
      <c r="A995" s="104" t="str">
        <f t="shared" si="15"/>
        <v>Tanzania2015.5RuralCommercialCondom</v>
      </c>
      <c r="B995" t="s">
        <v>152</v>
      </c>
      <c r="C995">
        <v>2015.5</v>
      </c>
      <c r="D995" t="s">
        <v>21</v>
      </c>
      <c r="E995" t="s">
        <v>59</v>
      </c>
      <c r="F995" t="s">
        <v>25</v>
      </c>
      <c r="G995">
        <v>8.6216000000000001E-3</v>
      </c>
      <c r="H995">
        <v>1.93972E-2</v>
      </c>
      <c r="I995">
        <v>4.34125E-2</v>
      </c>
    </row>
    <row r="996" spans="1:9" x14ac:dyDescent="0.25">
      <c r="A996" s="104" t="str">
        <f t="shared" si="15"/>
        <v>Tanzania2015.5RuralNonTradCondom</v>
      </c>
      <c r="B996" t="s">
        <v>152</v>
      </c>
      <c r="C996">
        <v>2015.5</v>
      </c>
      <c r="D996" t="s">
        <v>21</v>
      </c>
      <c r="E996" t="s">
        <v>171</v>
      </c>
      <c r="F996" t="s">
        <v>25</v>
      </c>
      <c r="G996">
        <v>5.0669E-3</v>
      </c>
      <c r="H996">
        <v>1.1358699999999999E-2</v>
      </c>
      <c r="I996">
        <v>1.3212E-2</v>
      </c>
    </row>
    <row r="997" spans="1:9" x14ac:dyDescent="0.25">
      <c r="A997" s="104" t="str">
        <f t="shared" si="15"/>
        <v>Tanzania2015.5RuralOtherCondom</v>
      </c>
      <c r="B997" t="s">
        <v>152</v>
      </c>
      <c r="C997">
        <v>2015.5</v>
      </c>
      <c r="D997" t="s">
        <v>21</v>
      </c>
      <c r="E997" t="s">
        <v>116</v>
      </c>
      <c r="F997" t="s">
        <v>25</v>
      </c>
      <c r="G997">
        <v>1.7408E-3</v>
      </c>
      <c r="H997">
        <v>2.8630000000000001E-3</v>
      </c>
    </row>
    <row r="998" spans="1:9" x14ac:dyDescent="0.25">
      <c r="A998" s="104" t="str">
        <f t="shared" si="15"/>
        <v>Tanzania2015.5NationalPub_MedNorplant</v>
      </c>
      <c r="B998" t="s">
        <v>152</v>
      </c>
      <c r="C998">
        <v>2015.5</v>
      </c>
      <c r="D998" t="s">
        <v>178</v>
      </c>
      <c r="E998" t="s">
        <v>52</v>
      </c>
      <c r="F998" t="s">
        <v>263</v>
      </c>
      <c r="G998">
        <v>1.8795699999999999E-2</v>
      </c>
      <c r="H998">
        <v>2.4075599999999999E-2</v>
      </c>
      <c r="I998">
        <v>2.9043300000000001E-2</v>
      </c>
    </row>
    <row r="999" spans="1:9" x14ac:dyDescent="0.25">
      <c r="A999" s="104" t="str">
        <f t="shared" si="15"/>
        <v>Tanzania2015.5NationalPub_OutreachNorplant</v>
      </c>
      <c r="B999" t="s">
        <v>152</v>
      </c>
      <c r="C999">
        <v>2015.5</v>
      </c>
      <c r="D999" t="s">
        <v>178</v>
      </c>
      <c r="E999" t="s">
        <v>54</v>
      </c>
      <c r="F999" t="s">
        <v>263</v>
      </c>
      <c r="G999">
        <v>3.50491E-2</v>
      </c>
      <c r="H999">
        <v>1.6019800000000001E-2</v>
      </c>
      <c r="I999">
        <v>4.6725999999999998E-3</v>
      </c>
    </row>
    <row r="1000" spans="1:9" x14ac:dyDescent="0.25">
      <c r="A1000" s="104" t="str">
        <f t="shared" si="15"/>
        <v>Tanzania2015.5NationalNGONorplant</v>
      </c>
      <c r="B1000" t="s">
        <v>152</v>
      </c>
      <c r="C1000">
        <v>2015.5</v>
      </c>
      <c r="D1000" t="s">
        <v>178</v>
      </c>
      <c r="E1000" t="s">
        <v>170</v>
      </c>
      <c r="F1000" t="s">
        <v>263</v>
      </c>
      <c r="G1000">
        <v>4.0796000000000001E-3</v>
      </c>
      <c r="H1000">
        <v>6.1314000000000004E-3</v>
      </c>
      <c r="I1000">
        <v>3.2398000000000001E-3</v>
      </c>
    </row>
    <row r="1001" spans="1:9" x14ac:dyDescent="0.25">
      <c r="A1001" s="104" t="str">
        <f t="shared" si="15"/>
        <v>Tanzania2015.5NationalCommercialNorplant</v>
      </c>
      <c r="B1001" t="s">
        <v>152</v>
      </c>
      <c r="C1001">
        <v>2015.5</v>
      </c>
      <c r="D1001" t="s">
        <v>178</v>
      </c>
      <c r="E1001" t="s">
        <v>59</v>
      </c>
      <c r="F1001" t="s">
        <v>263</v>
      </c>
      <c r="G1001">
        <v>9.278E-4</v>
      </c>
      <c r="H1001">
        <v>2.7645999999999999E-3</v>
      </c>
      <c r="I1001">
        <v>4.2734000000000001E-3</v>
      </c>
    </row>
    <row r="1002" spans="1:9" x14ac:dyDescent="0.25">
      <c r="A1002" s="104" t="str">
        <f t="shared" si="15"/>
        <v>Tanzania2015.5NationalOtherNorplant</v>
      </c>
      <c r="B1002" t="s">
        <v>152</v>
      </c>
      <c r="C1002">
        <v>2015.5</v>
      </c>
      <c r="D1002" t="s">
        <v>178</v>
      </c>
      <c r="E1002" t="s">
        <v>116</v>
      </c>
      <c r="F1002" t="s">
        <v>263</v>
      </c>
      <c r="G1002">
        <v>2.923E-4</v>
      </c>
      <c r="H1002">
        <v>5.6420000000000005E-4</v>
      </c>
    </row>
    <row r="1003" spans="1:9" x14ac:dyDescent="0.25">
      <c r="A1003" s="104" t="str">
        <f t="shared" si="15"/>
        <v>Tanzania2015.5UrbanPub_MedNorplant</v>
      </c>
      <c r="B1003" t="s">
        <v>152</v>
      </c>
      <c r="C1003">
        <v>2015.5</v>
      </c>
      <c r="D1003" t="s">
        <v>20</v>
      </c>
      <c r="E1003" t="s">
        <v>52</v>
      </c>
      <c r="F1003" t="s">
        <v>263</v>
      </c>
      <c r="G1003">
        <v>2.8779099999999998E-2</v>
      </c>
      <c r="H1003">
        <v>2.7428600000000001E-2</v>
      </c>
      <c r="I1003">
        <v>2.93513E-2</v>
      </c>
    </row>
    <row r="1004" spans="1:9" x14ac:dyDescent="0.25">
      <c r="A1004" s="104" t="str">
        <f t="shared" si="15"/>
        <v>Tanzania2015.5UrbanPub_OutreachNorplant</v>
      </c>
      <c r="B1004" t="s">
        <v>152</v>
      </c>
      <c r="C1004">
        <v>2015.5</v>
      </c>
      <c r="D1004" t="s">
        <v>20</v>
      </c>
      <c r="E1004" t="s">
        <v>54</v>
      </c>
      <c r="F1004" t="s">
        <v>263</v>
      </c>
      <c r="G1004">
        <v>2.1705499999999999E-2</v>
      </c>
      <c r="H1004">
        <v>1.3930700000000001E-2</v>
      </c>
      <c r="I1004">
        <v>4.6441E-3</v>
      </c>
    </row>
    <row r="1005" spans="1:9" x14ac:dyDescent="0.25">
      <c r="A1005" s="104" t="str">
        <f t="shared" si="15"/>
        <v>Tanzania2015.5UrbanNGONorplant</v>
      </c>
      <c r="B1005" t="s">
        <v>152</v>
      </c>
      <c r="C1005">
        <v>2015.5</v>
      </c>
      <c r="D1005" t="s">
        <v>20</v>
      </c>
      <c r="E1005" t="s">
        <v>170</v>
      </c>
      <c r="F1005" t="s">
        <v>263</v>
      </c>
      <c r="G1005">
        <v>2.0144E-3</v>
      </c>
      <c r="H1005">
        <v>5.1846000000000001E-3</v>
      </c>
      <c r="I1005">
        <v>3.5652000000000001E-3</v>
      </c>
    </row>
    <row r="1006" spans="1:9" x14ac:dyDescent="0.25">
      <c r="A1006" s="104" t="str">
        <f t="shared" si="15"/>
        <v>Tanzania2015.5UrbanCommercialNorplant</v>
      </c>
      <c r="B1006" t="s">
        <v>152</v>
      </c>
      <c r="C1006">
        <v>2015.5</v>
      </c>
      <c r="D1006" t="s">
        <v>20</v>
      </c>
      <c r="E1006" t="s">
        <v>59</v>
      </c>
      <c r="F1006" t="s">
        <v>263</v>
      </c>
      <c r="G1006">
        <v>2.0614000000000001E-3</v>
      </c>
      <c r="H1006">
        <v>2.8725999999999999E-3</v>
      </c>
      <c r="I1006">
        <v>2.5417E-3</v>
      </c>
    </row>
    <row r="1007" spans="1:9" x14ac:dyDescent="0.25">
      <c r="A1007" s="104" t="str">
        <f t="shared" si="15"/>
        <v>Tanzania2015.5UrbanOtherNorplant</v>
      </c>
      <c r="B1007" t="s">
        <v>152</v>
      </c>
      <c r="C1007">
        <v>2015.5</v>
      </c>
      <c r="D1007" t="s">
        <v>20</v>
      </c>
      <c r="E1007" t="s">
        <v>116</v>
      </c>
      <c r="F1007" t="s">
        <v>263</v>
      </c>
      <c r="G1007">
        <v>5.4290000000000002E-4</v>
      </c>
      <c r="H1007">
        <v>6.8139999999999997E-4</v>
      </c>
    </row>
    <row r="1008" spans="1:9" x14ac:dyDescent="0.25">
      <c r="A1008" s="104" t="str">
        <f t="shared" si="15"/>
        <v>Tanzania2015.5RuralPub_MedNorplant</v>
      </c>
      <c r="B1008" t="s">
        <v>152</v>
      </c>
      <c r="C1008">
        <v>2015.5</v>
      </c>
      <c r="D1008" t="s">
        <v>21</v>
      </c>
      <c r="E1008" t="s">
        <v>52</v>
      </c>
      <c r="F1008" t="s">
        <v>263</v>
      </c>
      <c r="G1008">
        <v>1.6784500000000001E-2</v>
      </c>
      <c r="H1008">
        <v>7.9389000000000005E-3</v>
      </c>
      <c r="I1008">
        <v>2.5977E-2</v>
      </c>
    </row>
    <row r="1009" spans="1:9" x14ac:dyDescent="0.25">
      <c r="A1009" s="104" t="str">
        <f t="shared" si="15"/>
        <v>Tanzania2015.5RuralPub_OutreachNorplant</v>
      </c>
      <c r="B1009" t="s">
        <v>152</v>
      </c>
      <c r="C1009">
        <v>2015.5</v>
      </c>
      <c r="D1009" t="s">
        <v>21</v>
      </c>
      <c r="E1009" t="s">
        <v>54</v>
      </c>
      <c r="F1009" t="s">
        <v>263</v>
      </c>
      <c r="G1009">
        <v>3.7737199999999999E-2</v>
      </c>
      <c r="H1009">
        <v>2.6073900000000001E-2</v>
      </c>
      <c r="I1009">
        <v>4.9563000000000003E-3</v>
      </c>
    </row>
    <row r="1010" spans="1:9" x14ac:dyDescent="0.25">
      <c r="A1010" s="104" t="str">
        <f t="shared" si="15"/>
        <v>Tanzania2015.5RuralNGONorplant</v>
      </c>
      <c r="B1010" t="s">
        <v>152</v>
      </c>
      <c r="C1010">
        <v>2015.5</v>
      </c>
      <c r="D1010" t="s">
        <v>21</v>
      </c>
      <c r="E1010" t="s">
        <v>170</v>
      </c>
      <c r="F1010" t="s">
        <v>263</v>
      </c>
      <c r="G1010">
        <v>4.4955999999999998E-3</v>
      </c>
      <c r="H1010">
        <v>1.06882E-2</v>
      </c>
    </row>
    <row r="1011" spans="1:9" x14ac:dyDescent="0.25">
      <c r="A1011" s="104" t="str">
        <f t="shared" si="15"/>
        <v>Tanzania2015.5RuralCommercialNorplant</v>
      </c>
      <c r="B1011" t="s">
        <v>152</v>
      </c>
      <c r="C1011">
        <v>2015.5</v>
      </c>
      <c r="D1011" t="s">
        <v>21</v>
      </c>
      <c r="E1011" t="s">
        <v>59</v>
      </c>
      <c r="F1011" t="s">
        <v>263</v>
      </c>
      <c r="G1011">
        <v>6.9939999999999998E-4</v>
      </c>
      <c r="H1011">
        <v>2.2452000000000001E-3</v>
      </c>
      <c r="I1011">
        <v>2.1513299999999999E-2</v>
      </c>
    </row>
    <row r="1012" spans="1:9" x14ac:dyDescent="0.25">
      <c r="A1012" s="104" t="str">
        <f t="shared" si="15"/>
        <v>Tanzania2015.5RuralOtherNorplant</v>
      </c>
      <c r="B1012" t="s">
        <v>152</v>
      </c>
      <c r="C1012">
        <v>2015.5</v>
      </c>
      <c r="D1012" t="s">
        <v>21</v>
      </c>
      <c r="E1012" t="s">
        <v>116</v>
      </c>
      <c r="F1012" t="s">
        <v>263</v>
      </c>
      <c r="G1012">
        <v>2.418E-4</v>
      </c>
    </row>
    <row r="1013" spans="1:9" x14ac:dyDescent="0.25">
      <c r="A1013" s="104" t="str">
        <f t="shared" si="15"/>
        <v>Uganda2011NationalPub_MedPill</v>
      </c>
      <c r="B1013" t="s">
        <v>154</v>
      </c>
      <c r="C1013">
        <v>2011</v>
      </c>
      <c r="D1013" t="s">
        <v>178</v>
      </c>
      <c r="E1013" t="s">
        <v>52</v>
      </c>
      <c r="F1013" t="s">
        <v>12</v>
      </c>
      <c r="G1013">
        <v>7.3540000000000003E-3</v>
      </c>
      <c r="H1013">
        <v>9.9571999999999994E-3</v>
      </c>
      <c r="I1013">
        <v>1.6233899999999999E-2</v>
      </c>
    </row>
    <row r="1014" spans="1:9" x14ac:dyDescent="0.25">
      <c r="A1014" s="104" t="str">
        <f t="shared" si="15"/>
        <v>Uganda2011NationalPub_OutreachPill</v>
      </c>
      <c r="B1014" t="s">
        <v>154</v>
      </c>
      <c r="C1014">
        <v>2011</v>
      </c>
      <c r="D1014" t="s">
        <v>178</v>
      </c>
      <c r="E1014" t="s">
        <v>54</v>
      </c>
      <c r="F1014" t="s">
        <v>12</v>
      </c>
      <c r="G1014">
        <v>2.6130000000000001E-4</v>
      </c>
      <c r="I1014">
        <v>8.897E-4</v>
      </c>
    </row>
    <row r="1015" spans="1:9" x14ac:dyDescent="0.25">
      <c r="A1015" s="104" t="str">
        <f t="shared" si="15"/>
        <v>Uganda2011NationalCommercialPill</v>
      </c>
      <c r="B1015" t="s">
        <v>154</v>
      </c>
      <c r="C1015">
        <v>2011</v>
      </c>
      <c r="D1015" t="s">
        <v>178</v>
      </c>
      <c r="E1015" t="s">
        <v>59</v>
      </c>
      <c r="F1015" t="s">
        <v>12</v>
      </c>
      <c r="G1015">
        <v>3.7501000000000001E-3</v>
      </c>
      <c r="H1015">
        <v>1.2659399999999999E-2</v>
      </c>
      <c r="I1015">
        <v>3.4099299999999999E-2</v>
      </c>
    </row>
    <row r="1016" spans="1:9" x14ac:dyDescent="0.25">
      <c r="A1016" s="104" t="str">
        <f t="shared" si="15"/>
        <v>Uganda2011NationalNonTradPill</v>
      </c>
      <c r="B1016" t="s">
        <v>154</v>
      </c>
      <c r="C1016">
        <v>2011</v>
      </c>
      <c r="D1016" t="s">
        <v>178</v>
      </c>
      <c r="E1016" t="s">
        <v>171</v>
      </c>
      <c r="F1016" t="s">
        <v>12</v>
      </c>
      <c r="I1016">
        <v>1.3937000000000001E-3</v>
      </c>
    </row>
    <row r="1017" spans="1:9" x14ac:dyDescent="0.25">
      <c r="A1017" s="104" t="str">
        <f t="shared" si="15"/>
        <v>Uganda2011NationalOtherPill</v>
      </c>
      <c r="B1017" t="s">
        <v>154</v>
      </c>
      <c r="C1017">
        <v>2011</v>
      </c>
      <c r="D1017" t="s">
        <v>178</v>
      </c>
      <c r="E1017" t="s">
        <v>116</v>
      </c>
      <c r="F1017" t="s">
        <v>12</v>
      </c>
      <c r="H1017">
        <v>6.3900000000000003E-4</v>
      </c>
      <c r="I1017">
        <v>1.2643000000000001E-3</v>
      </c>
    </row>
    <row r="1018" spans="1:9" x14ac:dyDescent="0.25">
      <c r="A1018" s="104" t="str">
        <f t="shared" si="15"/>
        <v>Uganda2011UrbanPub_MedPill</v>
      </c>
      <c r="B1018" t="s">
        <v>154</v>
      </c>
      <c r="C1018">
        <v>2011</v>
      </c>
      <c r="D1018" t="s">
        <v>20</v>
      </c>
      <c r="E1018" t="s">
        <v>52</v>
      </c>
      <c r="F1018" t="s">
        <v>12</v>
      </c>
      <c r="G1018">
        <v>1.02135E-2</v>
      </c>
      <c r="H1018">
        <v>1.9412800000000001E-2</v>
      </c>
      <c r="I1018">
        <v>1.2164400000000001E-2</v>
      </c>
    </row>
    <row r="1019" spans="1:9" x14ac:dyDescent="0.25">
      <c r="A1019" s="104" t="str">
        <f t="shared" si="15"/>
        <v>Uganda2011UrbanCommercialPill</v>
      </c>
      <c r="B1019" t="s">
        <v>154</v>
      </c>
      <c r="C1019">
        <v>2011</v>
      </c>
      <c r="D1019" t="s">
        <v>20</v>
      </c>
      <c r="E1019" t="s">
        <v>59</v>
      </c>
      <c r="F1019" t="s">
        <v>12</v>
      </c>
      <c r="G1019">
        <v>1.3140000000000001E-2</v>
      </c>
      <c r="H1019">
        <v>2.41801E-2</v>
      </c>
      <c r="I1019">
        <v>3.9042199999999999E-2</v>
      </c>
    </row>
    <row r="1020" spans="1:9" x14ac:dyDescent="0.25">
      <c r="A1020" s="104" t="str">
        <f t="shared" si="15"/>
        <v>Uganda2011UrbanNonTradPill</v>
      </c>
      <c r="B1020" t="s">
        <v>154</v>
      </c>
      <c r="C1020">
        <v>2011</v>
      </c>
      <c r="D1020" t="s">
        <v>20</v>
      </c>
      <c r="E1020" t="s">
        <v>171</v>
      </c>
      <c r="F1020" t="s">
        <v>12</v>
      </c>
      <c r="I1020">
        <v>1.9492000000000001E-3</v>
      </c>
    </row>
    <row r="1021" spans="1:9" x14ac:dyDescent="0.25">
      <c r="A1021" s="104" t="str">
        <f t="shared" si="15"/>
        <v>Uganda2011UrbanOtherPill</v>
      </c>
      <c r="B1021" t="s">
        <v>154</v>
      </c>
      <c r="C1021">
        <v>2011</v>
      </c>
      <c r="D1021" t="s">
        <v>20</v>
      </c>
      <c r="E1021" t="s">
        <v>116</v>
      </c>
      <c r="F1021" t="s">
        <v>12</v>
      </c>
      <c r="I1021">
        <v>4.3629999999999998E-4</v>
      </c>
    </row>
    <row r="1022" spans="1:9" x14ac:dyDescent="0.25">
      <c r="A1022" s="104" t="str">
        <f t="shared" si="15"/>
        <v>Uganda2011RuralPub_MedPill</v>
      </c>
      <c r="B1022" t="s">
        <v>154</v>
      </c>
      <c r="C1022">
        <v>2011</v>
      </c>
      <c r="D1022" t="s">
        <v>21</v>
      </c>
      <c r="E1022" t="s">
        <v>52</v>
      </c>
      <c r="F1022" t="s">
        <v>12</v>
      </c>
      <c r="G1022">
        <v>7.2624999999999999E-3</v>
      </c>
      <c r="H1022">
        <v>6.9103000000000003E-3</v>
      </c>
      <c r="I1022">
        <v>2.6444499999999999E-2</v>
      </c>
    </row>
    <row r="1023" spans="1:9" x14ac:dyDescent="0.25">
      <c r="A1023" s="104" t="str">
        <f t="shared" si="15"/>
        <v>Uganda2011RuralPub_OutreachPill</v>
      </c>
      <c r="B1023" t="s">
        <v>154</v>
      </c>
      <c r="C1023">
        <v>2011</v>
      </c>
      <c r="D1023" t="s">
        <v>21</v>
      </c>
      <c r="E1023" t="s">
        <v>54</v>
      </c>
      <c r="F1023" t="s">
        <v>12</v>
      </c>
      <c r="G1023">
        <v>2.697E-4</v>
      </c>
      <c r="I1023">
        <v>3.1221E-3</v>
      </c>
    </row>
    <row r="1024" spans="1:9" x14ac:dyDescent="0.25">
      <c r="A1024" s="104" t="str">
        <f t="shared" si="15"/>
        <v>Uganda2011RuralCommercialPill</v>
      </c>
      <c r="B1024" t="s">
        <v>154</v>
      </c>
      <c r="C1024">
        <v>2011</v>
      </c>
      <c r="D1024" t="s">
        <v>21</v>
      </c>
      <c r="E1024" t="s">
        <v>59</v>
      </c>
      <c r="F1024" t="s">
        <v>12</v>
      </c>
      <c r="G1024">
        <v>3.4494E-3</v>
      </c>
      <c r="H1024">
        <v>8.9470999999999995E-3</v>
      </c>
      <c r="I1024">
        <v>2.1696799999999999E-2</v>
      </c>
    </row>
    <row r="1025" spans="1:9" x14ac:dyDescent="0.25">
      <c r="A1025" s="104" t="str">
        <f t="shared" si="15"/>
        <v>Uganda2011RuralOtherPill</v>
      </c>
      <c r="B1025" t="s">
        <v>154</v>
      </c>
      <c r="C1025">
        <v>2011</v>
      </c>
      <c r="D1025" t="s">
        <v>21</v>
      </c>
      <c r="E1025" t="s">
        <v>116</v>
      </c>
      <c r="F1025" t="s">
        <v>12</v>
      </c>
      <c r="H1025">
        <v>8.4500000000000005E-4</v>
      </c>
      <c r="I1025">
        <v>3.3416000000000001E-3</v>
      </c>
    </row>
    <row r="1026" spans="1:9" x14ac:dyDescent="0.25">
      <c r="A1026" s="104" t="str">
        <f t="shared" si="15"/>
        <v>Uganda2011NationalPub_MedIUD</v>
      </c>
      <c r="B1026" t="s">
        <v>154</v>
      </c>
      <c r="C1026">
        <v>2011</v>
      </c>
      <c r="D1026" t="s">
        <v>178</v>
      </c>
      <c r="E1026" t="s">
        <v>52</v>
      </c>
      <c r="F1026" t="s">
        <v>16</v>
      </c>
      <c r="G1026">
        <v>1.2637E-3</v>
      </c>
      <c r="H1026">
        <v>1.065E-3</v>
      </c>
      <c r="I1026">
        <v>1.2367999999999999E-3</v>
      </c>
    </row>
    <row r="1027" spans="1:9" x14ac:dyDescent="0.25">
      <c r="A1027" s="104" t="str">
        <f t="shared" ref="A1027:A1090" si="16">B1027&amp;C1027&amp;D1027&amp;E1027&amp;F1027</f>
        <v>Uganda2011NationalPub_OutreachIUD</v>
      </c>
      <c r="B1027" t="s">
        <v>154</v>
      </c>
      <c r="C1027">
        <v>2011</v>
      </c>
      <c r="D1027" t="s">
        <v>178</v>
      </c>
      <c r="E1027" t="s">
        <v>54</v>
      </c>
      <c r="F1027" t="s">
        <v>16</v>
      </c>
      <c r="G1027">
        <v>2.6810000000000001E-4</v>
      </c>
    </row>
    <row r="1028" spans="1:9" x14ac:dyDescent="0.25">
      <c r="A1028" s="104" t="str">
        <f t="shared" si="16"/>
        <v>Uganda2011NationalNGOIUD</v>
      </c>
      <c r="B1028" t="s">
        <v>154</v>
      </c>
      <c r="C1028">
        <v>2011</v>
      </c>
      <c r="D1028" t="s">
        <v>178</v>
      </c>
      <c r="E1028" t="s">
        <v>170</v>
      </c>
      <c r="F1028" t="s">
        <v>16</v>
      </c>
      <c r="G1028">
        <v>2.3949999999999999E-4</v>
      </c>
    </row>
    <row r="1029" spans="1:9" x14ac:dyDescent="0.25">
      <c r="A1029" s="104" t="str">
        <f t="shared" si="16"/>
        <v>Uganda2011NationalCommercialIUD</v>
      </c>
      <c r="B1029" t="s">
        <v>154</v>
      </c>
      <c r="C1029">
        <v>2011</v>
      </c>
      <c r="D1029" t="s">
        <v>178</v>
      </c>
      <c r="E1029" t="s">
        <v>59</v>
      </c>
      <c r="F1029" t="s">
        <v>16</v>
      </c>
      <c r="G1029">
        <v>5.1199999999999998E-5</v>
      </c>
      <c r="H1029">
        <v>1.0342999999999999E-3</v>
      </c>
      <c r="I1029">
        <v>7.7643E-3</v>
      </c>
    </row>
    <row r="1030" spans="1:9" x14ac:dyDescent="0.25">
      <c r="A1030" s="104" t="str">
        <f t="shared" si="16"/>
        <v>Uganda2011NationalOtherIUD</v>
      </c>
      <c r="B1030" t="s">
        <v>154</v>
      </c>
      <c r="C1030">
        <v>2011</v>
      </c>
      <c r="D1030" t="s">
        <v>178</v>
      </c>
      <c r="E1030" t="s">
        <v>116</v>
      </c>
      <c r="F1030" t="s">
        <v>16</v>
      </c>
      <c r="I1030">
        <v>1.4256E-3</v>
      </c>
    </row>
    <row r="1031" spans="1:9" x14ac:dyDescent="0.25">
      <c r="A1031" s="104" t="str">
        <f t="shared" si="16"/>
        <v>Uganda2011NationalIUD</v>
      </c>
      <c r="B1031" t="s">
        <v>154</v>
      </c>
      <c r="C1031">
        <v>2011</v>
      </c>
      <c r="D1031" t="s">
        <v>178</v>
      </c>
      <c r="F1031" t="s">
        <v>16</v>
      </c>
      <c r="I1031">
        <v>6.6839999999999998E-4</v>
      </c>
    </row>
    <row r="1032" spans="1:9" x14ac:dyDescent="0.25">
      <c r="A1032" s="104" t="str">
        <f t="shared" si="16"/>
        <v>Uganda2011UrbanPub_MedIUD</v>
      </c>
      <c r="B1032" t="s">
        <v>154</v>
      </c>
      <c r="C1032">
        <v>2011</v>
      </c>
      <c r="D1032" t="s">
        <v>20</v>
      </c>
      <c r="E1032" t="s">
        <v>52</v>
      </c>
      <c r="F1032" t="s">
        <v>16</v>
      </c>
      <c r="G1032">
        <v>5.4678000000000001E-3</v>
      </c>
      <c r="H1032">
        <v>6.334E-4</v>
      </c>
      <c r="I1032">
        <v>1.7297E-3</v>
      </c>
    </row>
    <row r="1033" spans="1:9" x14ac:dyDescent="0.25">
      <c r="A1033" s="104" t="str">
        <f t="shared" si="16"/>
        <v>Uganda2011UrbanCommercialIUD</v>
      </c>
      <c r="B1033" t="s">
        <v>154</v>
      </c>
      <c r="C1033">
        <v>2011</v>
      </c>
      <c r="D1033" t="s">
        <v>20</v>
      </c>
      <c r="E1033" t="s">
        <v>59</v>
      </c>
      <c r="F1033" t="s">
        <v>16</v>
      </c>
      <c r="G1033">
        <v>1.6493E-3</v>
      </c>
      <c r="H1033">
        <v>4.2443000000000003E-3</v>
      </c>
      <c r="I1033">
        <v>9.2487000000000003E-3</v>
      </c>
    </row>
    <row r="1034" spans="1:9" x14ac:dyDescent="0.25">
      <c r="A1034" s="104" t="str">
        <f t="shared" si="16"/>
        <v>Uganda2011UrbanIUD</v>
      </c>
      <c r="B1034" t="s">
        <v>154</v>
      </c>
      <c r="C1034">
        <v>2011</v>
      </c>
      <c r="D1034" t="s">
        <v>20</v>
      </c>
      <c r="F1034" t="s">
        <v>16</v>
      </c>
      <c r="I1034">
        <v>1.339E-4</v>
      </c>
    </row>
    <row r="1035" spans="1:9" x14ac:dyDescent="0.25">
      <c r="A1035" s="104" t="str">
        <f t="shared" si="16"/>
        <v>Uganda2011RuralPub_MedIUD</v>
      </c>
      <c r="B1035" t="s">
        <v>154</v>
      </c>
      <c r="C1035">
        <v>2011</v>
      </c>
      <c r="D1035" t="s">
        <v>21</v>
      </c>
      <c r="E1035" t="s">
        <v>52</v>
      </c>
      <c r="F1035" t="s">
        <v>16</v>
      </c>
      <c r="G1035">
        <v>1.1291000000000001E-3</v>
      </c>
      <c r="H1035">
        <v>1.204E-3</v>
      </c>
    </row>
    <row r="1036" spans="1:9" x14ac:dyDescent="0.25">
      <c r="A1036" s="104" t="str">
        <f t="shared" si="16"/>
        <v>Uganda2011RuralPub_OutreachIUD</v>
      </c>
      <c r="B1036" t="s">
        <v>154</v>
      </c>
      <c r="C1036">
        <v>2011</v>
      </c>
      <c r="D1036" t="s">
        <v>21</v>
      </c>
      <c r="E1036" t="s">
        <v>54</v>
      </c>
      <c r="F1036" t="s">
        <v>16</v>
      </c>
      <c r="G1036">
        <v>2.767E-4</v>
      </c>
    </row>
    <row r="1037" spans="1:9" x14ac:dyDescent="0.25">
      <c r="A1037" s="104" t="str">
        <f t="shared" si="16"/>
        <v>Uganda2011RuralNGOIUD</v>
      </c>
      <c r="B1037" t="s">
        <v>154</v>
      </c>
      <c r="C1037">
        <v>2011</v>
      </c>
      <c r="D1037" t="s">
        <v>21</v>
      </c>
      <c r="E1037" t="s">
        <v>170</v>
      </c>
      <c r="F1037" t="s">
        <v>16</v>
      </c>
      <c r="G1037">
        <v>2.4719999999999999E-4</v>
      </c>
    </row>
    <row r="1038" spans="1:9" x14ac:dyDescent="0.25">
      <c r="A1038" s="104" t="str">
        <f t="shared" si="16"/>
        <v>Uganda2011RuralCommercialIUD</v>
      </c>
      <c r="B1038" t="s">
        <v>154</v>
      </c>
      <c r="C1038">
        <v>2011</v>
      </c>
      <c r="D1038" t="s">
        <v>21</v>
      </c>
      <c r="E1038" t="s">
        <v>59</v>
      </c>
      <c r="F1038" t="s">
        <v>16</v>
      </c>
      <c r="I1038">
        <v>4.0397000000000002E-3</v>
      </c>
    </row>
    <row r="1039" spans="1:9" x14ac:dyDescent="0.25">
      <c r="A1039" s="104" t="str">
        <f t="shared" si="16"/>
        <v>Uganda2011RuralOtherIUD</v>
      </c>
      <c r="B1039" t="s">
        <v>154</v>
      </c>
      <c r="C1039">
        <v>2011</v>
      </c>
      <c r="D1039" t="s">
        <v>21</v>
      </c>
      <c r="E1039" t="s">
        <v>116</v>
      </c>
      <c r="F1039" t="s">
        <v>16</v>
      </c>
      <c r="I1039">
        <v>5.0023999999999997E-3</v>
      </c>
    </row>
    <row r="1040" spans="1:9" x14ac:dyDescent="0.25">
      <c r="A1040" s="104" t="str">
        <f t="shared" si="16"/>
        <v>Uganda2011RuralIUD</v>
      </c>
      <c r="B1040" t="s">
        <v>154</v>
      </c>
      <c r="C1040">
        <v>2011</v>
      </c>
      <c r="D1040" t="s">
        <v>21</v>
      </c>
      <c r="F1040" t="s">
        <v>16</v>
      </c>
      <c r="I1040">
        <v>2.0095999999999998E-3</v>
      </c>
    </row>
    <row r="1041" spans="1:9" x14ac:dyDescent="0.25">
      <c r="A1041" s="104" t="str">
        <f t="shared" si="16"/>
        <v>Uganda2011NationalPub_MedInjectable</v>
      </c>
      <c r="B1041" t="s">
        <v>154</v>
      </c>
      <c r="C1041">
        <v>2011</v>
      </c>
      <c r="D1041" t="s">
        <v>178</v>
      </c>
      <c r="E1041" t="s">
        <v>52</v>
      </c>
      <c r="F1041" t="s">
        <v>22</v>
      </c>
      <c r="G1041">
        <v>4.5004599999999999E-2</v>
      </c>
      <c r="H1041">
        <v>4.4834499999999999E-2</v>
      </c>
      <c r="I1041">
        <v>2.6375800000000001E-2</v>
      </c>
    </row>
    <row r="1042" spans="1:9" x14ac:dyDescent="0.25">
      <c r="A1042" s="104" t="str">
        <f t="shared" si="16"/>
        <v>Uganda2011NationalPub_OutreachInjectable</v>
      </c>
      <c r="B1042" t="s">
        <v>154</v>
      </c>
      <c r="C1042">
        <v>2011</v>
      </c>
      <c r="D1042" t="s">
        <v>178</v>
      </c>
      <c r="E1042" t="s">
        <v>54</v>
      </c>
      <c r="F1042" t="s">
        <v>22</v>
      </c>
      <c r="G1042">
        <v>1.682E-4</v>
      </c>
      <c r="I1042">
        <v>2.5829999999999999E-4</v>
      </c>
    </row>
    <row r="1043" spans="1:9" x14ac:dyDescent="0.25">
      <c r="A1043" s="104" t="str">
        <f t="shared" si="16"/>
        <v>Uganda2011NationalNGOInjectable</v>
      </c>
      <c r="B1043" t="s">
        <v>154</v>
      </c>
      <c r="C1043">
        <v>2011</v>
      </c>
      <c r="D1043" t="s">
        <v>178</v>
      </c>
      <c r="E1043" t="s">
        <v>170</v>
      </c>
      <c r="F1043" t="s">
        <v>22</v>
      </c>
      <c r="G1043">
        <v>5.7019999999999998E-4</v>
      </c>
    </row>
    <row r="1044" spans="1:9" x14ac:dyDescent="0.25">
      <c r="A1044" s="104" t="str">
        <f t="shared" si="16"/>
        <v>Uganda2011NationalCommercialInjectable</v>
      </c>
      <c r="B1044" t="s">
        <v>154</v>
      </c>
      <c r="C1044">
        <v>2011</v>
      </c>
      <c r="D1044" t="s">
        <v>178</v>
      </c>
      <c r="E1044" t="s">
        <v>59</v>
      </c>
      <c r="F1044" t="s">
        <v>22</v>
      </c>
      <c r="G1044">
        <v>4.7940000000000003E-2</v>
      </c>
      <c r="H1044">
        <v>8.8107199999999997E-2</v>
      </c>
      <c r="I1044">
        <v>9.2410900000000004E-2</v>
      </c>
    </row>
    <row r="1045" spans="1:9" x14ac:dyDescent="0.25">
      <c r="A1045" s="104" t="str">
        <f t="shared" si="16"/>
        <v>Uganda2011NationalNonTradInjectable</v>
      </c>
      <c r="B1045" t="s">
        <v>154</v>
      </c>
      <c r="C1045">
        <v>2011</v>
      </c>
      <c r="D1045" t="s">
        <v>178</v>
      </c>
      <c r="E1045" t="s">
        <v>171</v>
      </c>
      <c r="F1045" t="s">
        <v>22</v>
      </c>
      <c r="G1045">
        <v>4.9560000000000001E-4</v>
      </c>
      <c r="I1045">
        <v>5.7839999999999996E-4</v>
      </c>
    </row>
    <row r="1046" spans="1:9" x14ac:dyDescent="0.25">
      <c r="A1046" s="104" t="str">
        <f t="shared" si="16"/>
        <v>Uganda2011NationalOtherInjectable</v>
      </c>
      <c r="B1046" t="s">
        <v>154</v>
      </c>
      <c r="C1046">
        <v>2011</v>
      </c>
      <c r="D1046" t="s">
        <v>178</v>
      </c>
      <c r="E1046" t="s">
        <v>116</v>
      </c>
      <c r="F1046" t="s">
        <v>22</v>
      </c>
      <c r="G1046">
        <v>3.2820000000000001E-4</v>
      </c>
      <c r="I1046">
        <v>3.8470000000000003E-4</v>
      </c>
    </row>
    <row r="1047" spans="1:9" x14ac:dyDescent="0.25">
      <c r="A1047" s="104" t="str">
        <f t="shared" si="16"/>
        <v>Uganda2011NationalInjectable</v>
      </c>
      <c r="B1047" t="s">
        <v>154</v>
      </c>
      <c r="C1047">
        <v>2011</v>
      </c>
      <c r="D1047" t="s">
        <v>178</v>
      </c>
      <c r="F1047" t="s">
        <v>22</v>
      </c>
      <c r="G1047">
        <v>2.3919999999999999E-4</v>
      </c>
    </row>
    <row r="1048" spans="1:9" x14ac:dyDescent="0.25">
      <c r="A1048" s="104" t="str">
        <f t="shared" si="16"/>
        <v>Uganda2011UrbanPub_MedInjectable</v>
      </c>
      <c r="B1048" t="s">
        <v>154</v>
      </c>
      <c r="C1048">
        <v>2011</v>
      </c>
      <c r="D1048" t="s">
        <v>20</v>
      </c>
      <c r="E1048" t="s">
        <v>52</v>
      </c>
      <c r="F1048" t="s">
        <v>22</v>
      </c>
      <c r="G1048">
        <v>5.9544699999999999E-2</v>
      </c>
      <c r="H1048">
        <v>4.9375599999999999E-2</v>
      </c>
      <c r="I1048">
        <v>2.2809400000000001E-2</v>
      </c>
    </row>
    <row r="1049" spans="1:9" x14ac:dyDescent="0.25">
      <c r="A1049" s="104" t="str">
        <f t="shared" si="16"/>
        <v>Uganda2011UrbanPub_OutreachInjectable</v>
      </c>
      <c r="B1049" t="s">
        <v>154</v>
      </c>
      <c r="C1049">
        <v>2011</v>
      </c>
      <c r="D1049" t="s">
        <v>20</v>
      </c>
      <c r="E1049" t="s">
        <v>54</v>
      </c>
      <c r="F1049" t="s">
        <v>22</v>
      </c>
      <c r="I1049">
        <v>3.613E-4</v>
      </c>
    </row>
    <row r="1050" spans="1:9" x14ac:dyDescent="0.25">
      <c r="A1050" s="104" t="str">
        <f t="shared" si="16"/>
        <v>Uganda2011UrbanCommercialInjectable</v>
      </c>
      <c r="B1050" t="s">
        <v>154</v>
      </c>
      <c r="C1050">
        <v>2011</v>
      </c>
      <c r="D1050" t="s">
        <v>20</v>
      </c>
      <c r="E1050" t="s">
        <v>59</v>
      </c>
      <c r="F1050" t="s">
        <v>22</v>
      </c>
      <c r="G1050">
        <v>7.8312499999999993E-2</v>
      </c>
      <c r="H1050">
        <v>0.1171436</v>
      </c>
      <c r="I1050">
        <v>9.1880600000000007E-2</v>
      </c>
    </row>
    <row r="1051" spans="1:9" x14ac:dyDescent="0.25">
      <c r="A1051" s="104" t="str">
        <f t="shared" si="16"/>
        <v>Uganda2011UrbanNonTradInjectable</v>
      </c>
      <c r="B1051" t="s">
        <v>154</v>
      </c>
      <c r="C1051">
        <v>2011</v>
      </c>
      <c r="D1051" t="s">
        <v>20</v>
      </c>
      <c r="E1051" t="s">
        <v>171</v>
      </c>
      <c r="F1051" t="s">
        <v>22</v>
      </c>
      <c r="I1051">
        <v>8.0900000000000004E-4</v>
      </c>
    </row>
    <row r="1052" spans="1:9" x14ac:dyDescent="0.25">
      <c r="A1052" s="104" t="str">
        <f t="shared" si="16"/>
        <v>Uganda2011UrbanOtherInjectable</v>
      </c>
      <c r="B1052" t="s">
        <v>154</v>
      </c>
      <c r="C1052">
        <v>2011</v>
      </c>
      <c r="D1052" t="s">
        <v>20</v>
      </c>
      <c r="E1052" t="s">
        <v>116</v>
      </c>
      <c r="F1052" t="s">
        <v>22</v>
      </c>
      <c r="I1052">
        <v>5.3810000000000001E-4</v>
      </c>
    </row>
    <row r="1053" spans="1:9" x14ac:dyDescent="0.25">
      <c r="A1053" s="104" t="str">
        <f t="shared" si="16"/>
        <v>Uganda2011RuralPub_MedInjectable</v>
      </c>
      <c r="B1053" t="s">
        <v>154</v>
      </c>
      <c r="C1053">
        <v>2011</v>
      </c>
      <c r="D1053" t="s">
        <v>21</v>
      </c>
      <c r="E1053" t="s">
        <v>52</v>
      </c>
      <c r="F1053" t="s">
        <v>22</v>
      </c>
      <c r="G1053">
        <v>4.4539000000000002E-2</v>
      </c>
      <c r="H1053">
        <v>4.3371199999999999E-2</v>
      </c>
      <c r="I1053">
        <v>3.5324399999999999E-2</v>
      </c>
    </row>
    <row r="1054" spans="1:9" x14ac:dyDescent="0.25">
      <c r="A1054" s="104" t="str">
        <f t="shared" si="16"/>
        <v>Uganda2011RuralPub_OutreachInjectable</v>
      </c>
      <c r="B1054" t="s">
        <v>154</v>
      </c>
      <c r="C1054">
        <v>2011</v>
      </c>
      <c r="D1054" t="s">
        <v>21</v>
      </c>
      <c r="E1054" t="s">
        <v>54</v>
      </c>
      <c r="F1054" t="s">
        <v>22</v>
      </c>
      <c r="G1054">
        <v>1.7359999999999999E-4</v>
      </c>
    </row>
    <row r="1055" spans="1:9" x14ac:dyDescent="0.25">
      <c r="A1055" s="104" t="str">
        <f t="shared" si="16"/>
        <v>Uganda2011RuralNGOInjectable</v>
      </c>
      <c r="B1055" t="s">
        <v>154</v>
      </c>
      <c r="C1055">
        <v>2011</v>
      </c>
      <c r="D1055" t="s">
        <v>21</v>
      </c>
      <c r="E1055" t="s">
        <v>170</v>
      </c>
      <c r="F1055" t="s">
        <v>22</v>
      </c>
      <c r="G1055">
        <v>5.8850000000000005E-4</v>
      </c>
    </row>
    <row r="1056" spans="1:9" x14ac:dyDescent="0.25">
      <c r="A1056" s="104" t="str">
        <f t="shared" si="16"/>
        <v>Uganda2011RuralCommercialInjectable</v>
      </c>
      <c r="B1056" t="s">
        <v>154</v>
      </c>
      <c r="C1056">
        <v>2011</v>
      </c>
      <c r="D1056" t="s">
        <v>21</v>
      </c>
      <c r="E1056" t="s">
        <v>59</v>
      </c>
      <c r="F1056" t="s">
        <v>22</v>
      </c>
      <c r="G1056">
        <v>4.6967599999999998E-2</v>
      </c>
      <c r="H1056">
        <v>7.8750799999999996E-2</v>
      </c>
      <c r="I1056">
        <v>9.3741599999999994E-2</v>
      </c>
    </row>
    <row r="1057" spans="1:9" x14ac:dyDescent="0.25">
      <c r="A1057" s="104" t="str">
        <f t="shared" si="16"/>
        <v>Uganda2011RuralNonTradInjectable</v>
      </c>
      <c r="B1057" t="s">
        <v>154</v>
      </c>
      <c r="C1057">
        <v>2011</v>
      </c>
      <c r="D1057" t="s">
        <v>21</v>
      </c>
      <c r="E1057" t="s">
        <v>171</v>
      </c>
      <c r="F1057" t="s">
        <v>22</v>
      </c>
      <c r="G1057">
        <v>5.1150000000000002E-4</v>
      </c>
    </row>
    <row r="1058" spans="1:9" x14ac:dyDescent="0.25">
      <c r="A1058" s="104" t="str">
        <f t="shared" si="16"/>
        <v>Uganda2011RuralOtherInjectable</v>
      </c>
      <c r="B1058" t="s">
        <v>154</v>
      </c>
      <c r="C1058">
        <v>2011</v>
      </c>
      <c r="D1058" t="s">
        <v>21</v>
      </c>
      <c r="E1058" t="s">
        <v>116</v>
      </c>
      <c r="F1058" t="s">
        <v>22</v>
      </c>
      <c r="G1058">
        <v>3.3869999999999999E-4</v>
      </c>
    </row>
    <row r="1059" spans="1:9" x14ac:dyDescent="0.25">
      <c r="A1059" s="104" t="str">
        <f t="shared" si="16"/>
        <v>Uganda2011RuralInjectable</v>
      </c>
      <c r="B1059" t="s">
        <v>154</v>
      </c>
      <c r="C1059">
        <v>2011</v>
      </c>
      <c r="D1059" t="s">
        <v>21</v>
      </c>
      <c r="F1059" t="s">
        <v>22</v>
      </c>
      <c r="G1059">
        <v>2.4679999999999998E-4</v>
      </c>
    </row>
    <row r="1060" spans="1:9" x14ac:dyDescent="0.25">
      <c r="A1060" s="104" t="str">
        <f t="shared" si="16"/>
        <v>Uganda2011NationalPub_MedCondom</v>
      </c>
      <c r="B1060" t="s">
        <v>154</v>
      </c>
      <c r="C1060">
        <v>2011</v>
      </c>
      <c r="D1060" t="s">
        <v>178</v>
      </c>
      <c r="E1060" t="s">
        <v>52</v>
      </c>
      <c r="F1060" t="s">
        <v>25</v>
      </c>
      <c r="G1060">
        <v>5.5117999999999999E-3</v>
      </c>
      <c r="H1060">
        <v>1.15975E-2</v>
      </c>
      <c r="I1060">
        <v>7.8443999999999996E-3</v>
      </c>
    </row>
    <row r="1061" spans="1:9" x14ac:dyDescent="0.25">
      <c r="A1061" s="104" t="str">
        <f t="shared" si="16"/>
        <v>Uganda2011NationalPub_OutreachCondom</v>
      </c>
      <c r="B1061" t="s">
        <v>154</v>
      </c>
      <c r="C1061">
        <v>2011</v>
      </c>
      <c r="D1061" t="s">
        <v>178</v>
      </c>
      <c r="E1061" t="s">
        <v>54</v>
      </c>
      <c r="F1061" t="s">
        <v>25</v>
      </c>
      <c r="G1061">
        <v>1.7523E-3</v>
      </c>
      <c r="H1061">
        <v>2.3565000000000001E-3</v>
      </c>
      <c r="I1061">
        <v>2.6798E-3</v>
      </c>
    </row>
    <row r="1062" spans="1:9" x14ac:dyDescent="0.25">
      <c r="A1062" s="104" t="str">
        <f t="shared" si="16"/>
        <v>Uganda2011NationalNGOCondom</v>
      </c>
      <c r="B1062" t="s">
        <v>154</v>
      </c>
      <c r="C1062">
        <v>2011</v>
      </c>
      <c r="D1062" t="s">
        <v>178</v>
      </c>
      <c r="E1062" t="s">
        <v>170</v>
      </c>
      <c r="F1062" t="s">
        <v>25</v>
      </c>
      <c r="H1062">
        <v>9.7989999999999991E-4</v>
      </c>
      <c r="I1062">
        <v>3.7189999999999999E-4</v>
      </c>
    </row>
    <row r="1063" spans="1:9" x14ac:dyDescent="0.25">
      <c r="A1063" s="104" t="str">
        <f t="shared" si="16"/>
        <v>Uganda2011NationalCommercialCondom</v>
      </c>
      <c r="B1063" t="s">
        <v>154</v>
      </c>
      <c r="C1063">
        <v>2011</v>
      </c>
      <c r="D1063" t="s">
        <v>178</v>
      </c>
      <c r="E1063" t="s">
        <v>59</v>
      </c>
      <c r="F1063" t="s">
        <v>25</v>
      </c>
      <c r="G1063">
        <v>3.8335000000000001E-3</v>
      </c>
      <c r="H1063">
        <v>1.1754499999999999E-2</v>
      </c>
      <c r="I1063">
        <v>2.3299500000000001E-2</v>
      </c>
    </row>
    <row r="1064" spans="1:9" x14ac:dyDescent="0.25">
      <c r="A1064" s="104" t="str">
        <f t="shared" si="16"/>
        <v>Uganda2011NationalNonTradCondom</v>
      </c>
      <c r="B1064" t="s">
        <v>154</v>
      </c>
      <c r="C1064">
        <v>2011</v>
      </c>
      <c r="D1064" t="s">
        <v>178</v>
      </c>
      <c r="E1064" t="s">
        <v>171</v>
      </c>
      <c r="F1064" t="s">
        <v>25</v>
      </c>
      <c r="G1064">
        <v>6.1323999999999997E-3</v>
      </c>
      <c r="H1064">
        <v>1.4109399999999999E-2</v>
      </c>
      <c r="I1064">
        <v>2.16884E-2</v>
      </c>
    </row>
    <row r="1065" spans="1:9" x14ac:dyDescent="0.25">
      <c r="A1065" s="104" t="str">
        <f t="shared" si="16"/>
        <v>Uganda2011NationalOtherCondom</v>
      </c>
      <c r="B1065" t="s">
        <v>154</v>
      </c>
      <c r="C1065">
        <v>2011</v>
      </c>
      <c r="D1065" t="s">
        <v>178</v>
      </c>
      <c r="E1065" t="s">
        <v>116</v>
      </c>
      <c r="F1065" t="s">
        <v>25</v>
      </c>
      <c r="G1065">
        <v>1.8087000000000001E-3</v>
      </c>
      <c r="H1065">
        <v>2.5912999999999999E-3</v>
      </c>
      <c r="I1065">
        <v>8.8433999999999995E-3</v>
      </c>
    </row>
    <row r="1066" spans="1:9" x14ac:dyDescent="0.25">
      <c r="A1066" s="104" t="str">
        <f t="shared" si="16"/>
        <v>Uganda2011UrbanPub_MedCondom</v>
      </c>
      <c r="B1066" t="s">
        <v>154</v>
      </c>
      <c r="C1066">
        <v>2011</v>
      </c>
      <c r="D1066" t="s">
        <v>20</v>
      </c>
      <c r="E1066" t="s">
        <v>52</v>
      </c>
      <c r="F1066" t="s">
        <v>25</v>
      </c>
      <c r="G1066">
        <v>3.4004E-3</v>
      </c>
      <c r="H1066">
        <v>6.3648000000000003E-3</v>
      </c>
      <c r="I1066">
        <v>8.1840999999999997E-3</v>
      </c>
    </row>
    <row r="1067" spans="1:9" x14ac:dyDescent="0.25">
      <c r="A1067" s="104" t="str">
        <f t="shared" si="16"/>
        <v>Uganda2011UrbanPub_OutreachCondom</v>
      </c>
      <c r="B1067" t="s">
        <v>154</v>
      </c>
      <c r="C1067">
        <v>2011</v>
      </c>
      <c r="D1067" t="s">
        <v>20</v>
      </c>
      <c r="E1067" t="s">
        <v>54</v>
      </c>
      <c r="F1067" t="s">
        <v>25</v>
      </c>
      <c r="H1067">
        <v>3.1453000000000002E-3</v>
      </c>
      <c r="I1067">
        <v>3.7477999999999999E-3</v>
      </c>
    </row>
    <row r="1068" spans="1:9" x14ac:dyDescent="0.25">
      <c r="A1068" s="104" t="str">
        <f t="shared" si="16"/>
        <v>Uganda2011UrbanNGOCondom</v>
      </c>
      <c r="B1068" t="s">
        <v>154</v>
      </c>
      <c r="C1068">
        <v>2011</v>
      </c>
      <c r="D1068" t="s">
        <v>20</v>
      </c>
      <c r="E1068" t="s">
        <v>170</v>
      </c>
      <c r="F1068" t="s">
        <v>25</v>
      </c>
      <c r="I1068">
        <v>5.2010000000000001E-4</v>
      </c>
    </row>
    <row r="1069" spans="1:9" x14ac:dyDescent="0.25">
      <c r="A1069" s="104" t="str">
        <f t="shared" si="16"/>
        <v>Uganda2011UrbanCommercialCondom</v>
      </c>
      <c r="B1069" t="s">
        <v>154</v>
      </c>
      <c r="C1069">
        <v>2011</v>
      </c>
      <c r="D1069" t="s">
        <v>20</v>
      </c>
      <c r="E1069" t="s">
        <v>59</v>
      </c>
      <c r="F1069" t="s">
        <v>25</v>
      </c>
      <c r="G1069">
        <v>1.29157E-2</v>
      </c>
      <c r="H1069">
        <v>1.1895599999999999E-2</v>
      </c>
      <c r="I1069">
        <v>2.6918999999999998E-2</v>
      </c>
    </row>
    <row r="1070" spans="1:9" x14ac:dyDescent="0.25">
      <c r="A1070" s="104" t="str">
        <f t="shared" si="16"/>
        <v>Uganda2011UrbanNonTradCondom</v>
      </c>
      <c r="B1070" t="s">
        <v>154</v>
      </c>
      <c r="C1070">
        <v>2011</v>
      </c>
      <c r="D1070" t="s">
        <v>20</v>
      </c>
      <c r="E1070" t="s">
        <v>171</v>
      </c>
      <c r="F1070" t="s">
        <v>25</v>
      </c>
      <c r="G1070">
        <v>1.3337099999999999E-2</v>
      </c>
      <c r="H1070">
        <v>1.7890799999999998E-2</v>
      </c>
      <c r="I1070">
        <v>2.4521000000000001E-2</v>
      </c>
    </row>
    <row r="1071" spans="1:9" x14ac:dyDescent="0.25">
      <c r="A1071" s="104" t="str">
        <f t="shared" si="16"/>
        <v>Uganda2011UrbanOtherCondom</v>
      </c>
      <c r="B1071" t="s">
        <v>154</v>
      </c>
      <c r="C1071">
        <v>2011</v>
      </c>
      <c r="D1071" t="s">
        <v>20</v>
      </c>
      <c r="E1071" t="s">
        <v>116</v>
      </c>
      <c r="F1071" t="s">
        <v>25</v>
      </c>
      <c r="G1071">
        <v>1.34095E-2</v>
      </c>
      <c r="H1071">
        <v>6.3449999999999997E-4</v>
      </c>
      <c r="I1071">
        <v>8.4355999999999997E-3</v>
      </c>
    </row>
    <row r="1072" spans="1:9" x14ac:dyDescent="0.25">
      <c r="A1072" s="104" t="str">
        <f t="shared" si="16"/>
        <v>Uganda2011RuralPub_MedCondom</v>
      </c>
      <c r="B1072" t="s">
        <v>154</v>
      </c>
      <c r="C1072">
        <v>2011</v>
      </c>
      <c r="D1072" t="s">
        <v>21</v>
      </c>
      <c r="E1072" t="s">
        <v>52</v>
      </c>
      <c r="F1072" t="s">
        <v>25</v>
      </c>
      <c r="G1072">
        <v>5.5794E-3</v>
      </c>
      <c r="H1072">
        <v>1.32836E-2</v>
      </c>
      <c r="I1072">
        <v>6.9918999999999997E-3</v>
      </c>
    </row>
    <row r="1073" spans="1:9" x14ac:dyDescent="0.25">
      <c r="A1073" s="104" t="str">
        <f t="shared" si="16"/>
        <v>Uganda2011RuralPub_OutreachCondom</v>
      </c>
      <c r="B1073" t="s">
        <v>154</v>
      </c>
      <c r="C1073">
        <v>2011</v>
      </c>
      <c r="D1073" t="s">
        <v>21</v>
      </c>
      <c r="E1073" t="s">
        <v>54</v>
      </c>
      <c r="F1073" t="s">
        <v>25</v>
      </c>
      <c r="G1073">
        <v>1.8083999999999999E-3</v>
      </c>
      <c r="H1073">
        <v>2.1023000000000001E-3</v>
      </c>
    </row>
    <row r="1074" spans="1:9" x14ac:dyDescent="0.25">
      <c r="A1074" s="104" t="str">
        <f t="shared" si="16"/>
        <v>Uganda2011RuralNGOCondom</v>
      </c>
      <c r="B1074" t="s">
        <v>154</v>
      </c>
      <c r="C1074">
        <v>2011</v>
      </c>
      <c r="D1074" t="s">
        <v>21</v>
      </c>
      <c r="E1074" t="s">
        <v>170</v>
      </c>
      <c r="F1074" t="s">
        <v>25</v>
      </c>
      <c r="H1074">
        <v>1.2956000000000001E-3</v>
      </c>
    </row>
    <row r="1075" spans="1:9" x14ac:dyDescent="0.25">
      <c r="A1075" s="104" t="str">
        <f t="shared" si="16"/>
        <v>Uganda2011RuralCommercialCondom</v>
      </c>
      <c r="B1075" t="s">
        <v>154</v>
      </c>
      <c r="C1075">
        <v>2011</v>
      </c>
      <c r="D1075" t="s">
        <v>21</v>
      </c>
      <c r="E1075" t="s">
        <v>59</v>
      </c>
      <c r="F1075" t="s">
        <v>25</v>
      </c>
      <c r="G1075">
        <v>3.5428E-3</v>
      </c>
      <c r="H1075">
        <v>1.1709000000000001E-2</v>
      </c>
      <c r="I1075">
        <v>1.42176E-2</v>
      </c>
    </row>
    <row r="1076" spans="1:9" x14ac:dyDescent="0.25">
      <c r="A1076" s="104" t="str">
        <f t="shared" si="16"/>
        <v>Uganda2011RuralNonTradCondom</v>
      </c>
      <c r="B1076" t="s">
        <v>154</v>
      </c>
      <c r="C1076">
        <v>2011</v>
      </c>
      <c r="D1076" t="s">
        <v>21</v>
      </c>
      <c r="E1076" t="s">
        <v>171</v>
      </c>
      <c r="F1076" t="s">
        <v>25</v>
      </c>
      <c r="G1076">
        <v>5.9017000000000002E-3</v>
      </c>
      <c r="H1076">
        <v>1.28909E-2</v>
      </c>
      <c r="I1076">
        <v>1.4581200000000001E-2</v>
      </c>
    </row>
    <row r="1077" spans="1:9" x14ac:dyDescent="0.25">
      <c r="A1077" s="104" t="str">
        <f t="shared" si="16"/>
        <v>Uganda2011RuralOtherCondom</v>
      </c>
      <c r="B1077" t="s">
        <v>154</v>
      </c>
      <c r="C1077">
        <v>2011</v>
      </c>
      <c r="D1077" t="s">
        <v>21</v>
      </c>
      <c r="E1077" t="s">
        <v>116</v>
      </c>
      <c r="F1077" t="s">
        <v>25</v>
      </c>
      <c r="G1077">
        <v>1.4373000000000001E-3</v>
      </c>
      <c r="H1077">
        <v>3.2217999999999999E-3</v>
      </c>
      <c r="I1077">
        <v>9.8665999999999997E-3</v>
      </c>
    </row>
    <row r="1078" spans="1:9" x14ac:dyDescent="0.25">
      <c r="A1078" s="104" t="str">
        <f t="shared" si="16"/>
        <v>Uganda2011NationalPub_MedImplant</v>
      </c>
      <c r="B1078" t="s">
        <v>154</v>
      </c>
      <c r="C1078">
        <v>2011</v>
      </c>
      <c r="D1078" t="s">
        <v>178</v>
      </c>
      <c r="E1078" t="s">
        <v>52</v>
      </c>
      <c r="F1078" t="s">
        <v>23</v>
      </c>
      <c r="G1078">
        <v>1.6154499999999999E-2</v>
      </c>
      <c r="H1078">
        <v>1.8174300000000001E-2</v>
      </c>
      <c r="I1078">
        <v>1.09576E-2</v>
      </c>
    </row>
    <row r="1079" spans="1:9" x14ac:dyDescent="0.25">
      <c r="A1079" s="104" t="str">
        <f t="shared" si="16"/>
        <v>Uganda2011NationalPub_OutreachImplant</v>
      </c>
      <c r="B1079" t="s">
        <v>154</v>
      </c>
      <c r="C1079">
        <v>2011</v>
      </c>
      <c r="D1079" t="s">
        <v>178</v>
      </c>
      <c r="E1079" t="s">
        <v>54</v>
      </c>
      <c r="F1079" t="s">
        <v>23</v>
      </c>
      <c r="G1079">
        <v>7.8580000000000002E-4</v>
      </c>
    </row>
    <row r="1080" spans="1:9" x14ac:dyDescent="0.25">
      <c r="A1080" s="104" t="str">
        <f t="shared" si="16"/>
        <v>Uganda2011NationalNGOImplant</v>
      </c>
      <c r="B1080" t="s">
        <v>154</v>
      </c>
      <c r="C1080">
        <v>2011</v>
      </c>
      <c r="D1080" t="s">
        <v>178</v>
      </c>
      <c r="E1080" t="s">
        <v>170</v>
      </c>
      <c r="F1080" t="s">
        <v>23</v>
      </c>
      <c r="G1080">
        <v>5.3050000000000005E-4</v>
      </c>
      <c r="H1080">
        <v>5.909E-4</v>
      </c>
    </row>
    <row r="1081" spans="1:9" x14ac:dyDescent="0.25">
      <c r="A1081" s="104" t="str">
        <f t="shared" si="16"/>
        <v>Uganda2011NationalCommercialImplant</v>
      </c>
      <c r="B1081" t="s">
        <v>154</v>
      </c>
      <c r="C1081">
        <v>2011</v>
      </c>
      <c r="D1081" t="s">
        <v>178</v>
      </c>
      <c r="E1081" t="s">
        <v>59</v>
      </c>
      <c r="F1081" t="s">
        <v>23</v>
      </c>
      <c r="G1081">
        <v>2.0831000000000001E-3</v>
      </c>
      <c r="H1081">
        <v>2.3595000000000001E-3</v>
      </c>
      <c r="I1081">
        <v>2.8327999999999999E-3</v>
      </c>
    </row>
    <row r="1082" spans="1:9" x14ac:dyDescent="0.25">
      <c r="A1082" s="104" t="str">
        <f t="shared" si="16"/>
        <v>Uganda2011NationalOtherImplant</v>
      </c>
      <c r="B1082" t="s">
        <v>154</v>
      </c>
      <c r="C1082">
        <v>2011</v>
      </c>
      <c r="D1082" t="s">
        <v>178</v>
      </c>
      <c r="E1082" t="s">
        <v>116</v>
      </c>
      <c r="F1082" t="s">
        <v>23</v>
      </c>
      <c r="I1082">
        <v>8.2100000000000003E-5</v>
      </c>
    </row>
    <row r="1083" spans="1:9" x14ac:dyDescent="0.25">
      <c r="A1083" s="104" t="str">
        <f t="shared" si="16"/>
        <v>Uganda2011NationalImplant</v>
      </c>
      <c r="B1083" t="s">
        <v>154</v>
      </c>
      <c r="C1083">
        <v>2011</v>
      </c>
      <c r="D1083" t="s">
        <v>178</v>
      </c>
      <c r="F1083" t="s">
        <v>23</v>
      </c>
      <c r="G1083">
        <v>1.3210000000000001E-4</v>
      </c>
      <c r="H1083">
        <v>4.0099999999999999E-5</v>
      </c>
    </row>
    <row r="1084" spans="1:9" x14ac:dyDescent="0.25">
      <c r="A1084" s="104" t="str">
        <f t="shared" si="16"/>
        <v>Uganda2011UrbanPub_MedImplant</v>
      </c>
      <c r="B1084" t="s">
        <v>154</v>
      </c>
      <c r="C1084">
        <v>2011</v>
      </c>
      <c r="D1084" t="s">
        <v>20</v>
      </c>
      <c r="E1084" t="s">
        <v>52</v>
      </c>
      <c r="F1084" t="s">
        <v>23</v>
      </c>
      <c r="G1084">
        <v>1.0684000000000001E-2</v>
      </c>
      <c r="H1084">
        <v>2.0420000000000001E-2</v>
      </c>
      <c r="I1084">
        <v>6.6162E-3</v>
      </c>
    </row>
    <row r="1085" spans="1:9" x14ac:dyDescent="0.25">
      <c r="A1085" s="104" t="str">
        <f t="shared" si="16"/>
        <v>Uganda2011UrbanCommercialImplant</v>
      </c>
      <c r="B1085" t="s">
        <v>154</v>
      </c>
      <c r="C1085">
        <v>2011</v>
      </c>
      <c r="D1085" t="s">
        <v>20</v>
      </c>
      <c r="E1085" t="s">
        <v>59</v>
      </c>
      <c r="F1085" t="s">
        <v>23</v>
      </c>
      <c r="G1085">
        <v>4.0654000000000003E-3</v>
      </c>
      <c r="H1085">
        <v>2.0736999999999999E-3</v>
      </c>
      <c r="I1085">
        <v>3.9619E-3</v>
      </c>
    </row>
    <row r="1086" spans="1:9" x14ac:dyDescent="0.25">
      <c r="A1086" s="104" t="str">
        <f t="shared" si="16"/>
        <v>Uganda2011UrbanOtherImplant</v>
      </c>
      <c r="B1086" t="s">
        <v>154</v>
      </c>
      <c r="C1086">
        <v>2011</v>
      </c>
      <c r="D1086" t="s">
        <v>20</v>
      </c>
      <c r="E1086" t="s">
        <v>116</v>
      </c>
      <c r="F1086" t="s">
        <v>23</v>
      </c>
      <c r="I1086">
        <v>1.148E-4</v>
      </c>
    </row>
    <row r="1087" spans="1:9" x14ac:dyDescent="0.25">
      <c r="A1087" s="104" t="str">
        <f t="shared" si="16"/>
        <v>Uganda2011UrbanImplant</v>
      </c>
      <c r="B1087" t="s">
        <v>154</v>
      </c>
      <c r="C1087">
        <v>2011</v>
      </c>
      <c r="D1087" t="s">
        <v>20</v>
      </c>
      <c r="F1087" t="s">
        <v>23</v>
      </c>
      <c r="H1087">
        <v>1.6440000000000001E-4</v>
      </c>
    </row>
    <row r="1088" spans="1:9" x14ac:dyDescent="0.25">
      <c r="A1088" s="104" t="str">
        <f t="shared" si="16"/>
        <v>Uganda2011RuralPub_MedImplant</v>
      </c>
      <c r="B1088" t="s">
        <v>154</v>
      </c>
      <c r="C1088">
        <v>2011</v>
      </c>
      <c r="D1088" t="s">
        <v>21</v>
      </c>
      <c r="E1088" t="s">
        <v>52</v>
      </c>
      <c r="F1088" t="s">
        <v>23</v>
      </c>
      <c r="G1088">
        <v>1.6329699999999999E-2</v>
      </c>
      <c r="H1088">
        <v>1.74506E-2</v>
      </c>
      <c r="I1088">
        <v>2.1850700000000001E-2</v>
      </c>
    </row>
    <row r="1089" spans="1:9" x14ac:dyDescent="0.25">
      <c r="A1089" s="104" t="str">
        <f t="shared" si="16"/>
        <v>Uganda2011RuralPub_OutreachImplant</v>
      </c>
      <c r="B1089" t="s">
        <v>154</v>
      </c>
      <c r="C1089">
        <v>2011</v>
      </c>
      <c r="D1089" t="s">
        <v>21</v>
      </c>
      <c r="E1089" t="s">
        <v>54</v>
      </c>
      <c r="F1089" t="s">
        <v>23</v>
      </c>
      <c r="G1089">
        <v>8.1099999999999998E-4</v>
      </c>
    </row>
    <row r="1090" spans="1:9" x14ac:dyDescent="0.25">
      <c r="A1090" s="104" t="str">
        <f t="shared" si="16"/>
        <v>Uganda2011RuralNGOImplant</v>
      </c>
      <c r="B1090" t="s">
        <v>154</v>
      </c>
      <c r="C1090">
        <v>2011</v>
      </c>
      <c r="D1090" t="s">
        <v>21</v>
      </c>
      <c r="E1090" t="s">
        <v>170</v>
      </c>
      <c r="F1090" t="s">
        <v>23</v>
      </c>
      <c r="G1090">
        <v>5.4750000000000003E-4</v>
      </c>
      <c r="H1090">
        <v>7.8129999999999996E-4</v>
      </c>
    </row>
    <row r="1091" spans="1:9" x14ac:dyDescent="0.25">
      <c r="A1091" s="104" t="str">
        <f t="shared" ref="A1091:A1154" si="17">B1091&amp;C1091&amp;D1091&amp;E1091&amp;F1091</f>
        <v>Uganda2011RuralCommercialImplant</v>
      </c>
      <c r="B1091" t="s">
        <v>154</v>
      </c>
      <c r="C1091">
        <v>2011</v>
      </c>
      <c r="D1091" t="s">
        <v>21</v>
      </c>
      <c r="E1091" t="s">
        <v>59</v>
      </c>
      <c r="F1091" t="s">
        <v>23</v>
      </c>
      <c r="G1091">
        <v>2.0197000000000001E-3</v>
      </c>
      <c r="H1091">
        <v>2.4516E-3</v>
      </c>
    </row>
    <row r="1092" spans="1:9" x14ac:dyDescent="0.25">
      <c r="A1092" s="104" t="str">
        <f t="shared" si="17"/>
        <v>Uganda2011RuralImplant</v>
      </c>
      <c r="B1092" t="s">
        <v>154</v>
      </c>
      <c r="C1092">
        <v>2011</v>
      </c>
      <c r="D1092" t="s">
        <v>21</v>
      </c>
      <c r="F1092" t="s">
        <v>23</v>
      </c>
      <c r="G1092">
        <v>1.3630000000000001E-4</v>
      </c>
    </row>
    <row r="1093" spans="1:9" x14ac:dyDescent="0.25">
      <c r="A1093" s="104" t="str">
        <f t="shared" si="17"/>
        <v>Uganda2016NationalPub_MedPill</v>
      </c>
      <c r="B1093" t="s">
        <v>154</v>
      </c>
      <c r="C1093">
        <v>2016</v>
      </c>
      <c r="D1093" t="s">
        <v>178</v>
      </c>
      <c r="E1093" t="s">
        <v>52</v>
      </c>
      <c r="F1093" t="s">
        <v>12</v>
      </c>
      <c r="G1093">
        <v>3.2149000000000001E-3</v>
      </c>
      <c r="H1093">
        <v>4.7689999999999998E-3</v>
      </c>
      <c r="I1093">
        <v>2.9504000000000002E-3</v>
      </c>
    </row>
    <row r="1094" spans="1:9" x14ac:dyDescent="0.25">
      <c r="A1094" s="104" t="str">
        <f t="shared" si="17"/>
        <v>Uganda2016NationalPub_OutreachPill</v>
      </c>
      <c r="B1094" t="s">
        <v>154</v>
      </c>
      <c r="C1094">
        <v>2016</v>
      </c>
      <c r="D1094" t="s">
        <v>178</v>
      </c>
      <c r="E1094" t="s">
        <v>54</v>
      </c>
      <c r="F1094" t="s">
        <v>12</v>
      </c>
      <c r="G1094">
        <v>1.141E-4</v>
      </c>
      <c r="H1094">
        <v>3.411E-4</v>
      </c>
    </row>
    <row r="1095" spans="1:9" x14ac:dyDescent="0.25">
      <c r="A1095" s="104" t="str">
        <f t="shared" si="17"/>
        <v>Uganda2016NationalNGOPill</v>
      </c>
      <c r="B1095" t="s">
        <v>154</v>
      </c>
      <c r="C1095">
        <v>2016</v>
      </c>
      <c r="D1095" t="s">
        <v>178</v>
      </c>
      <c r="E1095" t="s">
        <v>170</v>
      </c>
      <c r="F1095" t="s">
        <v>12</v>
      </c>
      <c r="G1095">
        <v>6.6099999999999994E-5</v>
      </c>
      <c r="I1095">
        <v>2.6600000000000001E-4</v>
      </c>
    </row>
    <row r="1096" spans="1:9" x14ac:dyDescent="0.25">
      <c r="A1096" s="104" t="str">
        <f t="shared" si="17"/>
        <v>Uganda2016NationalCommercialPill</v>
      </c>
      <c r="B1096" t="s">
        <v>154</v>
      </c>
      <c r="C1096">
        <v>2016</v>
      </c>
      <c r="D1096" t="s">
        <v>178</v>
      </c>
      <c r="E1096" t="s">
        <v>59</v>
      </c>
      <c r="F1096" t="s">
        <v>12</v>
      </c>
      <c r="G1096">
        <v>6.1603999999999999E-3</v>
      </c>
      <c r="H1096">
        <v>1.8616799999999999E-2</v>
      </c>
      <c r="I1096">
        <v>2.3780300000000001E-2</v>
      </c>
    </row>
    <row r="1097" spans="1:9" x14ac:dyDescent="0.25">
      <c r="A1097" s="104" t="str">
        <f t="shared" si="17"/>
        <v>Uganda2016NationalOtherPill</v>
      </c>
      <c r="B1097" t="s">
        <v>154</v>
      </c>
      <c r="C1097">
        <v>2016</v>
      </c>
      <c r="D1097" t="s">
        <v>178</v>
      </c>
      <c r="E1097" t="s">
        <v>116</v>
      </c>
      <c r="F1097" t="s">
        <v>12</v>
      </c>
      <c r="G1097">
        <v>7.0599999999999995E-5</v>
      </c>
    </row>
    <row r="1098" spans="1:9" x14ac:dyDescent="0.25">
      <c r="A1098" s="104" t="str">
        <f t="shared" si="17"/>
        <v>Uganda2016UrbanPub_MedPill</v>
      </c>
      <c r="B1098" t="s">
        <v>154</v>
      </c>
      <c r="C1098">
        <v>2016</v>
      </c>
      <c r="D1098" t="s">
        <v>20</v>
      </c>
      <c r="E1098" t="s">
        <v>52</v>
      </c>
      <c r="F1098" t="s">
        <v>12</v>
      </c>
      <c r="G1098">
        <v>5.5208000000000002E-3</v>
      </c>
      <c r="H1098">
        <v>5.7517999999999996E-3</v>
      </c>
      <c r="I1098">
        <v>3.8944000000000001E-3</v>
      </c>
    </row>
    <row r="1099" spans="1:9" x14ac:dyDescent="0.25">
      <c r="A1099" s="104" t="str">
        <f t="shared" si="17"/>
        <v>Uganda2016UrbanPub_OutreachPill</v>
      </c>
      <c r="B1099" t="s">
        <v>154</v>
      </c>
      <c r="C1099">
        <v>2016</v>
      </c>
      <c r="D1099" t="s">
        <v>20</v>
      </c>
      <c r="E1099" t="s">
        <v>54</v>
      </c>
      <c r="F1099" t="s">
        <v>12</v>
      </c>
      <c r="G1099">
        <v>1.1933E-3</v>
      </c>
      <c r="H1099">
        <v>6.8939999999999995E-4</v>
      </c>
    </row>
    <row r="1100" spans="1:9" x14ac:dyDescent="0.25">
      <c r="A1100" s="104" t="str">
        <f t="shared" si="17"/>
        <v>Uganda2016UrbanNGOPill</v>
      </c>
      <c r="B1100" t="s">
        <v>154</v>
      </c>
      <c r="C1100">
        <v>2016</v>
      </c>
      <c r="D1100" t="s">
        <v>20</v>
      </c>
      <c r="E1100" t="s">
        <v>170</v>
      </c>
      <c r="F1100" t="s">
        <v>12</v>
      </c>
      <c r="G1100">
        <v>6.9110000000000005E-4</v>
      </c>
      <c r="I1100">
        <v>3.5120000000000003E-4</v>
      </c>
    </row>
    <row r="1101" spans="1:9" x14ac:dyDescent="0.25">
      <c r="A1101" s="104" t="str">
        <f t="shared" si="17"/>
        <v>Uganda2016UrbanCommercialPill</v>
      </c>
      <c r="B1101" t="s">
        <v>154</v>
      </c>
      <c r="C1101">
        <v>2016</v>
      </c>
      <c r="D1101" t="s">
        <v>20</v>
      </c>
      <c r="E1101" t="s">
        <v>59</v>
      </c>
      <c r="F1101" t="s">
        <v>12</v>
      </c>
      <c r="G1101">
        <v>1.32817E-2</v>
      </c>
      <c r="H1101">
        <v>2.45965E-2</v>
      </c>
      <c r="I1101">
        <v>2.6773000000000002E-2</v>
      </c>
    </row>
    <row r="1102" spans="1:9" x14ac:dyDescent="0.25">
      <c r="A1102" s="104" t="str">
        <f t="shared" si="17"/>
        <v>Uganda2016RuralPub_MedPill</v>
      </c>
      <c r="B1102" t="s">
        <v>154</v>
      </c>
      <c r="C1102">
        <v>2016</v>
      </c>
      <c r="D1102" t="s">
        <v>21</v>
      </c>
      <c r="E1102" t="s">
        <v>52</v>
      </c>
      <c r="F1102" t="s">
        <v>12</v>
      </c>
      <c r="G1102">
        <v>2.9711999999999998E-3</v>
      </c>
      <c r="H1102">
        <v>4.0745E-3</v>
      </c>
    </row>
    <row r="1103" spans="1:9" x14ac:dyDescent="0.25">
      <c r="A1103" s="104" t="str">
        <f t="shared" si="17"/>
        <v>Uganda2016RuralPub_OutreachPill</v>
      </c>
      <c r="B1103" t="s">
        <v>154</v>
      </c>
      <c r="C1103">
        <v>2016</v>
      </c>
      <c r="D1103" t="s">
        <v>21</v>
      </c>
      <c r="E1103" t="s">
        <v>54</v>
      </c>
      <c r="F1103" t="s">
        <v>12</v>
      </c>
      <c r="H1103">
        <v>9.5000000000000005E-5</v>
      </c>
    </row>
    <row r="1104" spans="1:9" x14ac:dyDescent="0.25">
      <c r="A1104" s="104" t="str">
        <f t="shared" si="17"/>
        <v>Uganda2016RuralCommercialPill</v>
      </c>
      <c r="B1104" t="s">
        <v>154</v>
      </c>
      <c r="C1104">
        <v>2016</v>
      </c>
      <c r="D1104" t="s">
        <v>21</v>
      </c>
      <c r="E1104" t="s">
        <v>59</v>
      </c>
      <c r="F1104" t="s">
        <v>12</v>
      </c>
      <c r="G1104">
        <v>5.4076999999999997E-3</v>
      </c>
      <c r="H1104">
        <v>1.43911E-2</v>
      </c>
      <c r="I1104">
        <v>1.4426899999999999E-2</v>
      </c>
    </row>
    <row r="1105" spans="1:9" x14ac:dyDescent="0.25">
      <c r="A1105" s="104" t="str">
        <f t="shared" si="17"/>
        <v>Uganda2016RuralOtherPill</v>
      </c>
      <c r="B1105" t="s">
        <v>154</v>
      </c>
      <c r="C1105">
        <v>2016</v>
      </c>
      <c r="D1105" t="s">
        <v>21</v>
      </c>
      <c r="E1105" t="s">
        <v>116</v>
      </c>
      <c r="F1105" t="s">
        <v>12</v>
      </c>
      <c r="G1105">
        <v>7.7999999999999999E-5</v>
      </c>
    </row>
    <row r="1106" spans="1:9" x14ac:dyDescent="0.25">
      <c r="A1106" s="104" t="str">
        <f t="shared" si="17"/>
        <v>Uganda2016NationalPub_MedIUD</v>
      </c>
      <c r="B1106" t="s">
        <v>154</v>
      </c>
      <c r="C1106">
        <v>2016</v>
      </c>
      <c r="D1106" t="s">
        <v>178</v>
      </c>
      <c r="E1106" t="s">
        <v>52</v>
      </c>
      <c r="F1106" t="s">
        <v>16</v>
      </c>
      <c r="G1106">
        <v>6.3118000000000002E-3</v>
      </c>
      <c r="H1106">
        <v>1.0266900000000001E-2</v>
      </c>
      <c r="I1106">
        <v>8.7717999999999997E-3</v>
      </c>
    </row>
    <row r="1107" spans="1:9" x14ac:dyDescent="0.25">
      <c r="A1107" s="104" t="str">
        <f t="shared" si="17"/>
        <v>Uganda2016NationalPub_OutreachIUD</v>
      </c>
      <c r="B1107" t="s">
        <v>154</v>
      </c>
      <c r="C1107">
        <v>2016</v>
      </c>
      <c r="D1107" t="s">
        <v>178</v>
      </c>
      <c r="E1107" t="s">
        <v>54</v>
      </c>
      <c r="F1107" t="s">
        <v>16</v>
      </c>
      <c r="G1107">
        <v>1.2669999999999999E-4</v>
      </c>
      <c r="I1107">
        <v>1.9835999999999999E-3</v>
      </c>
    </row>
    <row r="1108" spans="1:9" x14ac:dyDescent="0.25">
      <c r="A1108" s="104" t="str">
        <f t="shared" si="17"/>
        <v>Uganda2016NationalNGOIUD</v>
      </c>
      <c r="B1108" t="s">
        <v>154</v>
      </c>
      <c r="C1108">
        <v>2016</v>
      </c>
      <c r="D1108" t="s">
        <v>178</v>
      </c>
      <c r="E1108" t="s">
        <v>170</v>
      </c>
      <c r="F1108" t="s">
        <v>16</v>
      </c>
      <c r="G1108">
        <v>1.08E-5</v>
      </c>
      <c r="I1108">
        <v>2.418E-4</v>
      </c>
    </row>
    <row r="1109" spans="1:9" x14ac:dyDescent="0.25">
      <c r="A1109" s="104" t="str">
        <f t="shared" si="17"/>
        <v>Uganda2016NationalCommercialIUD</v>
      </c>
      <c r="B1109" t="s">
        <v>154</v>
      </c>
      <c r="C1109">
        <v>2016</v>
      </c>
      <c r="D1109" t="s">
        <v>178</v>
      </c>
      <c r="E1109" t="s">
        <v>59</v>
      </c>
      <c r="F1109" t="s">
        <v>16</v>
      </c>
      <c r="G1109">
        <v>8.2319999999999995E-4</v>
      </c>
      <c r="H1109">
        <v>3.7068000000000001E-3</v>
      </c>
      <c r="I1109">
        <v>1.2248E-2</v>
      </c>
    </row>
    <row r="1110" spans="1:9" x14ac:dyDescent="0.25">
      <c r="A1110" s="104" t="str">
        <f t="shared" si="17"/>
        <v>Uganda2016UrbanPub_MedIUD</v>
      </c>
      <c r="B1110" t="s">
        <v>154</v>
      </c>
      <c r="C1110">
        <v>2016</v>
      </c>
      <c r="D1110" t="s">
        <v>20</v>
      </c>
      <c r="E1110" t="s">
        <v>52</v>
      </c>
      <c r="F1110" t="s">
        <v>16</v>
      </c>
      <c r="G1110">
        <v>1.0413199999999999E-2</v>
      </c>
      <c r="H1110">
        <v>9.6693999999999999E-3</v>
      </c>
      <c r="I1110">
        <v>7.5874000000000002E-3</v>
      </c>
    </row>
    <row r="1111" spans="1:9" x14ac:dyDescent="0.25">
      <c r="A1111" s="104" t="str">
        <f t="shared" si="17"/>
        <v>Uganda2016UrbanPub_OutreachIUD</v>
      </c>
      <c r="B1111" t="s">
        <v>154</v>
      </c>
      <c r="C1111">
        <v>2016</v>
      </c>
      <c r="D1111" t="s">
        <v>20</v>
      </c>
      <c r="E1111" t="s">
        <v>54</v>
      </c>
      <c r="F1111" t="s">
        <v>16</v>
      </c>
      <c r="I1111">
        <v>4.0499999999999998E-4</v>
      </c>
    </row>
    <row r="1112" spans="1:9" x14ac:dyDescent="0.25">
      <c r="A1112" s="104" t="str">
        <f t="shared" si="17"/>
        <v>Uganda2016UrbanCommercialIUD</v>
      </c>
      <c r="B1112" t="s">
        <v>154</v>
      </c>
      <c r="C1112">
        <v>2016</v>
      </c>
      <c r="D1112" t="s">
        <v>20</v>
      </c>
      <c r="E1112" t="s">
        <v>59</v>
      </c>
      <c r="F1112" t="s">
        <v>16</v>
      </c>
      <c r="G1112">
        <v>2.6172999999999999E-3</v>
      </c>
      <c r="H1112">
        <v>2.3831999999999998E-3</v>
      </c>
      <c r="I1112">
        <v>1.1864700000000001E-2</v>
      </c>
    </row>
    <row r="1113" spans="1:9" x14ac:dyDescent="0.25">
      <c r="A1113" s="104" t="str">
        <f t="shared" si="17"/>
        <v>Uganda2016RuralPub_MedIUD</v>
      </c>
      <c r="B1113" t="s">
        <v>154</v>
      </c>
      <c r="C1113">
        <v>2016</v>
      </c>
      <c r="D1113" t="s">
        <v>21</v>
      </c>
      <c r="E1113" t="s">
        <v>52</v>
      </c>
      <c r="F1113" t="s">
        <v>16</v>
      </c>
      <c r="G1113">
        <v>5.8783000000000004E-3</v>
      </c>
      <c r="H1113">
        <v>1.06891E-2</v>
      </c>
      <c r="I1113">
        <v>1.24735E-2</v>
      </c>
    </row>
    <row r="1114" spans="1:9" x14ac:dyDescent="0.25">
      <c r="A1114" s="104" t="str">
        <f t="shared" si="17"/>
        <v>Uganda2016RuralPub_OutreachIUD</v>
      </c>
      <c r="B1114" t="s">
        <v>154</v>
      </c>
      <c r="C1114">
        <v>2016</v>
      </c>
      <c r="D1114" t="s">
        <v>21</v>
      </c>
      <c r="E1114" t="s">
        <v>54</v>
      </c>
      <c r="F1114" t="s">
        <v>16</v>
      </c>
      <c r="G1114">
        <v>1.4009999999999999E-4</v>
      </c>
      <c r="I1114">
        <v>6.9173999999999998E-3</v>
      </c>
    </row>
    <row r="1115" spans="1:9" x14ac:dyDescent="0.25">
      <c r="A1115" s="104" t="str">
        <f t="shared" si="17"/>
        <v>Uganda2016RuralNGOIUD</v>
      </c>
      <c r="B1115" t="s">
        <v>154</v>
      </c>
      <c r="C1115">
        <v>2016</v>
      </c>
      <c r="D1115" t="s">
        <v>21</v>
      </c>
      <c r="E1115" t="s">
        <v>170</v>
      </c>
      <c r="F1115" t="s">
        <v>16</v>
      </c>
      <c r="G1115">
        <v>1.19E-5</v>
      </c>
      <c r="I1115">
        <v>9.9740000000000007E-4</v>
      </c>
    </row>
    <row r="1116" spans="1:9" x14ac:dyDescent="0.25">
      <c r="A1116" s="104" t="str">
        <f t="shared" si="17"/>
        <v>Uganda2016RuralCommercialIUD</v>
      </c>
      <c r="B1116" t="s">
        <v>154</v>
      </c>
      <c r="C1116">
        <v>2016</v>
      </c>
      <c r="D1116" t="s">
        <v>21</v>
      </c>
      <c r="E1116" t="s">
        <v>59</v>
      </c>
      <c r="F1116" t="s">
        <v>16</v>
      </c>
      <c r="G1116">
        <v>6.3360000000000001E-4</v>
      </c>
      <c r="H1116">
        <v>4.6420999999999997E-3</v>
      </c>
      <c r="I1116">
        <v>1.3445800000000001E-2</v>
      </c>
    </row>
    <row r="1117" spans="1:9" x14ac:dyDescent="0.25">
      <c r="A1117" s="104" t="str">
        <f t="shared" si="17"/>
        <v>Uganda2016NationalPub_MedInjectable</v>
      </c>
      <c r="B1117" t="s">
        <v>154</v>
      </c>
      <c r="C1117">
        <v>2016</v>
      </c>
      <c r="D1117" t="s">
        <v>178</v>
      </c>
      <c r="E1117" t="s">
        <v>52</v>
      </c>
      <c r="F1117" t="s">
        <v>22</v>
      </c>
      <c r="G1117">
        <v>8.1793099999999994E-2</v>
      </c>
      <c r="H1117">
        <v>6.7441299999999996E-2</v>
      </c>
      <c r="I1117">
        <v>4.22931E-2</v>
      </c>
    </row>
    <row r="1118" spans="1:9" x14ac:dyDescent="0.25">
      <c r="A1118" s="104" t="str">
        <f t="shared" si="17"/>
        <v>Uganda2016NationalPub_OutreachInjectable</v>
      </c>
      <c r="B1118" t="s">
        <v>154</v>
      </c>
      <c r="C1118">
        <v>2016</v>
      </c>
      <c r="D1118" t="s">
        <v>178</v>
      </c>
      <c r="E1118" t="s">
        <v>54</v>
      </c>
      <c r="F1118" t="s">
        <v>22</v>
      </c>
      <c r="G1118">
        <v>3.3268999999999998E-3</v>
      </c>
      <c r="H1118">
        <v>2.5309999999999998E-3</v>
      </c>
      <c r="I1118">
        <v>1.0950000000000001E-3</v>
      </c>
    </row>
    <row r="1119" spans="1:9" x14ac:dyDescent="0.25">
      <c r="A1119" s="104" t="str">
        <f t="shared" si="17"/>
        <v>Uganda2016NationalNGOInjectable</v>
      </c>
      <c r="B1119" t="s">
        <v>154</v>
      </c>
      <c r="C1119">
        <v>2016</v>
      </c>
      <c r="D1119" t="s">
        <v>178</v>
      </c>
      <c r="E1119" t="s">
        <v>170</v>
      </c>
      <c r="F1119" t="s">
        <v>22</v>
      </c>
      <c r="G1119">
        <v>1.0422999999999999E-3</v>
      </c>
      <c r="H1119">
        <v>1.1251E-3</v>
      </c>
      <c r="I1119">
        <v>6.2929999999999995E-4</v>
      </c>
    </row>
    <row r="1120" spans="1:9" x14ac:dyDescent="0.25">
      <c r="A1120" s="104" t="str">
        <f t="shared" si="17"/>
        <v>Uganda2016NationalCommercialInjectable</v>
      </c>
      <c r="B1120" t="s">
        <v>154</v>
      </c>
      <c r="C1120">
        <v>2016</v>
      </c>
      <c r="D1120" t="s">
        <v>178</v>
      </c>
      <c r="E1120" t="s">
        <v>59</v>
      </c>
      <c r="F1120" t="s">
        <v>22</v>
      </c>
      <c r="G1120">
        <v>5.0716299999999999E-2</v>
      </c>
      <c r="H1120">
        <v>8.6102700000000004E-2</v>
      </c>
      <c r="I1120">
        <v>8.0829999999999999E-2</v>
      </c>
    </row>
    <row r="1121" spans="1:9" x14ac:dyDescent="0.25">
      <c r="A1121" s="104" t="str">
        <f t="shared" si="17"/>
        <v>Uganda2016NationalOtherInjectable</v>
      </c>
      <c r="B1121" t="s">
        <v>154</v>
      </c>
      <c r="C1121">
        <v>2016</v>
      </c>
      <c r="D1121" t="s">
        <v>178</v>
      </c>
      <c r="E1121" t="s">
        <v>116</v>
      </c>
      <c r="F1121" t="s">
        <v>22</v>
      </c>
      <c r="G1121">
        <v>2.9100000000000003E-4</v>
      </c>
      <c r="H1121">
        <v>4.3110000000000002E-4</v>
      </c>
      <c r="I1121">
        <v>3.4390000000000001E-4</v>
      </c>
    </row>
    <row r="1122" spans="1:9" x14ac:dyDescent="0.25">
      <c r="A1122" s="104" t="str">
        <f t="shared" si="17"/>
        <v>Uganda2016UrbanPub_MedInjectable</v>
      </c>
      <c r="B1122" t="s">
        <v>154</v>
      </c>
      <c r="C1122">
        <v>2016</v>
      </c>
      <c r="D1122" t="s">
        <v>20</v>
      </c>
      <c r="E1122" t="s">
        <v>52</v>
      </c>
      <c r="F1122" t="s">
        <v>22</v>
      </c>
      <c r="G1122">
        <v>7.2808700000000004E-2</v>
      </c>
      <c r="H1122">
        <v>5.7948899999999998E-2</v>
      </c>
      <c r="I1122">
        <v>4.3327400000000002E-2</v>
      </c>
    </row>
    <row r="1123" spans="1:9" x14ac:dyDescent="0.25">
      <c r="A1123" s="104" t="str">
        <f t="shared" si="17"/>
        <v>Uganda2016UrbanPub_OutreachInjectable</v>
      </c>
      <c r="B1123" t="s">
        <v>154</v>
      </c>
      <c r="C1123">
        <v>2016</v>
      </c>
      <c r="D1123" t="s">
        <v>20</v>
      </c>
      <c r="E1123" t="s">
        <v>54</v>
      </c>
      <c r="F1123" t="s">
        <v>22</v>
      </c>
      <c r="G1123">
        <v>1.2715999999999999E-3</v>
      </c>
      <c r="I1123">
        <v>1.4453999999999999E-3</v>
      </c>
    </row>
    <row r="1124" spans="1:9" x14ac:dyDescent="0.25">
      <c r="A1124" s="104" t="str">
        <f t="shared" si="17"/>
        <v>Uganda2016UrbanNGOInjectable</v>
      </c>
      <c r="B1124" t="s">
        <v>154</v>
      </c>
      <c r="C1124">
        <v>2016</v>
      </c>
      <c r="D1124" t="s">
        <v>20</v>
      </c>
      <c r="E1124" t="s">
        <v>170</v>
      </c>
      <c r="F1124" t="s">
        <v>22</v>
      </c>
      <c r="G1124">
        <v>1.2750999999999999E-3</v>
      </c>
      <c r="H1124">
        <v>9.7369999999999998E-4</v>
      </c>
    </row>
    <row r="1125" spans="1:9" x14ac:dyDescent="0.25">
      <c r="A1125" s="104" t="str">
        <f t="shared" si="17"/>
        <v>Uganda2016UrbanCommercialInjectable</v>
      </c>
      <c r="B1125" t="s">
        <v>154</v>
      </c>
      <c r="C1125">
        <v>2016</v>
      </c>
      <c r="D1125" t="s">
        <v>20</v>
      </c>
      <c r="E1125" t="s">
        <v>59</v>
      </c>
      <c r="F1125" t="s">
        <v>22</v>
      </c>
      <c r="G1125">
        <v>3.6130599999999999E-2</v>
      </c>
      <c r="H1125">
        <v>9.2536099999999996E-2</v>
      </c>
      <c r="I1125">
        <v>8.7036100000000005E-2</v>
      </c>
    </row>
    <row r="1126" spans="1:9" x14ac:dyDescent="0.25">
      <c r="A1126" s="104" t="str">
        <f t="shared" si="17"/>
        <v>Uganda2016RuralPub_MedInjectable</v>
      </c>
      <c r="B1126" t="s">
        <v>154</v>
      </c>
      <c r="C1126">
        <v>2016</v>
      </c>
      <c r="D1126" t="s">
        <v>21</v>
      </c>
      <c r="E1126" t="s">
        <v>52</v>
      </c>
      <c r="F1126" t="s">
        <v>22</v>
      </c>
      <c r="G1126">
        <v>8.2742700000000002E-2</v>
      </c>
      <c r="H1126">
        <v>7.4149300000000001E-2</v>
      </c>
      <c r="I1126">
        <v>3.9060299999999999E-2</v>
      </c>
    </row>
    <row r="1127" spans="1:9" x14ac:dyDescent="0.25">
      <c r="A1127" s="104" t="str">
        <f t="shared" si="17"/>
        <v>Uganda2016RuralPub_OutreachInjectable</v>
      </c>
      <c r="B1127" t="s">
        <v>154</v>
      </c>
      <c r="C1127">
        <v>2016</v>
      </c>
      <c r="D1127" t="s">
        <v>21</v>
      </c>
      <c r="E1127" t="s">
        <v>54</v>
      </c>
      <c r="F1127" t="s">
        <v>22</v>
      </c>
      <c r="G1127">
        <v>3.5441000000000001E-3</v>
      </c>
      <c r="H1127">
        <v>4.3195999999999998E-3</v>
      </c>
    </row>
    <row r="1128" spans="1:9" x14ac:dyDescent="0.25">
      <c r="A1128" s="104" t="str">
        <f t="shared" si="17"/>
        <v>Uganda2016RuralNGOInjectable</v>
      </c>
      <c r="B1128" t="s">
        <v>154</v>
      </c>
      <c r="C1128">
        <v>2016</v>
      </c>
      <c r="D1128" t="s">
        <v>21</v>
      </c>
      <c r="E1128" t="s">
        <v>170</v>
      </c>
      <c r="F1128" t="s">
        <v>22</v>
      </c>
      <c r="G1128">
        <v>1.0177000000000001E-3</v>
      </c>
      <c r="H1128">
        <v>1.232E-3</v>
      </c>
      <c r="I1128">
        <v>2.5963000000000002E-3</v>
      </c>
    </row>
    <row r="1129" spans="1:9" x14ac:dyDescent="0.25">
      <c r="A1129" s="104" t="str">
        <f t="shared" si="17"/>
        <v>Uganda2016RuralCommercialInjectable</v>
      </c>
      <c r="B1129" t="s">
        <v>154</v>
      </c>
      <c r="C1129">
        <v>2016</v>
      </c>
      <c r="D1129" t="s">
        <v>21</v>
      </c>
      <c r="E1129" t="s">
        <v>59</v>
      </c>
      <c r="F1129" t="s">
        <v>22</v>
      </c>
      <c r="G1129">
        <v>5.2257900000000003E-2</v>
      </c>
      <c r="H1129">
        <v>8.1556500000000004E-2</v>
      </c>
      <c r="I1129">
        <v>6.1433500000000002E-2</v>
      </c>
    </row>
    <row r="1130" spans="1:9" x14ac:dyDescent="0.25">
      <c r="A1130" s="104" t="str">
        <f t="shared" si="17"/>
        <v>Uganda2016RuralOtherInjectable</v>
      </c>
      <c r="B1130" t="s">
        <v>154</v>
      </c>
      <c r="C1130">
        <v>2016</v>
      </c>
      <c r="D1130" t="s">
        <v>21</v>
      </c>
      <c r="E1130" t="s">
        <v>116</v>
      </c>
      <c r="F1130" t="s">
        <v>22</v>
      </c>
      <c r="G1130">
        <v>3.2180000000000002E-4</v>
      </c>
      <c r="H1130">
        <v>7.358E-4</v>
      </c>
      <c r="I1130">
        <v>1.4187E-3</v>
      </c>
    </row>
    <row r="1131" spans="1:9" x14ac:dyDescent="0.25">
      <c r="A1131" s="104" t="str">
        <f t="shared" si="17"/>
        <v>Uganda2016NationalPub_MedCondom</v>
      </c>
      <c r="B1131" t="s">
        <v>154</v>
      </c>
      <c r="C1131">
        <v>2016</v>
      </c>
      <c r="D1131" t="s">
        <v>178</v>
      </c>
      <c r="E1131" t="s">
        <v>52</v>
      </c>
      <c r="F1131" t="s">
        <v>25</v>
      </c>
      <c r="G1131">
        <v>1.0919099999999999E-2</v>
      </c>
      <c r="H1131">
        <v>1.6910499999999998E-2</v>
      </c>
      <c r="I1131">
        <v>1.26883E-2</v>
      </c>
    </row>
    <row r="1132" spans="1:9" x14ac:dyDescent="0.25">
      <c r="A1132" s="104" t="str">
        <f t="shared" si="17"/>
        <v>Uganda2016NationalPub_OutreachCondom</v>
      </c>
      <c r="B1132" t="s">
        <v>154</v>
      </c>
      <c r="C1132">
        <v>2016</v>
      </c>
      <c r="D1132" t="s">
        <v>178</v>
      </c>
      <c r="E1132" t="s">
        <v>54</v>
      </c>
      <c r="F1132" t="s">
        <v>25</v>
      </c>
      <c r="G1132">
        <v>8.8500000000000004E-4</v>
      </c>
      <c r="H1132">
        <v>4.6030000000000002E-4</v>
      </c>
      <c r="I1132">
        <v>1.4188E-3</v>
      </c>
    </row>
    <row r="1133" spans="1:9" x14ac:dyDescent="0.25">
      <c r="A1133" s="104" t="str">
        <f t="shared" si="17"/>
        <v>Uganda2016NationalNGOCondom</v>
      </c>
      <c r="B1133" t="s">
        <v>154</v>
      </c>
      <c r="C1133">
        <v>2016</v>
      </c>
      <c r="D1133" t="s">
        <v>178</v>
      </c>
      <c r="E1133" t="s">
        <v>170</v>
      </c>
      <c r="F1133" t="s">
        <v>25</v>
      </c>
      <c r="G1133">
        <v>2.096E-4</v>
      </c>
      <c r="I1133">
        <v>1.2537E-3</v>
      </c>
    </row>
    <row r="1134" spans="1:9" x14ac:dyDescent="0.25">
      <c r="A1134" s="104" t="str">
        <f t="shared" si="17"/>
        <v>Uganda2016NationalCommercialCondom</v>
      </c>
      <c r="B1134" t="s">
        <v>154</v>
      </c>
      <c r="C1134">
        <v>2016</v>
      </c>
      <c r="D1134" t="s">
        <v>178</v>
      </c>
      <c r="E1134" t="s">
        <v>59</v>
      </c>
      <c r="F1134" t="s">
        <v>25</v>
      </c>
      <c r="G1134">
        <v>7.2709999999999997E-3</v>
      </c>
      <c r="H1134">
        <v>1.4409E-2</v>
      </c>
      <c r="I1134">
        <v>2.89213E-2</v>
      </c>
    </row>
    <row r="1135" spans="1:9" x14ac:dyDescent="0.25">
      <c r="A1135" s="104" t="str">
        <f t="shared" si="17"/>
        <v>Uganda2016NationalNonTradCondom</v>
      </c>
      <c r="B1135" t="s">
        <v>154</v>
      </c>
      <c r="C1135">
        <v>2016</v>
      </c>
      <c r="D1135" t="s">
        <v>178</v>
      </c>
      <c r="E1135" t="s">
        <v>171</v>
      </c>
      <c r="F1135" t="s">
        <v>25</v>
      </c>
      <c r="G1135">
        <v>1.7633E-3</v>
      </c>
      <c r="H1135">
        <v>2.5436E-3</v>
      </c>
      <c r="I1135">
        <v>8.9882999999999994E-3</v>
      </c>
    </row>
    <row r="1136" spans="1:9" x14ac:dyDescent="0.25">
      <c r="A1136" s="104" t="str">
        <f t="shared" si="17"/>
        <v>Uganda2016NationalOtherCondom</v>
      </c>
      <c r="B1136" t="s">
        <v>154</v>
      </c>
      <c r="C1136">
        <v>2016</v>
      </c>
      <c r="D1136" t="s">
        <v>178</v>
      </c>
      <c r="E1136" t="s">
        <v>116</v>
      </c>
      <c r="F1136" t="s">
        <v>25</v>
      </c>
      <c r="G1136">
        <v>1.5315999999999999E-3</v>
      </c>
      <c r="H1136">
        <v>3.9248E-3</v>
      </c>
      <c r="I1136">
        <v>3.2096E-3</v>
      </c>
    </row>
    <row r="1137" spans="1:9" x14ac:dyDescent="0.25">
      <c r="A1137" s="104" t="str">
        <f t="shared" si="17"/>
        <v>Uganda2016UrbanPub_MedCondom</v>
      </c>
      <c r="B1137" t="s">
        <v>154</v>
      </c>
      <c r="C1137">
        <v>2016</v>
      </c>
      <c r="D1137" t="s">
        <v>20</v>
      </c>
      <c r="E1137" t="s">
        <v>52</v>
      </c>
      <c r="F1137" t="s">
        <v>25</v>
      </c>
      <c r="G1137">
        <v>7.5909999999999997E-3</v>
      </c>
      <c r="H1137">
        <v>2.06375E-2</v>
      </c>
      <c r="I1137">
        <v>1.2252900000000001E-2</v>
      </c>
    </row>
    <row r="1138" spans="1:9" x14ac:dyDescent="0.25">
      <c r="A1138" s="104" t="str">
        <f t="shared" si="17"/>
        <v>Uganda2016UrbanPub_OutreachCondom</v>
      </c>
      <c r="B1138" t="s">
        <v>154</v>
      </c>
      <c r="C1138">
        <v>2016</v>
      </c>
      <c r="D1138" t="s">
        <v>20</v>
      </c>
      <c r="E1138" t="s">
        <v>54</v>
      </c>
      <c r="F1138" t="s">
        <v>25</v>
      </c>
      <c r="G1138">
        <v>1.4088E-3</v>
      </c>
      <c r="H1138">
        <v>6.8939999999999995E-4</v>
      </c>
      <c r="I1138">
        <v>1.8728E-3</v>
      </c>
    </row>
    <row r="1139" spans="1:9" x14ac:dyDescent="0.25">
      <c r="A1139" s="104" t="str">
        <f t="shared" si="17"/>
        <v>Uganda2016UrbanCommercialCondom</v>
      </c>
      <c r="B1139" t="s">
        <v>154</v>
      </c>
      <c r="C1139">
        <v>2016</v>
      </c>
      <c r="D1139" t="s">
        <v>20</v>
      </c>
      <c r="E1139" t="s">
        <v>59</v>
      </c>
      <c r="F1139" t="s">
        <v>25</v>
      </c>
      <c r="G1139">
        <v>7.4165000000000003E-3</v>
      </c>
      <c r="H1139">
        <v>1.6925699999999998E-2</v>
      </c>
      <c r="I1139">
        <v>3.29389E-2</v>
      </c>
    </row>
    <row r="1140" spans="1:9" x14ac:dyDescent="0.25">
      <c r="A1140" s="104" t="str">
        <f t="shared" si="17"/>
        <v>Uganda2016UrbanNonTradCondom</v>
      </c>
      <c r="B1140" t="s">
        <v>154</v>
      </c>
      <c r="C1140">
        <v>2016</v>
      </c>
      <c r="D1140" t="s">
        <v>20</v>
      </c>
      <c r="E1140" t="s">
        <v>171</v>
      </c>
      <c r="F1140" t="s">
        <v>25</v>
      </c>
      <c r="G1140">
        <v>2.977E-3</v>
      </c>
      <c r="H1140">
        <v>4.0390000000000001E-3</v>
      </c>
      <c r="I1140">
        <v>1.1864100000000001E-2</v>
      </c>
    </row>
    <row r="1141" spans="1:9" x14ac:dyDescent="0.25">
      <c r="A1141" s="104" t="str">
        <f t="shared" si="17"/>
        <v>Uganda2016UrbanOtherCondom</v>
      </c>
      <c r="B1141" t="s">
        <v>154</v>
      </c>
      <c r="C1141">
        <v>2016</v>
      </c>
      <c r="D1141" t="s">
        <v>20</v>
      </c>
      <c r="E1141" t="s">
        <v>116</v>
      </c>
      <c r="F1141" t="s">
        <v>25</v>
      </c>
      <c r="G1141">
        <v>1.3341E-3</v>
      </c>
      <c r="H1141">
        <v>3.9506000000000003E-3</v>
      </c>
      <c r="I1141">
        <v>2.9805999999999999E-3</v>
      </c>
    </row>
    <row r="1142" spans="1:9" x14ac:dyDescent="0.25">
      <c r="A1142" s="104" t="str">
        <f t="shared" si="17"/>
        <v>Uganda2016RuralPub_MedCondom</v>
      </c>
      <c r="B1142" t="s">
        <v>154</v>
      </c>
      <c r="C1142">
        <v>2016</v>
      </c>
      <c r="D1142" t="s">
        <v>21</v>
      </c>
      <c r="E1142" t="s">
        <v>52</v>
      </c>
      <c r="F1142" t="s">
        <v>25</v>
      </c>
      <c r="G1142">
        <v>1.12709E-2</v>
      </c>
      <c r="H1142">
        <v>1.42767E-2</v>
      </c>
      <c r="I1142">
        <v>1.40488E-2</v>
      </c>
    </row>
    <row r="1143" spans="1:9" x14ac:dyDescent="0.25">
      <c r="A1143" s="104" t="str">
        <f t="shared" si="17"/>
        <v>Uganda2016RuralPub_OutreachCondom</v>
      </c>
      <c r="B1143" t="s">
        <v>154</v>
      </c>
      <c r="C1143">
        <v>2016</v>
      </c>
      <c r="D1143" t="s">
        <v>21</v>
      </c>
      <c r="E1143" t="s">
        <v>54</v>
      </c>
      <c r="F1143" t="s">
        <v>25</v>
      </c>
      <c r="G1143">
        <v>8.2969999999999995E-4</v>
      </c>
      <c r="H1143">
        <v>2.9839999999999999E-4</v>
      </c>
    </row>
    <row r="1144" spans="1:9" x14ac:dyDescent="0.25">
      <c r="A1144" s="104" t="str">
        <f t="shared" si="17"/>
        <v>Uganda2016RuralNGOCondom</v>
      </c>
      <c r="B1144" t="s">
        <v>154</v>
      </c>
      <c r="C1144">
        <v>2016</v>
      </c>
      <c r="D1144" t="s">
        <v>21</v>
      </c>
      <c r="E1144" t="s">
        <v>170</v>
      </c>
      <c r="F1144" t="s">
        <v>25</v>
      </c>
      <c r="G1144">
        <v>2.3169999999999999E-4</v>
      </c>
      <c r="I1144">
        <v>5.1720000000000004E-3</v>
      </c>
    </row>
    <row r="1145" spans="1:9" x14ac:dyDescent="0.25">
      <c r="A1145" s="104" t="str">
        <f t="shared" si="17"/>
        <v>Uganda2016RuralCommercialCondom</v>
      </c>
      <c r="B1145" t="s">
        <v>154</v>
      </c>
      <c r="C1145">
        <v>2016</v>
      </c>
      <c r="D1145" t="s">
        <v>21</v>
      </c>
      <c r="E1145" t="s">
        <v>59</v>
      </c>
      <c r="F1145" t="s">
        <v>25</v>
      </c>
      <c r="G1145">
        <v>7.2557000000000003E-3</v>
      </c>
      <c r="H1145">
        <v>1.2630499999999999E-2</v>
      </c>
      <c r="I1145">
        <v>1.6364400000000001E-2</v>
      </c>
    </row>
    <row r="1146" spans="1:9" x14ac:dyDescent="0.25">
      <c r="A1146" s="104" t="str">
        <f t="shared" si="17"/>
        <v>Uganda2016RuralNonTradCondom</v>
      </c>
      <c r="B1146" t="s">
        <v>154</v>
      </c>
      <c r="C1146">
        <v>2016</v>
      </c>
      <c r="D1146" t="s">
        <v>21</v>
      </c>
      <c r="E1146" t="s">
        <v>171</v>
      </c>
      <c r="F1146" t="s">
        <v>25</v>
      </c>
      <c r="G1146">
        <v>1.6351E-3</v>
      </c>
      <c r="H1146">
        <v>1.4869E-3</v>
      </c>
    </row>
    <row r="1147" spans="1:9" x14ac:dyDescent="0.25">
      <c r="A1147" s="104" t="str">
        <f t="shared" si="17"/>
        <v>Uganda2016RuralOtherCondom</v>
      </c>
      <c r="B1147" t="s">
        <v>154</v>
      </c>
      <c r="C1147">
        <v>2016</v>
      </c>
      <c r="D1147" t="s">
        <v>21</v>
      </c>
      <c r="E1147" t="s">
        <v>116</v>
      </c>
      <c r="F1147" t="s">
        <v>25</v>
      </c>
      <c r="G1147">
        <v>1.5524E-3</v>
      </c>
      <c r="H1147">
        <v>3.9066999999999999E-3</v>
      </c>
      <c r="I1147">
        <v>3.9250999999999999E-3</v>
      </c>
    </row>
    <row r="1148" spans="1:9" x14ac:dyDescent="0.25">
      <c r="A1148" s="104" t="str">
        <f t="shared" si="17"/>
        <v>Uganda2016NationalPub_MedImplant</v>
      </c>
      <c r="B1148" t="s">
        <v>154</v>
      </c>
      <c r="C1148">
        <v>2016</v>
      </c>
      <c r="D1148" t="s">
        <v>178</v>
      </c>
      <c r="E1148" t="s">
        <v>52</v>
      </c>
      <c r="F1148" t="s">
        <v>23</v>
      </c>
      <c r="G1148">
        <v>4.0588899999999997E-2</v>
      </c>
      <c r="H1148">
        <v>3.49053E-2</v>
      </c>
      <c r="I1148">
        <v>2.4052400000000002E-2</v>
      </c>
    </row>
    <row r="1149" spans="1:9" x14ac:dyDescent="0.25">
      <c r="A1149" s="104" t="str">
        <f t="shared" si="17"/>
        <v>Uganda2016NationalPub_OutreachImplant</v>
      </c>
      <c r="B1149" t="s">
        <v>154</v>
      </c>
      <c r="C1149">
        <v>2016</v>
      </c>
      <c r="D1149" t="s">
        <v>178</v>
      </c>
      <c r="E1149" t="s">
        <v>54</v>
      </c>
      <c r="F1149" t="s">
        <v>23</v>
      </c>
      <c r="G1149">
        <v>1.3181E-3</v>
      </c>
      <c r="H1149">
        <v>6.1732000000000002E-3</v>
      </c>
      <c r="I1149">
        <v>1.4242E-3</v>
      </c>
    </row>
    <row r="1150" spans="1:9" x14ac:dyDescent="0.25">
      <c r="A1150" s="104" t="str">
        <f t="shared" si="17"/>
        <v>Uganda2016NationalNGOImplant</v>
      </c>
      <c r="B1150" t="s">
        <v>154</v>
      </c>
      <c r="C1150">
        <v>2016</v>
      </c>
      <c r="D1150" t="s">
        <v>178</v>
      </c>
      <c r="E1150" t="s">
        <v>170</v>
      </c>
      <c r="F1150" t="s">
        <v>23</v>
      </c>
      <c r="G1150">
        <v>5.5800000000000001E-4</v>
      </c>
      <c r="H1150">
        <v>1.9635999999999998E-3</v>
      </c>
      <c r="I1150">
        <v>4.1459999999999999E-4</v>
      </c>
    </row>
    <row r="1151" spans="1:9" x14ac:dyDescent="0.25">
      <c r="A1151" s="104" t="str">
        <f t="shared" si="17"/>
        <v>Uganda2016NationalCommercialImplant</v>
      </c>
      <c r="B1151" t="s">
        <v>154</v>
      </c>
      <c r="C1151">
        <v>2016</v>
      </c>
      <c r="D1151" t="s">
        <v>178</v>
      </c>
      <c r="E1151" t="s">
        <v>59</v>
      </c>
      <c r="F1151" t="s">
        <v>23</v>
      </c>
      <c r="G1151">
        <v>5.8260999999999999E-3</v>
      </c>
      <c r="H1151">
        <v>9.6398999999999999E-3</v>
      </c>
      <c r="I1151">
        <v>1.0602E-2</v>
      </c>
    </row>
    <row r="1152" spans="1:9" x14ac:dyDescent="0.25">
      <c r="A1152" s="104" t="str">
        <f t="shared" si="17"/>
        <v>Uganda2016NationalOtherImplant</v>
      </c>
      <c r="B1152" t="s">
        <v>154</v>
      </c>
      <c r="C1152">
        <v>2016</v>
      </c>
      <c r="D1152" t="s">
        <v>178</v>
      </c>
      <c r="E1152" t="s">
        <v>116</v>
      </c>
      <c r="F1152" t="s">
        <v>23</v>
      </c>
      <c r="G1152">
        <v>8.8999999999999995E-5</v>
      </c>
    </row>
    <row r="1153" spans="1:9" x14ac:dyDescent="0.25">
      <c r="A1153" s="104" t="str">
        <f t="shared" si="17"/>
        <v>Uganda2016UrbanPub_MedImplant</v>
      </c>
      <c r="B1153" t="s">
        <v>154</v>
      </c>
      <c r="C1153">
        <v>2016</v>
      </c>
      <c r="D1153" t="s">
        <v>20</v>
      </c>
      <c r="E1153" t="s">
        <v>52</v>
      </c>
      <c r="F1153" t="s">
        <v>23</v>
      </c>
      <c r="G1153">
        <v>5.76932E-2</v>
      </c>
      <c r="H1153">
        <v>3.41739E-2</v>
      </c>
      <c r="I1153">
        <v>2.7463000000000001E-2</v>
      </c>
    </row>
    <row r="1154" spans="1:9" x14ac:dyDescent="0.25">
      <c r="A1154" s="104" t="str">
        <f t="shared" si="17"/>
        <v>Uganda2016UrbanPub_OutreachImplant</v>
      </c>
      <c r="B1154" t="s">
        <v>154</v>
      </c>
      <c r="C1154">
        <v>2016</v>
      </c>
      <c r="D1154" t="s">
        <v>20</v>
      </c>
      <c r="E1154" t="s">
        <v>54</v>
      </c>
      <c r="F1154" t="s">
        <v>23</v>
      </c>
      <c r="G1154">
        <v>8.9249999999999996E-4</v>
      </c>
      <c r="H1154">
        <v>7.6198999999999998E-3</v>
      </c>
      <c r="I1154">
        <v>1.8798E-3</v>
      </c>
    </row>
    <row r="1155" spans="1:9" x14ac:dyDescent="0.25">
      <c r="A1155" s="104" t="str">
        <f t="shared" ref="A1155:A1161" si="18">B1155&amp;C1155&amp;D1155&amp;E1155&amp;F1155</f>
        <v>Uganda2016UrbanNGOImplant</v>
      </c>
      <c r="B1155" t="s">
        <v>154</v>
      </c>
      <c r="C1155">
        <v>2016</v>
      </c>
      <c r="D1155" t="s">
        <v>20</v>
      </c>
      <c r="E1155" t="s">
        <v>170</v>
      </c>
      <c r="F1155" t="s">
        <v>23</v>
      </c>
      <c r="G1155">
        <v>6.7650000000000002E-4</v>
      </c>
      <c r="H1155">
        <v>2.1846999999999999E-3</v>
      </c>
      <c r="I1155">
        <v>5.4730000000000002E-4</v>
      </c>
    </row>
    <row r="1156" spans="1:9" x14ac:dyDescent="0.25">
      <c r="A1156" s="104" t="str">
        <f t="shared" si="18"/>
        <v>Uganda2016UrbanCommercialImplant</v>
      </c>
      <c r="B1156" t="s">
        <v>154</v>
      </c>
      <c r="C1156">
        <v>2016</v>
      </c>
      <c r="D1156" t="s">
        <v>20</v>
      </c>
      <c r="E1156" t="s">
        <v>59</v>
      </c>
      <c r="F1156" t="s">
        <v>23</v>
      </c>
      <c r="G1156">
        <v>6.2085999999999999E-3</v>
      </c>
      <c r="H1156">
        <v>1.13706E-2</v>
      </c>
      <c r="I1156">
        <v>1.0088700000000001E-2</v>
      </c>
    </row>
    <row r="1157" spans="1:9" x14ac:dyDescent="0.25">
      <c r="A1157" s="104" t="str">
        <f t="shared" si="18"/>
        <v>Uganda2016UrbanOtherImplant</v>
      </c>
      <c r="B1157" t="s">
        <v>154</v>
      </c>
      <c r="C1157">
        <v>2016</v>
      </c>
      <c r="D1157" t="s">
        <v>20</v>
      </c>
      <c r="E1157" t="s">
        <v>116</v>
      </c>
      <c r="F1157" t="s">
        <v>23</v>
      </c>
      <c r="G1157">
        <v>9.3070000000000002E-4</v>
      </c>
    </row>
    <row r="1158" spans="1:9" x14ac:dyDescent="0.25">
      <c r="A1158" s="104" t="str">
        <f t="shared" si="18"/>
        <v>Uganda2016RuralPub_MedImplant</v>
      </c>
      <c r="B1158" t="s">
        <v>154</v>
      </c>
      <c r="C1158">
        <v>2016</v>
      </c>
      <c r="D1158" t="s">
        <v>21</v>
      </c>
      <c r="E1158" t="s">
        <v>52</v>
      </c>
      <c r="F1158" t="s">
        <v>23</v>
      </c>
      <c r="G1158">
        <v>3.8781099999999999E-2</v>
      </c>
      <c r="H1158">
        <v>3.5422200000000001E-2</v>
      </c>
      <c r="I1158">
        <v>1.3392899999999999E-2</v>
      </c>
    </row>
    <row r="1159" spans="1:9" x14ac:dyDescent="0.25">
      <c r="A1159" s="104" t="str">
        <f t="shared" si="18"/>
        <v>Uganda2016RuralPub_OutreachImplant</v>
      </c>
      <c r="B1159" t="s">
        <v>154</v>
      </c>
      <c r="C1159">
        <v>2016</v>
      </c>
      <c r="D1159" t="s">
        <v>21</v>
      </c>
      <c r="E1159" t="s">
        <v>54</v>
      </c>
      <c r="F1159" t="s">
        <v>23</v>
      </c>
      <c r="G1159">
        <v>1.3630999999999999E-3</v>
      </c>
      <c r="H1159">
        <v>5.1507999999999996E-3</v>
      </c>
    </row>
    <row r="1160" spans="1:9" x14ac:dyDescent="0.25">
      <c r="A1160" s="104" t="str">
        <f t="shared" si="18"/>
        <v>Uganda2016RuralNGOImplant</v>
      </c>
      <c r="B1160" t="s">
        <v>154</v>
      </c>
      <c r="C1160">
        <v>2016</v>
      </c>
      <c r="D1160" t="s">
        <v>21</v>
      </c>
      <c r="E1160" t="s">
        <v>170</v>
      </c>
      <c r="F1160" t="s">
        <v>23</v>
      </c>
      <c r="G1160">
        <v>5.4540000000000003E-4</v>
      </c>
      <c r="H1160">
        <v>1.8073E-3</v>
      </c>
    </row>
    <row r="1161" spans="1:9" x14ac:dyDescent="0.25">
      <c r="A1161" s="104" t="str">
        <f t="shared" si="18"/>
        <v>Uganda2016RuralCommercialImplant</v>
      </c>
      <c r="B1161" t="s">
        <v>154</v>
      </c>
      <c r="C1161">
        <v>2016</v>
      </c>
      <c r="D1161" t="s">
        <v>21</v>
      </c>
      <c r="E1161" t="s">
        <v>59</v>
      </c>
      <c r="F1161" t="s">
        <v>23</v>
      </c>
      <c r="G1161">
        <v>5.7857000000000004E-3</v>
      </c>
      <c r="H1161">
        <v>8.4169999999999991E-3</v>
      </c>
      <c r="I1161">
        <v>1.2206099999999999E-2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183"/>
  <sheetViews>
    <sheetView topLeftCell="A84" workbookViewId="0">
      <selection activeCell="B97" sqref="B1:B1048576"/>
    </sheetView>
  </sheetViews>
  <sheetFormatPr defaultRowHeight="15" x14ac:dyDescent="0.25"/>
  <cols>
    <col min="1" max="1" width="20.7109375" style="104" bestFit="1" customWidth="1"/>
    <col min="4" max="4" width="17.7109375" bestFit="1" customWidth="1"/>
  </cols>
  <sheetData>
    <row r="1" spans="1:5" x14ac:dyDescent="0.25">
      <c r="B1" t="s">
        <v>258</v>
      </c>
      <c r="C1" t="s">
        <v>259</v>
      </c>
      <c r="D1" t="s">
        <v>262</v>
      </c>
      <c r="E1" t="s">
        <v>264</v>
      </c>
    </row>
    <row r="2" spans="1:5" x14ac:dyDescent="0.25">
      <c r="A2" s="104" t="str">
        <f>B2&amp;C2&amp;D2</f>
        <v>Ethiopia2011Pill</v>
      </c>
      <c r="B2" t="s">
        <v>6</v>
      </c>
      <c r="C2">
        <v>2011</v>
      </c>
      <c r="D2" t="s">
        <v>12</v>
      </c>
      <c r="E2">
        <v>1.48215E-2</v>
      </c>
    </row>
    <row r="3" spans="1:5" x14ac:dyDescent="0.25">
      <c r="A3" s="104" t="str">
        <f t="shared" ref="A3:A66" si="0">B3&amp;C3&amp;D3</f>
        <v>Ethiopia2011IUD</v>
      </c>
      <c r="B3" t="s">
        <v>6</v>
      </c>
      <c r="C3">
        <v>2011</v>
      </c>
      <c r="D3" t="s">
        <v>16</v>
      </c>
      <c r="E3">
        <v>2.2311000000000002E-3</v>
      </c>
    </row>
    <row r="4" spans="1:5" x14ac:dyDescent="0.25">
      <c r="A4" s="104" t="str">
        <f t="shared" si="0"/>
        <v>Ethiopia2011Injectable</v>
      </c>
      <c r="B4" t="s">
        <v>6</v>
      </c>
      <c r="C4">
        <v>2011</v>
      </c>
      <c r="D4" t="s">
        <v>22</v>
      </c>
      <c r="E4">
        <v>0.14038880000000001</v>
      </c>
    </row>
    <row r="5" spans="1:5" x14ac:dyDescent="0.25">
      <c r="A5" s="104" t="str">
        <f t="shared" si="0"/>
        <v>Ethiopia2011Condom</v>
      </c>
      <c r="B5" t="s">
        <v>6</v>
      </c>
      <c r="C5">
        <v>2011</v>
      </c>
      <c r="D5" t="s">
        <v>25</v>
      </c>
      <c r="E5">
        <v>2.8535000000000001E-3</v>
      </c>
    </row>
    <row r="6" spans="1:5" x14ac:dyDescent="0.25">
      <c r="A6" s="104" t="str">
        <f t="shared" si="0"/>
        <v>Ethiopia2011Female Sterilization</v>
      </c>
      <c r="B6" t="s">
        <v>6</v>
      </c>
      <c r="C6">
        <v>2011</v>
      </c>
      <c r="D6" t="s">
        <v>108</v>
      </c>
      <c r="E6">
        <v>3.5362000000000002E-3</v>
      </c>
    </row>
    <row r="7" spans="1:5" x14ac:dyDescent="0.25">
      <c r="A7" s="104" t="str">
        <f>B7&amp;C7&amp;D7</f>
        <v>Ethiopia2011Implant</v>
      </c>
      <c r="B7" t="s">
        <v>6</v>
      </c>
      <c r="C7">
        <v>2011</v>
      </c>
      <c r="D7" t="s">
        <v>23</v>
      </c>
      <c r="E7">
        <v>2.3057899999999999E-2</v>
      </c>
    </row>
    <row r="8" spans="1:5" x14ac:dyDescent="0.25">
      <c r="A8" s="104" t="str">
        <f t="shared" si="0"/>
        <v>Ethiopia2011Lactational Amenorrhea (Lam)</v>
      </c>
      <c r="B8" t="s">
        <v>6</v>
      </c>
      <c r="C8">
        <v>2011</v>
      </c>
      <c r="D8" t="s">
        <v>265</v>
      </c>
      <c r="E8">
        <v>1.3689999999999999E-4</v>
      </c>
    </row>
    <row r="9" spans="1:5" x14ac:dyDescent="0.25">
      <c r="A9" s="104" t="str">
        <f t="shared" si="0"/>
        <v>Ethiopia2011Female Condom</v>
      </c>
      <c r="B9" t="s">
        <v>6</v>
      </c>
      <c r="C9">
        <v>2011</v>
      </c>
      <c r="D9" t="s">
        <v>112</v>
      </c>
      <c r="E9">
        <v>3.2199999999999997E-5</v>
      </c>
    </row>
    <row r="10" spans="1:5" x14ac:dyDescent="0.25">
      <c r="A10" s="104" t="str">
        <f t="shared" si="0"/>
        <v>Ethiopia2011Standard Days Method</v>
      </c>
      <c r="B10" t="s">
        <v>6</v>
      </c>
      <c r="C10">
        <v>2011</v>
      </c>
      <c r="D10" t="s">
        <v>266</v>
      </c>
      <c r="E10">
        <v>1.06E-5</v>
      </c>
    </row>
    <row r="11" spans="1:5" x14ac:dyDescent="0.25">
      <c r="A11" s="104" t="str">
        <f t="shared" si="0"/>
        <v>Ethiopia2016Pill</v>
      </c>
      <c r="B11" t="s">
        <v>6</v>
      </c>
      <c r="C11">
        <v>2016</v>
      </c>
      <c r="D11" t="s">
        <v>12</v>
      </c>
      <c r="E11">
        <v>1.3048199999999999E-2</v>
      </c>
    </row>
    <row r="12" spans="1:5" x14ac:dyDescent="0.25">
      <c r="A12" s="104" t="str">
        <f t="shared" si="0"/>
        <v>Ethiopia2016IUD</v>
      </c>
      <c r="B12" t="s">
        <v>6</v>
      </c>
      <c r="C12">
        <v>2016</v>
      </c>
      <c r="D12" t="s">
        <v>16</v>
      </c>
      <c r="E12">
        <v>1.43497E-2</v>
      </c>
    </row>
    <row r="13" spans="1:5" x14ac:dyDescent="0.25">
      <c r="A13" s="104" t="str">
        <f t="shared" si="0"/>
        <v>Ethiopia2016Injectable</v>
      </c>
      <c r="B13" t="s">
        <v>6</v>
      </c>
      <c r="C13">
        <v>2016</v>
      </c>
      <c r="D13" t="s">
        <v>22</v>
      </c>
      <c r="E13">
        <v>0.15779779999999999</v>
      </c>
    </row>
    <row r="14" spans="1:5" x14ac:dyDescent="0.25">
      <c r="A14" s="104" t="str">
        <f t="shared" si="0"/>
        <v>Ethiopia2016Condom</v>
      </c>
      <c r="B14" t="s">
        <v>6</v>
      </c>
      <c r="C14">
        <v>2016</v>
      </c>
      <c r="D14" t="s">
        <v>25</v>
      </c>
      <c r="E14">
        <v>1.0526999999999999E-3</v>
      </c>
    </row>
    <row r="15" spans="1:5" x14ac:dyDescent="0.25">
      <c r="A15" s="104" t="str">
        <f t="shared" si="0"/>
        <v>Ethiopia2016Female Sterilization</v>
      </c>
      <c r="B15" t="s">
        <v>6</v>
      </c>
      <c r="C15">
        <v>2016</v>
      </c>
      <c r="D15" t="s">
        <v>108</v>
      </c>
      <c r="E15">
        <v>2.8814000000000001E-3</v>
      </c>
    </row>
    <row r="16" spans="1:5" x14ac:dyDescent="0.25">
      <c r="A16" s="104" t="str">
        <f t="shared" si="0"/>
        <v>Ethiopia2016Implant</v>
      </c>
      <c r="B16" t="s">
        <v>6</v>
      </c>
      <c r="C16">
        <v>2016</v>
      </c>
      <c r="D16" t="s">
        <v>23</v>
      </c>
      <c r="E16">
        <v>5.74881E-2</v>
      </c>
    </row>
    <row r="17" spans="1:5" x14ac:dyDescent="0.25">
      <c r="A17" s="104" t="str">
        <f t="shared" si="0"/>
        <v>Ethiopia2016Lactational Amenorrhea (Lam)</v>
      </c>
      <c r="B17" t="s">
        <v>6</v>
      </c>
      <c r="C17">
        <v>2016</v>
      </c>
      <c r="D17" t="s">
        <v>265</v>
      </c>
      <c r="E17">
        <v>9.6029999999999998E-4</v>
      </c>
    </row>
    <row r="18" spans="1:5" x14ac:dyDescent="0.25">
      <c r="A18" s="104" t="str">
        <f t="shared" si="0"/>
        <v>Ethiopia2016</v>
      </c>
      <c r="B18" t="s">
        <v>6</v>
      </c>
      <c r="C18">
        <v>2016</v>
      </c>
      <c r="E18">
        <v>6.1620000000000002E-4</v>
      </c>
    </row>
    <row r="19" spans="1:5" x14ac:dyDescent="0.25">
      <c r="A19" s="104" t="str">
        <f t="shared" si="0"/>
        <v>Ethiopia2016Standard Days Method</v>
      </c>
      <c r="B19" t="s">
        <v>6</v>
      </c>
      <c r="C19">
        <v>2016</v>
      </c>
      <c r="D19" t="s">
        <v>266</v>
      </c>
      <c r="E19">
        <v>4.1530000000000001E-4</v>
      </c>
    </row>
    <row r="20" spans="1:5" x14ac:dyDescent="0.25">
      <c r="A20" s="104" t="str">
        <f t="shared" si="0"/>
        <v>Haiti2012Pill</v>
      </c>
      <c r="B20" t="s">
        <v>138</v>
      </c>
      <c r="C20">
        <v>2012</v>
      </c>
      <c r="D20" t="s">
        <v>12</v>
      </c>
      <c r="E20">
        <v>1.6597500000000001E-2</v>
      </c>
    </row>
    <row r="21" spans="1:5" x14ac:dyDescent="0.25">
      <c r="A21" s="104" t="str">
        <f t="shared" si="0"/>
        <v>Haiti2012IUD</v>
      </c>
      <c r="B21" t="s">
        <v>138</v>
      </c>
      <c r="C21">
        <v>2012</v>
      </c>
      <c r="D21" t="s">
        <v>16</v>
      </c>
      <c r="E21">
        <v>4.6710000000000002E-4</v>
      </c>
    </row>
    <row r="22" spans="1:5" x14ac:dyDescent="0.25">
      <c r="A22" s="104" t="str">
        <f t="shared" si="0"/>
        <v>Haiti2012Injectable</v>
      </c>
      <c r="B22" t="s">
        <v>138</v>
      </c>
      <c r="C22">
        <v>2012</v>
      </c>
      <c r="D22" t="s">
        <v>22</v>
      </c>
      <c r="E22">
        <v>0.11688510000000001</v>
      </c>
    </row>
    <row r="23" spans="1:5" x14ac:dyDescent="0.25">
      <c r="A23" s="104" t="str">
        <f t="shared" si="0"/>
        <v>Haiti2012Condom</v>
      </c>
      <c r="B23" t="s">
        <v>138</v>
      </c>
      <c r="C23">
        <v>2012</v>
      </c>
      <c r="D23" t="s">
        <v>25</v>
      </c>
      <c r="E23">
        <v>5.84907E-2</v>
      </c>
    </row>
    <row r="24" spans="1:5" x14ac:dyDescent="0.25">
      <c r="A24" s="104" t="str">
        <f t="shared" si="0"/>
        <v>Haiti2012Female Sterilization</v>
      </c>
      <c r="B24" t="s">
        <v>138</v>
      </c>
      <c r="C24">
        <v>2012</v>
      </c>
      <c r="D24" t="s">
        <v>108</v>
      </c>
      <c r="E24">
        <v>9.0764999999999995E-3</v>
      </c>
    </row>
    <row r="25" spans="1:5" x14ac:dyDescent="0.25">
      <c r="A25" s="104" t="str">
        <f t="shared" si="0"/>
        <v>Haiti2012Male Sterilization</v>
      </c>
      <c r="B25" t="s">
        <v>138</v>
      </c>
      <c r="C25">
        <v>2012</v>
      </c>
      <c r="D25" t="s">
        <v>109</v>
      </c>
      <c r="E25">
        <v>7.5790000000000005E-4</v>
      </c>
    </row>
    <row r="26" spans="1:5" x14ac:dyDescent="0.25">
      <c r="A26" s="104" t="str">
        <f t="shared" si="0"/>
        <v>Haiti2012Implant</v>
      </c>
      <c r="B26" t="s">
        <v>138</v>
      </c>
      <c r="C26">
        <v>2012</v>
      </c>
      <c r="D26" t="s">
        <v>23</v>
      </c>
      <c r="E26">
        <v>1.1290700000000001E-2</v>
      </c>
    </row>
    <row r="27" spans="1:5" x14ac:dyDescent="0.25">
      <c r="A27" s="104" t="str">
        <f t="shared" si="0"/>
        <v>Haiti2012Lactational Amenorrhea (Lam)</v>
      </c>
      <c r="B27" t="s">
        <v>138</v>
      </c>
      <c r="C27">
        <v>2012</v>
      </c>
      <c r="D27" t="s">
        <v>265</v>
      </c>
      <c r="E27">
        <v>1.6837E-3</v>
      </c>
    </row>
    <row r="28" spans="1:5" x14ac:dyDescent="0.25">
      <c r="A28" s="104" t="str">
        <f t="shared" si="0"/>
        <v>Haiti2012Female Condom</v>
      </c>
      <c r="B28" t="s">
        <v>138</v>
      </c>
      <c r="C28">
        <v>2012</v>
      </c>
      <c r="D28" t="s">
        <v>112</v>
      </c>
      <c r="E28">
        <v>1.5789999999999999E-4</v>
      </c>
    </row>
    <row r="29" spans="1:5" x14ac:dyDescent="0.25">
      <c r="A29" s="104" t="str">
        <f t="shared" si="0"/>
        <v>Haiti2012Oher Modern Method</v>
      </c>
      <c r="B29" t="s">
        <v>138</v>
      </c>
      <c r="C29">
        <v>2012</v>
      </c>
      <c r="D29" t="s">
        <v>267</v>
      </c>
      <c r="E29">
        <v>6.5320000000000005E-4</v>
      </c>
    </row>
    <row r="30" spans="1:5" x14ac:dyDescent="0.25">
      <c r="A30" s="104" t="str">
        <f t="shared" si="0"/>
        <v>Haiti2016.5Pill</v>
      </c>
      <c r="B30" t="s">
        <v>138</v>
      </c>
      <c r="C30">
        <v>2016.5</v>
      </c>
      <c r="D30" t="s">
        <v>12</v>
      </c>
      <c r="E30">
        <v>1.3097900000000001E-2</v>
      </c>
    </row>
    <row r="31" spans="1:5" x14ac:dyDescent="0.25">
      <c r="A31" s="104" t="str">
        <f t="shared" si="0"/>
        <v>Haiti2016.5IUD</v>
      </c>
      <c r="B31" t="s">
        <v>138</v>
      </c>
      <c r="C31">
        <v>2016.5</v>
      </c>
      <c r="D31" t="s">
        <v>16</v>
      </c>
      <c r="E31">
        <v>5.5829999999999996E-4</v>
      </c>
    </row>
    <row r="32" spans="1:5" x14ac:dyDescent="0.25">
      <c r="A32" s="104" t="str">
        <f t="shared" si="0"/>
        <v>Haiti2016.5Injectable</v>
      </c>
      <c r="B32" t="s">
        <v>138</v>
      </c>
      <c r="C32">
        <v>2016.5</v>
      </c>
      <c r="D32" t="s">
        <v>22</v>
      </c>
      <c r="E32">
        <v>0.1123484</v>
      </c>
    </row>
    <row r="33" spans="1:5" x14ac:dyDescent="0.25">
      <c r="A33" s="104" t="str">
        <f t="shared" si="0"/>
        <v>Haiti2016.5Condom</v>
      </c>
      <c r="B33" t="s">
        <v>138</v>
      </c>
      <c r="C33">
        <v>2016.5</v>
      </c>
      <c r="D33" t="s">
        <v>25</v>
      </c>
      <c r="E33">
        <v>5.8291000000000003E-2</v>
      </c>
    </row>
    <row r="34" spans="1:5" x14ac:dyDescent="0.25">
      <c r="A34" s="104" t="str">
        <f t="shared" si="0"/>
        <v>Haiti2016.5Female Sterilization</v>
      </c>
      <c r="B34" t="s">
        <v>138</v>
      </c>
      <c r="C34">
        <v>2016.5</v>
      </c>
      <c r="D34" t="s">
        <v>108</v>
      </c>
      <c r="E34">
        <v>6.6033999999999997E-3</v>
      </c>
    </row>
    <row r="35" spans="1:5" x14ac:dyDescent="0.25">
      <c r="A35" s="104" t="str">
        <f t="shared" si="0"/>
        <v>Haiti2016.5Male Sterilization</v>
      </c>
      <c r="B35" t="s">
        <v>138</v>
      </c>
      <c r="C35">
        <v>2016.5</v>
      </c>
      <c r="D35" t="s">
        <v>109</v>
      </c>
      <c r="E35">
        <v>7.7059999999999997E-4</v>
      </c>
    </row>
    <row r="36" spans="1:5" x14ac:dyDescent="0.25">
      <c r="A36" s="104" t="str">
        <f t="shared" si="0"/>
        <v>Haiti2016.5Implant</v>
      </c>
      <c r="B36" t="s">
        <v>138</v>
      </c>
      <c r="C36">
        <v>2016.5</v>
      </c>
      <c r="D36" t="s">
        <v>23</v>
      </c>
      <c r="E36">
        <v>1.26739E-2</v>
      </c>
    </row>
    <row r="37" spans="1:5" x14ac:dyDescent="0.25">
      <c r="A37" s="104" t="str">
        <f t="shared" si="0"/>
        <v>Haiti2016.5Lactational Amenorrhea (Lam)</v>
      </c>
      <c r="B37" t="s">
        <v>138</v>
      </c>
      <c r="C37">
        <v>2016.5</v>
      </c>
      <c r="D37" t="s">
        <v>265</v>
      </c>
      <c r="E37">
        <v>3.3808000000000002E-3</v>
      </c>
    </row>
    <row r="38" spans="1:5" x14ac:dyDescent="0.25">
      <c r="A38" s="104" t="str">
        <f t="shared" si="0"/>
        <v>Haiti2016.5Oher Modern Method</v>
      </c>
      <c r="B38" t="s">
        <v>138</v>
      </c>
      <c r="C38">
        <v>2016.5</v>
      </c>
      <c r="D38" t="s">
        <v>267</v>
      </c>
      <c r="E38">
        <v>1.122E-4</v>
      </c>
    </row>
    <row r="39" spans="1:5" x14ac:dyDescent="0.25">
      <c r="A39" s="104" t="str">
        <f t="shared" si="0"/>
        <v>Malawi2010Pill</v>
      </c>
      <c r="B39" t="s">
        <v>142</v>
      </c>
      <c r="C39">
        <v>2010</v>
      </c>
      <c r="D39" t="s">
        <v>12</v>
      </c>
      <c r="E39">
        <v>1.8994299999999999E-2</v>
      </c>
    </row>
    <row r="40" spans="1:5" x14ac:dyDescent="0.25">
      <c r="A40" s="104" t="str">
        <f t="shared" si="0"/>
        <v>Malawi2010IUD</v>
      </c>
      <c r="B40" t="s">
        <v>142</v>
      </c>
      <c r="C40">
        <v>2010</v>
      </c>
      <c r="D40" t="s">
        <v>16</v>
      </c>
      <c r="E40">
        <v>1.8659E-3</v>
      </c>
    </row>
    <row r="41" spans="1:5" x14ac:dyDescent="0.25">
      <c r="A41" s="104" t="str">
        <f t="shared" si="0"/>
        <v>Malawi2010Injectable</v>
      </c>
      <c r="B41" t="s">
        <v>142</v>
      </c>
      <c r="C41">
        <v>2010</v>
      </c>
      <c r="D41" t="s">
        <v>22</v>
      </c>
      <c r="E41">
        <v>0.1917394</v>
      </c>
    </row>
    <row r="42" spans="1:5" x14ac:dyDescent="0.25">
      <c r="A42" s="104" t="str">
        <f t="shared" si="0"/>
        <v>Malawi2010Condom</v>
      </c>
      <c r="B42" t="s">
        <v>142</v>
      </c>
      <c r="C42">
        <v>2010</v>
      </c>
      <c r="D42" t="s">
        <v>25</v>
      </c>
      <c r="E42">
        <v>2.6864300000000001E-2</v>
      </c>
    </row>
    <row r="43" spans="1:5" x14ac:dyDescent="0.25">
      <c r="A43" s="104" t="str">
        <f t="shared" si="0"/>
        <v>Malawi2010Female Sterilization</v>
      </c>
      <c r="B43" t="s">
        <v>142</v>
      </c>
      <c r="C43">
        <v>2010</v>
      </c>
      <c r="D43" t="s">
        <v>108</v>
      </c>
      <c r="E43">
        <v>7.5218499999999994E-2</v>
      </c>
    </row>
    <row r="44" spans="1:5" x14ac:dyDescent="0.25">
      <c r="A44" s="104" t="str">
        <f t="shared" si="0"/>
        <v>Malawi2010Male Sterilization</v>
      </c>
      <c r="B44" t="s">
        <v>142</v>
      </c>
      <c r="C44">
        <v>2010</v>
      </c>
      <c r="D44" t="s">
        <v>109</v>
      </c>
      <c r="E44">
        <v>4.2630000000000001E-4</v>
      </c>
    </row>
    <row r="45" spans="1:5" x14ac:dyDescent="0.25">
      <c r="A45" s="104" t="str">
        <f t="shared" si="0"/>
        <v>Malawi2010Norplant</v>
      </c>
      <c r="B45" t="s">
        <v>142</v>
      </c>
      <c r="C45">
        <v>2010</v>
      </c>
      <c r="D45" t="s">
        <v>263</v>
      </c>
      <c r="E45">
        <v>1.0526000000000001E-2</v>
      </c>
    </row>
    <row r="46" spans="1:5" x14ac:dyDescent="0.25">
      <c r="A46" s="104" t="str">
        <f t="shared" si="0"/>
        <v>Malawi2010Female Condom</v>
      </c>
      <c r="B46" t="s">
        <v>142</v>
      </c>
      <c r="C46">
        <v>2010</v>
      </c>
      <c r="D46" t="s">
        <v>112</v>
      </c>
      <c r="E46">
        <v>7.6760000000000001E-4</v>
      </c>
    </row>
    <row r="47" spans="1:5" x14ac:dyDescent="0.25">
      <c r="A47" s="104" t="str">
        <f t="shared" si="0"/>
        <v>Malawi2015.5Pill</v>
      </c>
      <c r="B47" t="s">
        <v>142</v>
      </c>
      <c r="C47">
        <v>2015.5</v>
      </c>
      <c r="D47" t="s">
        <v>12</v>
      </c>
      <c r="E47">
        <v>1.73911E-2</v>
      </c>
    </row>
    <row r="48" spans="1:5" x14ac:dyDescent="0.25">
      <c r="A48" s="104" t="str">
        <f t="shared" si="0"/>
        <v>Malawi2015.5IUD</v>
      </c>
      <c r="B48" t="s">
        <v>142</v>
      </c>
      <c r="C48">
        <v>2015.5</v>
      </c>
      <c r="D48" t="s">
        <v>16</v>
      </c>
      <c r="E48">
        <v>8.0321000000000004E-3</v>
      </c>
    </row>
    <row r="49" spans="1:5" x14ac:dyDescent="0.25">
      <c r="A49" s="104" t="str">
        <f t="shared" si="0"/>
        <v>Malawi2015.5Injectable</v>
      </c>
      <c r="B49" t="s">
        <v>142</v>
      </c>
      <c r="C49">
        <v>2015.5</v>
      </c>
      <c r="D49" t="s">
        <v>22</v>
      </c>
      <c r="E49">
        <v>0.2249852</v>
      </c>
    </row>
    <row r="50" spans="1:5" x14ac:dyDescent="0.25">
      <c r="A50" s="104" t="str">
        <f t="shared" si="0"/>
        <v>Malawi2015.5Condom</v>
      </c>
      <c r="B50" t="s">
        <v>142</v>
      </c>
      <c r="C50">
        <v>2015.5</v>
      </c>
      <c r="D50" t="s">
        <v>25</v>
      </c>
      <c r="E50">
        <v>2.5678599999999999E-2</v>
      </c>
    </row>
    <row r="51" spans="1:5" x14ac:dyDescent="0.25">
      <c r="A51" s="104" t="str">
        <f t="shared" si="0"/>
        <v>Malawi2015.5Female Sterilization</v>
      </c>
      <c r="B51" t="s">
        <v>142</v>
      </c>
      <c r="C51">
        <v>2015.5</v>
      </c>
      <c r="D51" t="s">
        <v>108</v>
      </c>
      <c r="E51">
        <v>8.3232200000000006E-2</v>
      </c>
    </row>
    <row r="52" spans="1:5" x14ac:dyDescent="0.25">
      <c r="A52" s="104" t="str">
        <f t="shared" si="0"/>
        <v>Malawi2015.5Male Sterilization</v>
      </c>
      <c r="B52" t="s">
        <v>142</v>
      </c>
      <c r="C52">
        <v>2015.5</v>
      </c>
      <c r="D52" t="s">
        <v>109</v>
      </c>
      <c r="E52">
        <v>7.5179999999999995E-4</v>
      </c>
    </row>
    <row r="53" spans="1:5" x14ac:dyDescent="0.25">
      <c r="A53" s="104" t="str">
        <f t="shared" si="0"/>
        <v>Malawi2015.5Norplant</v>
      </c>
      <c r="B53" t="s">
        <v>142</v>
      </c>
      <c r="C53">
        <v>2015.5</v>
      </c>
      <c r="D53" t="s">
        <v>263</v>
      </c>
      <c r="E53">
        <v>8.9583700000000002E-2</v>
      </c>
    </row>
    <row r="54" spans="1:5" x14ac:dyDescent="0.25">
      <c r="A54" s="104" t="str">
        <f t="shared" si="0"/>
        <v>Malawi2015.5Lactational Amenorrhea</v>
      </c>
      <c r="B54" t="s">
        <v>142</v>
      </c>
      <c r="C54">
        <v>2015.5</v>
      </c>
      <c r="D54" t="s">
        <v>268</v>
      </c>
      <c r="E54">
        <v>7.2630000000000004E-4</v>
      </c>
    </row>
    <row r="55" spans="1:5" x14ac:dyDescent="0.25">
      <c r="A55" s="104" t="str">
        <f t="shared" si="0"/>
        <v>Malawi2015.5Female Condom</v>
      </c>
      <c r="B55" t="s">
        <v>142</v>
      </c>
      <c r="C55">
        <v>2015.5</v>
      </c>
      <c r="D55" t="s">
        <v>112</v>
      </c>
      <c r="E55">
        <v>2.8949999999999999E-4</v>
      </c>
    </row>
    <row r="56" spans="1:5" x14ac:dyDescent="0.25">
      <c r="A56" s="104" t="str">
        <f t="shared" si="0"/>
        <v>Malawi2015.5</v>
      </c>
      <c r="B56" t="s">
        <v>142</v>
      </c>
      <c r="C56">
        <v>2015.5</v>
      </c>
      <c r="E56">
        <v>4.0000000000000002E-4</v>
      </c>
    </row>
    <row r="57" spans="1:5" x14ac:dyDescent="0.25">
      <c r="A57" s="104" t="str">
        <f t="shared" si="0"/>
        <v>Malawi2015.5Specific Method 1</v>
      </c>
      <c r="B57" t="s">
        <v>142</v>
      </c>
      <c r="C57">
        <v>2015.5</v>
      </c>
      <c r="D57" t="s">
        <v>269</v>
      </c>
      <c r="E57">
        <v>8.1600000000000005E-5</v>
      </c>
    </row>
    <row r="58" spans="1:5" x14ac:dyDescent="0.25">
      <c r="A58" s="104" t="str">
        <f t="shared" si="0"/>
        <v>Malawi2015.5Specific Method 2</v>
      </c>
      <c r="B58" t="s">
        <v>142</v>
      </c>
      <c r="C58">
        <v>2015.5</v>
      </c>
      <c r="D58" t="s">
        <v>270</v>
      </c>
      <c r="E58">
        <v>3.859E-4</v>
      </c>
    </row>
    <row r="59" spans="1:5" x14ac:dyDescent="0.25">
      <c r="A59" s="104" t="str">
        <f t="shared" si="0"/>
        <v>Nepal2011Pill</v>
      </c>
      <c r="B59" t="s">
        <v>144</v>
      </c>
      <c r="C59">
        <v>2011</v>
      </c>
      <c r="D59" t="s">
        <v>12</v>
      </c>
      <c r="E59">
        <v>3.1555100000000003E-2</v>
      </c>
    </row>
    <row r="60" spans="1:5" x14ac:dyDescent="0.25">
      <c r="A60" s="104" t="str">
        <f t="shared" si="0"/>
        <v>Nepal2011IUD</v>
      </c>
      <c r="B60" t="s">
        <v>144</v>
      </c>
      <c r="C60">
        <v>2011</v>
      </c>
      <c r="D60" t="s">
        <v>16</v>
      </c>
      <c r="E60">
        <v>9.8061999999999993E-3</v>
      </c>
    </row>
    <row r="61" spans="1:5" x14ac:dyDescent="0.25">
      <c r="A61" s="104" t="str">
        <f t="shared" si="0"/>
        <v>Nepal2011Injectable</v>
      </c>
      <c r="B61" t="s">
        <v>144</v>
      </c>
      <c r="C61">
        <v>2011</v>
      </c>
      <c r="D61" t="s">
        <v>22</v>
      </c>
      <c r="E61">
        <v>6.9576600000000002E-2</v>
      </c>
    </row>
    <row r="62" spans="1:5" x14ac:dyDescent="0.25">
      <c r="A62" s="104" t="str">
        <f t="shared" si="0"/>
        <v>Nepal2011Condom</v>
      </c>
      <c r="B62" t="s">
        <v>144</v>
      </c>
      <c r="C62">
        <v>2011</v>
      </c>
      <c r="D62" t="s">
        <v>25</v>
      </c>
      <c r="E62">
        <v>3.3227300000000001E-2</v>
      </c>
    </row>
    <row r="63" spans="1:5" x14ac:dyDescent="0.25">
      <c r="A63" s="104" t="str">
        <f t="shared" si="0"/>
        <v>Nepal2011Female Sterilization</v>
      </c>
      <c r="B63" t="s">
        <v>144</v>
      </c>
      <c r="C63">
        <v>2011</v>
      </c>
      <c r="D63" t="s">
        <v>108</v>
      </c>
      <c r="E63">
        <v>0.11883680000000001</v>
      </c>
    </row>
    <row r="64" spans="1:5" x14ac:dyDescent="0.25">
      <c r="A64" s="104" t="str">
        <f t="shared" si="0"/>
        <v>Nepal2011Male Sterilization</v>
      </c>
      <c r="B64" t="s">
        <v>144</v>
      </c>
      <c r="C64">
        <v>2011</v>
      </c>
      <c r="D64" t="s">
        <v>109</v>
      </c>
      <c r="E64">
        <v>5.9969099999999997E-2</v>
      </c>
    </row>
    <row r="65" spans="1:5" x14ac:dyDescent="0.25">
      <c r="A65" s="104" t="str">
        <f t="shared" si="0"/>
        <v>Nepal2011Implant</v>
      </c>
      <c r="B65" t="s">
        <v>144</v>
      </c>
      <c r="C65">
        <v>2011</v>
      </c>
      <c r="D65" t="s">
        <v>23</v>
      </c>
      <c r="E65">
        <v>8.9791000000000003E-3</v>
      </c>
    </row>
    <row r="66" spans="1:5" x14ac:dyDescent="0.25">
      <c r="A66" s="104" t="str">
        <f t="shared" si="0"/>
        <v>Nepal2011Other Modern Method</v>
      </c>
      <c r="B66" t="s">
        <v>144</v>
      </c>
      <c r="C66">
        <v>2011</v>
      </c>
      <c r="D66" t="s">
        <v>113</v>
      </c>
      <c r="E66">
        <v>1.058E-4</v>
      </c>
    </row>
    <row r="67" spans="1:5" x14ac:dyDescent="0.25">
      <c r="A67" s="104" t="str">
        <f t="shared" ref="A67:A130" si="1">B67&amp;C67&amp;D67</f>
        <v>Nepal2016Pill</v>
      </c>
      <c r="B67" t="s">
        <v>144</v>
      </c>
      <c r="C67">
        <v>2016</v>
      </c>
      <c r="D67" t="s">
        <v>12</v>
      </c>
      <c r="E67">
        <v>3.5485500000000003E-2</v>
      </c>
    </row>
    <row r="68" spans="1:5" x14ac:dyDescent="0.25">
      <c r="A68" s="104" t="str">
        <f t="shared" si="1"/>
        <v>Nepal2016IUD</v>
      </c>
      <c r="B68" t="s">
        <v>144</v>
      </c>
      <c r="C68">
        <v>2016</v>
      </c>
      <c r="D68" t="s">
        <v>16</v>
      </c>
      <c r="E68">
        <v>1.09131E-2</v>
      </c>
    </row>
    <row r="69" spans="1:5" x14ac:dyDescent="0.25">
      <c r="A69" s="104" t="str">
        <f t="shared" si="1"/>
        <v>Nepal2016Injectable</v>
      </c>
      <c r="B69" t="s">
        <v>144</v>
      </c>
      <c r="C69">
        <v>2016</v>
      </c>
      <c r="D69" t="s">
        <v>22</v>
      </c>
      <c r="E69">
        <v>6.8621399999999999E-2</v>
      </c>
    </row>
    <row r="70" spans="1:5" x14ac:dyDescent="0.25">
      <c r="A70" s="104" t="str">
        <f t="shared" si="1"/>
        <v>Nepal2016Condom</v>
      </c>
      <c r="B70" t="s">
        <v>144</v>
      </c>
      <c r="C70">
        <v>2016</v>
      </c>
      <c r="D70" t="s">
        <v>25</v>
      </c>
      <c r="E70">
        <v>3.26392E-2</v>
      </c>
    </row>
    <row r="71" spans="1:5" x14ac:dyDescent="0.25">
      <c r="A71" s="104" t="str">
        <f t="shared" si="1"/>
        <v>Nepal2016Female Sterilization</v>
      </c>
      <c r="B71" t="s">
        <v>144</v>
      </c>
      <c r="C71">
        <v>2016</v>
      </c>
      <c r="D71" t="s">
        <v>108</v>
      </c>
      <c r="E71">
        <v>0.11598120000000001</v>
      </c>
    </row>
    <row r="72" spans="1:5" x14ac:dyDescent="0.25">
      <c r="A72" s="104" t="str">
        <f t="shared" si="1"/>
        <v>Nepal2016Male Sterilization</v>
      </c>
      <c r="B72" t="s">
        <v>144</v>
      </c>
      <c r="C72">
        <v>2016</v>
      </c>
      <c r="D72" t="s">
        <v>109</v>
      </c>
      <c r="E72">
        <v>4.2338500000000001E-2</v>
      </c>
    </row>
    <row r="73" spans="1:5" x14ac:dyDescent="0.25">
      <c r="A73" s="104" t="str">
        <f t="shared" si="1"/>
        <v>Nepal2016Implant</v>
      </c>
      <c r="B73" t="s">
        <v>144</v>
      </c>
      <c r="C73">
        <v>2016</v>
      </c>
      <c r="D73" t="s">
        <v>23</v>
      </c>
      <c r="E73">
        <v>2.5571199999999999E-2</v>
      </c>
    </row>
    <row r="74" spans="1:5" x14ac:dyDescent="0.25">
      <c r="A74" s="104" t="str">
        <f t="shared" si="1"/>
        <v>Nepal2016Lactational Amenorrhea (Lam)</v>
      </c>
      <c r="B74" t="s">
        <v>144</v>
      </c>
      <c r="C74">
        <v>2016</v>
      </c>
      <c r="D74" t="s">
        <v>265</v>
      </c>
      <c r="E74">
        <v>5.3600000000000002E-5</v>
      </c>
    </row>
    <row r="75" spans="1:5" x14ac:dyDescent="0.25">
      <c r="A75" s="104" t="str">
        <f t="shared" si="1"/>
        <v>Nepal2016</v>
      </c>
      <c r="B75" t="s">
        <v>144</v>
      </c>
      <c r="C75">
        <v>2016</v>
      </c>
      <c r="E75">
        <v>4.9739999999999995E-4</v>
      </c>
    </row>
    <row r="76" spans="1:5" x14ac:dyDescent="0.25">
      <c r="A76" s="104" t="str">
        <f t="shared" si="1"/>
        <v>Pakistan2012.5Pill</v>
      </c>
      <c r="B76" t="s">
        <v>146</v>
      </c>
      <c r="C76">
        <v>2012.5</v>
      </c>
      <c r="D76" t="s">
        <v>12</v>
      </c>
      <c r="E76">
        <v>1.50496E-2</v>
      </c>
    </row>
    <row r="77" spans="1:5" x14ac:dyDescent="0.25">
      <c r="A77" s="104" t="str">
        <f t="shared" si="1"/>
        <v>Pakistan2012.5IUD</v>
      </c>
      <c r="B77" t="s">
        <v>146</v>
      </c>
      <c r="C77">
        <v>2012.5</v>
      </c>
      <c r="D77" t="s">
        <v>16</v>
      </c>
      <c r="E77">
        <v>2.1932E-2</v>
      </c>
    </row>
    <row r="78" spans="1:5" x14ac:dyDescent="0.25">
      <c r="A78" s="104" t="str">
        <f t="shared" si="1"/>
        <v>Pakistan2012.5Injectable</v>
      </c>
      <c r="B78" t="s">
        <v>146</v>
      </c>
      <c r="C78">
        <v>2012.5</v>
      </c>
      <c r="D78" t="s">
        <v>22</v>
      </c>
      <c r="E78">
        <v>2.63E-2</v>
      </c>
    </row>
    <row r="79" spans="1:5" x14ac:dyDescent="0.25">
      <c r="A79" s="104" t="str">
        <f t="shared" si="1"/>
        <v>Pakistan2012.5Condom</v>
      </c>
      <c r="B79" t="s">
        <v>146</v>
      </c>
      <c r="C79">
        <v>2012.5</v>
      </c>
      <c r="D79" t="s">
        <v>25</v>
      </c>
      <c r="E79">
        <v>8.4038799999999997E-2</v>
      </c>
    </row>
    <row r="80" spans="1:5" x14ac:dyDescent="0.25">
      <c r="A80" s="104" t="str">
        <f t="shared" si="1"/>
        <v>Pakistan2012.5Female Sterilization</v>
      </c>
      <c r="B80" t="s">
        <v>146</v>
      </c>
      <c r="C80">
        <v>2012.5</v>
      </c>
      <c r="D80" t="s">
        <v>108</v>
      </c>
      <c r="E80">
        <v>8.2596900000000001E-2</v>
      </c>
    </row>
    <row r="81" spans="1:5" x14ac:dyDescent="0.25">
      <c r="A81" s="104" t="str">
        <f t="shared" si="1"/>
        <v>Pakistan2012.5Male Sterilization</v>
      </c>
      <c r="B81" t="s">
        <v>146</v>
      </c>
      <c r="C81">
        <v>2012.5</v>
      </c>
      <c r="D81" t="s">
        <v>109</v>
      </c>
      <c r="E81">
        <v>2.392E-3</v>
      </c>
    </row>
    <row r="82" spans="1:5" x14ac:dyDescent="0.25">
      <c r="A82" s="104" t="str">
        <f t="shared" si="1"/>
        <v>Pakistan2012.5Implant</v>
      </c>
      <c r="B82" t="s">
        <v>146</v>
      </c>
      <c r="C82">
        <v>2012.5</v>
      </c>
      <c r="D82" t="s">
        <v>23</v>
      </c>
      <c r="E82">
        <v>6.0749999999999997E-4</v>
      </c>
    </row>
    <row r="83" spans="1:5" x14ac:dyDescent="0.25">
      <c r="A83" s="104" t="str">
        <f t="shared" si="1"/>
        <v>Pakistan2012.5Lactational Amenorrhea (Lam)</v>
      </c>
      <c r="B83" t="s">
        <v>146</v>
      </c>
      <c r="C83">
        <v>2012.5</v>
      </c>
      <c r="D83" t="s">
        <v>265</v>
      </c>
      <c r="E83">
        <v>1.4655899999999999E-2</v>
      </c>
    </row>
    <row r="84" spans="1:5" x14ac:dyDescent="0.25">
      <c r="A84" s="104" t="str">
        <f t="shared" si="1"/>
        <v>Pakistan2012.5Other Modern Method</v>
      </c>
      <c r="B84" t="s">
        <v>146</v>
      </c>
      <c r="C84">
        <v>2012.5</v>
      </c>
      <c r="D84" t="s">
        <v>113</v>
      </c>
      <c r="E84">
        <v>1.3105E-3</v>
      </c>
    </row>
    <row r="85" spans="1:5" x14ac:dyDescent="0.25">
      <c r="A85" s="104" t="str">
        <f t="shared" si="1"/>
        <v>Pakistan2012.5Standard Days Method</v>
      </c>
      <c r="B85" t="s">
        <v>146</v>
      </c>
      <c r="C85">
        <v>2012.5</v>
      </c>
      <c r="D85" t="s">
        <v>266</v>
      </c>
      <c r="E85">
        <v>1.9000000000000001E-5</v>
      </c>
    </row>
    <row r="86" spans="1:5" x14ac:dyDescent="0.25">
      <c r="A86" s="104" t="str">
        <f t="shared" si="1"/>
        <v>Pakistan2017.5Pill</v>
      </c>
      <c r="B86" t="s">
        <v>146</v>
      </c>
      <c r="C86">
        <v>2017.5</v>
      </c>
      <c r="D86" t="s">
        <v>12</v>
      </c>
      <c r="E86">
        <v>1.5927699999999999E-2</v>
      </c>
    </row>
    <row r="87" spans="1:5" x14ac:dyDescent="0.25">
      <c r="A87" s="104" t="str">
        <f t="shared" si="1"/>
        <v>Pakistan2017.5IUD</v>
      </c>
      <c r="B87" t="s">
        <v>146</v>
      </c>
      <c r="C87">
        <v>2017.5</v>
      </c>
      <c r="D87" t="s">
        <v>16</v>
      </c>
      <c r="E87">
        <v>2.0511700000000001E-2</v>
      </c>
    </row>
    <row r="88" spans="1:5" x14ac:dyDescent="0.25">
      <c r="A88" s="104" t="str">
        <f t="shared" si="1"/>
        <v>Pakistan2017.5Injectable</v>
      </c>
      <c r="B88" t="s">
        <v>146</v>
      </c>
      <c r="C88">
        <v>2017.5</v>
      </c>
      <c r="D88" t="s">
        <v>22</v>
      </c>
      <c r="E88">
        <v>2.3926800000000002E-2</v>
      </c>
    </row>
    <row r="89" spans="1:5" x14ac:dyDescent="0.25">
      <c r="A89" s="104" t="str">
        <f t="shared" si="1"/>
        <v>Pakistan2017.5Condom</v>
      </c>
      <c r="B89" t="s">
        <v>146</v>
      </c>
      <c r="C89">
        <v>2017.5</v>
      </c>
      <c r="D89" t="s">
        <v>25</v>
      </c>
      <c r="E89">
        <v>8.8353200000000007E-2</v>
      </c>
    </row>
    <row r="90" spans="1:5" x14ac:dyDescent="0.25">
      <c r="A90" s="104" t="str">
        <f t="shared" si="1"/>
        <v>Pakistan2017.5Female Sterilization</v>
      </c>
      <c r="B90" t="s">
        <v>146</v>
      </c>
      <c r="C90">
        <v>2017.5</v>
      </c>
      <c r="D90" t="s">
        <v>108</v>
      </c>
      <c r="E90">
        <v>8.79056E-2</v>
      </c>
    </row>
    <row r="91" spans="1:5" x14ac:dyDescent="0.25">
      <c r="A91" s="104" t="str">
        <f t="shared" si="1"/>
        <v>Pakistan2017.5Male Sterilization</v>
      </c>
      <c r="B91" t="s">
        <v>146</v>
      </c>
      <c r="C91">
        <v>2017.5</v>
      </c>
      <c r="D91" t="s">
        <v>109</v>
      </c>
      <c r="E91">
        <v>4.8040000000000002E-4</v>
      </c>
    </row>
    <row r="92" spans="1:5" x14ac:dyDescent="0.25">
      <c r="A92" s="104" t="str">
        <f t="shared" si="1"/>
        <v>Pakistan2017.5Implant</v>
      </c>
      <c r="B92" t="s">
        <v>146</v>
      </c>
      <c r="C92">
        <v>2017.5</v>
      </c>
      <c r="D92" t="s">
        <v>23</v>
      </c>
      <c r="E92">
        <v>4.2656999999999999E-3</v>
      </c>
    </row>
    <row r="93" spans="1:5" x14ac:dyDescent="0.25">
      <c r="A93" s="104" t="str">
        <f t="shared" si="1"/>
        <v>Pakistan2017.5Lactational Amenorrhea (Lam)</v>
      </c>
      <c r="B93" t="s">
        <v>146</v>
      </c>
      <c r="C93">
        <v>2017.5</v>
      </c>
      <c r="D93" t="s">
        <v>265</v>
      </c>
      <c r="E93">
        <v>1.7274E-3</v>
      </c>
    </row>
    <row r="94" spans="1:5" x14ac:dyDescent="0.25">
      <c r="A94" s="104" t="str">
        <f t="shared" si="1"/>
        <v>Pakistan2017.5</v>
      </c>
      <c r="B94" t="s">
        <v>146</v>
      </c>
      <c r="C94">
        <v>2017.5</v>
      </c>
      <c r="E94">
        <v>3.0889999999999997E-4</v>
      </c>
    </row>
    <row r="95" spans="1:5" x14ac:dyDescent="0.25">
      <c r="A95" s="104" t="str">
        <f t="shared" si="1"/>
        <v>Pakistan2017.5Other Modern Method</v>
      </c>
      <c r="B95" t="s">
        <v>146</v>
      </c>
      <c r="C95">
        <v>2017.5</v>
      </c>
      <c r="D95" t="s">
        <v>113</v>
      </c>
      <c r="E95">
        <v>2.16E-5</v>
      </c>
    </row>
    <row r="96" spans="1:5" x14ac:dyDescent="0.25">
      <c r="A96" s="104" t="str">
        <f t="shared" si="1"/>
        <v>Pakistan2017.5Standard Days Method</v>
      </c>
      <c r="B96" t="s">
        <v>146</v>
      </c>
      <c r="C96">
        <v>2017.5</v>
      </c>
      <c r="D96" t="s">
        <v>266</v>
      </c>
      <c r="E96">
        <v>6.4200000000000002E-5</v>
      </c>
    </row>
    <row r="97" spans="1:5" x14ac:dyDescent="0.25">
      <c r="A97" s="104" t="str">
        <f t="shared" si="1"/>
        <v>Philippines2013Pill</v>
      </c>
      <c r="B97" t="s">
        <v>148</v>
      </c>
      <c r="C97">
        <v>2013</v>
      </c>
      <c r="D97" t="s">
        <v>12</v>
      </c>
      <c r="E97">
        <v>0.1182874</v>
      </c>
    </row>
    <row r="98" spans="1:5" x14ac:dyDescent="0.25">
      <c r="A98" s="104" t="str">
        <f t="shared" si="1"/>
        <v>Philippines2013IUD</v>
      </c>
      <c r="B98" t="s">
        <v>148</v>
      </c>
      <c r="C98">
        <v>2013</v>
      </c>
      <c r="D98" t="s">
        <v>16</v>
      </c>
      <c r="E98">
        <v>2.1739700000000001E-2</v>
      </c>
    </row>
    <row r="99" spans="1:5" x14ac:dyDescent="0.25">
      <c r="A99" s="104" t="str">
        <f t="shared" si="1"/>
        <v>Philippines2013Injectable</v>
      </c>
      <c r="B99" t="s">
        <v>148</v>
      </c>
      <c r="C99">
        <v>2013</v>
      </c>
      <c r="D99" t="s">
        <v>22</v>
      </c>
      <c r="E99">
        <v>2.2659700000000001E-2</v>
      </c>
    </row>
    <row r="100" spans="1:5" x14ac:dyDescent="0.25">
      <c r="A100" s="104" t="str">
        <f t="shared" si="1"/>
        <v>Philippines2013Condom</v>
      </c>
      <c r="B100" t="s">
        <v>148</v>
      </c>
      <c r="C100">
        <v>2013</v>
      </c>
      <c r="D100" t="s">
        <v>25</v>
      </c>
      <c r="E100">
        <v>1.35543E-2</v>
      </c>
    </row>
    <row r="101" spans="1:5" x14ac:dyDescent="0.25">
      <c r="A101" s="104" t="str">
        <f t="shared" si="1"/>
        <v>Philippines2013Female Sterilization</v>
      </c>
      <c r="B101" t="s">
        <v>148</v>
      </c>
      <c r="C101">
        <v>2013</v>
      </c>
      <c r="D101" t="s">
        <v>108</v>
      </c>
      <c r="E101">
        <v>5.37165E-2</v>
      </c>
    </row>
    <row r="102" spans="1:5" x14ac:dyDescent="0.25">
      <c r="A102" s="104" t="str">
        <f t="shared" si="1"/>
        <v>Philippines2013Male Sterilization</v>
      </c>
      <c r="B102" t="s">
        <v>148</v>
      </c>
      <c r="C102">
        <v>2013</v>
      </c>
      <c r="D102" t="s">
        <v>109</v>
      </c>
      <c r="E102">
        <v>6.5519999999999999E-4</v>
      </c>
    </row>
    <row r="103" spans="1:5" x14ac:dyDescent="0.25">
      <c r="A103" s="104" t="str">
        <f t="shared" si="1"/>
        <v>Philippines2013Implant</v>
      </c>
      <c r="B103" t="s">
        <v>148</v>
      </c>
      <c r="C103">
        <v>2013</v>
      </c>
      <c r="D103" t="s">
        <v>23</v>
      </c>
      <c r="E103">
        <v>1.2740000000000001E-4</v>
      </c>
    </row>
    <row r="104" spans="1:5" x14ac:dyDescent="0.25">
      <c r="A104" s="104" t="str">
        <f t="shared" si="1"/>
        <v>Philippines2013Lactational Amenorrhea (Lam)</v>
      </c>
      <c r="B104" t="s">
        <v>148</v>
      </c>
      <c r="C104">
        <v>2013</v>
      </c>
      <c r="D104" t="s">
        <v>265</v>
      </c>
      <c r="E104">
        <v>3.0119999999999999E-3</v>
      </c>
    </row>
    <row r="105" spans="1:5" x14ac:dyDescent="0.25">
      <c r="A105" s="104" t="str">
        <f t="shared" si="1"/>
        <v>Philippines2013Other Modern Method</v>
      </c>
      <c r="B105" t="s">
        <v>148</v>
      </c>
      <c r="C105">
        <v>2013</v>
      </c>
      <c r="D105" t="s">
        <v>113</v>
      </c>
      <c r="E105">
        <v>1.537E-4</v>
      </c>
    </row>
    <row r="106" spans="1:5" x14ac:dyDescent="0.25">
      <c r="A106" s="104" t="str">
        <f t="shared" si="1"/>
        <v>Philippines2013Standard Days (Sdm)</v>
      </c>
      <c r="B106" t="s">
        <v>148</v>
      </c>
      <c r="C106">
        <v>2013</v>
      </c>
      <c r="D106" t="s">
        <v>271</v>
      </c>
      <c r="E106">
        <v>7.1739999999999998E-4</v>
      </c>
    </row>
    <row r="107" spans="1:5" x14ac:dyDescent="0.25">
      <c r="A107" s="104" t="str">
        <f t="shared" si="1"/>
        <v>Philippines2013Mucus/ Billings/ Ovulation</v>
      </c>
      <c r="B107" t="s">
        <v>148</v>
      </c>
      <c r="C107">
        <v>2013</v>
      </c>
      <c r="D107" t="s">
        <v>272</v>
      </c>
      <c r="E107">
        <v>4.9980000000000001E-4</v>
      </c>
    </row>
    <row r="108" spans="1:5" x14ac:dyDescent="0.25">
      <c r="A108" s="104" t="str">
        <f t="shared" si="1"/>
        <v>Philippines2013Basal Body Temperature</v>
      </c>
      <c r="B108" t="s">
        <v>148</v>
      </c>
      <c r="C108">
        <v>2013</v>
      </c>
      <c r="D108" t="s">
        <v>273</v>
      </c>
      <c r="E108">
        <v>2.5260000000000001E-4</v>
      </c>
    </row>
    <row r="109" spans="1:5" x14ac:dyDescent="0.25">
      <c r="A109" s="104" t="str">
        <f t="shared" si="1"/>
        <v>Philippines2013Symptothermal</v>
      </c>
      <c r="B109" t="s">
        <v>148</v>
      </c>
      <c r="C109">
        <v>2013</v>
      </c>
      <c r="D109" t="s">
        <v>274</v>
      </c>
      <c r="E109">
        <v>6.0999999999999999E-5</v>
      </c>
    </row>
    <row r="110" spans="1:5" x14ac:dyDescent="0.25">
      <c r="A110" s="104" t="str">
        <f t="shared" si="1"/>
        <v>Philippines2017Pill</v>
      </c>
      <c r="B110" t="s">
        <v>148</v>
      </c>
      <c r="C110">
        <v>2017</v>
      </c>
      <c r="D110" t="s">
        <v>12</v>
      </c>
      <c r="E110">
        <v>0.1271494</v>
      </c>
    </row>
    <row r="111" spans="1:5" x14ac:dyDescent="0.25">
      <c r="A111" s="104" t="str">
        <f t="shared" si="1"/>
        <v>Philippines2017IUD</v>
      </c>
      <c r="B111" t="s">
        <v>148</v>
      </c>
      <c r="C111">
        <v>2017</v>
      </c>
      <c r="D111" t="s">
        <v>16</v>
      </c>
      <c r="E111">
        <v>2.1525900000000001E-2</v>
      </c>
    </row>
    <row r="112" spans="1:5" x14ac:dyDescent="0.25">
      <c r="A112" s="104" t="str">
        <f t="shared" si="1"/>
        <v>Philippines2017Injectable</v>
      </c>
      <c r="B112" t="s">
        <v>148</v>
      </c>
      <c r="C112">
        <v>2017</v>
      </c>
      <c r="D112" t="s">
        <v>22</v>
      </c>
      <c r="E112">
        <v>3.05163E-2</v>
      </c>
    </row>
    <row r="113" spans="1:5" x14ac:dyDescent="0.25">
      <c r="A113" s="104" t="str">
        <f t="shared" si="1"/>
        <v>Philippines2017Condom</v>
      </c>
      <c r="B113" t="s">
        <v>148</v>
      </c>
      <c r="C113">
        <v>2017</v>
      </c>
      <c r="D113" t="s">
        <v>25</v>
      </c>
      <c r="E113">
        <v>1.1142300000000001E-2</v>
      </c>
    </row>
    <row r="114" spans="1:5" x14ac:dyDescent="0.25">
      <c r="A114" s="104" t="str">
        <f t="shared" si="1"/>
        <v>Philippines2017Female Sterilization</v>
      </c>
      <c r="B114" t="s">
        <v>148</v>
      </c>
      <c r="C114">
        <v>2017</v>
      </c>
      <c r="D114" t="s">
        <v>108</v>
      </c>
      <c r="E114">
        <v>4.7855099999999998E-2</v>
      </c>
    </row>
    <row r="115" spans="1:5" x14ac:dyDescent="0.25">
      <c r="A115" s="104" t="str">
        <f t="shared" si="1"/>
        <v>Philippines2017Male Sterilization</v>
      </c>
      <c r="B115" t="s">
        <v>148</v>
      </c>
      <c r="C115">
        <v>2017</v>
      </c>
      <c r="D115" t="s">
        <v>109</v>
      </c>
      <c r="E115">
        <v>2.8870000000000002E-4</v>
      </c>
    </row>
    <row r="116" spans="1:5" x14ac:dyDescent="0.25">
      <c r="A116" s="104" t="str">
        <f t="shared" si="1"/>
        <v>Philippines2017Implant</v>
      </c>
      <c r="B116" t="s">
        <v>148</v>
      </c>
      <c r="C116">
        <v>2017</v>
      </c>
      <c r="D116" t="s">
        <v>23</v>
      </c>
      <c r="E116">
        <v>6.9924000000000002E-3</v>
      </c>
    </row>
    <row r="117" spans="1:5" x14ac:dyDescent="0.25">
      <c r="A117" s="104" t="str">
        <f t="shared" si="1"/>
        <v>Philippines2017Lactational Amenorrhea (Lam)</v>
      </c>
      <c r="B117" t="s">
        <v>148</v>
      </c>
      <c r="C117">
        <v>2017</v>
      </c>
      <c r="D117" t="s">
        <v>265</v>
      </c>
      <c r="E117">
        <v>3.1959000000000002E-3</v>
      </c>
    </row>
    <row r="118" spans="1:5" x14ac:dyDescent="0.25">
      <c r="A118" s="104" t="str">
        <f t="shared" si="1"/>
        <v>Philippines2017Female Condom</v>
      </c>
      <c r="B118" t="s">
        <v>148</v>
      </c>
      <c r="C118">
        <v>2017</v>
      </c>
      <c r="D118" t="s">
        <v>112</v>
      </c>
      <c r="E118">
        <v>3.2299999999999999E-5</v>
      </c>
    </row>
    <row r="119" spans="1:5" x14ac:dyDescent="0.25">
      <c r="A119" s="104" t="str">
        <f t="shared" si="1"/>
        <v>Philippines2017Other Modern Method</v>
      </c>
      <c r="B119" t="s">
        <v>148</v>
      </c>
      <c r="C119">
        <v>2017</v>
      </c>
      <c r="D119" t="s">
        <v>113</v>
      </c>
      <c r="E119" s="222">
        <v>6.9500000000000004E-6</v>
      </c>
    </row>
    <row r="120" spans="1:5" x14ac:dyDescent="0.25">
      <c r="A120" s="104" t="str">
        <f t="shared" si="1"/>
        <v>Philippines2017Patch</v>
      </c>
      <c r="B120" t="s">
        <v>148</v>
      </c>
      <c r="C120">
        <v>2017</v>
      </c>
      <c r="D120" t="s">
        <v>275</v>
      </c>
      <c r="E120">
        <v>3.8400000000000001E-4</v>
      </c>
    </row>
    <row r="121" spans="1:5" x14ac:dyDescent="0.25">
      <c r="A121" s="104" t="str">
        <f t="shared" si="1"/>
        <v>Philippines2017Mucus/ Billings/ Ovulation</v>
      </c>
      <c r="B121" t="s">
        <v>148</v>
      </c>
      <c r="C121">
        <v>2017</v>
      </c>
      <c r="D121" t="s">
        <v>272</v>
      </c>
      <c r="E121">
        <v>2.27E-5</v>
      </c>
    </row>
    <row r="122" spans="1:5" x14ac:dyDescent="0.25">
      <c r="A122" s="104" t="str">
        <f t="shared" si="1"/>
        <v>Philippines2017Basal Body Temperature</v>
      </c>
      <c r="B122" t="s">
        <v>148</v>
      </c>
      <c r="C122">
        <v>2017</v>
      </c>
      <c r="D122" t="s">
        <v>273</v>
      </c>
      <c r="E122">
        <v>2.76E-5</v>
      </c>
    </row>
    <row r="123" spans="1:5" x14ac:dyDescent="0.25">
      <c r="A123" s="104" t="str">
        <f t="shared" si="1"/>
        <v>Senegal2016Pill</v>
      </c>
      <c r="B123" t="s">
        <v>150</v>
      </c>
      <c r="C123">
        <v>2016</v>
      </c>
      <c r="D123" t="s">
        <v>12</v>
      </c>
      <c r="E123">
        <v>3.1113399999999999E-2</v>
      </c>
    </row>
    <row r="124" spans="1:5" x14ac:dyDescent="0.25">
      <c r="A124" s="104" t="str">
        <f t="shared" si="1"/>
        <v>Senegal2016IUD</v>
      </c>
      <c r="B124" t="s">
        <v>150</v>
      </c>
      <c r="C124">
        <v>2016</v>
      </c>
      <c r="D124" t="s">
        <v>16</v>
      </c>
      <c r="E124">
        <v>1.1717200000000001E-2</v>
      </c>
    </row>
    <row r="125" spans="1:5" x14ac:dyDescent="0.25">
      <c r="A125" s="104" t="str">
        <f t="shared" si="1"/>
        <v>Senegal2016Injectable</v>
      </c>
      <c r="B125" t="s">
        <v>150</v>
      </c>
      <c r="C125">
        <v>2016</v>
      </c>
      <c r="D125" t="s">
        <v>22</v>
      </c>
      <c r="E125">
        <v>5.7528799999999998E-2</v>
      </c>
    </row>
    <row r="126" spans="1:5" x14ac:dyDescent="0.25">
      <c r="A126" s="104" t="str">
        <f t="shared" si="1"/>
        <v>Senegal2016Condom</v>
      </c>
      <c r="B126" t="s">
        <v>150</v>
      </c>
      <c r="C126">
        <v>2016</v>
      </c>
      <c r="D126" t="s">
        <v>25</v>
      </c>
      <c r="E126">
        <v>6.3122999999999999E-3</v>
      </c>
    </row>
    <row r="127" spans="1:5" x14ac:dyDescent="0.25">
      <c r="A127" s="104" t="str">
        <f t="shared" si="1"/>
        <v>Senegal2016Female Sterilization</v>
      </c>
      <c r="B127" t="s">
        <v>150</v>
      </c>
      <c r="C127">
        <v>2016</v>
      </c>
      <c r="D127" t="s">
        <v>108</v>
      </c>
      <c r="E127">
        <v>4.9887999999999998E-3</v>
      </c>
    </row>
    <row r="128" spans="1:5" x14ac:dyDescent="0.25">
      <c r="A128" s="104" t="str">
        <f t="shared" si="1"/>
        <v>Senegal2016Implant</v>
      </c>
      <c r="B128" t="s">
        <v>150</v>
      </c>
      <c r="C128">
        <v>2016</v>
      </c>
      <c r="D128" t="s">
        <v>23</v>
      </c>
      <c r="E128">
        <v>5.2096499999999997E-2</v>
      </c>
    </row>
    <row r="129" spans="1:5" x14ac:dyDescent="0.25">
      <c r="A129" s="104" t="str">
        <f t="shared" si="1"/>
        <v>Senegal2016Lactational Amenorrhea (Lam)</v>
      </c>
      <c r="B129" t="s">
        <v>150</v>
      </c>
      <c r="C129">
        <v>2016</v>
      </c>
      <c r="D129" t="s">
        <v>265</v>
      </c>
      <c r="E129">
        <v>9.9679999999999994E-4</v>
      </c>
    </row>
    <row r="130" spans="1:5" x14ac:dyDescent="0.25">
      <c r="A130" s="104" t="str">
        <f t="shared" si="1"/>
        <v>Senegal2016Other Modern Method</v>
      </c>
      <c r="B130" t="s">
        <v>150</v>
      </c>
      <c r="C130">
        <v>2016</v>
      </c>
      <c r="D130" t="s">
        <v>113</v>
      </c>
      <c r="E130">
        <v>5.0279999999999997E-4</v>
      </c>
    </row>
    <row r="131" spans="1:5" x14ac:dyDescent="0.25">
      <c r="A131" s="104" t="str">
        <f t="shared" ref="A131:A183" si="2">B131&amp;C131&amp;D131</f>
        <v>Senegal2016Collier (Cs)</v>
      </c>
      <c r="B131" t="s">
        <v>150</v>
      </c>
      <c r="C131">
        <v>2016</v>
      </c>
      <c r="D131" t="s">
        <v>276</v>
      </c>
      <c r="E131">
        <v>3.9970000000000001E-4</v>
      </c>
    </row>
    <row r="132" spans="1:5" x14ac:dyDescent="0.25">
      <c r="A132" s="104" t="str">
        <f t="shared" si="2"/>
        <v>Senegal2017Pill</v>
      </c>
      <c r="B132" t="s">
        <v>150</v>
      </c>
      <c r="C132">
        <v>2017</v>
      </c>
      <c r="D132" t="s">
        <v>12</v>
      </c>
      <c r="E132">
        <v>2.9458700000000001E-2</v>
      </c>
    </row>
    <row r="133" spans="1:5" x14ac:dyDescent="0.25">
      <c r="A133" s="104" t="str">
        <f t="shared" si="2"/>
        <v>Senegal2017IUD</v>
      </c>
      <c r="B133" t="s">
        <v>150</v>
      </c>
      <c r="C133">
        <v>2017</v>
      </c>
      <c r="D133" t="s">
        <v>16</v>
      </c>
      <c r="E133">
        <v>1.4865099999999999E-2</v>
      </c>
    </row>
    <row r="134" spans="1:5" x14ac:dyDescent="0.25">
      <c r="A134" s="104" t="str">
        <f t="shared" si="2"/>
        <v>Senegal2017Injectable</v>
      </c>
      <c r="B134" t="s">
        <v>150</v>
      </c>
      <c r="C134">
        <v>2017</v>
      </c>
      <c r="D134" t="s">
        <v>22</v>
      </c>
      <c r="E134">
        <v>7.1017200000000003E-2</v>
      </c>
    </row>
    <row r="135" spans="1:5" x14ac:dyDescent="0.25">
      <c r="A135" s="104" t="str">
        <f t="shared" si="2"/>
        <v>Senegal2017Condom</v>
      </c>
      <c r="B135" t="s">
        <v>150</v>
      </c>
      <c r="C135">
        <v>2017</v>
      </c>
      <c r="D135" t="s">
        <v>25</v>
      </c>
      <c r="E135">
        <v>1.0697399999999999E-2</v>
      </c>
    </row>
    <row r="136" spans="1:5" x14ac:dyDescent="0.25">
      <c r="A136" s="104" t="str">
        <f t="shared" si="2"/>
        <v>Senegal2017Female Sterilization</v>
      </c>
      <c r="B136" t="s">
        <v>150</v>
      </c>
      <c r="C136">
        <v>2017</v>
      </c>
      <c r="D136" t="s">
        <v>108</v>
      </c>
      <c r="E136">
        <v>2.4608999999999998E-3</v>
      </c>
    </row>
    <row r="137" spans="1:5" x14ac:dyDescent="0.25">
      <c r="A137" s="104" t="str">
        <f t="shared" si="2"/>
        <v>Senegal2017Implant</v>
      </c>
      <c r="B137" t="s">
        <v>150</v>
      </c>
      <c r="C137">
        <v>2017</v>
      </c>
      <c r="D137" t="s">
        <v>23</v>
      </c>
      <c r="E137">
        <v>5.88184E-2</v>
      </c>
    </row>
    <row r="138" spans="1:5" x14ac:dyDescent="0.25">
      <c r="A138" s="104" t="str">
        <f t="shared" si="2"/>
        <v>Senegal2017Lactational Amenorrhea (Lam)</v>
      </c>
      <c r="B138" t="s">
        <v>150</v>
      </c>
      <c r="C138">
        <v>2017</v>
      </c>
      <c r="D138" t="s">
        <v>265</v>
      </c>
      <c r="E138">
        <v>4.7449999999999999E-4</v>
      </c>
    </row>
    <row r="139" spans="1:5" x14ac:dyDescent="0.25">
      <c r="A139" s="104" t="str">
        <f t="shared" si="2"/>
        <v>Senegal2017Female Condom</v>
      </c>
      <c r="B139" t="s">
        <v>150</v>
      </c>
      <c r="C139">
        <v>2017</v>
      </c>
      <c r="D139" t="s">
        <v>112</v>
      </c>
      <c r="E139">
        <v>5.24E-5</v>
      </c>
    </row>
    <row r="140" spans="1:5" x14ac:dyDescent="0.25">
      <c r="A140" s="104" t="str">
        <f t="shared" si="2"/>
        <v>Senegal2017</v>
      </c>
      <c r="B140" t="s">
        <v>150</v>
      </c>
      <c r="C140">
        <v>2017</v>
      </c>
      <c r="E140">
        <v>1.5220000000000001E-4</v>
      </c>
    </row>
    <row r="141" spans="1:5" x14ac:dyDescent="0.25">
      <c r="A141" s="104" t="str">
        <f t="shared" si="2"/>
        <v>Senegal2017Other Modern Method</v>
      </c>
      <c r="B141" t="s">
        <v>150</v>
      </c>
      <c r="C141">
        <v>2017</v>
      </c>
      <c r="D141" t="s">
        <v>113</v>
      </c>
      <c r="E141">
        <v>7.8300000000000006E-5</v>
      </c>
    </row>
    <row r="142" spans="1:5" x14ac:dyDescent="0.25">
      <c r="A142" s="104" t="str">
        <f t="shared" si="2"/>
        <v>Senegal2017Collier (Cs)</v>
      </c>
      <c r="B142" t="s">
        <v>150</v>
      </c>
      <c r="C142">
        <v>2017</v>
      </c>
      <c r="D142" t="s">
        <v>276</v>
      </c>
      <c r="E142">
        <v>6.133E-4</v>
      </c>
    </row>
    <row r="143" spans="1:5" x14ac:dyDescent="0.25">
      <c r="A143" s="104" t="str">
        <f t="shared" si="2"/>
        <v>Tanzania2010Pill</v>
      </c>
      <c r="B143" t="s">
        <v>152</v>
      </c>
      <c r="C143">
        <v>2010</v>
      </c>
      <c r="D143" t="s">
        <v>12</v>
      </c>
      <c r="E143">
        <v>5.1411600000000002E-2</v>
      </c>
    </row>
    <row r="144" spans="1:5" x14ac:dyDescent="0.25">
      <c r="A144" s="104" t="str">
        <f t="shared" si="2"/>
        <v>Tanzania2010IUD</v>
      </c>
      <c r="B144" t="s">
        <v>152</v>
      </c>
      <c r="C144">
        <v>2010</v>
      </c>
      <c r="D144" t="s">
        <v>16</v>
      </c>
      <c r="E144">
        <v>4.3636999999999999E-3</v>
      </c>
    </row>
    <row r="145" spans="1:5" x14ac:dyDescent="0.25">
      <c r="A145" s="104" t="str">
        <f t="shared" si="2"/>
        <v>Tanzania2010Injectable</v>
      </c>
      <c r="B145" t="s">
        <v>152</v>
      </c>
      <c r="C145">
        <v>2010</v>
      </c>
      <c r="D145" t="s">
        <v>22</v>
      </c>
      <c r="E145">
        <v>8.4873599999999993E-2</v>
      </c>
    </row>
    <row r="146" spans="1:5" x14ac:dyDescent="0.25">
      <c r="A146" s="104" t="str">
        <f t="shared" si="2"/>
        <v>Tanzania2010Condom</v>
      </c>
      <c r="B146" t="s">
        <v>152</v>
      </c>
      <c r="C146">
        <v>2010</v>
      </c>
      <c r="D146" t="s">
        <v>25</v>
      </c>
      <c r="E146">
        <v>4.2390299999999999E-2</v>
      </c>
    </row>
    <row r="147" spans="1:5" x14ac:dyDescent="0.25">
      <c r="A147" s="104" t="str">
        <f t="shared" si="2"/>
        <v>Tanzania2010Female Sterilization</v>
      </c>
      <c r="B147" t="s">
        <v>152</v>
      </c>
      <c r="C147">
        <v>2010</v>
      </c>
      <c r="D147" t="s">
        <v>108</v>
      </c>
      <c r="E147">
        <v>2.4956800000000001E-2</v>
      </c>
    </row>
    <row r="148" spans="1:5" x14ac:dyDescent="0.25">
      <c r="A148" s="104" t="str">
        <f t="shared" si="2"/>
        <v>Tanzania2010Male Sterilization</v>
      </c>
      <c r="B148" t="s">
        <v>152</v>
      </c>
      <c r="C148">
        <v>2010</v>
      </c>
      <c r="D148" t="s">
        <v>109</v>
      </c>
      <c r="E148">
        <v>2.4560000000000001E-4</v>
      </c>
    </row>
    <row r="149" spans="1:5" x14ac:dyDescent="0.25">
      <c r="A149" s="104" t="str">
        <f t="shared" si="2"/>
        <v>Tanzania2010Norplant</v>
      </c>
      <c r="B149" t="s">
        <v>152</v>
      </c>
      <c r="C149">
        <v>2010</v>
      </c>
      <c r="D149" t="s">
        <v>263</v>
      </c>
      <c r="E149">
        <v>1.8135200000000001E-2</v>
      </c>
    </row>
    <row r="150" spans="1:5" x14ac:dyDescent="0.25">
      <c r="A150" s="104" t="str">
        <f t="shared" si="2"/>
        <v>Tanzania2010Lactational Amenorrhea</v>
      </c>
      <c r="B150" t="s">
        <v>152</v>
      </c>
      <c r="C150">
        <v>2010</v>
      </c>
      <c r="D150" t="s">
        <v>268</v>
      </c>
      <c r="E150">
        <v>9.5110000000000004E-3</v>
      </c>
    </row>
    <row r="151" spans="1:5" x14ac:dyDescent="0.25">
      <c r="A151" s="104" t="str">
        <f t="shared" si="2"/>
        <v>Tanzania2010Female Condom</v>
      </c>
      <c r="B151" t="s">
        <v>152</v>
      </c>
      <c r="C151">
        <v>2010</v>
      </c>
      <c r="D151" t="s">
        <v>112</v>
      </c>
      <c r="E151">
        <v>9.7299999999999993E-5</v>
      </c>
    </row>
    <row r="152" spans="1:5" x14ac:dyDescent="0.25">
      <c r="A152" s="104" t="str">
        <f t="shared" si="2"/>
        <v>Tanzania2015.5Pill</v>
      </c>
      <c r="B152" t="s">
        <v>152</v>
      </c>
      <c r="C152">
        <v>2015.5</v>
      </c>
      <c r="D152" t="s">
        <v>12</v>
      </c>
      <c r="E152">
        <v>4.1351100000000002E-2</v>
      </c>
    </row>
    <row r="153" spans="1:5" x14ac:dyDescent="0.25">
      <c r="A153" s="104" t="str">
        <f t="shared" si="2"/>
        <v>Tanzania2015.5IUD</v>
      </c>
      <c r="B153" t="s">
        <v>152</v>
      </c>
      <c r="C153">
        <v>2015.5</v>
      </c>
      <c r="D153" t="s">
        <v>16</v>
      </c>
      <c r="E153">
        <v>6.8255E-3</v>
      </c>
    </row>
    <row r="154" spans="1:5" x14ac:dyDescent="0.25">
      <c r="A154" s="104" t="str">
        <f t="shared" si="2"/>
        <v>Tanzania2015.5Injectable</v>
      </c>
      <c r="B154" t="s">
        <v>152</v>
      </c>
      <c r="C154">
        <v>2015.5</v>
      </c>
      <c r="D154" t="s">
        <v>22</v>
      </c>
      <c r="E154">
        <v>9.9149200000000007E-2</v>
      </c>
    </row>
    <row r="155" spans="1:5" x14ac:dyDescent="0.25">
      <c r="A155" s="104" t="str">
        <f t="shared" si="2"/>
        <v>Tanzania2015.5Condom</v>
      </c>
      <c r="B155" t="s">
        <v>152</v>
      </c>
      <c r="C155">
        <v>2015.5</v>
      </c>
      <c r="D155" t="s">
        <v>25</v>
      </c>
      <c r="E155">
        <v>3.8920099999999999E-2</v>
      </c>
    </row>
    <row r="156" spans="1:5" x14ac:dyDescent="0.25">
      <c r="A156" s="104" t="str">
        <f t="shared" si="2"/>
        <v>Tanzania2015.5Female Sterilization</v>
      </c>
      <c r="B156" t="s">
        <v>152</v>
      </c>
      <c r="C156">
        <v>2015.5</v>
      </c>
      <c r="D156" t="s">
        <v>108</v>
      </c>
      <c r="E156">
        <v>2.5458000000000001E-2</v>
      </c>
    </row>
    <row r="157" spans="1:5" x14ac:dyDescent="0.25">
      <c r="A157" s="104" t="str">
        <f t="shared" si="2"/>
        <v>Tanzania2015.5Male Sterilization</v>
      </c>
      <c r="B157" t="s">
        <v>152</v>
      </c>
      <c r="C157">
        <v>2015.5</v>
      </c>
      <c r="D157" t="s">
        <v>109</v>
      </c>
      <c r="E157">
        <v>3.6630000000000001E-4</v>
      </c>
    </row>
    <row r="158" spans="1:5" x14ac:dyDescent="0.25">
      <c r="A158" s="104" t="str">
        <f t="shared" si="2"/>
        <v>Tanzania2015.5Norplant</v>
      </c>
      <c r="B158" t="s">
        <v>152</v>
      </c>
      <c r="C158">
        <v>2015.5</v>
      </c>
      <c r="D158" t="s">
        <v>263</v>
      </c>
      <c r="E158">
        <v>5.5572999999999997E-2</v>
      </c>
    </row>
    <row r="159" spans="1:5" x14ac:dyDescent="0.25">
      <c r="A159" s="104" t="str">
        <f t="shared" si="2"/>
        <v>Tanzania2015.5Lactational Amenorrhea</v>
      </c>
      <c r="B159" t="s">
        <v>152</v>
      </c>
      <c r="C159">
        <v>2015.5</v>
      </c>
      <c r="D159" t="s">
        <v>268</v>
      </c>
      <c r="E159">
        <v>3.0200000000000001E-3</v>
      </c>
    </row>
    <row r="160" spans="1:5" x14ac:dyDescent="0.25">
      <c r="A160" s="104" t="str">
        <f t="shared" si="2"/>
        <v>Tanzania2015.5Female Condom</v>
      </c>
      <c r="B160" t="s">
        <v>152</v>
      </c>
      <c r="C160">
        <v>2015.5</v>
      </c>
      <c r="D160" t="s">
        <v>112</v>
      </c>
      <c r="E160">
        <v>1.05E-4</v>
      </c>
    </row>
    <row r="161" spans="1:5" x14ac:dyDescent="0.25">
      <c r="A161" s="104" t="str">
        <f t="shared" si="2"/>
        <v>Tanzania2015.5***Undefined Label</v>
      </c>
      <c r="B161" t="s">
        <v>152</v>
      </c>
      <c r="C161">
        <v>2015.5</v>
      </c>
      <c r="D161" t="s">
        <v>277</v>
      </c>
      <c r="E161">
        <v>2.7710000000000001E-4</v>
      </c>
    </row>
    <row r="162" spans="1:5" x14ac:dyDescent="0.25">
      <c r="A162" s="104" t="str">
        <f t="shared" si="2"/>
        <v>Tanzania2015.5Specific Method 1</v>
      </c>
      <c r="B162" t="s">
        <v>152</v>
      </c>
      <c r="C162">
        <v>2015.5</v>
      </c>
      <c r="D162" t="s">
        <v>269</v>
      </c>
      <c r="E162">
        <v>8.4699999999999999E-5</v>
      </c>
    </row>
    <row r="163" spans="1:5" x14ac:dyDescent="0.25">
      <c r="A163" s="104" t="str">
        <f t="shared" si="2"/>
        <v>Tanzania2015.5Specific Method 2</v>
      </c>
      <c r="B163" t="s">
        <v>152</v>
      </c>
      <c r="C163">
        <v>2015.5</v>
      </c>
      <c r="D163" t="s">
        <v>270</v>
      </c>
      <c r="E163">
        <v>7.9599999999999997E-5</v>
      </c>
    </row>
    <row r="164" spans="1:5" x14ac:dyDescent="0.25">
      <c r="A164" s="104" t="str">
        <f t="shared" si="2"/>
        <v>Uganda2011Pill</v>
      </c>
      <c r="B164" t="s">
        <v>154</v>
      </c>
      <c r="C164">
        <v>2011</v>
      </c>
      <c r="D164" t="s">
        <v>12</v>
      </c>
      <c r="E164">
        <v>2.14734E-2</v>
      </c>
    </row>
    <row r="165" spans="1:5" x14ac:dyDescent="0.25">
      <c r="A165" s="104" t="str">
        <f t="shared" si="2"/>
        <v>Uganda2011IUD</v>
      </c>
      <c r="B165" t="s">
        <v>154</v>
      </c>
      <c r="C165">
        <v>2011</v>
      </c>
      <c r="D165" t="s">
        <v>16</v>
      </c>
      <c r="E165">
        <v>3.5544999999999999E-3</v>
      </c>
    </row>
    <row r="166" spans="1:5" x14ac:dyDescent="0.25">
      <c r="A166" s="104" t="str">
        <f t="shared" si="2"/>
        <v>Uganda2011Injectable</v>
      </c>
      <c r="B166" t="s">
        <v>154</v>
      </c>
      <c r="C166">
        <v>2011</v>
      </c>
      <c r="D166" t="s">
        <v>22</v>
      </c>
      <c r="E166">
        <v>0.1071018</v>
      </c>
    </row>
    <row r="167" spans="1:5" x14ac:dyDescent="0.25">
      <c r="A167" s="104" t="str">
        <f t="shared" si="2"/>
        <v>Uganda2011Condom</v>
      </c>
      <c r="B167" t="s">
        <v>154</v>
      </c>
      <c r="C167">
        <v>2011</v>
      </c>
      <c r="D167" t="s">
        <v>25</v>
      </c>
      <c r="E167">
        <v>3.2261600000000001E-2</v>
      </c>
    </row>
    <row r="168" spans="1:5" x14ac:dyDescent="0.25">
      <c r="A168" s="104" t="str">
        <f t="shared" si="2"/>
        <v>Uganda2011Female Sterilization</v>
      </c>
      <c r="B168" t="s">
        <v>154</v>
      </c>
      <c r="C168">
        <v>2011</v>
      </c>
      <c r="D168" t="s">
        <v>108</v>
      </c>
      <c r="E168">
        <v>2.1709699999999998E-2</v>
      </c>
    </row>
    <row r="169" spans="1:5" x14ac:dyDescent="0.25">
      <c r="A169" s="104" t="str">
        <f t="shared" si="2"/>
        <v>Uganda2011Male Sterilization</v>
      </c>
      <c r="B169" t="s">
        <v>154</v>
      </c>
      <c r="C169">
        <v>2011</v>
      </c>
      <c r="D169" t="s">
        <v>109</v>
      </c>
      <c r="E169">
        <v>5.329E-4</v>
      </c>
    </row>
    <row r="170" spans="1:5" x14ac:dyDescent="0.25">
      <c r="A170" s="104" t="str">
        <f t="shared" si="2"/>
        <v>Uganda2011Implant</v>
      </c>
      <c r="B170" t="s">
        <v>154</v>
      </c>
      <c r="C170">
        <v>2011</v>
      </c>
      <c r="D170" t="s">
        <v>23</v>
      </c>
      <c r="E170">
        <v>1.8937099999999998E-2</v>
      </c>
    </row>
    <row r="171" spans="1:5" x14ac:dyDescent="0.25">
      <c r="A171" s="104" t="str">
        <f t="shared" si="2"/>
        <v>Uganda2011Lactational Amenorrhea (Lam)</v>
      </c>
      <c r="B171" t="s">
        <v>154</v>
      </c>
      <c r="C171">
        <v>2011</v>
      </c>
      <c r="D171" t="s">
        <v>265</v>
      </c>
      <c r="E171">
        <v>1.2404E-3</v>
      </c>
    </row>
    <row r="172" spans="1:5" x14ac:dyDescent="0.25">
      <c r="A172" s="104" t="str">
        <f t="shared" si="2"/>
        <v>Uganda2016Pill</v>
      </c>
      <c r="B172" t="s">
        <v>154</v>
      </c>
      <c r="C172">
        <v>2016</v>
      </c>
      <c r="D172" t="s">
        <v>12</v>
      </c>
      <c r="E172">
        <v>1.52281E-2</v>
      </c>
    </row>
    <row r="173" spans="1:5" x14ac:dyDescent="0.25">
      <c r="A173" s="104" t="str">
        <f t="shared" si="2"/>
        <v>Uganda2016IUD</v>
      </c>
      <c r="B173" t="s">
        <v>154</v>
      </c>
      <c r="C173">
        <v>2016</v>
      </c>
      <c r="D173" t="s">
        <v>16</v>
      </c>
      <c r="E173">
        <v>1.1222599999999999E-2</v>
      </c>
    </row>
    <row r="174" spans="1:5" x14ac:dyDescent="0.25">
      <c r="A174" s="104" t="str">
        <f t="shared" si="2"/>
        <v>Uganda2016Injectable</v>
      </c>
      <c r="B174" t="s">
        <v>154</v>
      </c>
      <c r="C174">
        <v>2016</v>
      </c>
      <c r="D174" t="s">
        <v>22</v>
      </c>
      <c r="E174">
        <v>0.13909340000000001</v>
      </c>
    </row>
    <row r="175" spans="1:5" x14ac:dyDescent="0.25">
      <c r="A175" s="104" t="str">
        <f t="shared" si="2"/>
        <v>Uganda2016Condom</v>
      </c>
      <c r="B175" t="s">
        <v>154</v>
      </c>
      <c r="C175">
        <v>2016</v>
      </c>
      <c r="D175" t="s">
        <v>25</v>
      </c>
      <c r="E175">
        <v>3.12407E-2</v>
      </c>
    </row>
    <row r="176" spans="1:5" x14ac:dyDescent="0.25">
      <c r="A176" s="104" t="str">
        <f t="shared" si="2"/>
        <v>Uganda2016Female Sterilization</v>
      </c>
      <c r="B176" t="s">
        <v>154</v>
      </c>
      <c r="C176">
        <v>2016</v>
      </c>
      <c r="D176" t="s">
        <v>108</v>
      </c>
      <c r="E176">
        <v>1.8442500000000001E-2</v>
      </c>
    </row>
    <row r="177" spans="1:5" x14ac:dyDescent="0.25">
      <c r="A177" s="104" t="str">
        <f t="shared" si="2"/>
        <v>Uganda2016Male Sterilization</v>
      </c>
      <c r="B177" t="s">
        <v>154</v>
      </c>
      <c r="C177">
        <v>2016</v>
      </c>
      <c r="D177" t="s">
        <v>109</v>
      </c>
      <c r="E177">
        <v>5.0140000000000004E-4</v>
      </c>
    </row>
    <row r="178" spans="1:5" x14ac:dyDescent="0.25">
      <c r="A178" s="104" t="str">
        <f t="shared" si="2"/>
        <v>Uganda2016Implant</v>
      </c>
      <c r="B178" t="s">
        <v>154</v>
      </c>
      <c r="C178">
        <v>2016</v>
      </c>
      <c r="D178" t="s">
        <v>23</v>
      </c>
      <c r="E178">
        <v>4.7221100000000002E-2</v>
      </c>
    </row>
    <row r="179" spans="1:5" x14ac:dyDescent="0.25">
      <c r="A179" s="104" t="str">
        <f t="shared" si="2"/>
        <v>Uganda2016Lactational Amenorrhea (Lam)</v>
      </c>
      <c r="B179" t="s">
        <v>154</v>
      </c>
      <c r="C179">
        <v>2016</v>
      </c>
      <c r="D179" t="s">
        <v>265</v>
      </c>
      <c r="E179">
        <v>6.1983000000000003E-3</v>
      </c>
    </row>
    <row r="180" spans="1:5" x14ac:dyDescent="0.25">
      <c r="A180" s="104" t="str">
        <f t="shared" si="2"/>
        <v>Uganda2016Female Condom</v>
      </c>
      <c r="B180" t="s">
        <v>154</v>
      </c>
      <c r="C180">
        <v>2016</v>
      </c>
      <c r="D180" t="s">
        <v>112</v>
      </c>
      <c r="E180">
        <v>7.9099999999999998E-5</v>
      </c>
    </row>
    <row r="181" spans="1:5" x14ac:dyDescent="0.25">
      <c r="A181" s="104" t="str">
        <f t="shared" si="2"/>
        <v>Uganda2016</v>
      </c>
      <c r="B181" t="s">
        <v>154</v>
      </c>
      <c r="C181">
        <v>2016</v>
      </c>
      <c r="E181">
        <v>7.5279999999999998E-4</v>
      </c>
    </row>
    <row r="182" spans="1:5" x14ac:dyDescent="0.25">
      <c r="A182" s="104" t="str">
        <f t="shared" si="2"/>
        <v>Uganda2016Oher Modern Method</v>
      </c>
      <c r="B182" t="s">
        <v>154</v>
      </c>
      <c r="C182">
        <v>2016</v>
      </c>
      <c r="D182" t="s">
        <v>267</v>
      </c>
      <c r="E182">
        <v>6.41E-5</v>
      </c>
    </row>
    <row r="183" spans="1:5" x14ac:dyDescent="0.25">
      <c r="A183" s="104" t="str">
        <f t="shared" si="2"/>
        <v>Uganda2016Specific Method 1</v>
      </c>
      <c r="B183" t="s">
        <v>154</v>
      </c>
      <c r="C183">
        <v>2016</v>
      </c>
      <c r="D183" t="s">
        <v>269</v>
      </c>
      <c r="E183">
        <v>2.8395999999999998E-3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33"/>
  <sheetViews>
    <sheetView workbookViewId="0">
      <selection activeCell="B1" sqref="B1:B1048576"/>
    </sheetView>
  </sheetViews>
  <sheetFormatPr defaultRowHeight="15" x14ac:dyDescent="0.25"/>
  <cols>
    <col min="1" max="1" width="17" style="104" bestFit="1" customWidth="1"/>
    <col min="7" max="7" width="12.140625" customWidth="1"/>
  </cols>
  <sheetData>
    <row r="1" spans="1:7" x14ac:dyDescent="0.25">
      <c r="B1" t="s">
        <v>258</v>
      </c>
      <c r="C1" t="s">
        <v>259</v>
      </c>
      <c r="D1" t="s">
        <v>260</v>
      </c>
      <c r="E1" t="s">
        <v>225</v>
      </c>
      <c r="F1" t="s">
        <v>224</v>
      </c>
      <c r="G1" t="s">
        <v>223</v>
      </c>
    </row>
    <row r="2" spans="1:7" x14ac:dyDescent="0.25">
      <c r="A2" s="104" t="str">
        <f>B2&amp;C2&amp;D2</f>
        <v>Ethiopia2011urban</v>
      </c>
      <c r="B2" t="s">
        <v>6</v>
      </c>
      <c r="C2">
        <v>2011</v>
      </c>
      <c r="D2" t="s">
        <v>227</v>
      </c>
      <c r="E2">
        <v>1.5620500000000001E-2</v>
      </c>
      <c r="F2">
        <v>0.1278937</v>
      </c>
      <c r="G2">
        <v>9.5405400000000001E-2</v>
      </c>
    </row>
    <row r="3" spans="1:7" x14ac:dyDescent="0.25">
      <c r="A3" s="104" t="str">
        <f t="shared" ref="A3:A33" si="0">B3&amp;C3&amp;D3</f>
        <v>Ethiopia2011rural</v>
      </c>
      <c r="B3" t="s">
        <v>6</v>
      </c>
      <c r="C3">
        <v>2011</v>
      </c>
      <c r="D3" t="s">
        <v>228</v>
      </c>
      <c r="E3">
        <v>0.65636689999999998</v>
      </c>
      <c r="F3">
        <v>0.10016899999999999</v>
      </c>
      <c r="G3">
        <v>4.5444999999999999E-3</v>
      </c>
    </row>
    <row r="4" spans="1:7" x14ac:dyDescent="0.25">
      <c r="A4" s="104" t="str">
        <f t="shared" si="0"/>
        <v>Ethiopia2016urban</v>
      </c>
      <c r="B4" t="s">
        <v>6</v>
      </c>
      <c r="C4">
        <v>2016</v>
      </c>
      <c r="D4" t="s">
        <v>227</v>
      </c>
      <c r="E4">
        <v>1.06915E-2</v>
      </c>
      <c r="F4">
        <v>1.3978900000000001E-2</v>
      </c>
      <c r="G4">
        <v>0.19681270000000001</v>
      </c>
    </row>
    <row r="5" spans="1:7" x14ac:dyDescent="0.25">
      <c r="A5" s="104" t="str">
        <f t="shared" si="0"/>
        <v>Ethiopia2016rural</v>
      </c>
      <c r="B5" t="s">
        <v>6</v>
      </c>
      <c r="C5">
        <v>2016</v>
      </c>
      <c r="D5" t="s">
        <v>228</v>
      </c>
      <c r="E5">
        <v>0.53813060000000001</v>
      </c>
      <c r="F5">
        <v>0.21844420000000001</v>
      </c>
      <c r="G5">
        <v>2.1942099999999999E-2</v>
      </c>
    </row>
    <row r="6" spans="1:7" x14ac:dyDescent="0.25">
      <c r="A6" s="104" t="str">
        <f t="shared" si="0"/>
        <v>Haiti2012urban</v>
      </c>
      <c r="B6" t="s">
        <v>138</v>
      </c>
      <c r="C6">
        <v>2012</v>
      </c>
      <c r="D6" t="s">
        <v>227</v>
      </c>
      <c r="E6">
        <v>1.7974799999999999E-2</v>
      </c>
      <c r="F6">
        <v>0.21333079999999999</v>
      </c>
      <c r="G6">
        <v>0.24371019999999999</v>
      </c>
    </row>
    <row r="7" spans="1:7" x14ac:dyDescent="0.25">
      <c r="A7" s="104" t="str">
        <f t="shared" si="0"/>
        <v>Haiti2012rural</v>
      </c>
      <c r="B7" t="s">
        <v>138</v>
      </c>
      <c r="C7">
        <v>2012</v>
      </c>
      <c r="D7" t="s">
        <v>228</v>
      </c>
      <c r="E7">
        <v>0.37350879999999997</v>
      </c>
      <c r="F7">
        <v>0.1069753</v>
      </c>
      <c r="G7">
        <v>4.4500100000000001E-2</v>
      </c>
    </row>
    <row r="8" spans="1:7" x14ac:dyDescent="0.25">
      <c r="A8" s="104" t="str">
        <f t="shared" si="0"/>
        <v>Haiti2016.5urban</v>
      </c>
      <c r="B8" t="s">
        <v>138</v>
      </c>
      <c r="C8">
        <v>2016.5</v>
      </c>
      <c r="D8" t="s">
        <v>227</v>
      </c>
      <c r="E8">
        <v>3.3883299999999998E-2</v>
      </c>
      <c r="F8">
        <v>0.195213</v>
      </c>
      <c r="G8">
        <v>0.23156950000000001</v>
      </c>
    </row>
    <row r="9" spans="1:7" x14ac:dyDescent="0.25">
      <c r="A9" s="104" t="str">
        <f t="shared" si="0"/>
        <v>Haiti2016.5rural</v>
      </c>
      <c r="B9" t="s">
        <v>138</v>
      </c>
      <c r="C9">
        <v>2016.5</v>
      </c>
      <c r="D9" t="s">
        <v>228</v>
      </c>
      <c r="E9">
        <v>0.37037730000000002</v>
      </c>
      <c r="F9">
        <v>0.12558459999999999</v>
      </c>
      <c r="G9">
        <v>4.33722E-2</v>
      </c>
    </row>
    <row r="10" spans="1:7" x14ac:dyDescent="0.25">
      <c r="A10" s="104" t="str">
        <f t="shared" si="0"/>
        <v>Malawi2010urban</v>
      </c>
      <c r="B10" t="s">
        <v>142</v>
      </c>
      <c r="C10">
        <v>2010</v>
      </c>
      <c r="D10" t="s">
        <v>227</v>
      </c>
      <c r="E10">
        <v>9.0898900000000005E-2</v>
      </c>
      <c r="F10">
        <v>5.3893000000000003E-2</v>
      </c>
      <c r="G10">
        <v>4.1912199999999997E-2</v>
      </c>
    </row>
    <row r="11" spans="1:7" x14ac:dyDescent="0.25">
      <c r="A11" s="104" t="str">
        <f t="shared" si="0"/>
        <v>Malawi2010rural</v>
      </c>
      <c r="B11" t="s">
        <v>142</v>
      </c>
      <c r="C11">
        <v>2010</v>
      </c>
      <c r="D11" t="s">
        <v>228</v>
      </c>
      <c r="E11">
        <v>0.76913730000000002</v>
      </c>
      <c r="F11">
        <v>3.4537999999999999E-2</v>
      </c>
      <c r="G11">
        <v>9.6205000000000006E-3</v>
      </c>
    </row>
    <row r="12" spans="1:7" x14ac:dyDescent="0.25">
      <c r="A12" s="104" t="str">
        <f t="shared" si="0"/>
        <v>Malawi2015.5urban</v>
      </c>
      <c r="B12" t="s">
        <v>142</v>
      </c>
      <c r="C12">
        <v>2015.5</v>
      </c>
      <c r="D12" t="s">
        <v>227</v>
      </c>
      <c r="E12">
        <v>7.44031E-2</v>
      </c>
      <c r="F12">
        <v>5.9702400000000003E-2</v>
      </c>
      <c r="G12">
        <v>4.8957199999999999E-2</v>
      </c>
    </row>
    <row r="13" spans="1:7" x14ac:dyDescent="0.25">
      <c r="A13" s="104" t="str">
        <f t="shared" si="0"/>
        <v>Malawi2015.5rural</v>
      </c>
      <c r="B13" t="s">
        <v>142</v>
      </c>
      <c r="C13">
        <v>2015.5</v>
      </c>
      <c r="D13" t="s">
        <v>228</v>
      </c>
      <c r="E13">
        <v>0.78261389999999997</v>
      </c>
      <c r="F13">
        <v>2.83687E-2</v>
      </c>
      <c r="G13">
        <v>5.9547999999999997E-3</v>
      </c>
    </row>
    <row r="14" spans="1:7" x14ac:dyDescent="0.25">
      <c r="A14" s="104" t="str">
        <f t="shared" si="0"/>
        <v>Nepal2011urban</v>
      </c>
      <c r="B14" t="s">
        <v>144</v>
      </c>
      <c r="C14">
        <v>2011</v>
      </c>
      <c r="D14" t="s">
        <v>227</v>
      </c>
      <c r="E14">
        <v>1.1969199999999999E-2</v>
      </c>
      <c r="F14">
        <v>4.8073699999999997E-2</v>
      </c>
      <c r="G14">
        <v>8.3349500000000007E-2</v>
      </c>
    </row>
    <row r="15" spans="1:7" x14ac:dyDescent="0.25">
      <c r="A15" s="104" t="str">
        <f t="shared" si="0"/>
        <v>Nepal2011rural</v>
      </c>
      <c r="B15" t="s">
        <v>144</v>
      </c>
      <c r="C15">
        <v>2011</v>
      </c>
      <c r="D15" t="s">
        <v>228</v>
      </c>
      <c r="E15">
        <v>0.45493519999999998</v>
      </c>
      <c r="F15">
        <v>0.2938443</v>
      </c>
      <c r="G15">
        <v>0.10782799999999999</v>
      </c>
    </row>
    <row r="16" spans="1:7" x14ac:dyDescent="0.25">
      <c r="A16" s="104" t="str">
        <f t="shared" si="0"/>
        <v>Nepal2016urban</v>
      </c>
      <c r="B16" t="s">
        <v>144</v>
      </c>
      <c r="C16">
        <v>2016</v>
      </c>
      <c r="D16" t="s">
        <v>227</v>
      </c>
      <c r="E16">
        <v>0.23855080000000001</v>
      </c>
      <c r="F16">
        <v>0.21723419999999999</v>
      </c>
      <c r="G16">
        <v>0.17180790000000001</v>
      </c>
    </row>
    <row r="17" spans="1:7" x14ac:dyDescent="0.25">
      <c r="A17" s="104" t="str">
        <f t="shared" si="0"/>
        <v>Nepal2016rural</v>
      </c>
      <c r="B17" t="s">
        <v>144</v>
      </c>
      <c r="C17">
        <v>2016</v>
      </c>
      <c r="D17" t="s">
        <v>228</v>
      </c>
      <c r="E17">
        <v>0.2362204</v>
      </c>
      <c r="F17">
        <v>0.1227525</v>
      </c>
      <c r="G17">
        <v>1.34342E-2</v>
      </c>
    </row>
    <row r="18" spans="1:7" x14ac:dyDescent="0.25">
      <c r="A18" s="104" t="str">
        <f t="shared" si="0"/>
        <v>Pakistan2012.5urban</v>
      </c>
      <c r="B18" t="s">
        <v>146</v>
      </c>
      <c r="C18">
        <v>2012.5</v>
      </c>
      <c r="D18" t="s">
        <v>227</v>
      </c>
      <c r="E18">
        <v>1.8337800000000001E-2</v>
      </c>
      <c r="F18">
        <v>0.1438178</v>
      </c>
      <c r="G18">
        <v>0.1724289</v>
      </c>
    </row>
    <row r="19" spans="1:7" x14ac:dyDescent="0.25">
      <c r="A19" s="104" t="str">
        <f t="shared" si="0"/>
        <v>Pakistan2012.5rural</v>
      </c>
      <c r="B19" t="s">
        <v>146</v>
      </c>
      <c r="C19">
        <v>2012.5</v>
      </c>
      <c r="D19" t="s">
        <v>228</v>
      </c>
      <c r="E19">
        <v>0.36675010000000002</v>
      </c>
      <c r="F19">
        <v>0.25919120000000001</v>
      </c>
      <c r="G19">
        <v>3.9474200000000001E-2</v>
      </c>
    </row>
    <row r="20" spans="1:7" x14ac:dyDescent="0.25">
      <c r="A20" s="104" t="str">
        <f t="shared" si="0"/>
        <v>Pakistan2017.5urban</v>
      </c>
      <c r="B20" t="s">
        <v>146</v>
      </c>
      <c r="C20">
        <v>2017.5</v>
      </c>
      <c r="D20" t="s">
        <v>227</v>
      </c>
      <c r="E20">
        <v>2.5341800000000001E-2</v>
      </c>
      <c r="F20">
        <v>0.15611259999999999</v>
      </c>
      <c r="G20">
        <v>0.18657979999999999</v>
      </c>
    </row>
    <row r="21" spans="1:7" x14ac:dyDescent="0.25">
      <c r="A21" s="104" t="str">
        <f t="shared" si="0"/>
        <v>Pakistan2017.5rural</v>
      </c>
      <c r="B21" t="s">
        <v>146</v>
      </c>
      <c r="C21">
        <v>2017.5</v>
      </c>
      <c r="D21" t="s">
        <v>228</v>
      </c>
      <c r="E21">
        <v>0.30180259999999998</v>
      </c>
      <c r="F21">
        <v>0.2578145</v>
      </c>
      <c r="G21">
        <v>7.2348700000000002E-2</v>
      </c>
    </row>
    <row r="22" spans="1:7" x14ac:dyDescent="0.25">
      <c r="A22" s="104" t="str">
        <f t="shared" si="0"/>
        <v>Senegal2016urban</v>
      </c>
      <c r="B22" t="s">
        <v>150</v>
      </c>
      <c r="C22">
        <v>2016</v>
      </c>
      <c r="D22" t="s">
        <v>227</v>
      </c>
      <c r="E22">
        <v>0.1953771</v>
      </c>
      <c r="F22">
        <v>0.172206</v>
      </c>
      <c r="G22">
        <v>0.1232362</v>
      </c>
    </row>
    <row r="23" spans="1:7" x14ac:dyDescent="0.25">
      <c r="A23" s="104" t="str">
        <f t="shared" si="0"/>
        <v>Senegal2016rural</v>
      </c>
      <c r="B23" t="s">
        <v>150</v>
      </c>
      <c r="C23">
        <v>2016</v>
      </c>
      <c r="D23" t="s">
        <v>228</v>
      </c>
      <c r="E23">
        <v>0.4551269</v>
      </c>
      <c r="F23">
        <v>3.4345300000000002E-2</v>
      </c>
      <c r="G23">
        <v>1.9708400000000001E-2</v>
      </c>
    </row>
    <row r="24" spans="1:7" x14ac:dyDescent="0.25">
      <c r="A24" s="104" t="str">
        <f t="shared" si="0"/>
        <v>Senegal2017urban</v>
      </c>
      <c r="B24" t="s">
        <v>150</v>
      </c>
      <c r="C24">
        <v>2017</v>
      </c>
      <c r="D24" t="s">
        <v>227</v>
      </c>
      <c r="E24">
        <v>0.17019960000000001</v>
      </c>
      <c r="F24">
        <v>0.18484600000000001</v>
      </c>
      <c r="G24">
        <v>0.1422784</v>
      </c>
    </row>
    <row r="25" spans="1:7" x14ac:dyDescent="0.25">
      <c r="A25" s="104" t="str">
        <f t="shared" si="0"/>
        <v>Senegal2017rural</v>
      </c>
      <c r="B25" t="s">
        <v>150</v>
      </c>
      <c r="C25">
        <v>2017</v>
      </c>
      <c r="D25" t="s">
        <v>228</v>
      </c>
      <c r="E25">
        <v>0.44942310000000002</v>
      </c>
      <c r="F25">
        <v>4.0693199999999999E-2</v>
      </c>
      <c r="G25">
        <v>1.25597E-2</v>
      </c>
    </row>
    <row r="26" spans="1:7" x14ac:dyDescent="0.25">
      <c r="A26" s="104" t="str">
        <f t="shared" si="0"/>
        <v>Tanzania2010urban</v>
      </c>
      <c r="B26" t="s">
        <v>152</v>
      </c>
      <c r="C26">
        <v>2010</v>
      </c>
      <c r="D26" t="s">
        <v>227</v>
      </c>
      <c r="E26">
        <v>7.3118699999999995E-2</v>
      </c>
      <c r="F26">
        <v>0.1210725</v>
      </c>
      <c r="G26">
        <v>9.1100600000000004E-2</v>
      </c>
    </row>
    <row r="27" spans="1:7" x14ac:dyDescent="0.25">
      <c r="A27" s="104" t="str">
        <f t="shared" si="0"/>
        <v>Tanzania2010rural</v>
      </c>
      <c r="B27" t="s">
        <v>152</v>
      </c>
      <c r="C27">
        <v>2010</v>
      </c>
      <c r="D27" t="s">
        <v>228</v>
      </c>
      <c r="E27">
        <v>0.65689149999999996</v>
      </c>
      <c r="F27">
        <v>5.10286E-2</v>
      </c>
      <c r="G27">
        <v>6.7882000000000003E-3</v>
      </c>
    </row>
    <row r="28" spans="1:7" x14ac:dyDescent="0.25">
      <c r="A28" s="104" t="str">
        <f t="shared" si="0"/>
        <v>Tanzania2015.5urban</v>
      </c>
      <c r="B28" t="s">
        <v>152</v>
      </c>
      <c r="C28">
        <v>2015.5</v>
      </c>
      <c r="D28" t="s">
        <v>227</v>
      </c>
      <c r="E28">
        <v>0.12027450000000001</v>
      </c>
      <c r="F28">
        <v>0.14844209999999999</v>
      </c>
      <c r="G28">
        <v>9.3955800000000006E-2</v>
      </c>
    </row>
    <row r="29" spans="1:7" x14ac:dyDescent="0.25">
      <c r="A29" s="104" t="str">
        <f t="shared" si="0"/>
        <v>Tanzania2015.5rural</v>
      </c>
      <c r="B29" t="s">
        <v>152</v>
      </c>
      <c r="C29">
        <v>2015.5</v>
      </c>
      <c r="D29" t="s">
        <v>228</v>
      </c>
      <c r="E29">
        <v>0.59704480000000004</v>
      </c>
      <c r="F29">
        <v>3.0844900000000001E-2</v>
      </c>
      <c r="G29">
        <v>9.4379000000000008E-3</v>
      </c>
    </row>
    <row r="30" spans="1:7" x14ac:dyDescent="0.25">
      <c r="A30" s="104" t="str">
        <f t="shared" si="0"/>
        <v>Uganda2011urban</v>
      </c>
      <c r="B30" t="s">
        <v>154</v>
      </c>
      <c r="C30">
        <v>2011</v>
      </c>
      <c r="D30" t="s">
        <v>227</v>
      </c>
      <c r="E30">
        <v>1.90893E-2</v>
      </c>
      <c r="F30">
        <v>4.9708299999999997E-2</v>
      </c>
      <c r="G30">
        <v>0.1292085</v>
      </c>
    </row>
    <row r="31" spans="1:7" x14ac:dyDescent="0.25">
      <c r="A31" s="104" t="str">
        <f t="shared" si="0"/>
        <v>Uganda2011rural</v>
      </c>
      <c r="B31" t="s">
        <v>154</v>
      </c>
      <c r="C31">
        <v>2011</v>
      </c>
      <c r="D31" t="s">
        <v>228</v>
      </c>
      <c r="E31">
        <v>0.59623389999999998</v>
      </c>
      <c r="F31">
        <v>0.15426380000000001</v>
      </c>
      <c r="G31">
        <v>5.1496E-2</v>
      </c>
    </row>
    <row r="32" spans="1:7" x14ac:dyDescent="0.25">
      <c r="A32" s="104" t="str">
        <f t="shared" si="0"/>
        <v>Uganda2016urban</v>
      </c>
      <c r="B32" t="s">
        <v>154</v>
      </c>
      <c r="C32">
        <v>2016</v>
      </c>
      <c r="D32" t="s">
        <v>227</v>
      </c>
      <c r="E32">
        <v>6.1312999999999999E-2</v>
      </c>
      <c r="F32">
        <v>7.9379900000000003E-2</v>
      </c>
      <c r="G32">
        <v>0.12642610000000001</v>
      </c>
    </row>
    <row r="33" spans="1:7" x14ac:dyDescent="0.25">
      <c r="A33" s="104" t="str">
        <f t="shared" si="0"/>
        <v>Uganda2016rural</v>
      </c>
      <c r="B33" t="s">
        <v>154</v>
      </c>
      <c r="C33">
        <v>2016</v>
      </c>
      <c r="D33" t="s">
        <v>228</v>
      </c>
      <c r="E33">
        <v>0.58009929999999998</v>
      </c>
      <c r="F33">
        <v>0.1123306</v>
      </c>
      <c r="G33">
        <v>4.0451099999999997E-2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37"/>
  <sheetViews>
    <sheetView workbookViewId="0">
      <selection activeCell="B22" sqref="B1:B1048576"/>
    </sheetView>
  </sheetViews>
  <sheetFormatPr defaultRowHeight="15" x14ac:dyDescent="0.25"/>
  <cols>
    <col min="1" max="1" width="17" style="104" bestFit="1" customWidth="1"/>
  </cols>
  <sheetData>
    <row r="1" spans="1:7" x14ac:dyDescent="0.25">
      <c r="B1" t="s">
        <v>258</v>
      </c>
      <c r="C1" t="s">
        <v>259</v>
      </c>
      <c r="D1" t="s">
        <v>260</v>
      </c>
      <c r="E1" t="s">
        <v>225</v>
      </c>
      <c r="F1" t="s">
        <v>224</v>
      </c>
      <c r="G1" t="s">
        <v>223</v>
      </c>
    </row>
    <row r="2" spans="1:7" x14ac:dyDescent="0.25">
      <c r="A2" s="104" t="str">
        <f>B2&amp;C2&amp;D2</f>
        <v>Ethiopia2011urban</v>
      </c>
      <c r="B2" t="s">
        <v>6</v>
      </c>
      <c r="C2">
        <v>2011</v>
      </c>
      <c r="D2" t="s">
        <v>227</v>
      </c>
      <c r="E2">
        <v>0.13514380000000001</v>
      </c>
      <c r="F2">
        <v>5.0136300000000002E-2</v>
      </c>
      <c r="G2">
        <v>5.36395E-2</v>
      </c>
    </row>
    <row r="3" spans="1:7" x14ac:dyDescent="0.25">
      <c r="A3" s="104" t="str">
        <f t="shared" ref="A3:A37" si="0">B3&amp;C3&amp;D3</f>
        <v>Ethiopia2011rural</v>
      </c>
      <c r="B3" t="s">
        <v>6</v>
      </c>
      <c r="C3">
        <v>2011</v>
      </c>
      <c r="D3" t="s">
        <v>228</v>
      </c>
      <c r="E3">
        <v>0.44825199999999998</v>
      </c>
      <c r="F3">
        <v>0.15010319999999999</v>
      </c>
      <c r="G3">
        <v>0.16272519999999999</v>
      </c>
    </row>
    <row r="4" spans="1:7" x14ac:dyDescent="0.25">
      <c r="A4" s="104" t="str">
        <f t="shared" si="0"/>
        <v>Ethiopia2016urban</v>
      </c>
      <c r="B4" t="s">
        <v>6</v>
      </c>
      <c r="C4">
        <v>2016</v>
      </c>
      <c r="D4" t="s">
        <v>227</v>
      </c>
      <c r="E4">
        <v>0.1236732</v>
      </c>
      <c r="F4">
        <v>4.8189299999999997E-2</v>
      </c>
      <c r="G4">
        <v>4.9620600000000001E-2</v>
      </c>
    </row>
    <row r="5" spans="1:7" x14ac:dyDescent="0.25">
      <c r="A5" s="104" t="str">
        <f t="shared" si="0"/>
        <v>Ethiopia2016rural</v>
      </c>
      <c r="B5" t="s">
        <v>6</v>
      </c>
      <c r="C5">
        <v>2016</v>
      </c>
      <c r="D5" t="s">
        <v>228</v>
      </c>
      <c r="E5">
        <v>0.44803870000000001</v>
      </c>
      <c r="F5">
        <v>0.16205800000000001</v>
      </c>
      <c r="G5">
        <v>0.16842019999999999</v>
      </c>
    </row>
    <row r="6" spans="1:7" x14ac:dyDescent="0.25">
      <c r="A6" s="104" t="str">
        <f t="shared" si="0"/>
        <v>Haiti2012urban</v>
      </c>
      <c r="B6" t="s">
        <v>138</v>
      </c>
      <c r="C6">
        <v>2012</v>
      </c>
      <c r="D6" t="s">
        <v>227</v>
      </c>
      <c r="E6">
        <v>0.2650999</v>
      </c>
      <c r="F6">
        <v>0.1060527</v>
      </c>
      <c r="G6">
        <v>0.1038632</v>
      </c>
    </row>
    <row r="7" spans="1:7" x14ac:dyDescent="0.25">
      <c r="A7" s="104" t="str">
        <f t="shared" si="0"/>
        <v>Haiti2012rural</v>
      </c>
      <c r="B7" t="s">
        <v>138</v>
      </c>
      <c r="C7">
        <v>2012</v>
      </c>
      <c r="D7" t="s">
        <v>228</v>
      </c>
      <c r="E7">
        <v>0.28115810000000002</v>
      </c>
      <c r="F7">
        <v>0.10680480000000001</v>
      </c>
      <c r="G7">
        <v>0.13702130000000001</v>
      </c>
    </row>
    <row r="8" spans="1:7" x14ac:dyDescent="0.25">
      <c r="A8" s="104" t="str">
        <f t="shared" si="0"/>
        <v>Haiti2016.5urban</v>
      </c>
      <c r="B8" t="s">
        <v>138</v>
      </c>
      <c r="C8">
        <v>2016.5</v>
      </c>
      <c r="D8" t="s">
        <v>227</v>
      </c>
      <c r="E8">
        <v>0.26371050000000001</v>
      </c>
      <c r="F8">
        <v>9.5302999999999999E-2</v>
      </c>
      <c r="G8">
        <v>0.1016524</v>
      </c>
    </row>
    <row r="9" spans="1:7" x14ac:dyDescent="0.25">
      <c r="A9" s="104" t="str">
        <f t="shared" si="0"/>
        <v>Haiti2016.5rural</v>
      </c>
      <c r="B9" t="s">
        <v>138</v>
      </c>
      <c r="C9">
        <v>2016.5</v>
      </c>
      <c r="D9" t="s">
        <v>228</v>
      </c>
      <c r="E9">
        <v>0.29528929999999998</v>
      </c>
      <c r="F9">
        <v>0.1116963</v>
      </c>
      <c r="G9">
        <v>0.13234850000000001</v>
      </c>
    </row>
    <row r="10" spans="1:7" x14ac:dyDescent="0.25">
      <c r="A10" s="104" t="str">
        <f t="shared" si="0"/>
        <v>Malawi2010urban</v>
      </c>
      <c r="B10" t="s">
        <v>142</v>
      </c>
      <c r="C10">
        <v>2010</v>
      </c>
      <c r="D10" t="s">
        <v>227</v>
      </c>
      <c r="E10">
        <v>0.1039987</v>
      </c>
      <c r="F10">
        <v>4.0567300000000001E-2</v>
      </c>
      <c r="G10">
        <v>4.2138200000000001E-2</v>
      </c>
    </row>
    <row r="11" spans="1:7" x14ac:dyDescent="0.25">
      <c r="A11" s="104" t="str">
        <f t="shared" si="0"/>
        <v>Malawi2010rural</v>
      </c>
      <c r="B11" t="s">
        <v>142</v>
      </c>
      <c r="C11">
        <v>2010</v>
      </c>
      <c r="D11" t="s">
        <v>228</v>
      </c>
      <c r="E11">
        <v>0.47585430000000001</v>
      </c>
      <c r="F11">
        <v>0.1614063</v>
      </c>
      <c r="G11">
        <v>0.17603530000000001</v>
      </c>
    </row>
    <row r="12" spans="1:7" x14ac:dyDescent="0.25">
      <c r="A12" s="104" t="str">
        <f t="shared" si="0"/>
        <v>Malawi2015.5urban</v>
      </c>
      <c r="B12" t="s">
        <v>142</v>
      </c>
      <c r="C12">
        <v>2015.5</v>
      </c>
      <c r="D12" t="s">
        <v>227</v>
      </c>
      <c r="E12">
        <v>0.1024195</v>
      </c>
      <c r="F12">
        <v>3.8768900000000002E-2</v>
      </c>
      <c r="G12">
        <v>4.18742E-2</v>
      </c>
    </row>
    <row r="13" spans="1:7" x14ac:dyDescent="0.25">
      <c r="A13" s="104" t="str">
        <f t="shared" si="0"/>
        <v>Malawi2015.5rural</v>
      </c>
      <c r="B13" t="s">
        <v>142</v>
      </c>
      <c r="C13">
        <v>2015.5</v>
      </c>
      <c r="D13" t="s">
        <v>228</v>
      </c>
      <c r="E13">
        <v>0.49051889999999998</v>
      </c>
      <c r="F13">
        <v>0.1601708</v>
      </c>
      <c r="G13">
        <v>0.1662477</v>
      </c>
    </row>
    <row r="14" spans="1:7" x14ac:dyDescent="0.25">
      <c r="A14" s="104" t="str">
        <f t="shared" si="0"/>
        <v>Nepal2011urban</v>
      </c>
      <c r="B14" t="s">
        <v>144</v>
      </c>
      <c r="C14">
        <v>2011</v>
      </c>
      <c r="D14" t="s">
        <v>227</v>
      </c>
      <c r="E14">
        <v>8.4515800000000002E-2</v>
      </c>
      <c r="F14">
        <v>3.0536899999999999E-2</v>
      </c>
      <c r="G14">
        <v>2.83396E-2</v>
      </c>
    </row>
    <row r="15" spans="1:7" x14ac:dyDescent="0.25">
      <c r="A15" s="104" t="str">
        <f t="shared" si="0"/>
        <v>Nepal2011rural</v>
      </c>
      <c r="B15" t="s">
        <v>144</v>
      </c>
      <c r="C15">
        <v>2011</v>
      </c>
      <c r="D15" t="s">
        <v>228</v>
      </c>
      <c r="E15">
        <v>0.48024169999999999</v>
      </c>
      <c r="F15">
        <v>0.18093480000000001</v>
      </c>
      <c r="G15">
        <v>0.1954311</v>
      </c>
    </row>
    <row r="16" spans="1:7" x14ac:dyDescent="0.25">
      <c r="A16" s="104" t="str">
        <f t="shared" si="0"/>
        <v>Nepal2016urban</v>
      </c>
      <c r="B16" t="s">
        <v>144</v>
      </c>
      <c r="C16">
        <v>2016</v>
      </c>
      <c r="D16" t="s">
        <v>227</v>
      </c>
      <c r="E16">
        <v>0.36278870000000002</v>
      </c>
      <c r="F16">
        <v>0.1329312</v>
      </c>
      <c r="G16">
        <v>0.13187289999999999</v>
      </c>
    </row>
    <row r="17" spans="1:7" x14ac:dyDescent="0.25">
      <c r="A17" s="104" t="str">
        <f t="shared" si="0"/>
        <v>Nepal2016rural</v>
      </c>
      <c r="B17" t="s">
        <v>144</v>
      </c>
      <c r="C17">
        <v>2016</v>
      </c>
      <c r="D17" t="s">
        <v>228</v>
      </c>
      <c r="E17">
        <v>0.21377360000000001</v>
      </c>
      <c r="F17">
        <v>7.9455799999999993E-2</v>
      </c>
      <c r="G17">
        <v>7.9177700000000004E-2</v>
      </c>
    </row>
    <row r="18" spans="1:7" x14ac:dyDescent="0.25">
      <c r="A18" s="104" t="str">
        <f t="shared" si="0"/>
        <v>Pakistan2012.5urban</v>
      </c>
      <c r="B18" t="s">
        <v>146</v>
      </c>
      <c r="C18">
        <v>2012.5</v>
      </c>
      <c r="D18" t="s">
        <v>227</v>
      </c>
      <c r="E18">
        <v>0.19980899999999999</v>
      </c>
      <c r="F18">
        <v>6.72759E-2</v>
      </c>
      <c r="G18">
        <v>6.7499600000000007E-2</v>
      </c>
    </row>
    <row r="19" spans="1:7" x14ac:dyDescent="0.25">
      <c r="A19" s="104" t="str">
        <f t="shared" si="0"/>
        <v>Pakistan2012.5rural</v>
      </c>
      <c r="B19" t="s">
        <v>146</v>
      </c>
      <c r="C19">
        <v>2012.5</v>
      </c>
      <c r="D19" t="s">
        <v>228</v>
      </c>
      <c r="E19">
        <v>0.39281460000000001</v>
      </c>
      <c r="F19">
        <v>0.13362350000000001</v>
      </c>
      <c r="G19">
        <v>0.1389774</v>
      </c>
    </row>
    <row r="20" spans="1:7" x14ac:dyDescent="0.25">
      <c r="A20" s="104" t="str">
        <f t="shared" si="0"/>
        <v>Pakistan2017.5urban</v>
      </c>
      <c r="B20" t="s">
        <v>146</v>
      </c>
      <c r="C20">
        <v>2017.5</v>
      </c>
      <c r="D20" t="s">
        <v>227</v>
      </c>
      <c r="E20">
        <v>0.2188929</v>
      </c>
      <c r="F20">
        <v>7.8341499999999994E-2</v>
      </c>
      <c r="G20">
        <v>7.0799899999999999E-2</v>
      </c>
    </row>
    <row r="21" spans="1:7" x14ac:dyDescent="0.25">
      <c r="A21" s="104" t="str">
        <f t="shared" si="0"/>
        <v>Pakistan2017.5rural</v>
      </c>
      <c r="B21" t="s">
        <v>146</v>
      </c>
      <c r="C21">
        <v>2017.5</v>
      </c>
      <c r="D21" t="s">
        <v>228</v>
      </c>
      <c r="E21">
        <v>0.3609716</v>
      </c>
      <c r="F21">
        <v>0.1327074</v>
      </c>
      <c r="G21">
        <v>0.13828670000000001</v>
      </c>
    </row>
    <row r="22" spans="1:7" x14ac:dyDescent="0.25">
      <c r="A22" s="104" t="str">
        <f t="shared" si="0"/>
        <v>Philippines2013urban</v>
      </c>
      <c r="B22" t="s">
        <v>148</v>
      </c>
      <c r="C22">
        <v>2013</v>
      </c>
      <c r="D22" t="s">
        <v>227</v>
      </c>
      <c r="E22">
        <v>0.29358020000000001</v>
      </c>
      <c r="F22">
        <v>0.11561879999999999</v>
      </c>
      <c r="G22">
        <v>0.1222419</v>
      </c>
    </row>
    <row r="23" spans="1:7" x14ac:dyDescent="0.25">
      <c r="A23" s="104" t="str">
        <f t="shared" si="0"/>
        <v>Philippines2013rural</v>
      </c>
      <c r="B23" t="s">
        <v>148</v>
      </c>
      <c r="C23">
        <v>2013</v>
      </c>
      <c r="D23" t="s">
        <v>228</v>
      </c>
      <c r="E23">
        <v>0.26171709999999998</v>
      </c>
      <c r="F23">
        <v>9.9125599999999994E-2</v>
      </c>
      <c r="G23">
        <v>0.1077164</v>
      </c>
    </row>
    <row r="24" spans="1:7" x14ac:dyDescent="0.25">
      <c r="A24" s="104" t="str">
        <f t="shared" si="0"/>
        <v>Philippines2017urban</v>
      </c>
      <c r="B24" t="s">
        <v>148</v>
      </c>
      <c r="C24">
        <v>2017</v>
      </c>
      <c r="D24" t="s">
        <v>227</v>
      </c>
      <c r="E24">
        <v>0.27631050000000001</v>
      </c>
      <c r="F24">
        <v>0.1055126</v>
      </c>
      <c r="G24">
        <v>0.1068195</v>
      </c>
    </row>
    <row r="25" spans="1:7" x14ac:dyDescent="0.25">
      <c r="A25" s="104" t="str">
        <f t="shared" si="0"/>
        <v>Philippines2017rural</v>
      </c>
      <c r="B25" t="s">
        <v>148</v>
      </c>
      <c r="C25">
        <v>2017</v>
      </c>
      <c r="D25" t="s">
        <v>228</v>
      </c>
      <c r="E25">
        <v>0.29042000000000001</v>
      </c>
      <c r="F25">
        <v>0.10677739999999999</v>
      </c>
      <c r="G25">
        <v>0.11416</v>
      </c>
    </row>
    <row r="26" spans="1:7" x14ac:dyDescent="0.25">
      <c r="A26" s="104" t="str">
        <f t="shared" si="0"/>
        <v>Senegal2016urban</v>
      </c>
      <c r="B26" t="s">
        <v>150</v>
      </c>
      <c r="C26">
        <v>2016</v>
      </c>
      <c r="D26" t="s">
        <v>227</v>
      </c>
      <c r="E26">
        <v>0.2856322</v>
      </c>
      <c r="F26">
        <v>0.102969</v>
      </c>
      <c r="G26">
        <v>0.1022182</v>
      </c>
    </row>
    <row r="27" spans="1:7" x14ac:dyDescent="0.25">
      <c r="A27" s="104" t="str">
        <f t="shared" si="0"/>
        <v>Senegal2016rural</v>
      </c>
      <c r="B27" t="s">
        <v>150</v>
      </c>
      <c r="C27">
        <v>2016</v>
      </c>
      <c r="D27" t="s">
        <v>228</v>
      </c>
      <c r="E27">
        <v>0.27940890000000002</v>
      </c>
      <c r="F27">
        <v>0.1033611</v>
      </c>
      <c r="G27">
        <v>0.12641060000000001</v>
      </c>
    </row>
    <row r="28" spans="1:7" x14ac:dyDescent="0.25">
      <c r="A28" s="104" t="str">
        <f t="shared" si="0"/>
        <v>Senegal2017urban</v>
      </c>
      <c r="B28" t="s">
        <v>150</v>
      </c>
      <c r="C28">
        <v>2017</v>
      </c>
      <c r="D28" t="s">
        <v>227</v>
      </c>
      <c r="E28">
        <v>0.2737831</v>
      </c>
      <c r="F28">
        <v>0.1060678</v>
      </c>
      <c r="G28">
        <v>0.11747299999999999</v>
      </c>
    </row>
    <row r="29" spans="1:7" x14ac:dyDescent="0.25">
      <c r="A29" s="104" t="str">
        <f t="shared" si="0"/>
        <v>Senegal2017rural</v>
      </c>
      <c r="B29" t="s">
        <v>150</v>
      </c>
      <c r="C29">
        <v>2017</v>
      </c>
      <c r="D29" t="s">
        <v>228</v>
      </c>
      <c r="E29">
        <v>0.27903480000000003</v>
      </c>
      <c r="F29">
        <v>0.1038085</v>
      </c>
      <c r="G29">
        <v>0.1198327</v>
      </c>
    </row>
    <row r="30" spans="1:7" x14ac:dyDescent="0.25">
      <c r="A30" s="104" t="str">
        <f t="shared" si="0"/>
        <v>Tanzania2010urban</v>
      </c>
      <c r="B30" t="s">
        <v>152</v>
      </c>
      <c r="C30">
        <v>2010</v>
      </c>
      <c r="D30" t="s">
        <v>227</v>
      </c>
      <c r="E30">
        <v>0.1557433</v>
      </c>
      <c r="F30">
        <v>6.46568E-2</v>
      </c>
      <c r="G30">
        <v>6.4891699999999997E-2</v>
      </c>
    </row>
    <row r="31" spans="1:7" x14ac:dyDescent="0.25">
      <c r="A31" s="104" t="str">
        <f t="shared" si="0"/>
        <v>Tanzania2010rural</v>
      </c>
      <c r="B31" t="s">
        <v>152</v>
      </c>
      <c r="C31">
        <v>2010</v>
      </c>
      <c r="D31" t="s">
        <v>228</v>
      </c>
      <c r="E31">
        <v>0.4132383</v>
      </c>
      <c r="F31">
        <v>0.1382256</v>
      </c>
      <c r="G31">
        <v>0.16324440000000001</v>
      </c>
    </row>
    <row r="32" spans="1:7" x14ac:dyDescent="0.25">
      <c r="A32" s="104" t="str">
        <f t="shared" si="0"/>
        <v>Tanzania2015.5urban</v>
      </c>
      <c r="B32" t="s">
        <v>152</v>
      </c>
      <c r="C32">
        <v>2015.5</v>
      </c>
      <c r="D32" t="s">
        <v>227</v>
      </c>
      <c r="E32">
        <v>0.19433839999999999</v>
      </c>
      <c r="F32">
        <v>8.0084199999999994E-2</v>
      </c>
      <c r="G32">
        <v>8.8249800000000003E-2</v>
      </c>
    </row>
    <row r="33" spans="1:7" x14ac:dyDescent="0.25">
      <c r="A33" s="104" t="str">
        <f t="shared" si="0"/>
        <v>Tanzania2015.5rural</v>
      </c>
      <c r="B33" t="s">
        <v>152</v>
      </c>
      <c r="C33">
        <v>2015.5</v>
      </c>
      <c r="D33" t="s">
        <v>228</v>
      </c>
      <c r="E33">
        <v>0.36064859999999999</v>
      </c>
      <c r="F33">
        <v>0.12501970000000001</v>
      </c>
      <c r="G33">
        <v>0.1516593</v>
      </c>
    </row>
    <row r="34" spans="1:7" x14ac:dyDescent="0.25">
      <c r="A34" s="104" t="str">
        <f t="shared" si="0"/>
        <v>Uganda2011urban</v>
      </c>
      <c r="B34" t="s">
        <v>154</v>
      </c>
      <c r="C34">
        <v>2011</v>
      </c>
      <c r="D34" t="s">
        <v>227</v>
      </c>
      <c r="E34">
        <v>0.1090106</v>
      </c>
      <c r="F34">
        <v>4.4114500000000001E-2</v>
      </c>
      <c r="G34">
        <v>4.4880999999999997E-2</v>
      </c>
    </row>
    <row r="35" spans="1:7" x14ac:dyDescent="0.25">
      <c r="A35" s="104" t="str">
        <f t="shared" si="0"/>
        <v>Uganda2011rural</v>
      </c>
      <c r="B35" t="s">
        <v>154</v>
      </c>
      <c r="C35">
        <v>2011</v>
      </c>
      <c r="D35" t="s">
        <v>228</v>
      </c>
      <c r="E35">
        <v>0.45828750000000001</v>
      </c>
      <c r="F35">
        <v>0.16498679999999999</v>
      </c>
      <c r="G35">
        <v>0.1787195</v>
      </c>
    </row>
    <row r="36" spans="1:7" x14ac:dyDescent="0.25">
      <c r="A36" s="104" t="str">
        <f t="shared" si="0"/>
        <v>Uganda2016urban</v>
      </c>
      <c r="B36" t="s">
        <v>154</v>
      </c>
      <c r="C36">
        <v>2016</v>
      </c>
      <c r="D36" t="s">
        <v>227</v>
      </c>
      <c r="E36">
        <v>0.14447789999999999</v>
      </c>
      <c r="F36">
        <v>5.9398600000000003E-2</v>
      </c>
      <c r="G36">
        <v>6.3242499999999993E-2</v>
      </c>
    </row>
    <row r="37" spans="1:7" x14ac:dyDescent="0.25">
      <c r="A37" s="104" t="str">
        <f t="shared" si="0"/>
        <v>Uganda2016rural</v>
      </c>
      <c r="B37" t="s">
        <v>154</v>
      </c>
      <c r="C37">
        <v>2016</v>
      </c>
      <c r="D37" t="s">
        <v>228</v>
      </c>
      <c r="E37">
        <v>0.41912860000000002</v>
      </c>
      <c r="F37">
        <v>0.1505175</v>
      </c>
      <c r="G37">
        <v>0.16323480000000001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43"/>
  <sheetViews>
    <sheetView zoomScale="90" zoomScaleNormal="90" workbookViewId="0">
      <selection activeCell="D14" sqref="D14"/>
    </sheetView>
  </sheetViews>
  <sheetFormatPr defaultColWidth="8.85546875" defaultRowHeight="15.75" x14ac:dyDescent="0.3"/>
  <cols>
    <col min="1" max="1" width="36.140625" style="440" customWidth="1"/>
    <col min="2" max="4" width="20.7109375" style="373" customWidth="1"/>
    <col min="5" max="5" width="2.85546875" style="373" customWidth="1"/>
    <col min="6" max="6" width="82.140625" style="373" customWidth="1"/>
    <col min="7" max="7" width="2.140625" style="373" customWidth="1"/>
    <col min="8" max="8" width="82.42578125" style="373" customWidth="1"/>
    <col min="9" max="16384" width="8.85546875" style="373"/>
  </cols>
  <sheetData>
    <row r="1" spans="1:10" ht="32.25" customHeight="1" x14ac:dyDescent="0.3">
      <c r="A1" s="441" t="s">
        <v>44</v>
      </c>
      <c r="B1" s="248"/>
      <c r="C1" s="248"/>
      <c r="D1" s="248"/>
      <c r="E1" s="248"/>
      <c r="F1" s="248"/>
      <c r="G1" s="248"/>
      <c r="H1" s="248"/>
      <c r="I1" s="248"/>
      <c r="J1" s="248"/>
    </row>
    <row r="2" spans="1:10" ht="16.5" thickBot="1" x14ac:dyDescent="0.35">
      <c r="A2" s="430" t="s">
        <v>45</v>
      </c>
      <c r="B2" s="248"/>
      <c r="C2" s="248"/>
      <c r="D2" s="248"/>
      <c r="E2" s="248"/>
      <c r="F2" s="249" t="s">
        <v>29</v>
      </c>
      <c r="G2" s="248"/>
      <c r="H2" s="248"/>
      <c r="I2" s="248"/>
      <c r="J2" s="248"/>
    </row>
    <row r="3" spans="1:10" ht="16.5" thickBot="1" x14ac:dyDescent="0.35">
      <c r="A3" s="431" t="s">
        <v>46</v>
      </c>
      <c r="B3" s="367" t="s">
        <v>23</v>
      </c>
      <c r="C3" s="248"/>
      <c r="D3" s="248"/>
      <c r="E3" s="248"/>
      <c r="F3" s="248" t="str">
        <f>"Number of women accessing family planning by source/distribution point - "&amp;B3</f>
        <v>Number of women accessing family planning by source/distribution point - Implant</v>
      </c>
      <c r="G3" s="248"/>
      <c r="H3" s="248" t="str">
        <f>"Percent of women accessing family planning by source/distribution point - "&amp;B3</f>
        <v>Percent of women accessing family planning by source/distribution point - Implant</v>
      </c>
      <c r="I3" s="248"/>
      <c r="J3" s="248"/>
    </row>
    <row r="4" spans="1:10" x14ac:dyDescent="0.3">
      <c r="A4" s="432"/>
      <c r="B4" s="368"/>
      <c r="C4" s="248"/>
      <c r="D4" s="248"/>
      <c r="E4" s="248"/>
      <c r="F4" s="248"/>
      <c r="G4" s="248"/>
      <c r="H4" s="248"/>
      <c r="I4" s="248"/>
      <c r="J4" s="248"/>
    </row>
    <row r="5" spans="1:10" ht="16.5" thickBot="1" x14ac:dyDescent="0.35">
      <c r="A5" s="430" t="str">
        <f>"Commercial sector profile - "&amp;B3</f>
        <v>Commercial sector profile - Implant</v>
      </c>
      <c r="B5" s="248"/>
      <c r="C5" s="248"/>
      <c r="D5" s="248"/>
      <c r="E5" s="248"/>
      <c r="F5" s="248"/>
      <c r="G5" s="248"/>
      <c r="H5" s="248"/>
      <c r="I5" s="248"/>
      <c r="J5" s="248"/>
    </row>
    <row r="6" spans="1:10" ht="16.5" thickBot="1" x14ac:dyDescent="0.35">
      <c r="A6" s="433"/>
      <c r="B6" s="251">
        <f>Yr_Start</f>
        <v>2019</v>
      </c>
      <c r="C6" s="251" t="s">
        <v>34</v>
      </c>
      <c r="D6" s="253" t="s">
        <v>35</v>
      </c>
      <c r="E6" s="248"/>
      <c r="F6" s="248"/>
      <c r="G6" s="248"/>
      <c r="H6" s="248"/>
      <c r="I6" s="248"/>
      <c r="J6" s="248"/>
    </row>
    <row r="7" spans="1:10" ht="31.5" x14ac:dyDescent="0.3">
      <c r="A7" s="434" t="str">
        <f>"# of "&amp;B3&amp;" users served by commercial sector"</f>
        <v># of Implant users served by commercial sector</v>
      </c>
      <c r="B7" s="369">
        <f ca="1">'Results Summary'!D50</f>
        <v>103404.12863295653</v>
      </c>
      <c r="C7" s="370">
        <f ca="1">'Results Summary'!E50</f>
        <v>148606.54755395057</v>
      </c>
      <c r="D7" s="371">
        <f ca="1">'Results Summary'!F50</f>
        <v>204826.51300351229</v>
      </c>
      <c r="E7" s="248"/>
      <c r="F7" s="248"/>
      <c r="G7" s="248"/>
      <c r="H7" s="248"/>
      <c r="I7" s="248"/>
      <c r="J7" s="248"/>
    </row>
    <row r="8" spans="1:10" ht="32.25" thickBot="1" x14ac:dyDescent="0.35">
      <c r="A8" s="435" t="str">
        <f>"% of "&amp;B3&amp;" users served by commercial sector"</f>
        <v>% of Implant users served by commercial sector</v>
      </c>
      <c r="B8" s="271">
        <f ca="1">'Results Summary'!H50</f>
        <v>0.1521156624929349</v>
      </c>
      <c r="C8" s="273">
        <f ca="1">'Results Summary'!I50</f>
        <v>0.15451824716022602</v>
      </c>
      <c r="D8" s="275">
        <f ca="1">'Results Summary'!J50</f>
        <v>0.2129746924492264</v>
      </c>
      <c r="E8" s="372"/>
      <c r="F8" s="248"/>
      <c r="G8" s="248"/>
      <c r="H8" s="248"/>
      <c r="I8" s="248"/>
      <c r="J8" s="248"/>
    </row>
    <row r="9" spans="1:10" x14ac:dyDescent="0.3">
      <c r="A9" s="429"/>
      <c r="B9" s="248"/>
      <c r="C9" s="248"/>
      <c r="D9" s="248"/>
      <c r="E9" s="248"/>
      <c r="F9" s="248"/>
      <c r="G9" s="248"/>
      <c r="H9" s="248"/>
      <c r="I9" s="248"/>
      <c r="J9" s="248"/>
    </row>
    <row r="10" spans="1:10" ht="16.5" thickBot="1" x14ac:dyDescent="0.35">
      <c r="A10" s="430" t="str">
        <f>"Commercial market impact - "&amp;B3</f>
        <v>Commercial market impact - Implant</v>
      </c>
      <c r="B10" s="248"/>
      <c r="C10" s="248"/>
      <c r="D10" s="248"/>
      <c r="E10" s="248"/>
      <c r="F10" s="248"/>
      <c r="G10" s="248"/>
      <c r="H10" s="248"/>
      <c r="I10" s="248"/>
      <c r="J10" s="248"/>
    </row>
    <row r="11" spans="1:10" ht="16.5" thickBot="1" x14ac:dyDescent="0.35">
      <c r="A11" s="433"/>
      <c r="B11" s="251" t="str">
        <f>VLOOKUP(Dashboard!$D$4,'User Settings'!$A$15:$K$24,11,FALSE)</f>
        <v>UGX</v>
      </c>
      <c r="C11" s="253" t="s">
        <v>285</v>
      </c>
      <c r="D11" s="248"/>
      <c r="E11" s="248"/>
      <c r="F11" s="248"/>
      <c r="G11" s="248"/>
      <c r="H11" s="248"/>
      <c r="I11" s="248"/>
      <c r="J11" s="248"/>
    </row>
    <row r="12" spans="1:10" ht="32.25" thickBot="1" x14ac:dyDescent="0.35">
      <c r="A12" s="435" t="s">
        <v>294</v>
      </c>
      <c r="B12" s="284">
        <f ca="1">INDEX(Results!$R$66:$X$67,2,MATCH($B$3,Results!$R$66:$X$66,0))</f>
        <v>729671069.30161655</v>
      </c>
      <c r="C12" s="286">
        <f ca="1">INDEX(Results!$R$69:$X$70,2,MATCH($B$3,Results!$R$69:$X$69,0))</f>
        <v>202686.4081393379</v>
      </c>
      <c r="D12" s="248"/>
      <c r="E12" s="248"/>
      <c r="F12" s="248"/>
      <c r="G12" s="248"/>
      <c r="H12" s="248"/>
      <c r="I12" s="248"/>
      <c r="J12" s="248"/>
    </row>
    <row r="13" spans="1:10" x14ac:dyDescent="0.3">
      <c r="A13" s="429"/>
      <c r="B13" s="248"/>
      <c r="C13" s="248"/>
      <c r="D13" s="248"/>
      <c r="E13" s="248"/>
      <c r="F13" s="248"/>
      <c r="G13" s="248"/>
      <c r="H13" s="248"/>
      <c r="I13" s="248"/>
      <c r="J13" s="248"/>
    </row>
    <row r="14" spans="1:10" ht="16.5" thickBot="1" x14ac:dyDescent="0.35">
      <c r="A14" s="430" t="str">
        <f>"Public and donor financial impact summary - "&amp;B3</f>
        <v>Public and donor financial impact summary - Implant</v>
      </c>
      <c r="B14" s="248"/>
      <c r="C14" s="248"/>
      <c r="D14" s="248"/>
      <c r="E14" s="248"/>
      <c r="F14" s="248"/>
      <c r="G14" s="248"/>
      <c r="H14" s="248"/>
      <c r="I14" s="248"/>
      <c r="J14" s="248"/>
    </row>
    <row r="15" spans="1:10" ht="16.5" thickBot="1" x14ac:dyDescent="0.35">
      <c r="A15" s="433"/>
      <c r="B15" s="251" t="str">
        <f>VLOOKUP(Dashboard!$D$4,'User Settings'!$A$15:$K$24,11,FALSE)</f>
        <v>UGX</v>
      </c>
      <c r="C15" s="253" t="s">
        <v>285</v>
      </c>
      <c r="D15" s="248"/>
      <c r="E15" s="248"/>
      <c r="F15" s="248"/>
      <c r="G15" s="248"/>
      <c r="H15" s="248"/>
      <c r="I15" s="248"/>
      <c r="J15" s="248"/>
    </row>
    <row r="16" spans="1:10" ht="16.5" thickBot="1" x14ac:dyDescent="0.35">
      <c r="A16" s="436" t="s">
        <v>41</v>
      </c>
      <c r="B16" s="284">
        <f ca="1">'Results Summary'!B55</f>
        <v>3615458765.5012608</v>
      </c>
      <c r="C16" s="286">
        <f ca="1">'Results Summary'!C55</f>
        <v>1004294.1015281278</v>
      </c>
      <c r="D16" s="248"/>
      <c r="E16" s="248"/>
      <c r="F16" s="248"/>
      <c r="G16" s="248"/>
      <c r="H16" s="248"/>
      <c r="I16" s="248"/>
      <c r="J16" s="248"/>
    </row>
    <row r="17" spans="1:11" ht="16.5" thickBot="1" x14ac:dyDescent="0.35">
      <c r="A17" s="437"/>
      <c r="B17" s="288"/>
      <c r="C17" s="288"/>
      <c r="D17" s="288"/>
      <c r="E17" s="248"/>
      <c r="F17" s="248"/>
      <c r="G17" s="248"/>
      <c r="H17" s="248"/>
      <c r="I17" s="248"/>
      <c r="J17" s="248"/>
    </row>
    <row r="18" spans="1:11" ht="16.5" thickBot="1" x14ac:dyDescent="0.35">
      <c r="A18" s="430" t="str">
        <f>"Family planning impact - "&amp;$B$3</f>
        <v>Family planning impact - Implant</v>
      </c>
      <c r="B18" s="248"/>
      <c r="C18" s="248"/>
      <c r="D18" s="248"/>
      <c r="E18" s="248"/>
      <c r="F18" s="248"/>
      <c r="G18" s="248"/>
      <c r="H18" s="248"/>
      <c r="I18" s="248"/>
      <c r="J18" s="248"/>
    </row>
    <row r="19" spans="1:11" ht="48" thickBot="1" x14ac:dyDescent="0.35">
      <c r="A19" s="451" t="s">
        <v>287</v>
      </c>
      <c r="B19" s="452">
        <f ca="1">'Results Summary'!F51</f>
        <v>31828.799211743033</v>
      </c>
      <c r="C19" s="450"/>
      <c r="D19" s="450"/>
      <c r="E19" s="248"/>
      <c r="F19" s="248"/>
      <c r="G19" s="248"/>
      <c r="H19" s="248"/>
      <c r="I19" s="248"/>
      <c r="J19" s="248"/>
    </row>
    <row r="20" spans="1:11" x14ac:dyDescent="0.3">
      <c r="A20" s="429"/>
      <c r="B20" s="248"/>
      <c r="C20" s="248"/>
      <c r="D20" s="248"/>
      <c r="E20" s="248"/>
      <c r="F20" s="248"/>
      <c r="G20" s="248"/>
      <c r="H20" s="248"/>
      <c r="I20" s="248"/>
      <c r="J20" s="248"/>
    </row>
    <row r="21" spans="1:11" x14ac:dyDescent="0.3">
      <c r="A21" s="438"/>
      <c r="B21" s="374"/>
      <c r="C21" s="374"/>
      <c r="D21" s="374"/>
      <c r="E21" s="374"/>
      <c r="F21" s="374"/>
      <c r="G21" s="374"/>
      <c r="H21" s="374"/>
      <c r="I21" s="374"/>
      <c r="J21" s="374"/>
    </row>
    <row r="22" spans="1:11" x14ac:dyDescent="0.3">
      <c r="A22" s="439"/>
      <c r="B22" s="375"/>
      <c r="C22" s="375"/>
      <c r="D22" s="375"/>
      <c r="E22" s="375"/>
      <c r="F22" s="375"/>
      <c r="G22" s="375"/>
      <c r="H22" s="375"/>
      <c r="I22" s="375"/>
      <c r="J22" s="375"/>
      <c r="K22" s="375"/>
    </row>
    <row r="23" spans="1:11" x14ac:dyDescent="0.3">
      <c r="A23" s="439"/>
      <c r="B23" s="375"/>
      <c r="C23" s="375"/>
      <c r="D23" s="375"/>
      <c r="E23" s="375"/>
      <c r="F23" s="375"/>
      <c r="G23" s="375"/>
      <c r="H23" s="375"/>
      <c r="I23" s="375"/>
      <c r="J23" s="375"/>
      <c r="K23" s="375"/>
    </row>
    <row r="24" spans="1:11" x14ac:dyDescent="0.3">
      <c r="A24" s="439"/>
      <c r="B24" s="375"/>
      <c r="C24" s="375"/>
      <c r="D24" s="375"/>
      <c r="E24" s="375"/>
      <c r="F24" s="375"/>
      <c r="G24" s="375"/>
      <c r="H24" s="375"/>
      <c r="I24" s="375"/>
      <c r="J24" s="375"/>
      <c r="K24" s="375"/>
    </row>
    <row r="25" spans="1:11" x14ac:dyDescent="0.3">
      <c r="A25" s="439"/>
      <c r="B25" s="375"/>
      <c r="C25" s="375"/>
      <c r="D25" s="375"/>
      <c r="E25" s="375"/>
      <c r="F25" s="375"/>
      <c r="G25" s="375"/>
      <c r="H25" s="375"/>
      <c r="I25" s="375"/>
      <c r="J25" s="375"/>
      <c r="K25" s="375"/>
    </row>
    <row r="26" spans="1:11" x14ac:dyDescent="0.3">
      <c r="A26" s="439"/>
      <c r="B26" s="375"/>
      <c r="C26" s="375"/>
      <c r="D26" s="375"/>
      <c r="E26" s="375"/>
      <c r="F26" s="375"/>
      <c r="G26" s="375"/>
      <c r="H26" s="375"/>
      <c r="I26" s="375"/>
      <c r="J26" s="375"/>
      <c r="K26" s="375"/>
    </row>
    <row r="27" spans="1:11" x14ac:dyDescent="0.3">
      <c r="A27" s="439"/>
      <c r="B27" s="375"/>
      <c r="C27" s="375"/>
      <c r="D27" s="375"/>
      <c r="E27" s="375"/>
      <c r="F27" s="375"/>
      <c r="G27" s="375"/>
      <c r="H27" s="375"/>
      <c r="I27" s="375"/>
      <c r="J27" s="375"/>
      <c r="K27" s="375"/>
    </row>
    <row r="28" spans="1:11" x14ac:dyDescent="0.3">
      <c r="A28" s="439"/>
      <c r="B28" s="375"/>
      <c r="C28" s="375"/>
      <c r="D28" s="375"/>
      <c r="E28" s="375"/>
      <c r="F28" s="375"/>
      <c r="G28" s="375"/>
      <c r="H28" s="375"/>
      <c r="I28" s="375"/>
      <c r="J28" s="375"/>
      <c r="K28" s="375"/>
    </row>
    <row r="29" spans="1:11" x14ac:dyDescent="0.3">
      <c r="A29" s="439"/>
      <c r="B29" s="375"/>
      <c r="C29" s="375"/>
      <c r="D29" s="375"/>
      <c r="E29" s="375"/>
      <c r="F29" s="375"/>
      <c r="G29" s="375"/>
      <c r="H29" s="375"/>
      <c r="I29" s="375"/>
      <c r="J29" s="375"/>
      <c r="K29" s="375"/>
    </row>
    <row r="30" spans="1:11" x14ac:dyDescent="0.3">
      <c r="A30" s="439"/>
      <c r="B30" s="375"/>
      <c r="C30" s="375"/>
      <c r="D30" s="375"/>
      <c r="E30" s="375"/>
      <c r="F30" s="375"/>
      <c r="G30" s="375"/>
      <c r="H30" s="375"/>
      <c r="I30" s="375"/>
      <c r="J30" s="375"/>
      <c r="K30" s="375"/>
    </row>
    <row r="31" spans="1:11" x14ac:dyDescent="0.3">
      <c r="A31" s="439"/>
      <c r="B31" s="375"/>
      <c r="C31" s="375"/>
      <c r="D31" s="375"/>
      <c r="E31" s="375"/>
      <c r="F31" s="375"/>
      <c r="G31" s="375"/>
      <c r="H31" s="375"/>
      <c r="I31" s="375"/>
      <c r="J31" s="375"/>
      <c r="K31" s="375"/>
    </row>
    <row r="32" spans="1:11" x14ac:dyDescent="0.3">
      <c r="A32" s="439"/>
      <c r="B32" s="375"/>
      <c r="C32" s="375"/>
      <c r="D32" s="375"/>
      <c r="E32" s="375"/>
      <c r="F32" s="375"/>
      <c r="G32" s="375"/>
      <c r="H32" s="375"/>
      <c r="I32" s="375"/>
      <c r="J32" s="375"/>
      <c r="K32" s="375"/>
    </row>
    <row r="33" spans="1:11" x14ac:dyDescent="0.3">
      <c r="A33" s="439"/>
      <c r="B33" s="375"/>
      <c r="C33" s="375"/>
      <c r="D33" s="375"/>
      <c r="E33" s="375"/>
      <c r="F33" s="375"/>
      <c r="G33" s="375"/>
      <c r="H33" s="375"/>
      <c r="I33" s="375"/>
      <c r="J33" s="375"/>
      <c r="K33" s="375"/>
    </row>
    <row r="34" spans="1:11" x14ac:dyDescent="0.3">
      <c r="A34" s="439"/>
      <c r="B34" s="375"/>
      <c r="C34" s="375"/>
      <c r="D34" s="375"/>
      <c r="E34" s="375"/>
      <c r="F34" s="375"/>
      <c r="G34" s="375"/>
      <c r="H34" s="375"/>
      <c r="I34" s="375"/>
      <c r="J34" s="375"/>
      <c r="K34" s="375"/>
    </row>
    <row r="35" spans="1:11" x14ac:dyDescent="0.3">
      <c r="A35" s="439"/>
      <c r="B35" s="375"/>
      <c r="C35" s="375"/>
      <c r="D35" s="375"/>
      <c r="E35" s="375"/>
      <c r="F35" s="375"/>
      <c r="G35" s="375"/>
      <c r="H35" s="375"/>
      <c r="I35" s="375"/>
      <c r="J35" s="375"/>
      <c r="K35" s="375"/>
    </row>
    <row r="36" spans="1:11" x14ac:dyDescent="0.3">
      <c r="A36" s="439"/>
      <c r="B36" s="375"/>
      <c r="C36" s="375"/>
      <c r="D36" s="375"/>
      <c r="E36" s="375"/>
      <c r="F36" s="375"/>
      <c r="G36" s="375"/>
      <c r="H36" s="375"/>
      <c r="I36" s="375"/>
      <c r="J36" s="375"/>
      <c r="K36" s="375"/>
    </row>
    <row r="37" spans="1:11" x14ac:dyDescent="0.3">
      <c r="A37" s="439"/>
      <c r="B37" s="375"/>
      <c r="C37" s="375"/>
      <c r="D37" s="375"/>
      <c r="E37" s="375"/>
      <c r="F37" s="375"/>
      <c r="G37" s="375"/>
      <c r="H37" s="375"/>
      <c r="I37" s="375"/>
      <c r="J37" s="375"/>
      <c r="K37" s="375"/>
    </row>
    <row r="38" spans="1:11" x14ac:dyDescent="0.3">
      <c r="A38" s="439"/>
      <c r="B38" s="375"/>
      <c r="C38" s="375"/>
      <c r="D38" s="375"/>
      <c r="E38" s="375"/>
      <c r="F38" s="375"/>
      <c r="G38" s="375"/>
      <c r="H38" s="375"/>
      <c r="I38" s="375"/>
      <c r="J38" s="375"/>
      <c r="K38" s="375"/>
    </row>
    <row r="39" spans="1:11" x14ac:dyDescent="0.3">
      <c r="A39" s="439"/>
      <c r="B39" s="375"/>
      <c r="C39" s="375"/>
      <c r="D39" s="375"/>
      <c r="E39" s="375"/>
      <c r="F39" s="375"/>
      <c r="G39" s="375"/>
      <c r="H39" s="375"/>
      <c r="I39" s="375"/>
      <c r="J39" s="375"/>
      <c r="K39" s="375"/>
    </row>
    <row r="40" spans="1:11" x14ac:dyDescent="0.3">
      <c r="A40" s="439"/>
      <c r="B40" s="375"/>
      <c r="C40" s="375"/>
      <c r="D40" s="375"/>
      <c r="E40" s="375"/>
      <c r="F40" s="375"/>
      <c r="G40" s="375"/>
      <c r="H40" s="375"/>
      <c r="I40" s="375"/>
      <c r="J40" s="375"/>
      <c r="K40" s="375"/>
    </row>
    <row r="41" spans="1:11" x14ac:dyDescent="0.3">
      <c r="A41" s="439"/>
      <c r="B41" s="375"/>
      <c r="C41" s="375"/>
      <c r="D41" s="375"/>
      <c r="E41" s="375"/>
      <c r="F41" s="375"/>
      <c r="G41" s="375"/>
      <c r="H41" s="375"/>
      <c r="I41" s="375"/>
      <c r="J41" s="375"/>
      <c r="K41" s="375"/>
    </row>
    <row r="42" spans="1:11" x14ac:dyDescent="0.3">
      <c r="A42" s="439"/>
      <c r="B42" s="375"/>
      <c r="C42" s="375"/>
      <c r="D42" s="375"/>
      <c r="E42" s="375"/>
      <c r="F42" s="375"/>
      <c r="G42" s="375"/>
      <c r="H42" s="375"/>
      <c r="I42" s="375"/>
      <c r="J42" s="375"/>
      <c r="K42" s="375"/>
    </row>
    <row r="43" spans="1:11" x14ac:dyDescent="0.3">
      <c r="A43" s="439"/>
      <c r="B43" s="375"/>
      <c r="C43" s="375"/>
      <c r="D43" s="375"/>
      <c r="E43" s="375"/>
      <c r="F43" s="375"/>
      <c r="G43" s="375"/>
      <c r="H43" s="375"/>
      <c r="I43" s="375"/>
      <c r="J43" s="375"/>
      <c r="K43" s="375"/>
    </row>
  </sheetData>
  <pageMargins left="0.7" right="0.7" top="0.75" bottom="0.75" header="0.3" footer="0.3"/>
  <pageSetup paperSize="9" orientation="portrait" horizontalDpi="4294967295"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'User Settings'!$I$16:$I$21</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R56"/>
  <sheetViews>
    <sheetView topLeftCell="A31" workbookViewId="0">
      <selection activeCell="D51" sqref="D51"/>
    </sheetView>
  </sheetViews>
  <sheetFormatPr defaultRowHeight="15" outlineLevelRow="1" outlineLevelCol="1" x14ac:dyDescent="0.25"/>
  <cols>
    <col min="1" max="1" width="10.140625" customWidth="1"/>
    <col min="2" max="2" width="20.42578125" customWidth="1"/>
    <col min="3" max="3" width="19.5703125" customWidth="1" outlineLevel="1"/>
    <col min="4" max="4" width="20" customWidth="1"/>
    <col min="5" max="5" width="18" customWidth="1"/>
    <col min="6" max="6" width="16.42578125" customWidth="1"/>
    <col min="7" max="7" width="1.85546875" customWidth="1"/>
    <col min="8" max="8" width="17.85546875" customWidth="1" collapsed="1"/>
    <col min="9" max="9" width="18" customWidth="1"/>
    <col min="10" max="10" width="16.42578125" customWidth="1"/>
    <col min="11" max="11" width="1.85546875" customWidth="1"/>
    <col min="12" max="12" width="16" customWidth="1"/>
    <col min="13" max="13" width="18.85546875" customWidth="1"/>
    <col min="14" max="14" width="17.85546875" customWidth="1"/>
    <col min="15" max="15" width="1.7109375" customWidth="1"/>
    <col min="16" max="16" width="16.140625" customWidth="1"/>
    <col min="17" max="17" width="16.7109375" customWidth="1"/>
    <col min="18" max="18" width="16.85546875" customWidth="1"/>
  </cols>
  <sheetData>
    <row r="1" spans="1:18" s="6" customFormat="1" ht="15.75" thickBot="1" x14ac:dyDescent="0.3">
      <c r="D1" s="93" t="s">
        <v>30</v>
      </c>
      <c r="E1" s="93"/>
      <c r="F1" s="93"/>
      <c r="G1" s="91"/>
      <c r="H1" s="93" t="s">
        <v>31</v>
      </c>
      <c r="I1" s="93"/>
      <c r="J1" s="93"/>
      <c r="K1" s="91"/>
      <c r="L1" s="6" t="s">
        <v>42</v>
      </c>
      <c r="O1" s="91"/>
      <c r="P1" s="93" t="s">
        <v>43</v>
      </c>
      <c r="Q1" s="93"/>
      <c r="R1" s="93"/>
    </row>
    <row r="2" spans="1:18" s="6" customFormat="1" outlineLevel="1" x14ac:dyDescent="0.25">
      <c r="D2" s="91" t="s">
        <v>47</v>
      </c>
      <c r="E2" s="91"/>
      <c r="F2" s="91"/>
      <c r="G2" s="91"/>
      <c r="H2" s="91" t="s">
        <v>47</v>
      </c>
      <c r="I2" s="91"/>
      <c r="J2" s="91"/>
      <c r="K2" s="91"/>
      <c r="L2" s="91" t="s">
        <v>48</v>
      </c>
      <c r="M2" s="91"/>
      <c r="N2" s="91"/>
      <c r="O2" s="91"/>
      <c r="P2" s="91" t="s">
        <v>47</v>
      </c>
      <c r="Q2" s="91"/>
      <c r="R2" s="91"/>
    </row>
    <row r="3" spans="1:18" x14ac:dyDescent="0.25">
      <c r="A3" s="98"/>
      <c r="B3" s="98"/>
      <c r="C3" s="98"/>
      <c r="D3" s="98" t="s">
        <v>34</v>
      </c>
      <c r="E3" s="98" t="s">
        <v>34</v>
      </c>
      <c r="F3" s="98" t="s">
        <v>35</v>
      </c>
      <c r="G3" s="90"/>
      <c r="H3" s="98" t="s">
        <v>34</v>
      </c>
      <c r="I3" s="98" t="s">
        <v>34</v>
      </c>
      <c r="J3" s="98" t="s">
        <v>35</v>
      </c>
      <c r="K3" s="90"/>
      <c r="L3" s="98" t="s">
        <v>34</v>
      </c>
      <c r="M3" s="98" t="s">
        <v>34</v>
      </c>
      <c r="N3" s="98" t="s">
        <v>35</v>
      </c>
      <c r="O3" s="90"/>
      <c r="P3" s="98" t="s">
        <v>34</v>
      </c>
      <c r="Q3" s="98" t="s">
        <v>34</v>
      </c>
      <c r="R3" s="98" t="s">
        <v>35</v>
      </c>
    </row>
    <row r="4" spans="1:18" x14ac:dyDescent="0.25">
      <c r="A4" s="97" t="s">
        <v>49</v>
      </c>
      <c r="B4" s="97" t="s">
        <v>50</v>
      </c>
      <c r="C4" s="97"/>
      <c r="D4" s="97">
        <f>Yr_Start</f>
        <v>2019</v>
      </c>
      <c r="E4" s="97">
        <f>Yr_End</f>
        <v>2022</v>
      </c>
      <c r="F4" s="97">
        <f>Yr_End</f>
        <v>2022</v>
      </c>
      <c r="G4" s="90"/>
      <c r="H4" s="97">
        <f>Yr_Start</f>
        <v>2019</v>
      </c>
      <c r="I4" s="97">
        <f>Yr_End</f>
        <v>2022</v>
      </c>
      <c r="J4" s="97">
        <f>Yr_End</f>
        <v>2022</v>
      </c>
      <c r="K4" s="90"/>
      <c r="L4" s="97">
        <f>Yr_Start</f>
        <v>2019</v>
      </c>
      <c r="M4" s="97">
        <f>Yr_End</f>
        <v>2022</v>
      </c>
      <c r="N4" s="97">
        <f>Yr_End</f>
        <v>2022</v>
      </c>
      <c r="O4" s="90"/>
      <c r="P4" s="97">
        <f>Yr_Start</f>
        <v>2019</v>
      </c>
      <c r="Q4" s="97">
        <f>Yr_End</f>
        <v>2022</v>
      </c>
      <c r="R4" s="97">
        <f>Yr_End</f>
        <v>2022</v>
      </c>
    </row>
    <row r="5" spans="1:18" x14ac:dyDescent="0.25">
      <c r="A5" s="95" t="s">
        <v>12</v>
      </c>
      <c r="B5" s="95" t="s">
        <v>51</v>
      </c>
      <c r="C5" s="95" t="s">
        <v>52</v>
      </c>
      <c r="D5" s="96">
        <f ca="1">INDEX(Results!$AB$3:$AX$33,MATCH($A5&amp;$C5,Results!$AB$3:$AB$33,0),MATCH(D$4,Results!$AB$3:$AX$3,0))</f>
        <v>2566.2241513336935</v>
      </c>
      <c r="E5" s="96">
        <f ca="1">INDEX(Results!$AB$3:$AX$33,MATCH($A5&amp;$C5,Results!$AB$3:$AB$33,0),MATCH(E$4,Results!$AB$3:$AX$3,0))</f>
        <v>0</v>
      </c>
      <c r="F5" s="96">
        <f ca="1">INDEX(Results!$AB$36:$AX$66,MATCH($A5&amp;$C5,Results!$AB$36:$AB$66,0),MATCH(F$4,Results!$AB$36:$AX$36,0))</f>
        <v>0</v>
      </c>
      <c r="H5" s="99">
        <f ca="1">D5/SUM(D$5:D$9)</f>
        <v>2.163355402047187E-2</v>
      </c>
      <c r="I5" s="99">
        <f t="shared" ref="I5" ca="1" si="0">E5/SUM(E$5:E$9)</f>
        <v>0</v>
      </c>
      <c r="J5" s="99">
        <f t="shared" ref="J5:J10" ca="1" si="1">F5/SUM(F$5:F$9)</f>
        <v>0</v>
      </c>
      <c r="L5" s="96">
        <f ca="1">INDEX(Results!$BA$3:$BX$33,MATCH($A5&amp;$C5,Results!$BA$3:$BA$33,0),MATCH(L$4,Results!$BA$3:$BX$3,0))</f>
        <v>33360.913967338012</v>
      </c>
      <c r="M5" s="96">
        <f ca="1">INDEX(Results!$BA$3:$BX$33,MATCH($A5&amp;$C5,Results!$BA$3:$BA$33,0),MATCH(M$4,Results!$BA$3:$BX$3,0))</f>
        <v>0</v>
      </c>
      <c r="N5" s="96">
        <f ca="1">INDEX(Results!$BA$36:$BX$66,MATCH($A5&amp;$C5,Results!$BA$36:$BA$66,0),MATCH(N$4,Results!$BA$36:$BX$36,0))</f>
        <v>0</v>
      </c>
      <c r="P5" s="99">
        <f ca="1">L5/SUM(L$5:L$9)</f>
        <v>2.163355402047187E-2</v>
      </c>
      <c r="Q5" s="99">
        <f t="shared" ref="Q5" ca="1" si="2">M5/SUM(M$5:M$9)</f>
        <v>0</v>
      </c>
      <c r="R5" s="99">
        <f t="shared" ref="R5:R10" ca="1" si="3">N5/SUM(N$5:N$9)</f>
        <v>0</v>
      </c>
    </row>
    <row r="6" spans="1:18" x14ac:dyDescent="0.25">
      <c r="A6" s="95" t="s">
        <v>12</v>
      </c>
      <c r="B6" s="95" t="s">
        <v>53</v>
      </c>
      <c r="C6" s="95" t="s">
        <v>54</v>
      </c>
      <c r="D6" s="96">
        <f ca="1">INDEX(Results!$AB$3:$AX$33,MATCH($A6&amp;$C6,Results!$AB$3:$AB$33,0),MATCH(D$4,Results!$AB$3:$AX$3,0))</f>
        <v>2919.5819403029254</v>
      </c>
      <c r="E6" s="96">
        <f ca="1">INDEX(Results!$AB$3:$AX$33,MATCH($A6&amp;$C6,Results!$AB$3:$AB$33,0),MATCH(E$4,Results!$AB$3:$AX$3,0))</f>
        <v>4479.3001215354807</v>
      </c>
      <c r="F6" s="96">
        <f ca="1">INDEX(Results!$AB$36:$AX$66,MATCH($A6&amp;$C6,Results!$AB$36:$AB$66,0),MATCH(F$4,Results!$AB$36:$AX$36,0))</f>
        <v>4479.3001215354807</v>
      </c>
      <c r="H6" s="99">
        <f t="shared" ref="H6:H9" ca="1" si="4">D6/SUM(D$5:D$9)</f>
        <v>2.4612399345517816E-2</v>
      </c>
      <c r="I6" s="99">
        <f ca="1">E6/SUM(E$5:E$9)</f>
        <v>3.5848194023177356E-2</v>
      </c>
      <c r="J6" s="99">
        <f t="shared" ca="1" si="1"/>
        <v>3.5848194023177356E-2</v>
      </c>
      <c r="L6" s="92">
        <f ca="1">INDEX(Results!$BA$3:$BX$33,MATCH($A6&amp;$C6,Results!$BA$3:$BA$33,0),MATCH(L$4,Results!$BA$3:$BX$3,0))</f>
        <v>37954.565223938029</v>
      </c>
      <c r="M6" s="92">
        <f ca="1">INDEX(Results!$BA$3:$BX$33,MATCH($A6&amp;$C6,Results!$BA$3:$BA$33,0),MATCH(M$4,Results!$BA$3:$BX$3,0))</f>
        <v>58230.901579961246</v>
      </c>
      <c r="N6" s="92">
        <f ca="1">INDEX(Results!$BA$36:$BX$66,MATCH($A6&amp;$C6,Results!$BA$36:$BA$66,0),MATCH(N$4,Results!$BA$36:$BX$36,0))</f>
        <v>58230.901579961246</v>
      </c>
      <c r="P6" s="99">
        <f t="shared" ref="P6:P9" ca="1" si="5">L6/SUM(L$5:L$9)</f>
        <v>2.4612399345517819E-2</v>
      </c>
      <c r="Q6" s="99">
        <f ca="1">M6/SUM(M$5:M$9)</f>
        <v>3.5848194023177356E-2</v>
      </c>
      <c r="R6" s="99">
        <f t="shared" ca="1" si="3"/>
        <v>3.5848194023177356E-2</v>
      </c>
    </row>
    <row r="7" spans="1:18" x14ac:dyDescent="0.25">
      <c r="A7" s="89" t="s">
        <v>12</v>
      </c>
      <c r="B7" s="89" t="s">
        <v>55</v>
      </c>
      <c r="C7" s="89" t="s">
        <v>56</v>
      </c>
      <c r="D7" s="96">
        <f ca="1">INDEX(Results!$AB$3:$AX$33,MATCH($A7&amp;$C7,Results!$AB$3:$AB$33,0),MATCH(D$4,Results!$AB$3:$AX$3,0))</f>
        <v>90801.879423553677</v>
      </c>
      <c r="E7" s="96">
        <f ca="1">INDEX(Results!$AB$3:$AX$33,MATCH($A7&amp;$C7,Results!$AB$3:$AB$33,0),MATCH(E$4,Results!$AB$3:$AX$3,0))</f>
        <v>96827.001903716213</v>
      </c>
      <c r="F7" s="96">
        <f ca="1">INDEX(Results!$AB$36:$AX$66,MATCH($A7&amp;$C7,Results!$AB$36:$AB$66,0),MATCH(F$4,Results!$AB$36:$AX$36,0))</f>
        <v>61215.04650666051</v>
      </c>
      <c r="H7" s="99">
        <f t="shared" ca="1" si="4"/>
        <v>0.76546990747044419</v>
      </c>
      <c r="I7" s="99">
        <f ca="1">E7/SUM(E$5:E$9)</f>
        <v>0.77491417336356472</v>
      </c>
      <c r="J7" s="99">
        <f t="shared" ca="1" si="1"/>
        <v>0.48990887075375195</v>
      </c>
      <c r="L7" s="92">
        <f ca="1">INDEX(Results!$BA$3:$BX$33,MATCH($A7&amp;$C7,Results!$BA$3:$BA$33,0),MATCH(L$4,Results!$BA$3:$BX$3,0))</f>
        <v>1180424.4325061976</v>
      </c>
      <c r="M7" s="92">
        <f ca="1">INDEX(Results!$BA$3:$BX$33,MATCH($A7&amp;$C7,Results!$BA$3:$BA$33,0),MATCH(M$4,Results!$BA$3:$BX$3,0))</f>
        <v>1258751.0247483109</v>
      </c>
      <c r="N7" s="92">
        <f ca="1">INDEX(Results!$BA$36:$BX$66,MATCH($A7&amp;$C7,Results!$BA$36:$BA$66,0),MATCH(N$4,Results!$BA$36:$BX$36,0))</f>
        <v>795795.60458658659</v>
      </c>
      <c r="P7" s="99">
        <f t="shared" ca="1" si="5"/>
        <v>0.76546990747044419</v>
      </c>
      <c r="Q7" s="99">
        <f ca="1">M7/SUM(M$5:M$9)</f>
        <v>0.77491417336356483</v>
      </c>
      <c r="R7" s="99">
        <f t="shared" ca="1" si="3"/>
        <v>0.48990887075375189</v>
      </c>
    </row>
    <row r="8" spans="1:18" x14ac:dyDescent="0.25">
      <c r="A8" s="89" t="s">
        <v>12</v>
      </c>
      <c r="B8" s="89" t="s">
        <v>288</v>
      </c>
      <c r="C8" s="89" t="s">
        <v>57</v>
      </c>
      <c r="D8" s="96">
        <f ca="1">INDEX(Results!$AB$3:$AX$33,MATCH($A8&amp;$C8,Results!$AB$3:$AB$33,0),MATCH(D$4,Results!$AB$3:$AX$3,0))</f>
        <v>0</v>
      </c>
      <c r="E8" s="96">
        <f ca="1">INDEX(Results!$AB$3:$AX$33,MATCH($A8&amp;$C8,Results!$AB$3:$AB$33,0),MATCH(E$4,Results!$AB$3:$AX$3,0))</f>
        <v>0</v>
      </c>
      <c r="F8" s="96">
        <f ca="1">INDEX(Results!$AB$36:$AX$66,MATCH($A8&amp;$C8,Results!$AB$36:$AB$66,0),MATCH(F$4,Results!$AB$36:$AX$36,0))</f>
        <v>0</v>
      </c>
      <c r="H8" s="99">
        <f t="shared" ca="1" si="4"/>
        <v>0</v>
      </c>
      <c r="I8" s="99">
        <f ca="1">E8/SUM(E$5:E$9)</f>
        <v>0</v>
      </c>
      <c r="J8" s="99">
        <f t="shared" ca="1" si="1"/>
        <v>0</v>
      </c>
      <c r="L8" s="92">
        <f ca="1">INDEX(Results!$BA$3:$BX$33,MATCH($A8&amp;$C8,Results!$BA$3:$BA$33,0),MATCH(L$4,Results!$BA$3:$BX$3,0))</f>
        <v>0</v>
      </c>
      <c r="M8" s="92">
        <f ca="1">INDEX(Results!$BA$3:$BX$33,MATCH($A8&amp;$C8,Results!$BA$3:$BA$33,0),MATCH(M$4,Results!$BA$3:$BX$3,0))</f>
        <v>0</v>
      </c>
      <c r="N8" s="92">
        <f ca="1">INDEX(Results!$BA$36:$BX$66,MATCH($A8&amp;$C8,Results!$BA$36:$BA$66,0),MATCH(N$4,Results!$BA$36:$BX$36,0))</f>
        <v>0</v>
      </c>
      <c r="P8" s="99">
        <f t="shared" ca="1" si="5"/>
        <v>0</v>
      </c>
      <c r="Q8" s="99">
        <f ca="1">M8/SUM(M$5:M$9)</f>
        <v>0</v>
      </c>
      <c r="R8" s="99">
        <f t="shared" ca="1" si="3"/>
        <v>0</v>
      </c>
    </row>
    <row r="9" spans="1:18" x14ac:dyDescent="0.25">
      <c r="A9" s="89" t="s">
        <v>12</v>
      </c>
      <c r="B9" s="89" t="s">
        <v>58</v>
      </c>
      <c r="C9" s="89" t="s">
        <v>59</v>
      </c>
      <c r="D9" s="96">
        <f ca="1">INDEX(Results!$AB$3:$AX$33,MATCH($A9&amp;$C9,Results!$AB$3:$AB$33,0),MATCH(D$4,Results!$AB$3:$AX$3,0))</f>
        <v>22334.71692988513</v>
      </c>
      <c r="E9" s="96">
        <f ca="1">INDEX(Results!$AB$3:$AX$33,MATCH($A9&amp;$C9,Results!$AB$3:$AB$33,0),MATCH(E$4,Results!$AB$3:$AX$3,0))</f>
        <v>23645.602626888554</v>
      </c>
      <c r="F9" s="96">
        <f ca="1">INDEX(Results!$AB$36:$AX$66,MATCH($A9&amp;$C9,Results!$AB$36:$AB$66,0),MATCH(F$4,Results!$AB$36:$AX$36,0))</f>
        <v>59257.558023944264</v>
      </c>
      <c r="H9" s="99">
        <f t="shared" ca="1" si="4"/>
        <v>0.18828413916356615</v>
      </c>
      <c r="I9" s="99">
        <f ca="1">E9/SUM(E$5:E$9)</f>
        <v>0.18923763261325796</v>
      </c>
      <c r="J9" s="99">
        <f t="shared" ca="1" si="1"/>
        <v>0.47424293522307076</v>
      </c>
      <c r="L9" s="92">
        <f ca="1">INDEX(Results!$BA$3:$BX$33,MATCH($A9&amp;$C9,Results!$BA$3:$BA$33,0),MATCH(L$4,Results!$BA$3:$BX$3,0))</f>
        <v>290351.32008850668</v>
      </c>
      <c r="M9" s="92">
        <f ca="1">INDEX(Results!$BA$3:$BX$33,MATCH($A9&amp;$C9,Results!$BA$3:$BA$33,0),MATCH(M$4,Results!$BA$3:$BX$3,0))</f>
        <v>307392.83414955123</v>
      </c>
      <c r="N9" s="92">
        <f ca="1">INDEX(Results!$BA$36:$BX$66,MATCH($A9&amp;$C9,Results!$BA$36:$BA$66,0),MATCH(N$4,Results!$BA$36:$BX$36,0))</f>
        <v>770348.25431127544</v>
      </c>
      <c r="P9" s="99">
        <f t="shared" ca="1" si="5"/>
        <v>0.18828413916356615</v>
      </c>
      <c r="Q9" s="99">
        <f ca="1">M9/SUM(M$5:M$9)</f>
        <v>0.18923763261325799</v>
      </c>
      <c r="R9" s="99">
        <f t="shared" ca="1" si="3"/>
        <v>0.47424293522307076</v>
      </c>
    </row>
    <row r="10" spans="1:18" x14ac:dyDescent="0.25">
      <c r="A10" s="89" t="s">
        <v>12</v>
      </c>
      <c r="B10" s="89" t="s">
        <v>104</v>
      </c>
      <c r="C10" s="89"/>
      <c r="D10" s="92"/>
      <c r="E10" s="92"/>
      <c r="F10" s="92">
        <f ca="1">Results!S57/'Financial Settings'!$T$3</f>
        <v>8844.9436446216023</v>
      </c>
      <c r="H10" s="99"/>
      <c r="I10" s="99"/>
      <c r="J10" s="99">
        <f t="shared" ca="1" si="1"/>
        <v>7.0786785277467165E-2</v>
      </c>
      <c r="L10" s="92"/>
      <c r="M10" s="92"/>
      <c r="N10" s="92">
        <f ca="1">F10*(Results!$G$31*13+Results!$H$31*1+Results!$I$31*1+Results!$J$31*1+Results!$K$31*98)</f>
        <v>138126.38344766069</v>
      </c>
      <c r="P10" s="99"/>
      <c r="Q10" s="99"/>
      <c r="R10" s="99">
        <f t="shared" ca="1" si="3"/>
        <v>8.5033569105093507E-2</v>
      </c>
    </row>
    <row r="11" spans="1:18" x14ac:dyDescent="0.25">
      <c r="A11" s="1" t="s">
        <v>16</v>
      </c>
      <c r="B11" s="1" t="s">
        <v>51</v>
      </c>
      <c r="C11" s="1" t="s">
        <v>52</v>
      </c>
      <c r="D11" s="80">
        <f ca="1">INDEX(Results!$AB$3:$AX$33,MATCH($A11&amp;$C11,Results!$AB$3:$AB$33,0),MATCH(D$4,Results!$AB$3:$AX$3,0))</f>
        <v>118068.7717598865</v>
      </c>
      <c r="E11" s="80">
        <f ca="1">INDEX(Results!$AB$3:$AX$33,MATCH($A11&amp;$C11,Results!$AB$3:$AB$33,0),MATCH(E$4,Results!$AB$3:$AX$3,0))</f>
        <v>175523.85026089079</v>
      </c>
      <c r="F11" s="80">
        <f ca="1">INDEX(Results!$AB$36:$AX$66,MATCH($A11&amp;$C11,Results!$AB$36:$AB$66,0),MATCH(F$4,Results!$AB$36:$AX$36,0))</f>
        <v>155841.73224004218</v>
      </c>
      <c r="H11" s="100">
        <f ca="1">D11/SUM(D$11:D$15)</f>
        <v>0.70519427845436211</v>
      </c>
      <c r="I11" s="100">
        <f t="shared" ref="I11:J16" ca="1" si="6">E11/SUM(E$11:E$15)</f>
        <v>0.71768185382238103</v>
      </c>
      <c r="J11" s="100">
        <f t="shared" ca="1" si="6"/>
        <v>0.63720561696136202</v>
      </c>
      <c r="L11" s="80">
        <f ca="1">INDEX(Results!$BA$3:$BX$33,MATCH($A11&amp;$C11,Results!$BA$3:$BA$33,0),MATCH(L$4,Results!$BA$3:$BX$3,0))</f>
        <v>38946.004742332334</v>
      </c>
      <c r="M11" s="80">
        <f ca="1">INDEX(Results!$BA$3:$BX$33,MATCH($A11&amp;$C11,Results!$BA$3:$BA$33,0),MATCH(M$4,Results!$BA$3:$BX$3,0))</f>
        <v>54035.565894361898</v>
      </c>
      <c r="N11" s="80">
        <f ca="1">INDEX(Results!$BA$36:$BX$66,MATCH($A11&amp;$C11,Results!$BA$36:$BA$66,0),MATCH(N$4,Results!$BA$36:$BX$36,0))</f>
        <v>44259.004564985415</v>
      </c>
      <c r="P11" s="100">
        <f ca="1">L11/SUM(L$11:L$15)</f>
        <v>0.73661870082699399</v>
      </c>
      <c r="Q11" s="100">
        <f t="shared" ref="Q11:Q15" ca="1" si="7">M11/SUM(M$11:M$15)</f>
        <v>0.72491468700576267</v>
      </c>
      <c r="R11" s="100">
        <f t="shared" ref="R11:R16" ca="1" si="8">N11/SUM(N$11:N$15)</f>
        <v>0.59375712848342177</v>
      </c>
    </row>
    <row r="12" spans="1:18" x14ac:dyDescent="0.25">
      <c r="A12" s="1" t="s">
        <v>16</v>
      </c>
      <c r="B12" s="1" t="s">
        <v>53</v>
      </c>
      <c r="C12" s="1" t="s">
        <v>54</v>
      </c>
      <c r="D12" s="80">
        <f ca="1">INDEX(Results!$AB$3:$AX$33,MATCH($A12&amp;$C12,Results!$AB$3:$AB$33,0),MATCH(D$4,Results!$AB$3:$AX$3,0))</f>
        <v>6397.6521070781291</v>
      </c>
      <c r="E12" s="80">
        <f ca="1">INDEX(Results!$AB$3:$AX$33,MATCH($A12&amp;$C12,Results!$AB$3:$AB$33,0),MATCH(E$4,Results!$AB$3:$AX$3,0))</f>
        <v>9530.0279938406748</v>
      </c>
      <c r="F12" s="80">
        <f ca="1">INDEX(Results!$AB$36:$AX$66,MATCH($A12&amp;$C12,Results!$AB$36:$AB$66,0),MATCH(F$4,Results!$AB$36:$AX$36,0))</f>
        <v>7226.6271083397287</v>
      </c>
      <c r="H12" s="100">
        <f t="shared" ref="H12:H15" ca="1" si="9">D12/SUM(D$11:D$15)</f>
        <v>3.8211523624791265E-2</v>
      </c>
      <c r="I12" s="100">
        <f t="shared" ca="1" si="6"/>
        <v>3.8966374925303846E-2</v>
      </c>
      <c r="J12" s="100">
        <f t="shared" ca="1" si="6"/>
        <v>2.9548230239294943E-2</v>
      </c>
      <c r="L12" s="80">
        <f ca="1">INDEX(Results!$BA$3:$BX$33,MATCH($A12&amp;$C12,Results!$BA$3:$BA$33,0),MATCH(L$4,Results!$BA$3:$BX$3,0))</f>
        <v>1699.845797958146</v>
      </c>
      <c r="M12" s="80">
        <f ca="1">INDEX(Results!$BA$3:$BX$33,MATCH($A12&amp;$C12,Results!$BA$3:$BA$33,0),MATCH(M$4,Results!$BA$3:$BX$3,0))</f>
        <v>3004.2054268557972</v>
      </c>
      <c r="N12" s="80">
        <f ca="1">INDEX(Results!$BA$36:$BX$66,MATCH($A12&amp;$C12,Results!$BA$36:$BA$66,0),MATCH(N$4,Results!$BA$36:$BX$36,0))</f>
        <v>1860.0531562827773</v>
      </c>
      <c r="P12" s="100">
        <f t="shared" ref="P12:P15" ca="1" si="10">L12/SUM(L$11:L$15)</f>
        <v>3.2150620110646261E-2</v>
      </c>
      <c r="Q12" s="100">
        <f t="shared" ca="1" si="7"/>
        <v>4.030294863512137E-2</v>
      </c>
      <c r="R12" s="100">
        <f t="shared" ca="1" si="8"/>
        <v>2.4953562145288866E-2</v>
      </c>
    </row>
    <row r="13" spans="1:18" x14ac:dyDescent="0.25">
      <c r="A13" s="1" t="s">
        <v>16</v>
      </c>
      <c r="B13" s="1" t="s">
        <v>55</v>
      </c>
      <c r="C13" s="1" t="s">
        <v>56</v>
      </c>
      <c r="D13" s="80">
        <f ca="1">INDEX(Results!$AB$3:$AX$33,MATCH($A13&amp;$C13,Results!$AB$3:$AB$33,0),MATCH(D$4,Results!$AB$3:$AX$3,0))</f>
        <v>42960.872932250008</v>
      </c>
      <c r="E13" s="80">
        <f ca="1">INDEX(Results!$AB$3:$AX$33,MATCH($A13&amp;$C13,Results!$AB$3:$AB$33,0),MATCH(E$4,Results!$AB$3:$AX$3,0))</f>
        <v>59516.678080292106</v>
      </c>
      <c r="F13" s="80">
        <f ca="1">INDEX(Results!$AB$36:$AX$66,MATCH($A13&amp;$C13,Results!$AB$36:$AB$66,0),MATCH(F$4,Results!$AB$36:$AX$36,0))</f>
        <v>73453.373191084524</v>
      </c>
      <c r="H13" s="100">
        <f t="shared" ca="1" si="9"/>
        <v>0.25659419792084659</v>
      </c>
      <c r="I13" s="100">
        <f t="shared" ca="1" si="6"/>
        <v>0.24335177125231511</v>
      </c>
      <c r="J13" s="100">
        <f t="shared" ca="1" si="6"/>
        <v>0.30033612505041229</v>
      </c>
      <c r="L13" s="80">
        <f ca="1">INDEX(Results!$BA$3:$BX$33,MATCH($A13&amp;$C13,Results!$BA$3:$BA$33,0),MATCH(L$4,Results!$BA$3:$BX$3,0))</f>
        <v>12225.471757946132</v>
      </c>
      <c r="M13" s="80">
        <f ca="1">INDEX(Results!$BA$3:$BX$33,MATCH($A13&amp;$C13,Results!$BA$3:$BA$33,0),MATCH(M$4,Results!$BA$3:$BX$3,0))</f>
        <v>17500.815127036105</v>
      </c>
      <c r="N13" s="80">
        <f ca="1">INDEX(Results!$BA$36:$BX$66,MATCH($A13&amp;$C13,Results!$BA$36:$BA$66,0),MATCH(N$4,Results!$BA$36:$BX$36,0))</f>
        <v>23862.477957046096</v>
      </c>
      <c r="P13" s="100">
        <f t="shared" ca="1" si="10"/>
        <v>0.2312306790623597</v>
      </c>
      <c r="Q13" s="100">
        <f t="shared" ca="1" si="7"/>
        <v>0.23478236435911595</v>
      </c>
      <c r="R13" s="100">
        <f t="shared" ca="1" si="8"/>
        <v>0.32012731713093617</v>
      </c>
    </row>
    <row r="14" spans="1:18" x14ac:dyDescent="0.25">
      <c r="A14" s="1" t="s">
        <v>16</v>
      </c>
      <c r="B14" s="1" t="s">
        <v>288</v>
      </c>
      <c r="C14" s="1" t="s">
        <v>57</v>
      </c>
      <c r="D14" s="80">
        <f ca="1">INDEX(Results!$AB$3:$AX$33,MATCH($A14&amp;$C14,Results!$AB$3:$AB$33,0),MATCH(D$4,Results!$AB$3:$AX$3,0))</f>
        <v>0</v>
      </c>
      <c r="E14" s="80">
        <f ca="1">INDEX(Results!$AB$3:$AX$33,MATCH($A14&amp;$C14,Results!$AB$3:$AB$33,0),MATCH(E$4,Results!$AB$3:$AX$3,0))</f>
        <v>0</v>
      </c>
      <c r="F14" s="80">
        <f ca="1">INDEX(Results!$AB$36:$AX$66,MATCH($A14&amp;$C14,Results!$AB$36:$AB$66,0),MATCH(F$4,Results!$AB$36:$AX$36,0))</f>
        <v>0</v>
      </c>
      <c r="H14" s="100">
        <f t="shared" ca="1" si="9"/>
        <v>0</v>
      </c>
      <c r="I14" s="100">
        <f t="shared" ca="1" si="6"/>
        <v>0</v>
      </c>
      <c r="J14" s="100">
        <f t="shared" ca="1" si="6"/>
        <v>0</v>
      </c>
      <c r="L14" s="80">
        <f ca="1">INDEX(Results!$BA$3:$BX$33,MATCH($A14&amp;$C14,Results!$BA$3:$BA$33,0),MATCH(L$4,Results!$BA$3:$BX$3,0))</f>
        <v>0</v>
      </c>
      <c r="M14" s="80">
        <f ca="1">INDEX(Results!$BA$3:$BX$33,MATCH($A14&amp;$C14,Results!$BA$3:$BA$33,0),MATCH(M$4,Results!$BA$3:$BX$3,0))</f>
        <v>0</v>
      </c>
      <c r="N14" s="80">
        <f ca="1">INDEX(Results!$BA$36:$BX$66,MATCH($A14&amp;$C14,Results!$BA$36:$BA$66,0),MATCH(N$4,Results!$BA$36:$BX$36,0))</f>
        <v>0</v>
      </c>
      <c r="P14" s="100">
        <f t="shared" ca="1" si="10"/>
        <v>0</v>
      </c>
      <c r="Q14" s="100">
        <f t="shared" ca="1" si="7"/>
        <v>0</v>
      </c>
      <c r="R14" s="100">
        <f t="shared" ca="1" si="8"/>
        <v>0</v>
      </c>
    </row>
    <row r="15" spans="1:18" x14ac:dyDescent="0.25">
      <c r="A15" s="1" t="s">
        <v>16</v>
      </c>
      <c r="B15" s="1" t="s">
        <v>58</v>
      </c>
      <c r="C15" s="1" t="s">
        <v>59</v>
      </c>
      <c r="D15" s="80">
        <f ca="1">INDEX(Results!$AB$3:$AX$33,MATCH($A15&amp;$C15,Results!$AB$3:$AB$33,0),MATCH(D$4,Results!$AB$3:$AX$3,0))</f>
        <v>0</v>
      </c>
      <c r="E15" s="80">
        <f ca="1">INDEX(Results!$AB$3:$AX$33,MATCH($A15&amp;$C15,Results!$AB$3:$AB$33,0),MATCH(E$4,Results!$AB$3:$AX$3,0))</f>
        <v>0</v>
      </c>
      <c r="F15" s="80">
        <f ca="1">INDEX(Results!$AB$36:$AX$66,MATCH($A15&amp;$C15,Results!$AB$36:$AB$66,0),MATCH(F$4,Results!$AB$36:$AX$36,0))</f>
        <v>8048.8237955570876</v>
      </c>
      <c r="H15" s="100">
        <f t="shared" ca="1" si="9"/>
        <v>0</v>
      </c>
      <c r="I15" s="100">
        <f t="shared" ca="1" si="6"/>
        <v>0</v>
      </c>
      <c r="J15" s="100">
        <f t="shared" ca="1" si="6"/>
        <v>3.2910027748930884E-2</v>
      </c>
      <c r="L15" s="80">
        <f ca="1">INDEX(Results!$BA$3:$BX$33,MATCH($A15&amp;$C15,Results!$BA$3:$BA$33,0),MATCH(L$4,Results!$BA$3:$BX$3,0))</f>
        <v>0</v>
      </c>
      <c r="M15" s="80">
        <f ca="1">INDEX(Results!$BA$3:$BX$33,MATCH($A15&amp;$C15,Results!$BA$3:$BA$33,0),MATCH(M$4,Results!$BA$3:$BX$3,0))</f>
        <v>0</v>
      </c>
      <c r="N15" s="80">
        <f ca="1">INDEX(Results!$BA$36:$BX$66,MATCH($A15&amp;$C15,Results!$BA$36:$BA$66,0),MATCH(N$4,Results!$BA$36:$BX$36,0))</f>
        <v>4559.0507699394811</v>
      </c>
      <c r="P15" s="100">
        <f t="shared" ca="1" si="10"/>
        <v>0</v>
      </c>
      <c r="Q15" s="100">
        <f t="shared" ca="1" si="7"/>
        <v>0</v>
      </c>
      <c r="R15" s="100">
        <f t="shared" ca="1" si="8"/>
        <v>6.1161992240353305E-2</v>
      </c>
    </row>
    <row r="16" spans="1:18" x14ac:dyDescent="0.25">
      <c r="A16" s="1" t="s">
        <v>16</v>
      </c>
      <c r="B16" s="1" t="s">
        <v>104</v>
      </c>
      <c r="C16" s="1"/>
      <c r="D16" s="80"/>
      <c r="E16" s="80"/>
      <c r="F16" s="80">
        <f ca="1">Results!T57/'Financial Settings'!$T$3</f>
        <v>392.99938362070145</v>
      </c>
      <c r="H16" s="100"/>
      <c r="I16" s="100"/>
      <c r="J16" s="100">
        <f t="shared" ca="1" si="6"/>
        <v>1.6068957339343565E-3</v>
      </c>
      <c r="L16" s="80"/>
      <c r="M16" s="80"/>
      <c r="N16" s="103">
        <f ca="1">F16*(Results!$G$31*13+Results!$H$31*1+Results!$I$31*1+Results!$J$31*1+Results!$K$31*98)</f>
        <v>6137.2447058716816</v>
      </c>
      <c r="P16" s="100"/>
      <c r="Q16" s="100"/>
      <c r="R16" s="100">
        <f t="shared" ca="1" si="8"/>
        <v>8.2334269131785945E-2</v>
      </c>
    </row>
    <row r="17" spans="1:18" x14ac:dyDescent="0.25">
      <c r="A17" s="89" t="s">
        <v>23</v>
      </c>
      <c r="B17" s="89" t="s">
        <v>51</v>
      </c>
      <c r="C17" s="89" t="s">
        <v>52</v>
      </c>
      <c r="D17" s="92">
        <f ca="1">INDEX(Results!$AB$3:$AX$33,MATCH($A17&amp;$C17,Results!$AB$3:$AB$33,0),MATCH(D$4,Results!$AB$3:$AX$3,0))</f>
        <v>523576.38821387046</v>
      </c>
      <c r="E17" s="92">
        <f ca="1">INDEX(Results!$AB$3:$AX$33,MATCH($A17&amp;$C17,Results!$AB$3:$AB$33,0),MATCH(E$4,Results!$AB$3:$AX$3,0))</f>
        <v>736416.26436867635</v>
      </c>
      <c r="F17" s="92">
        <f ca="1">INDEX(Results!$AB$36:$AX$66,MATCH($A17&amp;$C17,Results!$AB$36:$AB$66,0),MATCH(F$4,Results!$AB$36:$AX$36,0))</f>
        <v>683636.09782899322</v>
      </c>
      <c r="G17" s="147"/>
      <c r="H17" s="101">
        <f ca="1">D17/SUM(D$17:D$21)</f>
        <v>0.77022233262577022</v>
      </c>
      <c r="I17" s="101">
        <f t="shared" ref="I17:J22" ca="1" si="11">E17/SUM(E$17:E$21)</f>
        <v>0.76571155324915219</v>
      </c>
      <c r="J17" s="101">
        <f ca="1">F17/SUM(F$17:F$21)</f>
        <v>0.71083174510627167</v>
      </c>
      <c r="L17" s="92">
        <f ca="1">INDEX(Results!$BA$3:$BX$33,MATCH($A17&amp;$C17,Results!$BA$3:$BA$33,0),MATCH(L$4,Results!$BA$3:$BX$3,0))</f>
        <v>207050.92055820121</v>
      </c>
      <c r="M17" s="92">
        <f ca="1">INDEX(Results!$BA$3:$BX$33,MATCH($A17&amp;$C17,Results!$BA$3:$BA$33,0),MATCH(M$4,Results!$BA$3:$BX$3,0))</f>
        <v>281692.3891984112</v>
      </c>
      <c r="N17" s="92">
        <f ca="1">INDEX(Results!$BA$36:$BX$66,MATCH($A17&amp;$C17,Results!$BA$36:$BA$66,0),MATCH(N$4,Results!$BA$36:$BX$36,0))</f>
        <v>252247.11738123975</v>
      </c>
      <c r="P17" s="101">
        <f ca="1">L17/SUM(L$17:L$21)</f>
        <v>0.76712663668650827</v>
      </c>
      <c r="Q17" s="101">
        <f t="shared" ref="Q17:Q21" ca="1" si="12">M17/SUM(M$17:M$21)</f>
        <v>0.76366117955155777</v>
      </c>
      <c r="R17" s="101">
        <f t="shared" ref="R17:R21" ca="1" si="13">N17/SUM(N$17:N$21)</f>
        <v>0.68383576761158815</v>
      </c>
    </row>
    <row r="18" spans="1:18" x14ac:dyDescent="0.25">
      <c r="A18" s="89" t="s">
        <v>23</v>
      </c>
      <c r="B18" s="89" t="s">
        <v>53</v>
      </c>
      <c r="C18" s="89" t="s">
        <v>54</v>
      </c>
      <c r="D18" s="92">
        <f ca="1">INDEX(Results!$AB$3:$AX$33,MATCH($A18&amp;$C18,Results!$AB$3:$AB$33,0),MATCH(D$4,Results!$AB$3:$AX$3,0))</f>
        <v>36383.804117370208</v>
      </c>
      <c r="E18" s="92">
        <f ca="1">INDEX(Results!$AB$3:$AX$33,MATCH($A18&amp;$C18,Results!$AB$3:$AB$33,0),MATCH(E$4,Results!$AB$3:$AX$3,0))</f>
        <v>53872.234025067679</v>
      </c>
      <c r="F18" s="92">
        <f ca="1">INDEX(Results!$AB$36:$AX$66,MATCH($A18&amp;$C18,Results!$AB$36:$AB$66,0),MATCH(F$4,Results!$AB$36:$AX$36,0))</f>
        <v>48816.800024688506</v>
      </c>
      <c r="G18" s="147"/>
      <c r="H18" s="101">
        <f t="shared" ref="H18:H21" ca="1" si="14">D18/SUM(D$17:D$21)</f>
        <v>5.3523457336721793E-2</v>
      </c>
      <c r="I18" s="101">
        <f t="shared" ca="1" si="11"/>
        <v>5.6015319036578033E-2</v>
      </c>
      <c r="J18" s="101">
        <f t="shared" ca="1" si="11"/>
        <v>5.0758775410267042E-2</v>
      </c>
      <c r="L18" s="92">
        <f ca="1">INDEX(Results!$BA$3:$BX$33,MATCH($A18&amp;$C18,Results!$BA$3:$BA$33,0),MATCH(L$4,Results!$BA$3:$BX$3,0))</f>
        <v>14892.60488832683</v>
      </c>
      <c r="M18" s="92">
        <f ca="1">INDEX(Results!$BA$3:$BX$33,MATCH($A18&amp;$C18,Results!$BA$3:$BA$33,0),MATCH(M$4,Results!$BA$3:$BX$3,0))</f>
        <v>21080.232241926165</v>
      </c>
      <c r="N18" s="92">
        <f ca="1">INDEX(Results!$BA$36:$BX$66,MATCH($A18&amp;$C18,Results!$BA$36:$BA$66,0),MATCH(N$4,Results!$BA$36:$BX$36,0))</f>
        <v>18259.880620204502</v>
      </c>
      <c r="P18" s="101">
        <f t="shared" ref="P18:P21" ca="1" si="15">L18/SUM(L$17:L$21)</f>
        <v>5.5177315168090872E-2</v>
      </c>
      <c r="Q18" s="101">
        <f t="shared" ca="1" si="12"/>
        <v>5.7147994182232986E-2</v>
      </c>
      <c r="R18" s="101">
        <f t="shared" ca="1" si="13"/>
        <v>4.9502089895209163E-2</v>
      </c>
    </row>
    <row r="19" spans="1:18" x14ac:dyDescent="0.25">
      <c r="A19" s="89" t="s">
        <v>23</v>
      </c>
      <c r="B19" s="89" t="s">
        <v>55</v>
      </c>
      <c r="C19" s="89" t="s">
        <v>56</v>
      </c>
      <c r="D19" s="92">
        <f ca="1">INDEX(Results!$AB$3:$AX$33,MATCH($A19&amp;$C19,Results!$AB$3:$AB$33,0),MATCH(D$4,Results!$AB$3:$AX$3,0))</f>
        <v>16408.734211887673</v>
      </c>
      <c r="E19" s="92">
        <f ca="1">INDEX(Results!$AB$3:$AX$33,MATCH($A19&amp;$C19,Results!$AB$3:$AB$33,0),MATCH(E$4,Results!$AB$3:$AX$3,0))</f>
        <v>22846.044733036502</v>
      </c>
      <c r="F19" s="92">
        <f ca="1">INDEX(Results!$AB$36:$AX$66,MATCH($A19&amp;$C19,Results!$AB$36:$AB$66,0),MATCH(F$4,Results!$AB$36:$AX$36,0))</f>
        <v>24461.679823537248</v>
      </c>
      <c r="G19" s="147"/>
      <c r="H19" s="101">
        <f t="shared" ca="1" si="14"/>
        <v>2.4138547544573154E-2</v>
      </c>
      <c r="I19" s="101">
        <f t="shared" ca="1" si="11"/>
        <v>2.3754880554043727E-2</v>
      </c>
      <c r="J19" s="101">
        <f t="shared" ca="1" si="11"/>
        <v>2.5434787034234956E-2</v>
      </c>
      <c r="L19" s="92">
        <f ca="1">INDEX(Results!$BA$3:$BX$33,MATCH($A19&amp;$C19,Results!$BA$3:$BA$33,0),MATCH(L$4,Results!$BA$3:$BX$3,0))</f>
        <v>6442.8284712400673</v>
      </c>
      <c r="M19" s="92">
        <f ca="1">INDEX(Results!$BA$3:$BX$33,MATCH($A19&amp;$C19,Results!$BA$3:$BA$33,0),MATCH(M$4,Results!$BA$3:$BX$3,0))</f>
        <v>8698.1547362528745</v>
      </c>
      <c r="N19" s="92">
        <f ca="1">INDEX(Results!$BA$36:$BX$66,MATCH($A19&amp;$C19,Results!$BA$36:$BA$66,0),MATCH(N$4,Results!$BA$36:$BX$36,0))</f>
        <v>9599.4935821882482</v>
      </c>
      <c r="P19" s="101">
        <f t="shared" ca="1" si="15"/>
        <v>2.3870772091067149E-2</v>
      </c>
      <c r="Q19" s="101">
        <f t="shared" ca="1" si="12"/>
        <v>2.3580484814341954E-2</v>
      </c>
      <c r="R19" s="101">
        <f t="shared" ca="1" si="13"/>
        <v>2.6023992387341474E-2</v>
      </c>
    </row>
    <row r="20" spans="1:18" x14ac:dyDescent="0.25">
      <c r="A20" s="89" t="s">
        <v>23</v>
      </c>
      <c r="B20" s="89" t="s">
        <v>288</v>
      </c>
      <c r="C20" s="89" t="s">
        <v>57</v>
      </c>
      <c r="D20" s="92">
        <f ca="1">INDEX(Results!$AB$3:$AX$33,MATCH($A20&amp;$C20,Results!$AB$3:$AB$33,0),MATCH(D$4,Results!$AB$3:$AX$3,0))</f>
        <v>0</v>
      </c>
      <c r="E20" s="92">
        <f ca="1">INDEX(Results!$AB$3:$AX$33,MATCH($A20&amp;$C20,Results!$AB$3:$AB$33,0),MATCH(E$4,Results!$AB$3:$AX$3,0))</f>
        <v>0</v>
      </c>
      <c r="F20" s="92">
        <f ca="1">INDEX(Results!$AB$36:$AX$66,MATCH($A20&amp;$C20,Results!$AB$36:$AB$66,0),MATCH(F$4,Results!$AB$36:$AX$36,0))</f>
        <v>0</v>
      </c>
      <c r="H20" s="101">
        <f t="shared" ca="1" si="14"/>
        <v>0</v>
      </c>
      <c r="I20" s="101">
        <f t="shared" ca="1" si="11"/>
        <v>0</v>
      </c>
      <c r="J20" s="101">
        <f t="shared" ca="1" si="11"/>
        <v>0</v>
      </c>
      <c r="L20" s="92">
        <f ca="1">INDEX(Results!$BA$3:$BX$33,MATCH($A20&amp;$C20,Results!$BA$3:$BA$33,0),MATCH(L$4,Results!$BA$3:$BX$3,0))</f>
        <v>0</v>
      </c>
      <c r="M20" s="92">
        <f ca="1">INDEX(Results!$BA$3:$BX$33,MATCH($A20&amp;$C20,Results!$BA$3:$BA$33,0),MATCH(M$4,Results!$BA$3:$BX$3,0))</f>
        <v>0</v>
      </c>
      <c r="N20" s="92">
        <f ca="1">INDEX(Results!$BA$36:$BX$66,MATCH($A20&amp;$C20,Results!$BA$36:$BA$66,0),MATCH(N$4,Results!$BA$36:$BX$36,0))</f>
        <v>0</v>
      </c>
      <c r="P20" s="101">
        <f t="shared" ca="1" si="15"/>
        <v>0</v>
      </c>
      <c r="Q20" s="101">
        <f t="shared" ca="1" si="12"/>
        <v>0</v>
      </c>
      <c r="R20" s="101">
        <f t="shared" ca="1" si="13"/>
        <v>0</v>
      </c>
    </row>
    <row r="21" spans="1:18" x14ac:dyDescent="0.25">
      <c r="A21" s="89" t="s">
        <v>23</v>
      </c>
      <c r="B21" s="89" t="s">
        <v>58</v>
      </c>
      <c r="C21" s="89" t="s">
        <v>59</v>
      </c>
      <c r="D21" s="92">
        <f ca="1">INDEX(Results!$AB$3:$AX$33,MATCH($A21&amp;$C21,Results!$AB$3:$AB$33,0),MATCH(D$4,Results!$AB$3:$AX$3,0))</f>
        <v>103404.12863295653</v>
      </c>
      <c r="E21" s="92">
        <f ca="1">INDEX(Results!$AB$3:$AX$33,MATCH($A21&amp;$C21,Results!$AB$3:$AB$33,0),MATCH(E$4,Results!$AB$3:$AX$3,0))</f>
        <v>148606.54755395057</v>
      </c>
      <c r="F21" s="92">
        <f ca="1">INDEX(Results!$AB$36:$AX$66,MATCH($A21&amp;$C21,Results!$AB$36:$AB$66,0),MATCH(F$4,Results!$AB$36:$AX$36,0))</f>
        <v>204826.51300351229</v>
      </c>
      <c r="H21" s="101">
        <f t="shared" ca="1" si="14"/>
        <v>0.1521156624929349</v>
      </c>
      <c r="I21" s="101">
        <f t="shared" ca="1" si="11"/>
        <v>0.15451824716022602</v>
      </c>
      <c r="J21" s="101">
        <f t="shared" ca="1" si="11"/>
        <v>0.2129746924492264</v>
      </c>
      <c r="L21" s="92">
        <f ca="1">INDEX(Results!$BA$3:$BX$33,MATCH($A21&amp;$C21,Results!$BA$3:$BA$33,0),MATCH(L$4,Results!$BA$3:$BX$3,0))</f>
        <v>41518.132064530044</v>
      </c>
      <c r="M21" s="92">
        <f ca="1">INDEX(Results!$BA$3:$BX$33,MATCH($A21&amp;$C21,Results!$BA$3:$BA$33,0),MATCH(M$4,Results!$BA$3:$BX$3,0))</f>
        <v>57400.127230897997</v>
      </c>
      <c r="N21" s="92">
        <f ca="1">INDEX(Results!$BA$36:$BX$66,MATCH($A21&amp;$C21,Results!$BA$36:$BA$66,0),MATCH(N$4,Results!$BA$36:$BX$36,0))</f>
        <v>88764.411823855757</v>
      </c>
      <c r="P21" s="101">
        <f t="shared" ca="1" si="15"/>
        <v>0.15382527605433366</v>
      </c>
      <c r="Q21" s="101">
        <f t="shared" ca="1" si="12"/>
        <v>0.15561034145186728</v>
      </c>
      <c r="R21" s="101">
        <f t="shared" ca="1" si="13"/>
        <v>0.24063815010586109</v>
      </c>
    </row>
    <row r="22" spans="1:18" x14ac:dyDescent="0.25">
      <c r="A22" s="89" t="s">
        <v>23</v>
      </c>
      <c r="B22" s="89" t="s">
        <v>104</v>
      </c>
      <c r="C22" s="89"/>
      <c r="D22" s="92"/>
      <c r="E22" s="92"/>
      <c r="F22" s="92">
        <f ca="1">Results!U57/'Financial Settings'!$T$3</f>
        <v>31828.799211743033</v>
      </c>
      <c r="G22" s="191"/>
      <c r="H22" s="101"/>
      <c r="I22" s="101"/>
      <c r="J22" s="101">
        <f t="shared" ca="1" si="11"/>
        <v>3.3094976933151776E-2</v>
      </c>
      <c r="L22" s="92"/>
      <c r="M22" s="92"/>
      <c r="N22" s="92">
        <f ca="1">F22*(Results!$G$31*13+Results!$H$31*1+Results!$I$31*1+Results!$J$31*1+Results!$K$31*98)</f>
        <v>497051.99956510315</v>
      </c>
      <c r="P22" s="101"/>
      <c r="Q22" s="101"/>
      <c r="R22" s="101">
        <f ca="1">N22/SUM(N$17:N$21)</f>
        <v>1.3474958175706646</v>
      </c>
    </row>
    <row r="23" spans="1:18" x14ac:dyDescent="0.25">
      <c r="A23" s="1" t="s">
        <v>22</v>
      </c>
      <c r="B23" s="1" t="s">
        <v>51</v>
      </c>
      <c r="C23" s="1" t="s">
        <v>52</v>
      </c>
      <c r="D23" s="80">
        <f ca="1">INDEX(Results!$AB$3:$AX$33,MATCH($A23&amp;$C23,Results!$AB$3:$AB$33,0),MATCH(D$4,Results!$AB$3:$AX$3,0))</f>
        <v>963811.08477007388</v>
      </c>
      <c r="E23" s="80">
        <f ca="1">INDEX(Results!$AB$3:$AX$33,MATCH($A23&amp;$C23,Results!$AB$3:$AB$33,0),MATCH(E$4,Results!$AB$3:$AX$3,0))</f>
        <v>1298951.0205842317</v>
      </c>
      <c r="F23" s="80">
        <f ca="1">INDEX(Results!$AB$36:$AX$66,MATCH($A23&amp;$C23,Results!$AB$36:$AB$66,0),MATCH(F$4,Results!$AB$36:$AX$36,0))</f>
        <v>1203369.9271417796</v>
      </c>
      <c r="H23" s="100">
        <f ca="1">D23/SUM(D$23:D$27)</f>
        <v>0.58034882935463661</v>
      </c>
      <c r="I23" s="100">
        <f t="shared" ref="I23:J28" ca="1" si="16">E23/SUM(E$23:E$27)</f>
        <v>0.62780855241219991</v>
      </c>
      <c r="J23" s="100">
        <f t="shared" ca="1" si="16"/>
        <v>0.58111071228102118</v>
      </c>
      <c r="L23" s="80">
        <f ca="1">INDEX(Results!$BA$3:$BX$33,MATCH($A23&amp;$C23,Results!$BA$3:$BA$33,0),MATCH(L$4,Results!$BA$3:$BX$3,0))</f>
        <v>3855244.3390802955</v>
      </c>
      <c r="M23" s="80">
        <f ca="1">INDEX(Results!$BA$3:$BX$33,MATCH($A23&amp;$C23,Results!$BA$3:$BA$33,0),MATCH(M$4,Results!$BA$3:$BX$3,0))</f>
        <v>5195804.0823369268</v>
      </c>
      <c r="N23" s="80">
        <f ca="1">INDEX(Results!$BA$36:$BX$66,MATCH($A23&amp;$C23,Results!$BA$36:$BA$66,0),MATCH(N$4,Results!$BA$36:$BX$36,0))</f>
        <v>4813479.7085671183</v>
      </c>
      <c r="P23" s="100">
        <f ca="1">L23/SUM(L$23:L$27)</f>
        <v>0.58034882935463661</v>
      </c>
      <c r="Q23" s="100">
        <f t="shared" ref="Q23:Q27" ca="1" si="17">M23/SUM(M$23:M$27)</f>
        <v>0.62780855241219991</v>
      </c>
      <c r="R23" s="100">
        <f t="shared" ref="R23:R27" ca="1" si="18">N23/SUM(N$23:N$27)</f>
        <v>0.58111071228102118</v>
      </c>
    </row>
    <row r="24" spans="1:18" x14ac:dyDescent="0.25">
      <c r="A24" s="1" t="s">
        <v>22</v>
      </c>
      <c r="B24" s="1" t="s">
        <v>53</v>
      </c>
      <c r="C24" s="1" t="s">
        <v>54</v>
      </c>
      <c r="D24" s="80">
        <f ca="1">INDEX(Results!$AB$3:$AX$33,MATCH($A24&amp;$C24,Results!$AB$3:$AB$33,0),MATCH(D$4,Results!$AB$3:$AX$3,0))</f>
        <v>50499.976383553003</v>
      </c>
      <c r="E24" s="80">
        <f ca="1">INDEX(Results!$AB$3:$AX$33,MATCH($A24&amp;$C24,Results!$AB$3:$AB$33,0),MATCH(E$4,Results!$AB$3:$AX$3,0))</f>
        <v>74318.394678163255</v>
      </c>
      <c r="F24" s="80">
        <f ca="1">INDEX(Results!$AB$36:$AX$66,MATCH($A24&amp;$C24,Results!$AB$36:$AB$66,0),MATCH(F$4,Results!$AB$36:$AX$36,0))</f>
        <v>69550.09367433138</v>
      </c>
      <c r="H24" s="100">
        <f t="shared" ref="H24:H27" ca="1" si="19">D24/SUM(D$23:D$27)</f>
        <v>3.0408036014260391E-2</v>
      </c>
      <c r="I24" s="100">
        <f t="shared" ca="1" si="16"/>
        <v>3.5919540491612133E-2</v>
      </c>
      <c r="J24" s="100">
        <f t="shared" ca="1" si="16"/>
        <v>3.3585935266222305E-2</v>
      </c>
      <c r="L24" s="80">
        <f ca="1">INDEX(Results!$BA$3:$BX$33,MATCH($A24&amp;$C24,Results!$BA$3:$BA$33,0),MATCH(L$4,Results!$BA$3:$BX$3,0))</f>
        <v>201999.90553421201</v>
      </c>
      <c r="M24" s="80">
        <f ca="1">INDEX(Results!$BA$3:$BX$33,MATCH($A24&amp;$C24,Results!$BA$3:$BA$33,0),MATCH(M$4,Results!$BA$3:$BX$3,0))</f>
        <v>297273.57871265302</v>
      </c>
      <c r="N24" s="80">
        <f ca="1">INDEX(Results!$BA$36:$BX$66,MATCH($A24&amp;$C24,Results!$BA$36:$BA$66,0),MATCH(N$4,Results!$BA$36:$BX$36,0))</f>
        <v>278200.37469732552</v>
      </c>
      <c r="P24" s="100">
        <f t="shared" ref="P24:P27" ca="1" si="20">L24/SUM(L$23:L$27)</f>
        <v>3.0408036014260391E-2</v>
      </c>
      <c r="Q24" s="100">
        <f t="shared" ca="1" si="17"/>
        <v>3.5919540491612133E-2</v>
      </c>
      <c r="R24" s="100">
        <f t="shared" ca="1" si="18"/>
        <v>3.3585935266222305E-2</v>
      </c>
    </row>
    <row r="25" spans="1:18" x14ac:dyDescent="0.25">
      <c r="A25" s="1" t="s">
        <v>22</v>
      </c>
      <c r="B25" s="1" t="s">
        <v>55</v>
      </c>
      <c r="C25" s="1" t="s">
        <v>56</v>
      </c>
      <c r="D25" s="80">
        <f ca="1">INDEX(Results!$AB$3:$AX$33,MATCH($A25&amp;$C25,Results!$AB$3:$AB$33,0),MATCH(D$4,Results!$AB$3:$AX$3,0))</f>
        <v>646433.36705838051</v>
      </c>
      <c r="E25" s="80">
        <f ca="1">INDEX(Results!$AB$3:$AX$33,MATCH($A25&amp;$C25,Results!$AB$3:$AB$33,0),MATCH(E$4,Results!$AB$3:$AX$3,0))</f>
        <v>695754.67750176357</v>
      </c>
      <c r="F25" s="80">
        <f ca="1">INDEX(Results!$AB$36:$AX$66,MATCH($A25&amp;$C25,Results!$AB$36:$AB$66,0),MATCH(F$4,Results!$AB$36:$AX$36,0))</f>
        <v>720030.86701098329</v>
      </c>
      <c r="H25" s="100">
        <f t="shared" ca="1" si="19"/>
        <v>0.38924313463110294</v>
      </c>
      <c r="I25" s="100">
        <f t="shared" ca="1" si="16"/>
        <v>0.33627190709618787</v>
      </c>
      <c r="J25" s="100">
        <f t="shared" ca="1" si="16"/>
        <v>0.34770492477478732</v>
      </c>
      <c r="L25" s="80">
        <f ca="1">INDEX(Results!$BA$3:$BX$33,MATCH($A25&amp;$C25,Results!$BA$3:$BA$33,0),MATCH(L$4,Results!$BA$3:$BX$3,0))</f>
        <v>2585733.468233522</v>
      </c>
      <c r="M25" s="80">
        <f ca="1">INDEX(Results!$BA$3:$BX$33,MATCH($A25&amp;$C25,Results!$BA$3:$BA$33,0),MATCH(M$4,Results!$BA$3:$BX$3,0))</f>
        <v>2783018.7100070543</v>
      </c>
      <c r="N25" s="80">
        <f ca="1">INDEX(Results!$BA$36:$BX$66,MATCH($A25&amp;$C25,Results!$BA$36:$BA$66,0),MATCH(N$4,Results!$BA$36:$BX$36,0))</f>
        <v>2880123.4680439332</v>
      </c>
      <c r="P25" s="100">
        <f t="shared" ca="1" si="20"/>
        <v>0.38924313463110294</v>
      </c>
      <c r="Q25" s="100">
        <f t="shared" ca="1" si="17"/>
        <v>0.33627190709618787</v>
      </c>
      <c r="R25" s="100">
        <f t="shared" ca="1" si="18"/>
        <v>0.34770492477478732</v>
      </c>
    </row>
    <row r="26" spans="1:18" x14ac:dyDescent="0.25">
      <c r="A26" s="1" t="s">
        <v>22</v>
      </c>
      <c r="B26" s="1" t="s">
        <v>288</v>
      </c>
      <c r="C26" s="1" t="s">
        <v>57</v>
      </c>
      <c r="D26" s="80">
        <f ca="1">INDEX(Results!$AB$3:$AX$33,MATCH($A26&amp;$C26,Results!$AB$3:$AB$33,0),MATCH(D$4,Results!$AB$3:$AX$3,0))</f>
        <v>0</v>
      </c>
      <c r="E26" s="80">
        <f ca="1">INDEX(Results!$AB$3:$AX$33,MATCH($A26&amp;$C26,Results!$AB$3:$AB$33,0),MATCH(E$4,Results!$AB$3:$AX$3,0))</f>
        <v>0</v>
      </c>
      <c r="F26" s="80">
        <f ca="1">INDEX(Results!$AB$36:$AX$66,MATCH($A26&amp;$C26,Results!$AB$36:$AB$66,0),MATCH(F$4,Results!$AB$36:$AX$36,0))</f>
        <v>0</v>
      </c>
      <c r="H26" s="100">
        <f t="shared" ca="1" si="19"/>
        <v>0</v>
      </c>
      <c r="I26" s="100">
        <f t="shared" ca="1" si="16"/>
        <v>0</v>
      </c>
      <c r="J26" s="100">
        <f t="shared" ca="1" si="16"/>
        <v>0</v>
      </c>
      <c r="L26" s="80">
        <f ca="1">INDEX(Results!$BA$3:$BX$33,MATCH($A26&amp;$C26,Results!$BA$3:$BA$33,0),MATCH(L$4,Results!$BA$3:$BX$3,0))</f>
        <v>0</v>
      </c>
      <c r="M26" s="80">
        <f ca="1">INDEX(Results!$BA$3:$BX$33,MATCH($A26&amp;$C26,Results!$BA$3:$BA$33,0),MATCH(M$4,Results!$BA$3:$BX$3,0))</f>
        <v>0</v>
      </c>
      <c r="N26" s="80">
        <f ca="1">INDEX(Results!$BA$36:$BX$66,MATCH($A26&amp;$C26,Results!$BA$36:$BA$66,0),MATCH(N$4,Results!$BA$36:$BX$36,0))</f>
        <v>0</v>
      </c>
      <c r="P26" s="100">
        <f t="shared" ca="1" si="20"/>
        <v>0</v>
      </c>
      <c r="Q26" s="100">
        <f t="shared" ca="1" si="17"/>
        <v>0</v>
      </c>
      <c r="R26" s="100">
        <f t="shared" ca="1" si="18"/>
        <v>0</v>
      </c>
    </row>
    <row r="27" spans="1:18" x14ac:dyDescent="0.25">
      <c r="A27" s="1" t="s">
        <v>22</v>
      </c>
      <c r="B27" s="1" t="s">
        <v>58</v>
      </c>
      <c r="C27" s="1" t="s">
        <v>59</v>
      </c>
      <c r="D27" s="80">
        <f ca="1">INDEX(Results!$AB$3:$AX$33,MATCH($A27&amp;$C27,Results!$AB$3:$AB$33,0),MATCH(D$4,Results!$AB$3:$AX$3,0))</f>
        <v>0</v>
      </c>
      <c r="E27" s="80">
        <f ca="1">INDEX(Results!$AB$3:$AX$33,MATCH($A27&amp;$C27,Results!$AB$3:$AB$33,0),MATCH(E$4,Results!$AB$3:$AX$3,0))</f>
        <v>0</v>
      </c>
      <c r="F27" s="80">
        <f ca="1">INDEX(Results!$AB$36:$AX$66,MATCH($A27&amp;$C27,Results!$AB$36:$AB$66,0),MATCH(F$4,Results!$AB$36:$AX$36,0))</f>
        <v>77859.203451756621</v>
      </c>
      <c r="H27" s="100">
        <f t="shared" ca="1" si="19"/>
        <v>0</v>
      </c>
      <c r="I27" s="100">
        <f t="shared" ca="1" si="16"/>
        <v>0</v>
      </c>
      <c r="J27" s="100">
        <f t="shared" ca="1" si="16"/>
        <v>3.7598427677969178E-2</v>
      </c>
      <c r="L27" s="80">
        <f ca="1">INDEX(Results!$BA$3:$BX$33,MATCH($A27&amp;$C27,Results!$BA$3:$BA$33,0),MATCH(L$4,Results!$BA$3:$BX$3,0))</f>
        <v>0</v>
      </c>
      <c r="M27" s="80">
        <f ca="1">INDEX(Results!$BA$3:$BX$33,MATCH($A27&amp;$C27,Results!$BA$3:$BA$33,0),MATCH(M$4,Results!$BA$3:$BX$3,0))</f>
        <v>0</v>
      </c>
      <c r="N27" s="80">
        <f ca="1">INDEX(Results!$BA$36:$BX$66,MATCH($A27&amp;$C27,Results!$BA$36:$BA$66,0),MATCH(N$4,Results!$BA$36:$BX$36,0))</f>
        <v>311436.81380702648</v>
      </c>
      <c r="P27" s="100">
        <f t="shared" ca="1" si="20"/>
        <v>0</v>
      </c>
      <c r="Q27" s="100">
        <f t="shared" ca="1" si="17"/>
        <v>0</v>
      </c>
      <c r="R27" s="100">
        <f t="shared" ca="1" si="18"/>
        <v>3.7598427677969178E-2</v>
      </c>
    </row>
    <row r="28" spans="1:18" x14ac:dyDescent="0.25">
      <c r="A28" s="1" t="s">
        <v>22</v>
      </c>
      <c r="B28" s="1" t="s">
        <v>104</v>
      </c>
      <c r="C28" s="1"/>
      <c r="D28" s="80"/>
      <c r="E28" s="80"/>
      <c r="F28" s="80">
        <f ca="1">Results!V57/'Financial Settings'!$T$3</f>
        <v>23814.335287864618</v>
      </c>
      <c r="H28" s="100"/>
      <c r="I28" s="100"/>
      <c r="J28" s="100">
        <f t="shared" ca="1" si="16"/>
        <v>1.1500009290160365E-2</v>
      </c>
      <c r="L28" s="80"/>
      <c r="M28" s="80"/>
      <c r="N28" s="80">
        <f ca="1">F28*(Results!$G$31*13+Results!$H$31*1+Results!$I$31*1+Results!$J$31*1+Results!$K$31*98)</f>
        <v>371894.73892498377</v>
      </c>
      <c r="P28" s="100"/>
      <c r="Q28" s="100"/>
      <c r="R28" s="100">
        <f ca="1">N28/SUM($N$23:$N$27)</f>
        <v>4.4897253071540258E-2</v>
      </c>
    </row>
    <row r="29" spans="1:18" x14ac:dyDescent="0.25">
      <c r="A29" s="89" t="s">
        <v>25</v>
      </c>
      <c r="B29" s="89" t="s">
        <v>51</v>
      </c>
      <c r="C29" s="89" t="s">
        <v>52</v>
      </c>
      <c r="D29" s="92">
        <f ca="1">INDEX(Results!$AB$3:$AX$33,MATCH($A29&amp;$C29,Results!$AB$3:$AB$33,0),MATCH(D$4,Results!$AB$3:$AX$3,0))</f>
        <v>163017.57041401308</v>
      </c>
      <c r="E29" s="92">
        <f ca="1">INDEX(Results!$AB$3:$AX$33,MATCH($A29&amp;$C29,Results!$AB$3:$AB$33,0),MATCH(E$4,Results!$AB$3:$AX$3,0))</f>
        <v>218422.58197195237</v>
      </c>
      <c r="F29" s="92">
        <f ca="1">INDEX(Results!$AB$36:$AX$66,MATCH($A29&amp;$C29,Results!$AB$36:$AB$66,0),MATCH(F$4,Results!$AB$36:$AX$36,0))</f>
        <v>199804.37521830545</v>
      </c>
      <c r="H29" s="101">
        <f ca="1">D29/SUM(D$29:D$33)</f>
        <v>0.47736817406771986</v>
      </c>
      <c r="I29" s="101">
        <f t="shared" ref="I29:J34" ca="1" si="21">E29/SUM(E$29:E$33)</f>
        <v>0.51432295869322719</v>
      </c>
      <c r="J29" s="101">
        <f t="shared" ca="1" si="21"/>
        <v>0.47048238554073368</v>
      </c>
      <c r="L29" s="92">
        <f ca="1">INDEX(Results!$BA$3:$BX$33,MATCH($A29&amp;$C29,Results!$BA$3:$BA$33,0),MATCH(L$4,Results!$BA$3:$BX$3,0))</f>
        <v>15975721.900573282</v>
      </c>
      <c r="M29" s="92">
        <f ca="1">INDEX(Results!$BA$3:$BX$33,MATCH($A29&amp;$C29,Results!$BA$3:$BA$33,0),MATCH(M$4,Results!$BA$3:$BX$3,0))</f>
        <v>21405413.03325133</v>
      </c>
      <c r="N29" s="92">
        <f ca="1">INDEX(Results!$BA$36:$BX$66,MATCH($A29&amp;$C29,Results!$BA$36:$BA$66,0),MATCH(N$4,Results!$BA$36:$BX$36,0))</f>
        <v>19580828.771393936</v>
      </c>
      <c r="P29" s="101">
        <f ca="1">L29/SUM(L$29:L$33)</f>
        <v>0.47736817406771975</v>
      </c>
      <c r="Q29" s="101">
        <f t="shared" ref="Q29:Q33" ca="1" si="22">M29/SUM(M$29:M$33)</f>
        <v>0.51432295869322719</v>
      </c>
      <c r="R29" s="101">
        <f t="shared" ref="R29:R33" ca="1" si="23">N29/SUM(N$29:N$33)</f>
        <v>0.47048238554073363</v>
      </c>
    </row>
    <row r="30" spans="1:18" x14ac:dyDescent="0.25">
      <c r="A30" s="89" t="s">
        <v>25</v>
      </c>
      <c r="B30" s="89" t="s">
        <v>53</v>
      </c>
      <c r="C30" s="89" t="s">
        <v>54</v>
      </c>
      <c r="D30" s="92">
        <f ca="1">INDEX(Results!$AB$3:$AX$33,MATCH($A30&amp;$C30,Results!$AB$3:$AB$33,0),MATCH(D$4,Results!$AB$3:$AX$3,0))</f>
        <v>26758.026241817461</v>
      </c>
      <c r="E30" s="92">
        <f ca="1">INDEX(Results!$AB$3:$AX$33,MATCH($A30&amp;$C30,Results!$AB$3:$AB$33,0),MATCH(E$4,Results!$AB$3:$AX$3,0))</f>
        <v>25684.621502323345</v>
      </c>
      <c r="F30" s="92">
        <f ca="1">INDEX(Results!$AB$36:$AX$66,MATCH($A30&amp;$C30,Results!$AB$36:$AB$66,0),MATCH(F$4,Results!$AB$36:$AX$36,0))</f>
        <v>20344.799294491204</v>
      </c>
      <c r="H30" s="101">
        <f t="shared" ref="H30:H33" ca="1" si="24">D30/SUM(D$29:D$33)</f>
        <v>7.8356155697033511E-2</v>
      </c>
      <c r="I30" s="101">
        <f t="shared" ca="1" si="21"/>
        <v>6.0479966882210676E-2</v>
      </c>
      <c r="J30" s="101">
        <f t="shared" ca="1" si="21"/>
        <v>4.7906206733268335E-2</v>
      </c>
      <c r="L30" s="92">
        <f ca="1">INDEX(Results!$BA$3:$BX$33,MATCH($A30&amp;$C30,Results!$BA$3:$BA$33,0),MATCH(L$4,Results!$BA$3:$BX$3,0))</f>
        <v>2622286.5716981115</v>
      </c>
      <c r="M30" s="92">
        <f ca="1">INDEX(Results!$BA$3:$BX$33,MATCH($A30&amp;$C30,Results!$BA$3:$BA$33,0),MATCH(M$4,Results!$BA$3:$BX$3,0))</f>
        <v>2517092.9072276875</v>
      </c>
      <c r="N30" s="92">
        <f ca="1">INDEX(Results!$BA$36:$BX$66,MATCH($A30&amp;$C30,Results!$BA$36:$BA$66,0),MATCH(N$4,Results!$BA$36:$BX$36,0))</f>
        <v>1993790.3308601379</v>
      </c>
      <c r="P30" s="101">
        <f t="shared" ref="P30:P33" ca="1" si="25">L30/SUM(L$29:L$33)</f>
        <v>7.8356155697033511E-2</v>
      </c>
      <c r="Q30" s="101">
        <f t="shared" ca="1" si="22"/>
        <v>6.0479966882210676E-2</v>
      </c>
      <c r="R30" s="101">
        <f t="shared" ca="1" si="23"/>
        <v>4.7906206733268321E-2</v>
      </c>
    </row>
    <row r="31" spans="1:18" x14ac:dyDescent="0.25">
      <c r="A31" s="89" t="s">
        <v>25</v>
      </c>
      <c r="B31" s="89" t="s">
        <v>55</v>
      </c>
      <c r="C31" s="89" t="s">
        <v>56</v>
      </c>
      <c r="D31" s="92">
        <f ca="1">INDEX(Results!$AB$3:$AX$33,MATCH($A31&amp;$C31,Results!$AB$3:$AB$33,0),MATCH(D$4,Results!$AB$3:$AX$3,0))</f>
        <v>133020.05579455232</v>
      </c>
      <c r="E31" s="92">
        <f ca="1">INDEX(Results!$AB$3:$AX$33,MATCH($A31&amp;$C31,Results!$AB$3:$AB$33,0),MATCH(E$4,Results!$AB$3:$AX$3,0))</f>
        <v>163146.70398979276</v>
      </c>
      <c r="F31" s="92">
        <f ca="1">INDEX(Results!$AB$36:$AX$66,MATCH($A31&amp;$C31,Results!$AB$36:$AB$66,0),MATCH(F$4,Results!$AB$36:$AX$36,0))</f>
        <v>125016.86877247661</v>
      </c>
      <c r="H31" s="101">
        <f t="shared" ca="1" si="24"/>
        <v>0.38952574859116662</v>
      </c>
      <c r="I31" s="101">
        <f t="shared" ca="1" si="21"/>
        <v>0.38416401243646703</v>
      </c>
      <c r="J31" s="101">
        <f t="shared" ca="1" si="21"/>
        <v>0.29437911251264182</v>
      </c>
      <c r="L31" s="92">
        <f ca="1">INDEX(Results!$BA$3:$BX$33,MATCH($A31&amp;$C31,Results!$BA$3:$BA$33,0),MATCH(L$4,Results!$BA$3:$BX$3,0))</f>
        <v>13035965.467866126</v>
      </c>
      <c r="M31" s="92">
        <f ca="1">INDEX(Results!$BA$3:$BX$33,MATCH($A31&amp;$C31,Results!$BA$3:$BA$33,0),MATCH(M$4,Results!$BA$3:$BX$3,0))</f>
        <v>15988376.990999691</v>
      </c>
      <c r="N31" s="92">
        <f ca="1">INDEX(Results!$BA$36:$BX$66,MATCH($A31&amp;$C31,Results!$BA$36:$BA$66,0),MATCH(N$4,Results!$BA$36:$BX$36,0))</f>
        <v>12251653.139702708</v>
      </c>
      <c r="P31" s="101">
        <f t="shared" ca="1" si="25"/>
        <v>0.38952574859116651</v>
      </c>
      <c r="Q31" s="101">
        <f t="shared" ca="1" si="22"/>
        <v>0.38416401243646708</v>
      </c>
      <c r="R31" s="101">
        <f t="shared" ca="1" si="23"/>
        <v>0.29437911251264182</v>
      </c>
    </row>
    <row r="32" spans="1:18" x14ac:dyDescent="0.25">
      <c r="A32" s="89" t="s">
        <v>25</v>
      </c>
      <c r="B32" s="89" t="s">
        <v>288</v>
      </c>
      <c r="C32" s="89" t="s">
        <v>57</v>
      </c>
      <c r="D32" s="92">
        <f ca="1">INDEX(Results!$AB$3:$AX$33,MATCH($A32&amp;$C32,Results!$AB$3:$AB$33,0),MATCH(D$4,Results!$AB$3:$AX$3,0))</f>
        <v>4432.1975270107005</v>
      </c>
      <c r="E32" s="92">
        <f ca="1">INDEX(Results!$AB$3:$AX$33,MATCH($A32&amp;$C32,Results!$AB$3:$AB$33,0),MATCH(E$4,Results!$AB$3:$AX$3,0))</f>
        <v>3.2249642270142274E-13</v>
      </c>
      <c r="F32" s="92">
        <f ca="1">INDEX(Results!$AB$36:$AX$66,MATCH($A32&amp;$C32,Results!$AB$36:$AB$66,0),MATCH(F$4,Results!$AB$36:$AX$36,0))</f>
        <v>3.2249642270142274E-13</v>
      </c>
      <c r="H32" s="101">
        <f t="shared" ca="1" si="24"/>
        <v>1.2978907949634655E-2</v>
      </c>
      <c r="I32" s="101">
        <f t="shared" ca="1" si="21"/>
        <v>7.593872061867504E-19</v>
      </c>
      <c r="J32" s="101">
        <f t="shared" ca="1" si="21"/>
        <v>7.5938720618675059E-19</v>
      </c>
      <c r="L32" s="92">
        <f ca="1">INDEX(Results!$BA$3:$BX$33,MATCH($A32&amp;$C32,Results!$BA$3:$BA$33,0),MATCH(L$4,Results!$BA$3:$BX$3,0))</f>
        <v>434355.35764704866</v>
      </c>
      <c r="M32" s="92">
        <f ca="1">INDEX(Results!$BA$3:$BX$33,MATCH($A32&amp;$C32,Results!$BA$3:$BA$33,0),MATCH(M$4,Results!$BA$3:$BX$3,0))</f>
        <v>3.1604649424739429E-11</v>
      </c>
      <c r="N32" s="92">
        <f ca="1">INDEX(Results!$BA$36:$BX$66,MATCH($A32&amp;$C32,Results!$BA$36:$BA$66,0),MATCH(N$4,Results!$BA$36:$BX$36,0))</f>
        <v>3.1604649424739429E-11</v>
      </c>
      <c r="P32" s="101">
        <f t="shared" ca="1" si="25"/>
        <v>1.2978907949634653E-2</v>
      </c>
      <c r="Q32" s="101">
        <f t="shared" ca="1" si="22"/>
        <v>7.5938720618675059E-19</v>
      </c>
      <c r="R32" s="101">
        <f t="shared" ca="1" si="23"/>
        <v>7.593872061867504E-19</v>
      </c>
    </row>
    <row r="33" spans="1:18" x14ac:dyDescent="0.25">
      <c r="A33" s="89" t="s">
        <v>25</v>
      </c>
      <c r="B33" s="89" t="s">
        <v>58</v>
      </c>
      <c r="C33" s="89" t="s">
        <v>59</v>
      </c>
      <c r="D33" s="92">
        <f ca="1">INDEX(Results!$AB$3:$AX$33,MATCH($A33&amp;$C33,Results!$AB$3:$AB$33,0),MATCH(D$4,Results!$AB$3:$AX$3,0))</f>
        <v>14264.48082656006</v>
      </c>
      <c r="E33" s="92">
        <f ca="1">INDEX(Results!$AB$3:$AX$33,MATCH($A33&amp;$C33,Results!$AB$3:$AB$33,0),MATCH(E$4,Results!$AB$3:$AX$3,0))</f>
        <v>17425.913415233481</v>
      </c>
      <c r="F33" s="92">
        <f ca="1">INDEX(Results!$AB$36:$AX$66,MATCH($A33&amp;$C33,Results!$AB$36:$AB$66,0),MATCH(F$4,Results!$AB$36:$AX$36,0))</f>
        <v>79513.777594028681</v>
      </c>
      <c r="H33" s="101">
        <f t="shared" ca="1" si="24"/>
        <v>4.1771013694445511E-2</v>
      </c>
      <c r="I33" s="101">
        <f t="shared" ca="1" si="21"/>
        <v>4.1033061988095004E-2</v>
      </c>
      <c r="J33" s="101">
        <f t="shared" ca="1" si="21"/>
        <v>0.18723229521335619</v>
      </c>
      <c r="L33" s="92">
        <f ca="1">INDEX(Results!$BA$3:$BX$33,MATCH($A33&amp;$C33,Results!$BA$3:$BA$33,0),MATCH(L$4,Results!$BA$3:$BX$3,0))</f>
        <v>1397919.121002886</v>
      </c>
      <c r="M33" s="92">
        <f ca="1">INDEX(Results!$BA$3:$BX$33,MATCH($A33&amp;$C33,Results!$BA$3:$BA$33,0),MATCH(M$4,Results!$BA$3:$BX$3,0))</f>
        <v>1707739.5146928811</v>
      </c>
      <c r="N33" s="92">
        <f ca="1">INDEX(Results!$BA$36:$BX$66,MATCH($A33&amp;$C33,Results!$BA$36:$BA$66,0),MATCH(N$4,Results!$BA$36:$BX$36,0))</f>
        <v>7792350.2042148113</v>
      </c>
      <c r="P33" s="101">
        <f t="shared" ca="1" si="25"/>
        <v>4.1771013694445504E-2</v>
      </c>
      <c r="Q33" s="101">
        <f t="shared" ca="1" si="22"/>
        <v>4.1033061988095011E-2</v>
      </c>
      <c r="R33" s="101">
        <f t="shared" ca="1" si="23"/>
        <v>0.18723229521335616</v>
      </c>
    </row>
    <row r="34" spans="1:18" x14ac:dyDescent="0.25">
      <c r="A34" s="89" t="s">
        <v>25</v>
      </c>
      <c r="B34" s="89" t="s">
        <v>104</v>
      </c>
      <c r="C34" s="89"/>
      <c r="D34" s="92"/>
      <c r="E34" s="92"/>
      <c r="F34" s="92">
        <f ca="1">Results!W57/'Financial Settings'!$T$3</f>
        <v>15357.308074617504</v>
      </c>
      <c r="H34" s="101"/>
      <c r="I34" s="101"/>
      <c r="J34" s="101">
        <f t="shared" ca="1" si="21"/>
        <v>3.6162085692746392E-2</v>
      </c>
      <c r="L34" s="92"/>
      <c r="M34" s="92"/>
      <c r="N34" s="92">
        <f ca="1">F34*(Results!$G$31*13+Results!$H$31*1+Results!$I$31*1+Results!$J$31*1+Results!$K$31*98)</f>
        <v>239826.22264963257</v>
      </c>
      <c r="P34" s="101"/>
      <c r="Q34" s="101"/>
      <c r="R34" s="101">
        <f ca="1">N34/SUM($N$29:$N$33)</f>
        <v>5.7624738291090086E-3</v>
      </c>
    </row>
    <row r="35" spans="1:18" x14ac:dyDescent="0.25">
      <c r="A35" s="1" t="s">
        <v>60</v>
      </c>
      <c r="B35" s="1" t="s">
        <v>51</v>
      </c>
      <c r="C35" s="1" t="s">
        <v>52</v>
      </c>
      <c r="D35" s="80">
        <f ca="1">INDEX(Results!$AB$3:$AX$33,MATCH($A35&amp;$C35,Results!$AB$3:$AB$33,0),MATCH(D$4,Results!$AB$3:$AX$3,0))</f>
        <v>1771040.0393091775</v>
      </c>
      <c r="E35" s="80">
        <f ca="1">INDEX(Results!$AB$3:$AX$33,MATCH($A35&amp;$C35,Results!$AB$3:$AB$33,0),MATCH(E$4,Results!$AB$3:$AX$3,0))</f>
        <v>2429313.7171857511</v>
      </c>
      <c r="F35" s="80">
        <f ca="1">INDEX(Results!$AB$36:$AX$66,MATCH($A35&amp;$C35,Results!$AB$36:$AB$66,0),MATCH(F$4,Results!$AB$36:$AX$36,0))</f>
        <v>2242652.1324291201</v>
      </c>
      <c r="H35" s="100">
        <f ca="1">D35/SUM(D$35:D$39)</f>
        <v>0.5966996387005451</v>
      </c>
      <c r="I35" s="100">
        <f t="shared" ref="I35:J40" ca="1" si="26">E35/SUM(E$35:E$39)</f>
        <v>0.63512009950861192</v>
      </c>
      <c r="J35" s="100">
        <f t="shared" ca="1" si="26"/>
        <v>0.58604562682929717</v>
      </c>
      <c r="L35" s="80">
        <f ca="1">INDEX(Results!$BA$3:$BX$33,MATCH($A35&amp;$C35,Results!$BA$3:$BA$33,0),MATCH(L$4,Results!$BA$3:$BX$3,0))</f>
        <v>20110324.078921448</v>
      </c>
      <c r="M35" s="80">
        <f ca="1">INDEX(Results!$BA$3:$BX$33,MATCH($A35&amp;$C35,Results!$BA$3:$BA$33,0),MATCH(M$4,Results!$BA$3:$BX$3,0))</f>
        <v>26936945.070681028</v>
      </c>
      <c r="N35" s="80">
        <f ca="1">INDEX(Results!$BA$36:$BX$66,MATCH($A35&amp;$C35,Results!$BA$36:$BA$66,0),MATCH(N$4,Results!$BA$36:$BX$36,0))</f>
        <v>24690814.601907279</v>
      </c>
      <c r="P35" s="100">
        <f ca="1">L35/SUM(L$35:L$39)</f>
        <v>0.4791127707430588</v>
      </c>
      <c r="Q35" s="100">
        <f t="shared" ref="Q35:Q39" ca="1" si="27">M35/SUM(M$35:M$39)</f>
        <v>0.51839196427611678</v>
      </c>
      <c r="R35" s="100">
        <f t="shared" ref="R35:R39" ca="1" si="28">N35/SUM(N$35:N$39)</f>
        <v>0.47510066063042505</v>
      </c>
    </row>
    <row r="36" spans="1:18" x14ac:dyDescent="0.25">
      <c r="A36" s="1" t="s">
        <v>60</v>
      </c>
      <c r="B36" s="1" t="s">
        <v>53</v>
      </c>
      <c r="C36" s="1" t="s">
        <v>54</v>
      </c>
      <c r="D36" s="80">
        <f ca="1">INDEX(Results!$AB$3:$AX$33,MATCH($A36&amp;$C36,Results!$AB$3:$AB$33,0),MATCH(D$4,Results!$AB$3:$AX$3,0))</f>
        <v>122959.04079012171</v>
      </c>
      <c r="E36" s="80">
        <f ca="1">INDEX(Results!$AB$3:$AX$33,MATCH($A36&amp;$C36,Results!$AB$3:$AB$33,0),MATCH(E$4,Results!$AB$3:$AX$3,0))</f>
        <v>167884.57832093042</v>
      </c>
      <c r="F36" s="80">
        <f ca="1">INDEX(Results!$AB$36:$AX$66,MATCH($A36&amp;$C36,Results!$AB$36:$AB$66,0),MATCH(F$4,Results!$AB$36:$AX$36,0))</f>
        <v>150417.6202233863</v>
      </c>
      <c r="H36" s="100">
        <f t="shared" ref="H36:H39" ca="1" si="29">D36/SUM(D$35:D$39)</f>
        <v>4.1427417554630898E-2</v>
      </c>
      <c r="I36" s="100">
        <f t="shared" ca="1" si="26"/>
        <v>4.3891766359707977E-2</v>
      </c>
      <c r="J36" s="100">
        <f t="shared" ca="1" si="26"/>
        <v>3.9306848911295281E-2</v>
      </c>
      <c r="L36" s="80">
        <f ca="1">INDEX(Results!$BA$3:$BX$33,MATCH($A36&amp;$C36,Results!$BA$3:$BA$33,0),MATCH(L$4,Results!$BA$3:$BX$3,0))</f>
        <v>2878833.4931425466</v>
      </c>
      <c r="M36" s="80">
        <f ca="1">INDEX(Results!$BA$3:$BX$33,MATCH($A36&amp;$C36,Results!$BA$3:$BA$33,0),MATCH(M$4,Results!$BA$3:$BX$3,0))</f>
        <v>2896681.8251890838</v>
      </c>
      <c r="N36" s="80">
        <f ca="1">INDEX(Results!$BA$36:$BX$66,MATCH($A36&amp;$C36,Results!$BA$36:$BA$66,0),MATCH(N$4,Results!$BA$36:$BX$36,0))</f>
        <v>2350341.540913912</v>
      </c>
      <c r="P36" s="100">
        <f t="shared" ref="P36:P39" ca="1" si="30">L36/SUM(L$35:L$39)</f>
        <v>6.8585960424831574E-2</v>
      </c>
      <c r="Q36" s="100">
        <f t="shared" ca="1" si="27"/>
        <v>5.5745615447577251E-2</v>
      </c>
      <c r="R36" s="100">
        <f t="shared" ca="1" si="28"/>
        <v>4.5225272507172509E-2</v>
      </c>
    </row>
    <row r="37" spans="1:18" x14ac:dyDescent="0.25">
      <c r="A37" s="1" t="s">
        <v>60</v>
      </c>
      <c r="B37" s="1" t="s">
        <v>55</v>
      </c>
      <c r="C37" s="1" t="s">
        <v>56</v>
      </c>
      <c r="D37" s="80">
        <f ca="1">INDEX(Results!$AB$3:$AX$33,MATCH($A37&amp;$C37,Results!$AB$3:$AB$33,0),MATCH(D$4,Results!$AB$3:$AX$3,0))</f>
        <v>929624.90942062414</v>
      </c>
      <c r="E37" s="80">
        <f ca="1">INDEX(Results!$AB$3:$AX$33,MATCH($A37&amp;$C37,Results!$AB$3:$AB$33,0),MATCH(E$4,Results!$AB$3:$AX$3,0))</f>
        <v>1038091.1062086012</v>
      </c>
      <c r="F37" s="80">
        <f ca="1">INDEX(Results!$AB$36:$AX$66,MATCH($A37&amp;$C37,Results!$AB$36:$AB$66,0),MATCH(F$4,Results!$AB$36:$AX$36,0))</f>
        <v>1004177.8353047421</v>
      </c>
      <c r="H37" s="100">
        <f t="shared" ca="1" si="29"/>
        <v>0.31320965944659596</v>
      </c>
      <c r="I37" s="100">
        <f t="shared" ca="1" si="26"/>
        <v>0.27139867609935336</v>
      </c>
      <c r="J37" s="100">
        <f t="shared" ca="1" si="26"/>
        <v>0.26240985859087707</v>
      </c>
      <c r="L37" s="80">
        <f ca="1">INDEX(Results!$BA$3:$BX$33,MATCH($A37&amp;$C37,Results!$BA$3:$BA$33,0),MATCH(L$4,Results!$BA$3:$BX$3,0))</f>
        <v>16820791.668835033</v>
      </c>
      <c r="M37" s="80">
        <f ca="1">INDEX(Results!$BA$3:$BX$33,MATCH($A37&amp;$C37,Results!$BA$3:$BA$33,0),MATCH(M$4,Results!$BA$3:$BX$3,0))</f>
        <v>20056345.695618346</v>
      </c>
      <c r="N37" s="80">
        <f ca="1">INDEX(Results!$BA$36:$BX$66,MATCH($A37&amp;$C37,Results!$BA$36:$BA$66,0),MATCH(N$4,Results!$BA$36:$BX$36,0))</f>
        <v>15961034.183872461</v>
      </c>
      <c r="P37" s="100">
        <f t="shared" ca="1" si="30"/>
        <v>0.40074222926095848</v>
      </c>
      <c r="Q37" s="100">
        <f t="shared" ca="1" si="27"/>
        <v>0.38597726706095159</v>
      </c>
      <c r="R37" s="100">
        <f t="shared" ca="1" si="28"/>
        <v>0.30712222368381625</v>
      </c>
    </row>
    <row r="38" spans="1:18" x14ac:dyDescent="0.25">
      <c r="A38" s="1" t="s">
        <v>60</v>
      </c>
      <c r="B38" s="1" t="s">
        <v>288</v>
      </c>
      <c r="C38" s="1" t="s">
        <v>57</v>
      </c>
      <c r="D38" s="80">
        <f ca="1">INDEX(Results!$AB$3:$AX$33,MATCH($A38&amp;$C38,Results!$AB$3:$AB$33,0),MATCH(D$4,Results!$AB$3:$AX$3,0))</f>
        <v>4432.1975270107005</v>
      </c>
      <c r="E38" s="80">
        <f ca="1">INDEX(Results!$AB$3:$AX$33,MATCH($A38&amp;$C38,Results!$AB$3:$AB$33,0),MATCH(E$4,Results!$AB$3:$AX$3,0))</f>
        <v>3.2249642270142274E-13</v>
      </c>
      <c r="F38" s="80">
        <f ca="1">INDEX(Results!$AB$36:$AX$66,MATCH($A38&amp;$C38,Results!$AB$36:$AB$66,0),MATCH(F$4,Results!$AB$36:$AX$36,0))</f>
        <v>3.2249642270142274E-13</v>
      </c>
      <c r="H38" s="100">
        <f t="shared" ca="1" si="29"/>
        <v>1.4932980645927906E-3</v>
      </c>
      <c r="I38" s="100">
        <f t="shared" ca="1" si="26"/>
        <v>8.4313507402649585E-20</v>
      </c>
      <c r="J38" s="100">
        <f t="shared" ca="1" si="26"/>
        <v>8.4274157128216419E-20</v>
      </c>
      <c r="L38" s="80">
        <f ca="1">INDEX(Results!$BA$3:$BX$33,MATCH($A38&amp;$C38,Results!$BA$3:$BA$33,0),MATCH(L$4,Results!$BA$3:$BX$3,0))</f>
        <v>434355.35764704866</v>
      </c>
      <c r="M38" s="80">
        <f ca="1">INDEX(Results!$BA$3:$BX$33,MATCH($A38&amp;$C38,Results!$BA$3:$BA$33,0),MATCH(M$4,Results!$BA$3:$BX$3,0))</f>
        <v>3.1604649424739429E-11</v>
      </c>
      <c r="N38" s="80">
        <f ca="1">INDEX(Results!$BA$36:$BX$66,MATCH($A38&amp;$C38,Results!$BA$36:$BA$66,0),MATCH(N$4,Results!$BA$36:$BX$36,0))</f>
        <v>3.1604649424739429E-11</v>
      </c>
      <c r="P38" s="100">
        <f t="shared" ca="1" si="30"/>
        <v>1.0348177288077338E-2</v>
      </c>
      <c r="Q38" s="100">
        <f t="shared" ca="1" si="27"/>
        <v>6.0822028082839692E-19</v>
      </c>
      <c r="R38" s="100">
        <f t="shared" ca="1" si="28"/>
        <v>6.0813667198840814E-19</v>
      </c>
    </row>
    <row r="39" spans="1:18" x14ac:dyDescent="0.25">
      <c r="A39" s="1" t="s">
        <v>60</v>
      </c>
      <c r="B39" s="1" t="s">
        <v>58</v>
      </c>
      <c r="C39" s="1" t="s">
        <v>59</v>
      </c>
      <c r="D39" s="80">
        <f ca="1">INDEX(Results!$AB$3:$AX$33,MATCH($A39&amp;$C39,Results!$AB$3:$AB$33,0),MATCH(D$4,Results!$AB$3:$AX$3,0))</f>
        <v>140003.32638940171</v>
      </c>
      <c r="E39" s="80">
        <f ca="1">INDEX(Results!$AB$3:$AX$33,MATCH($A39&amp;$C39,Results!$AB$3:$AB$33,0),MATCH(E$4,Results!$AB$3:$AX$3,0))</f>
        <v>189678.06359607261</v>
      </c>
      <c r="F39" s="80">
        <f ca="1">INDEX(Results!$AB$36:$AX$66,MATCH($A39&amp;$C39,Results!$AB$36:$AB$66,0),MATCH(F$4,Results!$AB$36:$AX$36,0))</f>
        <v>429505.87586879893</v>
      </c>
      <c r="H39" s="100">
        <f t="shared" ca="1" si="29"/>
        <v>4.7169986233635115E-2</v>
      </c>
      <c r="I39" s="100">
        <f t="shared" ca="1" si="26"/>
        <v>4.9589458032326734E-2</v>
      </c>
      <c r="J39" s="100">
        <f t="shared" ca="1" si="26"/>
        <v>0.11223766566853051</v>
      </c>
      <c r="L39" s="80">
        <f ca="1">INDEX(Results!$BA$3:$BX$33,MATCH($A39&amp;$C39,Results!$BA$3:$BA$33,0),MATCH(L$4,Results!$BA$3:$BX$3,0))</f>
        <v>1729788.5731559228</v>
      </c>
      <c r="M39" s="80">
        <f ca="1">INDEX(Results!$BA$3:$BX$33,MATCH($A39&amp;$C39,Results!$BA$3:$BA$33,0),MATCH(M$4,Results!$BA$3:$BX$3,0))</f>
        <v>2072532.4760733303</v>
      </c>
      <c r="N39" s="80">
        <f ca="1">INDEX(Results!$BA$36:$BX$66,MATCH($A39&amp;$C39,Results!$BA$36:$BA$66,0),MATCH(N$4,Results!$BA$36:$BX$36,0))</f>
        <v>8967458.7349269092</v>
      </c>
      <c r="P39" s="100">
        <f t="shared" ca="1" si="30"/>
        <v>4.1210862283073885E-2</v>
      </c>
      <c r="Q39" s="100">
        <f t="shared" ca="1" si="27"/>
        <v>3.988515321535438E-2</v>
      </c>
      <c r="R39" s="100">
        <f t="shared" ca="1" si="28"/>
        <v>0.17255184317858616</v>
      </c>
    </row>
    <row r="40" spans="1:18" x14ac:dyDescent="0.25">
      <c r="A40" s="102" t="s">
        <v>60</v>
      </c>
      <c r="B40" s="1" t="s">
        <v>104</v>
      </c>
      <c r="C40" s="1"/>
      <c r="D40" s="80"/>
      <c r="E40" s="80"/>
      <c r="F40" s="80">
        <f ca="1">Results!X57/'Financial Settings'!$T$3</f>
        <v>80238.385602467461</v>
      </c>
      <c r="H40" s="100"/>
      <c r="I40" s="100"/>
      <c r="J40" s="100">
        <f t="shared" ca="1" si="26"/>
        <v>2.0967743639864346E-2</v>
      </c>
      <c r="L40" s="80"/>
      <c r="M40" s="80"/>
      <c r="N40" s="80">
        <f ca="1">F40*(Results!$G$31*13+Results!$H$31*1+Results!$I$31*1+Results!$J$31*1+Results!$K$31*98)</f>
        <v>1253036.5892932517</v>
      </c>
      <c r="P40" s="100"/>
      <c r="Q40" s="100"/>
      <c r="R40" s="100">
        <f ca="1">N40/SUM($N$35:$N$39)</f>
        <v>2.4110930358746941E-2</v>
      </c>
    </row>
    <row r="41" spans="1:18" x14ac:dyDescent="0.25">
      <c r="A41" s="225"/>
      <c r="B41" s="225"/>
      <c r="C41" s="225"/>
      <c r="D41" s="223"/>
      <c r="E41" s="223"/>
      <c r="F41" s="223"/>
      <c r="H41" s="226"/>
      <c r="I41" s="226"/>
      <c r="J41" s="226"/>
      <c r="L41" s="223"/>
      <c r="M41" s="223"/>
      <c r="N41" s="223"/>
      <c r="P41" s="226"/>
      <c r="Q41" s="226"/>
      <c r="R41" s="226"/>
    </row>
    <row r="42" spans="1:18" ht="15.75" thickBot="1" x14ac:dyDescent="0.3">
      <c r="A42" s="225"/>
      <c r="B42" s="225"/>
      <c r="C42" s="225"/>
      <c r="D42" s="223"/>
      <c r="E42" s="223"/>
      <c r="F42" s="223"/>
      <c r="H42" s="226"/>
      <c r="I42" s="226"/>
      <c r="J42" s="226"/>
      <c r="L42" s="223"/>
      <c r="M42" s="223"/>
      <c r="N42" s="223"/>
      <c r="P42" s="226"/>
      <c r="Q42" s="226"/>
      <c r="R42" s="226"/>
    </row>
    <row r="43" spans="1:18" x14ac:dyDescent="0.25">
      <c r="A43" s="227"/>
      <c r="B43" s="228"/>
      <c r="C43" s="228"/>
      <c r="D43" s="228"/>
      <c r="E43" s="228"/>
      <c r="F43" s="229"/>
      <c r="G43" s="228"/>
      <c r="H43" s="228"/>
      <c r="I43" s="228"/>
      <c r="J43" s="228"/>
      <c r="K43" s="230"/>
    </row>
    <row r="44" spans="1:18" x14ac:dyDescent="0.25">
      <c r="A44" s="231" t="s">
        <v>61</v>
      </c>
      <c r="B44" s="225"/>
      <c r="C44" s="225"/>
      <c r="D44" s="225"/>
      <c r="E44" s="225"/>
      <c r="F44" s="225"/>
      <c r="G44" s="225"/>
      <c r="H44" s="225"/>
      <c r="I44" s="225"/>
      <c r="J44" s="225"/>
      <c r="K44" s="232"/>
    </row>
    <row r="45" spans="1:18" x14ac:dyDescent="0.25">
      <c r="A45" s="231"/>
      <c r="B45" s="225"/>
      <c r="C45" s="225"/>
      <c r="D45" s="97">
        <f>Yr_Start</f>
        <v>2019</v>
      </c>
      <c r="E45" s="97" t="s">
        <v>34</v>
      </c>
      <c r="F45" s="97" t="s">
        <v>35</v>
      </c>
      <c r="G45" s="225"/>
      <c r="H45" s="97">
        <f>Yr_Start</f>
        <v>2019</v>
      </c>
      <c r="I45" s="97" t="s">
        <v>34</v>
      </c>
      <c r="J45" s="97" t="s">
        <v>35</v>
      </c>
      <c r="K45" s="232"/>
    </row>
    <row r="46" spans="1:18" x14ac:dyDescent="0.25">
      <c r="A46" s="233" t="str">
        <f>'Method-Specific Results'!$B$3</f>
        <v>Implant</v>
      </c>
      <c r="B46" s="1" t="s">
        <v>51</v>
      </c>
      <c r="C46" s="1" t="s">
        <v>52</v>
      </c>
      <c r="D46" s="37">
        <f t="array" aca="1" ref="D46" ca="1">INDEX($A$3:$J$40,MATCH($A46&amp;$C46,$A$3:$A$40&amp;$C$3:$C$40,0),4)</f>
        <v>523576.38821387046</v>
      </c>
      <c r="E46" s="37">
        <f t="array" aca="1" ref="E46" ca="1">INDEX($A$3:$J$40,MATCH($A46&amp;$C46,$A$3:$A$40&amp;$C$3:$C$40,0),5)</f>
        <v>736416.26436867635</v>
      </c>
      <c r="F46" s="37">
        <f t="array" aca="1" ref="F46" ca="1">INDEX($A$3:$J$40,MATCH($A46&amp;$C46,$A$3:$A$40&amp;$C$3:$C$40,0),6)</f>
        <v>683636.09782899322</v>
      </c>
      <c r="G46" s="225"/>
      <c r="H46" s="14">
        <f t="array" aca="1" ref="H46" ca="1">INDEX($A$3:$J$40,MATCH($A46&amp;$C46,$A$3:$A$40&amp;$C$3:$C$40,0),8)</f>
        <v>0.77022233262577022</v>
      </c>
      <c r="I46" s="14">
        <f t="array" aca="1" ref="I46" ca="1">INDEX($A$3:$J$40,MATCH($A46&amp;$C46,$A$3:$A$40&amp;$C$3:$C$40,0),9)</f>
        <v>0.76571155324915219</v>
      </c>
      <c r="J46" s="14">
        <f t="array" aca="1" ref="J46" ca="1">INDEX($A$3:$J$40,MATCH($A46&amp;$C46,$A$3:$A$40&amp;$C$3:$C$40,0),10)</f>
        <v>0.71083174510627167</v>
      </c>
      <c r="K46" s="232"/>
    </row>
    <row r="47" spans="1:18" x14ac:dyDescent="0.25">
      <c r="A47" s="233" t="str">
        <f>'Method-Specific Results'!$B$3</f>
        <v>Implant</v>
      </c>
      <c r="B47" s="1" t="s">
        <v>53</v>
      </c>
      <c r="C47" s="1" t="s">
        <v>54</v>
      </c>
      <c r="D47" s="37">
        <f t="array" aca="1" ref="D47" ca="1">INDEX($A$3:$J$40,MATCH($A47&amp;$C47,$A$3:$A$40&amp;$C$3:$C$40,0),4)</f>
        <v>36383.804117370208</v>
      </c>
      <c r="E47" s="37">
        <f t="array" aca="1" ref="E47" ca="1">INDEX($A$3:$J$40,MATCH($A47&amp;$C47,$A$3:$A$40&amp;$C$3:$C$40,0),5)</f>
        <v>53872.234025067679</v>
      </c>
      <c r="F47" s="37">
        <f t="array" aca="1" ref="F47" ca="1">INDEX($A$3:$J$40,MATCH($A47&amp;$C47,$A$3:$A$40&amp;$C$3:$C$40,0),6)</f>
        <v>48816.800024688506</v>
      </c>
      <c r="G47" s="225"/>
      <c r="H47" s="14">
        <f t="array" aca="1" ref="H47" ca="1">INDEX($A$3:$J$40,MATCH($A47&amp;$C47,$A$3:$A$40&amp;$C$3:$C$40,0),8)</f>
        <v>5.3523457336721793E-2</v>
      </c>
      <c r="I47" s="14">
        <f t="array" aca="1" ref="I47" ca="1">INDEX($A$3:$J$40,MATCH($A47&amp;$C47,$A$3:$A$40&amp;$C$3:$C$40,0),9)</f>
        <v>5.6015319036578033E-2</v>
      </c>
      <c r="J47" s="14">
        <f t="array" aca="1" ref="J47" ca="1">INDEX($A$3:$J$40,MATCH($A47&amp;$C47,$A$3:$A$40&amp;$C$3:$C$40,0),10)</f>
        <v>5.0758775410267042E-2</v>
      </c>
      <c r="K47" s="232"/>
    </row>
    <row r="48" spans="1:18" x14ac:dyDescent="0.25">
      <c r="A48" s="233" t="str">
        <f>'Method-Specific Results'!$B$3</f>
        <v>Implant</v>
      </c>
      <c r="B48" s="1" t="s">
        <v>55</v>
      </c>
      <c r="C48" s="1" t="s">
        <v>56</v>
      </c>
      <c r="D48" s="37">
        <f t="array" aca="1" ref="D48" ca="1">INDEX($A$3:$J$40,MATCH($A48&amp;$C48,$A$3:$A$40&amp;$C$3:$C$40,0),4)</f>
        <v>16408.734211887673</v>
      </c>
      <c r="E48" s="37">
        <f t="array" aca="1" ref="E48" ca="1">INDEX($A$3:$J$40,MATCH($A48&amp;$C48,$A$3:$A$40&amp;$C$3:$C$40,0),5)</f>
        <v>22846.044733036502</v>
      </c>
      <c r="F48" s="37">
        <f t="array" aca="1" ref="F48" ca="1">INDEX($A$3:$J$40,MATCH($A48&amp;$C48,$A$3:$A$40&amp;$C$3:$C$40,0),6)</f>
        <v>24461.679823537248</v>
      </c>
      <c r="G48" s="225"/>
      <c r="H48" s="14">
        <f t="array" aca="1" ref="H48" ca="1">INDEX($A$3:$J$40,MATCH($A48&amp;$C48,$A$3:$A$40&amp;$C$3:$C$40,0),8)</f>
        <v>2.4138547544573154E-2</v>
      </c>
      <c r="I48" s="14">
        <f t="array" aca="1" ref="I48" ca="1">INDEX($A$3:$J$40,MATCH($A48&amp;$C48,$A$3:$A$40&amp;$C$3:$C$40,0),9)</f>
        <v>2.3754880554043727E-2</v>
      </c>
      <c r="J48" s="14">
        <f t="array" aca="1" ref="J48" ca="1">INDEX($A$3:$J$40,MATCH($A48&amp;$C48,$A$3:$A$40&amp;$C$3:$C$40,0),10)</f>
        <v>2.5434787034234956E-2</v>
      </c>
      <c r="K48" s="232"/>
    </row>
    <row r="49" spans="1:11" x14ac:dyDescent="0.25">
      <c r="A49" s="233" t="str">
        <f>'Method-Specific Results'!$B$3</f>
        <v>Implant</v>
      </c>
      <c r="B49" s="1" t="s">
        <v>288</v>
      </c>
      <c r="C49" s="1" t="s">
        <v>57</v>
      </c>
      <c r="D49" s="37">
        <f t="array" aca="1" ref="D49" ca="1">INDEX($A$3:$J$40,MATCH($A49&amp;$C49,$A$3:$A$40&amp;$C$3:$C$40,0),4)</f>
        <v>0</v>
      </c>
      <c r="E49" s="37">
        <f t="array" aca="1" ref="E49" ca="1">INDEX($A$3:$J$40,MATCH($A49&amp;$C49,$A$3:$A$40&amp;$C$3:$C$40,0),5)</f>
        <v>0</v>
      </c>
      <c r="F49" s="37">
        <f t="array" aca="1" ref="F49" ca="1">INDEX($A$3:$J$40,MATCH($A49&amp;$C49,$A$3:$A$40&amp;$C$3:$C$40,0),6)</f>
        <v>0</v>
      </c>
      <c r="G49" s="225"/>
      <c r="H49" s="14">
        <f t="array" aca="1" ref="H49" ca="1">INDEX($A$3:$J$40,MATCH($A49&amp;$C49,$A$3:$A$40&amp;$C$3:$C$40,0),8)</f>
        <v>0</v>
      </c>
      <c r="I49" s="14">
        <f t="array" aca="1" ref="I49" ca="1">INDEX($A$3:$J$40,MATCH($A49&amp;$C49,$A$3:$A$40&amp;$C$3:$C$40,0),9)</f>
        <v>0</v>
      </c>
      <c r="J49" s="14">
        <f t="array" aca="1" ref="J49" ca="1">INDEX($A$3:$J$40,MATCH($A49&amp;$C49,$A$3:$A$40&amp;$C$3:$C$40,0),10)</f>
        <v>0</v>
      </c>
      <c r="K49" s="232"/>
    </row>
    <row r="50" spans="1:11" x14ac:dyDescent="0.25">
      <c r="A50" s="233" t="str">
        <f>'Method-Specific Results'!$B$3</f>
        <v>Implant</v>
      </c>
      <c r="B50" s="1" t="s">
        <v>58</v>
      </c>
      <c r="C50" s="1" t="s">
        <v>59</v>
      </c>
      <c r="D50" s="37">
        <f t="array" aca="1" ref="D50" ca="1">INDEX($A$3:$J$40,MATCH($A50&amp;$C50,$A$3:$A$40&amp;$C$3:$C$40,0),4)</f>
        <v>103404.12863295653</v>
      </c>
      <c r="E50" s="37">
        <f t="array" aca="1" ref="E50" ca="1">INDEX($A$3:$J$40,MATCH($A50&amp;$C50,$A$3:$A$40&amp;$C$3:$C$40,0),5)</f>
        <v>148606.54755395057</v>
      </c>
      <c r="F50" s="37">
        <f t="array" aca="1" ref="F50" ca="1">INDEX($A$3:$J$40,MATCH($A50&amp;$C50,$A$3:$A$40&amp;$C$3:$C$40,0),6)</f>
        <v>204826.51300351229</v>
      </c>
      <c r="G50" s="225"/>
      <c r="H50" s="14">
        <f t="array" aca="1" ref="H50" ca="1">INDEX($A$3:$J$40,MATCH($A50&amp;$C50,$A$3:$A$40&amp;$C$3:$C$40,0),8)</f>
        <v>0.1521156624929349</v>
      </c>
      <c r="I50" s="14">
        <f t="array" aca="1" ref="I50" ca="1">INDEX($A$3:$J$40,MATCH($A50&amp;$C50,$A$3:$A$40&amp;$C$3:$C$40,0),9)</f>
        <v>0.15451824716022602</v>
      </c>
      <c r="J50" s="14">
        <f t="array" aca="1" ref="J50" ca="1">INDEX($A$3:$J$40,MATCH($A50&amp;$C50,$A$3:$A$40&amp;$C$3:$C$40,0),10)</f>
        <v>0.2129746924492264</v>
      </c>
      <c r="K50" s="232"/>
    </row>
    <row r="51" spans="1:11" x14ac:dyDescent="0.25">
      <c r="A51" s="233" t="str">
        <f>'Method-Specific Results'!$B$3</f>
        <v>Implant</v>
      </c>
      <c r="B51" s="1" t="s">
        <v>104</v>
      </c>
      <c r="C51" s="1"/>
      <c r="D51" s="37"/>
      <c r="E51" s="37"/>
      <c r="F51" s="37">
        <f t="array" aca="1" ref="F51" ca="1">INDEX($A$3:$J$40,MATCH($A51&amp;$C51,$A$3:$A$40&amp;$C$3:$C$40,0),6)</f>
        <v>31828.799211743033</v>
      </c>
      <c r="G51" s="225"/>
      <c r="H51" s="151"/>
      <c r="I51" s="151"/>
      <c r="J51" s="14">
        <f t="array" aca="1" ref="J51" ca="1">INDEX($A$3:$J$40,MATCH($A51&amp;$C51,$A$3:$A$40&amp;$C$3:$C$40,0),10)</f>
        <v>3.3094976933151776E-2</v>
      </c>
      <c r="K51" s="232"/>
    </row>
    <row r="52" spans="1:11" x14ac:dyDescent="0.25">
      <c r="A52" s="234"/>
      <c r="B52" s="225"/>
      <c r="C52" s="225"/>
      <c r="D52" s="225"/>
      <c r="E52" s="225"/>
      <c r="F52" s="225"/>
      <c r="G52" s="225"/>
      <c r="H52" s="225"/>
      <c r="I52" s="225"/>
      <c r="J52" s="225"/>
      <c r="K52" s="232"/>
    </row>
    <row r="53" spans="1:11" x14ac:dyDescent="0.25">
      <c r="A53" s="231" t="s">
        <v>62</v>
      </c>
      <c r="B53" s="225"/>
      <c r="C53" s="225"/>
      <c r="D53" s="225"/>
      <c r="E53" s="225"/>
      <c r="F53" s="225"/>
      <c r="G53" s="225"/>
      <c r="H53" s="225"/>
      <c r="I53" s="225"/>
      <c r="J53" s="225"/>
      <c r="K53" s="232"/>
    </row>
    <row r="54" spans="1:11" x14ac:dyDescent="0.25">
      <c r="A54" s="231"/>
      <c r="B54" s="235" t="s">
        <v>63</v>
      </c>
      <c r="C54" s="235" t="s">
        <v>40</v>
      </c>
      <c r="D54" s="225"/>
      <c r="E54" s="225"/>
      <c r="F54" s="225"/>
      <c r="G54" s="225"/>
      <c r="H54" s="225"/>
      <c r="I54" s="225"/>
      <c r="J54" s="225"/>
      <c r="K54" s="232"/>
    </row>
    <row r="55" spans="1:11" x14ac:dyDescent="0.25">
      <c r="A55" s="233" t="str">
        <f>'Method-Specific Results'!B3</f>
        <v>Implant</v>
      </c>
      <c r="B55" s="37">
        <f ca="1">INDEX(Results!$R$54:$X$57,4,MATCH($A55,Results!$R$54:$X$54,0))</f>
        <v>3615458765.5012608</v>
      </c>
      <c r="C55" s="37">
        <f ca="1">INDEX(Results!$R$60:$X$63,4,MATCH($A55,Results!$R$60:$X$60,0))</f>
        <v>1004294.1015281278</v>
      </c>
      <c r="D55" s="225"/>
      <c r="E55" s="225"/>
      <c r="F55" s="225"/>
      <c r="G55" s="225"/>
      <c r="H55" s="225"/>
      <c r="I55" s="225"/>
      <c r="J55" s="225"/>
      <c r="K55" s="232"/>
    </row>
    <row r="56" spans="1:11" ht="15.75" thickBot="1" x14ac:dyDescent="0.3">
      <c r="A56" s="236"/>
      <c r="B56" s="237"/>
      <c r="C56" s="237"/>
      <c r="D56" s="237"/>
      <c r="E56" s="237"/>
      <c r="F56" s="237"/>
      <c r="G56" s="237"/>
      <c r="H56" s="237"/>
      <c r="I56" s="237"/>
      <c r="J56" s="237"/>
      <c r="K56" s="238"/>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X91"/>
  <sheetViews>
    <sheetView topLeftCell="Z40" zoomScale="85" zoomScaleNormal="85" workbookViewId="0">
      <selection activeCell="AG75" sqref="AG75"/>
    </sheetView>
  </sheetViews>
  <sheetFormatPr defaultRowHeight="15" outlineLevelCol="2" x14ac:dyDescent="0.25"/>
  <cols>
    <col min="1" max="2" width="14.28515625" customWidth="1" outlineLevel="1"/>
    <col min="3" max="3" width="13.85546875" style="77" customWidth="1" outlineLevel="2"/>
    <col min="4" max="4" width="13.5703125" customWidth="1"/>
    <col min="5" max="5" width="21.140625" customWidth="1"/>
    <col min="6" max="6" width="22.7109375" bestFit="1" customWidth="1"/>
    <col min="7" max="8" width="18.42578125" bestFit="1" customWidth="1"/>
    <col min="9" max="9" width="19.42578125" bestFit="1" customWidth="1"/>
    <col min="10" max="11" width="19.5703125" customWidth="1"/>
    <col min="12" max="12" width="21" bestFit="1" customWidth="1"/>
    <col min="13" max="13" width="9.7109375" customWidth="1" outlineLevel="1"/>
    <col min="14" max="14" width="9.7109375" customWidth="1"/>
    <col min="15" max="15" width="9.140625" customWidth="1" outlineLevel="1"/>
    <col min="16" max="16" width="12.5703125" customWidth="1"/>
    <col min="17" max="17" width="16.5703125" bestFit="1" customWidth="1"/>
    <col min="18" max="18" width="22.7109375" bestFit="1" customWidth="1"/>
    <col min="19" max="19" width="22.7109375" customWidth="1"/>
    <col min="20" max="20" width="23.140625" bestFit="1" customWidth="1"/>
    <col min="21" max="21" width="19.42578125" bestFit="1" customWidth="1"/>
    <col min="22" max="23" width="20.28515625" customWidth="1"/>
    <col min="24" max="24" width="21" bestFit="1" customWidth="1"/>
    <col min="25" max="25" width="13.7109375" customWidth="1" outlineLevel="1"/>
    <col min="26" max="26" width="13.140625" customWidth="1"/>
    <col min="27" max="28" width="17.140625" customWidth="1" outlineLevel="1"/>
    <col min="29" max="29" width="18.42578125" bestFit="1" customWidth="1"/>
    <col min="30" max="30" width="46.7109375" bestFit="1" customWidth="1"/>
    <col min="31" max="32" width="11.5703125" bestFit="1" customWidth="1"/>
    <col min="33" max="33" width="13.5703125" bestFit="1" customWidth="1"/>
    <col min="34" max="34" width="10.42578125" bestFit="1" customWidth="1"/>
    <col min="35" max="35" width="10.5703125" bestFit="1" customWidth="1"/>
    <col min="36" max="36" width="8.42578125" bestFit="1" customWidth="1"/>
    <col min="37" max="37" width="22.42578125" bestFit="1" customWidth="1"/>
    <col min="38" max="38" width="6" bestFit="1" customWidth="1"/>
    <col min="39" max="39" width="11" bestFit="1" customWidth="1"/>
    <col min="40" max="40" width="13.5703125" bestFit="1" customWidth="1"/>
    <col min="41" max="50" width="6" bestFit="1" customWidth="1"/>
    <col min="51" max="51" width="9.140625" customWidth="1"/>
    <col min="52" max="53" width="17.140625" customWidth="1" outlineLevel="1"/>
    <col min="54" max="54" width="19" bestFit="1" customWidth="1"/>
    <col min="55" max="55" width="46.7109375" bestFit="1" customWidth="1"/>
    <col min="56" max="56" width="19.5703125" bestFit="1" customWidth="1"/>
    <col min="57" max="57" width="12.5703125" bestFit="1" customWidth="1"/>
    <col min="58" max="59" width="14.28515625" bestFit="1" customWidth="1"/>
    <col min="60" max="60" width="18.42578125" customWidth="1"/>
    <col min="61" max="61" width="22.42578125" bestFit="1" customWidth="1"/>
    <col min="62" max="62" width="6" bestFit="1" customWidth="1"/>
    <col min="63" max="63" width="11" bestFit="1" customWidth="1"/>
    <col min="64" max="64" width="13.5703125" bestFit="1" customWidth="1"/>
    <col min="65" max="76" width="6" bestFit="1" customWidth="1"/>
  </cols>
  <sheetData>
    <row r="1" spans="1:76" x14ac:dyDescent="0.25">
      <c r="D1" s="6" t="s">
        <v>64</v>
      </c>
      <c r="E1" s="6"/>
      <c r="P1" s="6" t="s">
        <v>65</v>
      </c>
      <c r="Q1" s="6"/>
      <c r="AC1" s="6" t="s">
        <v>47</v>
      </c>
      <c r="BB1" s="6" t="s">
        <v>66</v>
      </c>
    </row>
    <row r="2" spans="1:76" ht="15.75" thickBot="1" x14ac:dyDescent="0.3">
      <c r="A2" t="s">
        <v>67</v>
      </c>
      <c r="D2" s="3" t="s">
        <v>68</v>
      </c>
      <c r="E2" s="3"/>
      <c r="O2" t="s">
        <v>69</v>
      </c>
      <c r="P2" s="3" t="s">
        <v>68</v>
      </c>
      <c r="Q2" s="3"/>
      <c r="AA2" t="s">
        <v>67</v>
      </c>
      <c r="AC2" t="s">
        <v>34</v>
      </c>
      <c r="AZ2" t="s">
        <v>67</v>
      </c>
      <c r="BB2" t="s">
        <v>34</v>
      </c>
    </row>
    <row r="3" spans="1:76" ht="15.75" thickBot="1" x14ac:dyDescent="0.3">
      <c r="D3" s="49" t="s">
        <v>70</v>
      </c>
      <c r="E3" s="67" t="s">
        <v>71</v>
      </c>
      <c r="F3" s="9" t="s">
        <v>50</v>
      </c>
      <c r="G3" s="9" t="s">
        <v>12</v>
      </c>
      <c r="H3" s="9" t="s">
        <v>16</v>
      </c>
      <c r="I3" s="9" t="s">
        <v>23</v>
      </c>
      <c r="J3" s="9" t="s">
        <v>22</v>
      </c>
      <c r="K3" s="9" t="s">
        <v>25</v>
      </c>
      <c r="L3" s="10" t="s">
        <v>60</v>
      </c>
      <c r="P3" s="49" t="s">
        <v>70</v>
      </c>
      <c r="Q3" s="67" t="s">
        <v>71</v>
      </c>
      <c r="R3" s="9" t="s">
        <v>50</v>
      </c>
      <c r="S3" s="9" t="s">
        <v>12</v>
      </c>
      <c r="T3" s="9" t="s">
        <v>16</v>
      </c>
      <c r="U3" s="9" t="s">
        <v>23</v>
      </c>
      <c r="V3" s="9" t="s">
        <v>22</v>
      </c>
      <c r="W3" s="9" t="s">
        <v>25</v>
      </c>
      <c r="X3" s="10" t="s">
        <v>60</v>
      </c>
      <c r="AC3" s="9" t="s">
        <v>49</v>
      </c>
      <c r="AD3" s="9" t="s">
        <v>50</v>
      </c>
      <c r="AE3" s="9">
        <f>Yr_Start</f>
        <v>2019</v>
      </c>
      <c r="AF3" s="9">
        <f>AE3+1</f>
        <v>2020</v>
      </c>
      <c r="AG3" s="9">
        <f t="shared" ref="AG3:AX3" si="0">AF3+1</f>
        <v>2021</v>
      </c>
      <c r="AH3" s="9">
        <f t="shared" si="0"/>
        <v>2022</v>
      </c>
      <c r="AI3" s="9">
        <f t="shared" si="0"/>
        <v>2023</v>
      </c>
      <c r="AJ3" s="9">
        <f t="shared" si="0"/>
        <v>2024</v>
      </c>
      <c r="AK3" s="9">
        <f t="shared" si="0"/>
        <v>2025</v>
      </c>
      <c r="AL3" s="9">
        <f t="shared" si="0"/>
        <v>2026</v>
      </c>
      <c r="AM3" s="9">
        <f t="shared" si="0"/>
        <v>2027</v>
      </c>
      <c r="AN3" s="9">
        <f t="shared" si="0"/>
        <v>2028</v>
      </c>
      <c r="AO3" s="9">
        <f t="shared" si="0"/>
        <v>2029</v>
      </c>
      <c r="AP3" s="9">
        <f t="shared" si="0"/>
        <v>2030</v>
      </c>
      <c r="AQ3" s="9">
        <f t="shared" si="0"/>
        <v>2031</v>
      </c>
      <c r="AR3" s="9">
        <f t="shared" si="0"/>
        <v>2032</v>
      </c>
      <c r="AS3" s="9">
        <f t="shared" si="0"/>
        <v>2033</v>
      </c>
      <c r="AT3" s="9">
        <f t="shared" si="0"/>
        <v>2034</v>
      </c>
      <c r="AU3" s="9">
        <f t="shared" si="0"/>
        <v>2035</v>
      </c>
      <c r="AV3" s="9">
        <f t="shared" si="0"/>
        <v>2036</v>
      </c>
      <c r="AW3" s="9">
        <f t="shared" si="0"/>
        <v>2037</v>
      </c>
      <c r="AX3" s="9">
        <f t="shared" si="0"/>
        <v>2038</v>
      </c>
      <c r="BB3" s="9" t="s">
        <v>49</v>
      </c>
      <c r="BC3" s="9" t="s">
        <v>50</v>
      </c>
      <c r="BD3" s="148" t="str">
        <f>Yr_Start&amp;" - "&amp;Yr_End</f>
        <v>2019 - 2022</v>
      </c>
      <c r="BE3" s="9">
        <f>Yr_Start</f>
        <v>2019</v>
      </c>
      <c r="BF3" s="9">
        <f>BE3+1</f>
        <v>2020</v>
      </c>
      <c r="BG3" s="9">
        <f t="shared" ref="BG3:BX3" si="1">BF3+1</f>
        <v>2021</v>
      </c>
      <c r="BH3" s="9">
        <f t="shared" si="1"/>
        <v>2022</v>
      </c>
      <c r="BI3" s="9">
        <f t="shared" si="1"/>
        <v>2023</v>
      </c>
      <c r="BJ3" s="9">
        <f t="shared" si="1"/>
        <v>2024</v>
      </c>
      <c r="BK3" s="9">
        <f t="shared" si="1"/>
        <v>2025</v>
      </c>
      <c r="BL3" s="9">
        <f t="shared" si="1"/>
        <v>2026</v>
      </c>
      <c r="BM3" s="9">
        <f t="shared" si="1"/>
        <v>2027</v>
      </c>
      <c r="BN3" s="9">
        <f t="shared" si="1"/>
        <v>2028</v>
      </c>
      <c r="BO3" s="9">
        <f t="shared" si="1"/>
        <v>2029</v>
      </c>
      <c r="BP3" s="9">
        <f t="shared" si="1"/>
        <v>2030</v>
      </c>
      <c r="BQ3" s="9">
        <f t="shared" si="1"/>
        <v>2031</v>
      </c>
      <c r="BR3" s="9">
        <f t="shared" si="1"/>
        <v>2032</v>
      </c>
      <c r="BS3" s="9">
        <f t="shared" si="1"/>
        <v>2033</v>
      </c>
      <c r="BT3" s="9">
        <f t="shared" si="1"/>
        <v>2034</v>
      </c>
      <c r="BU3" s="9">
        <f t="shared" si="1"/>
        <v>2035</v>
      </c>
      <c r="BV3" s="9">
        <f t="shared" si="1"/>
        <v>2036</v>
      </c>
      <c r="BW3" s="9">
        <f t="shared" si="1"/>
        <v>2037</v>
      </c>
      <c r="BX3" s="9">
        <f t="shared" si="1"/>
        <v>2038</v>
      </c>
    </row>
    <row r="4" spans="1:76" x14ac:dyDescent="0.25">
      <c r="A4" t="s">
        <v>72</v>
      </c>
      <c r="B4">
        <f t="shared" ref="B4:B9" si="2">Yr_Start</f>
        <v>2019</v>
      </c>
      <c r="C4" s="77" t="s">
        <v>52</v>
      </c>
      <c r="D4" s="71">
        <f>Yr_Start</f>
        <v>2019</v>
      </c>
      <c r="E4" s="181" t="s">
        <v>73</v>
      </c>
      <c r="F4" s="47" t="s">
        <v>51</v>
      </c>
      <c r="G4" s="185">
        <f ca="1">INDEX(INDIRECT(G$3&amp;"_"&amp;$A$2&amp;"!"&amp;$A$4),MATCH($C4,INDIRECT(G$3&amp;"_"&amp;$A$2&amp;"!"&amp;$A$5),0),MATCH($B4,INDIRECT(G$3&amp;"_"&amp;$A$2&amp;"!"&amp;$A$6),0))</f>
        <v>2566.2241513336935</v>
      </c>
      <c r="H4" s="178">
        <f ca="1">INDEX(INDIRECT(H$3&amp;"_"&amp;$A$2&amp;"!"&amp;$A$4),MATCH($C4,INDIRECT(H$3&amp;"_"&amp;$A$2&amp;"!"&amp;$A$5),0),MATCH($B4,INDIRECT(H$3&amp;"_"&amp;$A$2&amp;"!"&amp;$A$6),0))</f>
        <v>61553.697875113146</v>
      </c>
      <c r="I4" s="178">
        <f t="shared" ref="I4:K4" ca="1" si="3">INDEX(INDIRECT(I$3&amp;"_"&amp;$A$2&amp;"!"&amp;$A$4),MATCH($C4,INDIRECT(I$3&amp;"_"&amp;$A$2&amp;"!"&amp;$A$5),0),MATCH($B4,INDIRECT(I$3&amp;"_"&amp;$A$2&amp;"!"&amp;$A$6),0))</f>
        <v>195342.93244423246</v>
      </c>
      <c r="J4" s="178">
        <f t="shared" ca="1" si="3"/>
        <v>392193.09137986804</v>
      </c>
      <c r="K4" s="178">
        <f t="shared" ca="1" si="3"/>
        <v>75819.710722534408</v>
      </c>
      <c r="L4" s="179">
        <f ca="1">SUM(G4:K4)</f>
        <v>727475.65657308185</v>
      </c>
      <c r="P4" s="71">
        <f>Yr_Start</f>
        <v>2019</v>
      </c>
      <c r="Q4" s="68" t="s">
        <v>73</v>
      </c>
      <c r="R4" s="47" t="s">
        <v>51</v>
      </c>
      <c r="S4" s="178">
        <f ca="1">INDEX(INDIRECT(S$3&amp;"_"&amp;$O$2&amp;"!"&amp;$A$4),MATCH($C4,INDIRECT(S$3&amp;"_"&amp;$O$2&amp;"!"&amp;$A$5),0),MATCH($B4,INDIRECT(S$3&amp;"_"&amp;$O$2&amp;"!"&amp;$A$6),0))</f>
        <v>2566.2241513336935</v>
      </c>
      <c r="T4" s="178">
        <f t="shared" ref="T4:W4" ca="1" si="4">INDEX(INDIRECT(T$3&amp;"_"&amp;$O$2&amp;"!"&amp;$A$4),MATCH($C4,INDIRECT(T$3&amp;"_"&amp;$O$2&amp;"!"&amp;$A$5),0),MATCH($B4,INDIRECT(T$3&amp;"_"&amp;$O$2&amp;"!"&amp;$A$6),0))</f>
        <v>61553.697875113146</v>
      </c>
      <c r="U4" s="178">
        <f t="shared" ca="1" si="4"/>
        <v>195342.93244423246</v>
      </c>
      <c r="V4" s="178">
        <f t="shared" ca="1" si="4"/>
        <v>392193.09137986804</v>
      </c>
      <c r="W4" s="178">
        <f t="shared" ca="1" si="4"/>
        <v>75819.710722534408</v>
      </c>
      <c r="X4" s="179">
        <f ca="1">SUM(S4:W4)</f>
        <v>727475.65657308185</v>
      </c>
      <c r="AA4" t="s">
        <v>74</v>
      </c>
      <c r="AB4" t="str">
        <f>AC4&amp;AD4</f>
        <v>PillPub_Med</v>
      </c>
      <c r="AC4" s="1" t="s">
        <v>12</v>
      </c>
      <c r="AD4" s="1" t="s">
        <v>52</v>
      </c>
      <c r="AE4" s="37">
        <f ca="1">INDEX(INDIRECT($AC4&amp;"_"&amp;$AA$2&amp;"!"&amp;$AA$4),MATCH($AD4,INDIRECT($AC4&amp;"_"&amp;$AA$2&amp;"!"&amp;$AA$5),0),MATCH(AE$3,INDIRECT($AC4&amp;"_"&amp;$AA$2&amp;"!"&amp;$AA$6),0))</f>
        <v>2566.2241513336935</v>
      </c>
      <c r="AF4" s="37">
        <f t="shared" ref="AE4:AN13" ca="1" si="5">INDEX(INDIRECT($AC4&amp;"_"&amp;$AA$2&amp;"!"&amp;$AA$4),MATCH($AD4,INDIRECT($AC4&amp;"_"&amp;$AA$2&amp;"!"&amp;$AA$5),0),MATCH(AF$3,INDIRECT($AC4&amp;"_"&amp;$AA$2&amp;"!"&amp;$AA$6),0))</f>
        <v>1776.2166532081926</v>
      </c>
      <c r="AG4" s="37">
        <f t="shared" ca="1" si="5"/>
        <v>920.69073877413439</v>
      </c>
      <c r="AH4" s="37">
        <f t="shared" ca="1" si="5"/>
        <v>0</v>
      </c>
      <c r="AI4" s="37">
        <f t="shared" ca="1" si="5"/>
        <v>0</v>
      </c>
      <c r="AJ4" s="37">
        <f t="shared" ca="1" si="5"/>
        <v>0</v>
      </c>
      <c r="AK4" s="37">
        <f t="shared" ca="1" si="5"/>
        <v>0</v>
      </c>
      <c r="AL4" s="37">
        <f t="shared" ca="1" si="5"/>
        <v>0</v>
      </c>
      <c r="AM4" s="37">
        <f t="shared" ca="1" si="5"/>
        <v>0</v>
      </c>
      <c r="AN4" s="37">
        <f t="shared" ca="1" si="5"/>
        <v>0</v>
      </c>
      <c r="AO4" s="37">
        <f t="shared" ref="AO4:AX13" ca="1" si="6">INDEX(INDIRECT($AC4&amp;"_"&amp;$AA$2&amp;"!"&amp;$AA$4),MATCH($AD4,INDIRECT($AC4&amp;"_"&amp;$AA$2&amp;"!"&amp;$AA$5),0),MATCH(AO$3,INDIRECT($AC4&amp;"_"&amp;$AA$2&amp;"!"&amp;$AA$6),0))</f>
        <v>0</v>
      </c>
      <c r="AP4" s="37">
        <f t="shared" ca="1" si="6"/>
        <v>0</v>
      </c>
      <c r="AQ4" s="37">
        <f t="shared" ca="1" si="6"/>
        <v>0</v>
      </c>
      <c r="AR4" s="37">
        <f t="shared" ca="1" si="6"/>
        <v>0</v>
      </c>
      <c r="AS4" s="37">
        <f t="shared" ca="1" si="6"/>
        <v>0</v>
      </c>
      <c r="AT4" s="37">
        <f t="shared" ca="1" si="6"/>
        <v>0</v>
      </c>
      <c r="AU4" s="37">
        <f t="shared" ca="1" si="6"/>
        <v>0</v>
      </c>
      <c r="AV4" s="37" t="e">
        <f t="shared" ca="1" si="6"/>
        <v>#N/A</v>
      </c>
      <c r="AW4" s="37" t="e">
        <f t="shared" ca="1" si="6"/>
        <v>#N/A</v>
      </c>
      <c r="AX4" s="37" t="e">
        <f t="shared" ca="1" si="6"/>
        <v>#N/A</v>
      </c>
      <c r="AZ4" t="s">
        <v>75</v>
      </c>
      <c r="BA4" t="str">
        <f>BB4&amp;BC4</f>
        <v>PillPub_Med</v>
      </c>
      <c r="BB4" s="1" t="s">
        <v>12</v>
      </c>
      <c r="BC4" s="1" t="s">
        <v>52</v>
      </c>
      <c r="BD4" s="149">
        <f t="shared" ref="BD4:BD33" ca="1" si="7">SUMIFS($BE4:$BX4,$BE$3:$BX$3,"&gt;="&amp;Yr_Start,$BE$3:$BX$3,"&lt;="&amp;Yr_End)</f>
        <v>68420.710063108258</v>
      </c>
      <c r="BE4" s="37">
        <f ca="1">INDEX(INDIRECT($BB4&amp;"_"&amp;$AZ$2&amp;"!"&amp;$AZ$4),MATCH($BC4,INDIRECT($BB4&amp;"_"&amp;$AZ$2&amp;"!"&amp;$AZ$5),0),MATCH(BE$3,INDIRECT($BB4&amp;"_"&amp;$AZ$2&amp;"!"&amp;$AZ$6),0))</f>
        <v>33360.913967338012</v>
      </c>
      <c r="BF4" s="37">
        <f t="shared" ref="BE4:BN13" ca="1" si="8">INDEX(INDIRECT($BB4&amp;"_"&amp;$AZ$2&amp;"!"&amp;$AZ$4),MATCH($BC4,INDIRECT($BB4&amp;"_"&amp;$AZ$2&amp;"!"&amp;$AZ$5),0),MATCH(BF$3,INDIRECT($BB4&amp;"_"&amp;$AZ$2&amp;"!"&amp;$AZ$6),0))</f>
        <v>23090.816491706504</v>
      </c>
      <c r="BG4" s="37">
        <f t="shared" ca="1" si="8"/>
        <v>11968.979604063747</v>
      </c>
      <c r="BH4" s="37">
        <f t="shared" ca="1" si="8"/>
        <v>0</v>
      </c>
      <c r="BI4" s="37">
        <f t="shared" ca="1" si="8"/>
        <v>0</v>
      </c>
      <c r="BJ4" s="37">
        <f t="shared" ca="1" si="8"/>
        <v>0</v>
      </c>
      <c r="BK4" s="37">
        <f t="shared" ca="1" si="8"/>
        <v>0</v>
      </c>
      <c r="BL4" s="37">
        <f t="shared" ca="1" si="8"/>
        <v>0</v>
      </c>
      <c r="BM4" s="37">
        <f t="shared" ca="1" si="8"/>
        <v>0</v>
      </c>
      <c r="BN4" s="37">
        <f t="shared" ca="1" si="8"/>
        <v>0</v>
      </c>
      <c r="BO4" s="37">
        <f t="shared" ref="BO4:BX13" ca="1" si="9">INDEX(INDIRECT($BB4&amp;"_"&amp;$AZ$2&amp;"!"&amp;$AZ$4),MATCH($BC4,INDIRECT($BB4&amp;"_"&amp;$AZ$2&amp;"!"&amp;$AZ$5),0),MATCH(BO$3,INDIRECT($BB4&amp;"_"&amp;$AZ$2&amp;"!"&amp;$AZ$6),0))</f>
        <v>0</v>
      </c>
      <c r="BP4" s="37">
        <f t="shared" ca="1" si="9"/>
        <v>0</v>
      </c>
      <c r="BQ4" s="37">
        <f t="shared" ca="1" si="9"/>
        <v>0</v>
      </c>
      <c r="BR4" s="37">
        <f t="shared" ca="1" si="9"/>
        <v>0</v>
      </c>
      <c r="BS4" s="37">
        <f t="shared" ca="1" si="9"/>
        <v>0</v>
      </c>
      <c r="BT4" s="37">
        <f t="shared" ca="1" si="9"/>
        <v>0</v>
      </c>
      <c r="BU4" s="37">
        <f t="shared" ca="1" si="9"/>
        <v>0</v>
      </c>
      <c r="BV4" s="37" t="e">
        <f t="shared" ca="1" si="9"/>
        <v>#N/A</v>
      </c>
      <c r="BW4" s="37" t="e">
        <f t="shared" ca="1" si="9"/>
        <v>#N/A</v>
      </c>
      <c r="BX4" s="37" t="e">
        <f t="shared" ca="1" si="9"/>
        <v>#N/A</v>
      </c>
    </row>
    <row r="5" spans="1:76" x14ac:dyDescent="0.25">
      <c r="A5" t="s">
        <v>76</v>
      </c>
      <c r="B5">
        <f t="shared" si="2"/>
        <v>2019</v>
      </c>
      <c r="C5" s="77" t="s">
        <v>54</v>
      </c>
      <c r="D5" s="72"/>
      <c r="E5" s="182" t="s">
        <v>73</v>
      </c>
      <c r="F5" s="1" t="s">
        <v>53</v>
      </c>
      <c r="G5" s="186">
        <f t="shared" ref="G5:K8" ca="1" si="10">INDEX(INDIRECT(G$3&amp;"_"&amp;$A$2&amp;"!"&amp;$A$4),MATCH($C5,INDIRECT(G$3&amp;"_"&amp;$A$2&amp;"!"&amp;$A$5),0),MATCH($B5,INDIRECT(G$3&amp;"_"&amp;$A$2&amp;"!"&amp;$A$6),0))</f>
        <v>0</v>
      </c>
      <c r="H5" s="37">
        <f ca="1">INDEX(INDIRECT(H$3&amp;"_"&amp;$A$2&amp;"!"&amp;$A$4),MATCH($C5,INDIRECT(H$3&amp;"_"&amp;$A$2&amp;"!"&amp;$A$5),0),MATCH($B5,INDIRECT(H$3&amp;"_"&amp;$A$2&amp;"!"&amp;$A$6),0))</f>
        <v>6211.6171871646638</v>
      </c>
      <c r="I5" s="37">
        <f t="shared" ca="1" si="10"/>
        <v>15712.214620166627</v>
      </c>
      <c r="J5" s="37">
        <f t="shared" ca="1" si="10"/>
        <v>22720.312007238903</v>
      </c>
      <c r="K5" s="37">
        <f t="shared" ca="1" si="10"/>
        <v>16299.717335487419</v>
      </c>
      <c r="L5" s="46">
        <f ca="1">SUM(G5:K5)</f>
        <v>60943.861150057615</v>
      </c>
      <c r="P5" s="72"/>
      <c r="Q5" s="69" t="s">
        <v>73</v>
      </c>
      <c r="R5" s="74" t="s">
        <v>53</v>
      </c>
      <c r="S5" s="37">
        <f t="shared" ref="S5:W8" ca="1" si="11">INDEX(INDIRECT(S$3&amp;"_"&amp;$O$2&amp;"!"&amp;$A$4),MATCH($C5,INDIRECT(S$3&amp;"_"&amp;$O$2&amp;"!"&amp;$A$5),0),MATCH($B5,INDIRECT(S$3&amp;"_"&amp;$O$2&amp;"!"&amp;$A$6),0))</f>
        <v>0</v>
      </c>
      <c r="T5" s="37">
        <f t="shared" ca="1" si="11"/>
        <v>6211.6171871646638</v>
      </c>
      <c r="U5" s="37">
        <f t="shared" ca="1" si="11"/>
        <v>15712.214620166627</v>
      </c>
      <c r="V5" s="37">
        <f t="shared" ca="1" si="11"/>
        <v>22720.312007238903</v>
      </c>
      <c r="W5" s="37">
        <f t="shared" ca="1" si="11"/>
        <v>16299.717335487419</v>
      </c>
      <c r="X5" s="46">
        <f ca="1">SUM(S5:W5)</f>
        <v>60943.861150057615</v>
      </c>
      <c r="AA5" t="s">
        <v>77</v>
      </c>
      <c r="AB5" t="str">
        <f t="shared" ref="AB5:AB33" si="12">AC5&amp;AD5</f>
        <v>PillPub_Outreach</v>
      </c>
      <c r="AC5" s="1" t="s">
        <v>12</v>
      </c>
      <c r="AD5" s="1" t="s">
        <v>54</v>
      </c>
      <c r="AE5" s="37">
        <f t="shared" ca="1" si="5"/>
        <v>2919.5819403029254</v>
      </c>
      <c r="AF5" s="37">
        <f t="shared" ca="1" si="5"/>
        <v>3410.0896745047157</v>
      </c>
      <c r="AG5" s="37">
        <f t="shared" ca="1" si="5"/>
        <v>3927.996779040312</v>
      </c>
      <c r="AH5" s="37">
        <f t="shared" ca="1" si="5"/>
        <v>4479.3001215354807</v>
      </c>
      <c r="AI5" s="37">
        <f t="shared" ca="1" si="5"/>
        <v>5064.9283122425695</v>
      </c>
      <c r="AJ5" s="37">
        <f t="shared" ca="1" si="5"/>
        <v>5685.5222079050627</v>
      </c>
      <c r="AK5" s="37">
        <f t="shared" ca="1" si="5"/>
        <v>6341.8909745759956</v>
      </c>
      <c r="AL5" s="37">
        <f t="shared" ca="1" si="5"/>
        <v>7030.3344048110393</v>
      </c>
      <c r="AM5" s="37">
        <f t="shared" ca="1" si="5"/>
        <v>7756.757419483517</v>
      </c>
      <c r="AN5" s="37">
        <f t="shared" ca="1" si="5"/>
        <v>8522.5073588585019</v>
      </c>
      <c r="AO5" s="37">
        <f t="shared" ca="1" si="6"/>
        <v>9329.3563537341961</v>
      </c>
      <c r="AP5" s="37">
        <f t="shared" ca="1" si="6"/>
        <v>10178.873039949345</v>
      </c>
      <c r="AQ5" s="37">
        <f t="shared" ca="1" si="6"/>
        <v>11065.940918388103</v>
      </c>
      <c r="AR5" s="37">
        <f t="shared" ca="1" si="6"/>
        <v>11998.452968406165</v>
      </c>
      <c r="AS5" s="37">
        <f t="shared" ca="1" si="6"/>
        <v>12977.122495939526</v>
      </c>
      <c r="AT5" s="37">
        <f t="shared" ca="1" si="6"/>
        <v>14002.417165374234</v>
      </c>
      <c r="AU5" s="37">
        <f t="shared" ca="1" si="6"/>
        <v>15074.958682209293</v>
      </c>
      <c r="AV5" s="37" t="e">
        <f t="shared" ca="1" si="6"/>
        <v>#N/A</v>
      </c>
      <c r="AW5" s="37" t="e">
        <f t="shared" ca="1" si="6"/>
        <v>#N/A</v>
      </c>
      <c r="AX5" s="37" t="e">
        <f t="shared" ca="1" si="6"/>
        <v>#N/A</v>
      </c>
      <c r="AZ5" t="s">
        <v>78</v>
      </c>
      <c r="BA5" t="str">
        <f t="shared" ref="BA5:BA33" si="13">BB5&amp;BC5</f>
        <v>PillPub_Outreach</v>
      </c>
      <c r="BB5" s="1" t="s">
        <v>12</v>
      </c>
      <c r="BC5" s="1" t="s">
        <v>54</v>
      </c>
      <c r="BD5" s="149">
        <f t="shared" ca="1" si="7"/>
        <v>191580.59069998463</v>
      </c>
      <c r="BE5" s="37">
        <f t="shared" ca="1" si="8"/>
        <v>37954.565223938029</v>
      </c>
      <c r="BF5" s="37">
        <f t="shared" ca="1" si="8"/>
        <v>44331.165768561303</v>
      </c>
      <c r="BG5" s="37">
        <f t="shared" ca="1" si="8"/>
        <v>51063.958127524056</v>
      </c>
      <c r="BH5" s="37">
        <f t="shared" ca="1" si="8"/>
        <v>58230.901579961246</v>
      </c>
      <c r="BI5" s="37">
        <f t="shared" ca="1" si="8"/>
        <v>65844.068059153404</v>
      </c>
      <c r="BJ5" s="37">
        <f t="shared" ca="1" si="8"/>
        <v>73911.788702765814</v>
      </c>
      <c r="BK5" s="37">
        <f t="shared" ca="1" si="8"/>
        <v>82444.582669487951</v>
      </c>
      <c r="BL5" s="37">
        <f t="shared" ca="1" si="8"/>
        <v>91394.34726254351</v>
      </c>
      <c r="BM5" s="37">
        <f t="shared" ca="1" si="8"/>
        <v>100837.84645328572</v>
      </c>
      <c r="BN5" s="37">
        <f t="shared" ca="1" si="8"/>
        <v>110792.59566516052</v>
      </c>
      <c r="BO5" s="37">
        <f t="shared" ca="1" si="9"/>
        <v>121281.63259854454</v>
      </c>
      <c r="BP5" s="37">
        <f t="shared" ca="1" si="9"/>
        <v>132325.34951934149</v>
      </c>
      <c r="BQ5" s="37">
        <f t="shared" ca="1" si="9"/>
        <v>143857.23193904533</v>
      </c>
      <c r="BR5" s="37">
        <f t="shared" ca="1" si="9"/>
        <v>155979.88858928016</v>
      </c>
      <c r="BS5" s="37">
        <f t="shared" ca="1" si="9"/>
        <v>168702.59244721383</v>
      </c>
      <c r="BT5" s="37">
        <f t="shared" ca="1" si="9"/>
        <v>182031.42314986503</v>
      </c>
      <c r="BU5" s="37">
        <f t="shared" ca="1" si="9"/>
        <v>195974.46286872082</v>
      </c>
      <c r="BV5" s="37" t="e">
        <f t="shared" ca="1" si="9"/>
        <v>#N/A</v>
      </c>
      <c r="BW5" s="37" t="e">
        <f t="shared" ca="1" si="9"/>
        <v>#N/A</v>
      </c>
      <c r="BX5" s="37" t="e">
        <f t="shared" ca="1" si="9"/>
        <v>#N/A</v>
      </c>
    </row>
    <row r="6" spans="1:76" x14ac:dyDescent="0.25">
      <c r="A6" t="s">
        <v>79</v>
      </c>
      <c r="B6">
        <f t="shared" si="2"/>
        <v>2019</v>
      </c>
      <c r="C6" s="77" t="s">
        <v>56</v>
      </c>
      <c r="D6" s="72"/>
      <c r="E6" s="182" t="s">
        <v>55</v>
      </c>
      <c r="F6" s="1" t="s">
        <v>80</v>
      </c>
      <c r="G6" s="186">
        <f ca="1">INDEX(INDIRECT(G$3&amp;"_"&amp;$A$2&amp;"!"&amp;$A$4),MATCH($C6,INDIRECT(G$3&amp;"_"&amp;$A$2&amp;"!"&amp;$A$5),0),MATCH($B6,INDIRECT(G$3&amp;"_"&amp;$A$2&amp;"!"&amp;$A$6),0))</f>
        <v>52430.488411973522</v>
      </c>
      <c r="H6" s="37">
        <f t="shared" ca="1" si="10"/>
        <v>32963.967749029565</v>
      </c>
      <c r="I6" s="37">
        <f t="shared" ca="1" si="10"/>
        <v>8140.2469392787834</v>
      </c>
      <c r="J6" s="37">
        <f t="shared" ca="1" si="10"/>
        <v>370854.83391392021</v>
      </c>
      <c r="K6" s="37">
        <f t="shared" ca="1" si="10"/>
        <v>87181.861676454151</v>
      </c>
      <c r="L6" s="46">
        <f t="shared" ref="L6:L8" ca="1" si="14">SUM(G6:K6)</f>
        <v>551571.39869065629</v>
      </c>
      <c r="P6" s="72"/>
      <c r="Q6" s="69" t="s">
        <v>55</v>
      </c>
      <c r="R6" s="74" t="s">
        <v>80</v>
      </c>
      <c r="S6" s="37">
        <f t="shared" ca="1" si="11"/>
        <v>52430.488411973522</v>
      </c>
      <c r="T6" s="37">
        <f t="shared" ca="1" si="11"/>
        <v>32963.967749029565</v>
      </c>
      <c r="U6" s="37">
        <f t="shared" ca="1" si="11"/>
        <v>8140.2469392787834</v>
      </c>
      <c r="V6" s="37">
        <f t="shared" ca="1" si="11"/>
        <v>370854.83391392021</v>
      </c>
      <c r="W6" s="37">
        <f t="shared" ca="1" si="11"/>
        <v>87181.861676454151</v>
      </c>
      <c r="X6" s="46">
        <f t="shared" ref="X6:X8" ca="1" si="15">SUM(S6:W6)</f>
        <v>551571.39869065629</v>
      </c>
      <c r="AA6" t="s">
        <v>81</v>
      </c>
      <c r="AB6" t="str">
        <f t="shared" si="12"/>
        <v>PillSM_Med</v>
      </c>
      <c r="AC6" s="1" t="s">
        <v>12</v>
      </c>
      <c r="AD6" s="1" t="s">
        <v>56</v>
      </c>
      <c r="AE6" s="37">
        <f t="shared" ca="1" si="5"/>
        <v>90801.879423553677</v>
      </c>
      <c r="AF6" s="37">
        <f t="shared" ca="1" si="5"/>
        <v>92880.461755739263</v>
      </c>
      <c r="AG6" s="37">
        <f t="shared" ca="1" si="5"/>
        <v>94844.353591800216</v>
      </c>
      <c r="AH6" s="37">
        <f t="shared" ca="1" si="5"/>
        <v>96827.001903716213</v>
      </c>
      <c r="AI6" s="37">
        <f t="shared" ca="1" si="5"/>
        <v>100157.04771504624</v>
      </c>
      <c r="AJ6" s="37">
        <f t="shared" ca="1" si="5"/>
        <v>103567.88076155618</v>
      </c>
      <c r="AK6" s="37">
        <f t="shared" ca="1" si="5"/>
        <v>107052.20286336011</v>
      </c>
      <c r="AL6" s="37">
        <f t="shared" ca="1" si="5"/>
        <v>110533.65890846474</v>
      </c>
      <c r="AM6" s="37">
        <f t="shared" ca="1" si="5"/>
        <v>114096.71765788068</v>
      </c>
      <c r="AN6" s="37">
        <f t="shared" ca="1" si="5"/>
        <v>117742.33181390165</v>
      </c>
      <c r="AO6" s="37">
        <f t="shared" ca="1" si="6"/>
        <v>121476.62784770846</v>
      </c>
      <c r="AP6" s="37">
        <f t="shared" ca="1" si="6"/>
        <v>125301.75590831431</v>
      </c>
      <c r="AQ6" s="37">
        <f t="shared" ca="1" si="6"/>
        <v>130014.58019962374</v>
      </c>
      <c r="AR6" s="37">
        <f t="shared" ca="1" si="6"/>
        <v>135842.41581874172</v>
      </c>
      <c r="AS6" s="37">
        <f t="shared" ca="1" si="6"/>
        <v>141880.20093397959</v>
      </c>
      <c r="AT6" s="37">
        <f t="shared" ca="1" si="6"/>
        <v>148122.19506359962</v>
      </c>
      <c r="AU6" s="37">
        <f t="shared" ca="1" si="6"/>
        <v>154565.41004229983</v>
      </c>
      <c r="AV6" s="37" t="e">
        <f t="shared" ca="1" si="6"/>
        <v>#N/A</v>
      </c>
      <c r="AW6" s="37" t="e">
        <f t="shared" ca="1" si="6"/>
        <v>#N/A</v>
      </c>
      <c r="AX6" s="37" t="e">
        <f t="shared" ca="1" si="6"/>
        <v>#N/A</v>
      </c>
      <c r="AZ6" t="s">
        <v>82</v>
      </c>
      <c r="BA6" t="str">
        <f t="shared" si="13"/>
        <v>PillSM_Med</v>
      </c>
      <c r="BB6" s="1" t="s">
        <v>12</v>
      </c>
      <c r="BC6" s="1" t="s">
        <v>56</v>
      </c>
      <c r="BD6" s="149">
        <f t="shared" ca="1" si="7"/>
        <v>4879598.0567725226</v>
      </c>
      <c r="BE6" s="37">
        <f t="shared" ca="1" si="8"/>
        <v>1180424.4325061976</v>
      </c>
      <c r="BF6" s="37">
        <f t="shared" ca="1" si="8"/>
        <v>1207446.0028246106</v>
      </c>
      <c r="BG6" s="37">
        <f t="shared" ca="1" si="8"/>
        <v>1232976.5966934029</v>
      </c>
      <c r="BH6" s="37">
        <f t="shared" ca="1" si="8"/>
        <v>1258751.0247483109</v>
      </c>
      <c r="BI6" s="37">
        <f t="shared" ca="1" si="8"/>
        <v>1302041.6202956014</v>
      </c>
      <c r="BJ6" s="37">
        <f t="shared" ca="1" si="8"/>
        <v>1346382.4499002304</v>
      </c>
      <c r="BK6" s="37">
        <f t="shared" ca="1" si="8"/>
        <v>1391678.6372236814</v>
      </c>
      <c r="BL6" s="37">
        <f t="shared" ca="1" si="8"/>
        <v>1436937.5658100415</v>
      </c>
      <c r="BM6" s="37">
        <f t="shared" ca="1" si="8"/>
        <v>1483257.3295524488</v>
      </c>
      <c r="BN6" s="37">
        <f t="shared" ca="1" si="8"/>
        <v>1530650.3135807214</v>
      </c>
      <c r="BO6" s="37">
        <f t="shared" ca="1" si="9"/>
        <v>1579196.1620202099</v>
      </c>
      <c r="BP6" s="37">
        <f t="shared" ca="1" si="9"/>
        <v>1628922.8268080861</v>
      </c>
      <c r="BQ6" s="37">
        <f t="shared" ca="1" si="9"/>
        <v>1690189.5425951087</v>
      </c>
      <c r="BR6" s="37">
        <f t="shared" ca="1" si="9"/>
        <v>1765951.4056436422</v>
      </c>
      <c r="BS6" s="37">
        <f t="shared" ca="1" si="9"/>
        <v>1844442.6121417349</v>
      </c>
      <c r="BT6" s="37">
        <f t="shared" ca="1" si="9"/>
        <v>1925588.5358267948</v>
      </c>
      <c r="BU6" s="37">
        <f t="shared" ca="1" si="9"/>
        <v>2009350.3305498979</v>
      </c>
      <c r="BV6" s="37" t="e">
        <f t="shared" ca="1" si="9"/>
        <v>#N/A</v>
      </c>
      <c r="BW6" s="37" t="e">
        <f t="shared" ca="1" si="9"/>
        <v>#N/A</v>
      </c>
      <c r="BX6" s="37" t="e">
        <f t="shared" ca="1" si="9"/>
        <v>#N/A</v>
      </c>
    </row>
    <row r="7" spans="1:76" x14ac:dyDescent="0.25">
      <c r="B7">
        <f t="shared" si="2"/>
        <v>2019</v>
      </c>
      <c r="C7" s="77" t="s">
        <v>57</v>
      </c>
      <c r="D7" s="72"/>
      <c r="E7" s="182" t="s">
        <v>55</v>
      </c>
      <c r="F7" s="1" t="s">
        <v>83</v>
      </c>
      <c r="G7" s="186">
        <f t="shared" ca="1" si="10"/>
        <v>0</v>
      </c>
      <c r="H7" s="37">
        <f t="shared" ca="1" si="10"/>
        <v>0</v>
      </c>
      <c r="I7" s="37">
        <f t="shared" ca="1" si="10"/>
        <v>0</v>
      </c>
      <c r="J7" s="37">
        <f t="shared" ca="1" si="10"/>
        <v>0</v>
      </c>
      <c r="K7" s="37">
        <f t="shared" ca="1" si="10"/>
        <v>4307.4675617125949</v>
      </c>
      <c r="L7" s="46">
        <f t="shared" ca="1" si="14"/>
        <v>4307.4675617125949</v>
      </c>
      <c r="P7" s="72"/>
      <c r="Q7" s="69" t="s">
        <v>55</v>
      </c>
      <c r="R7" s="74" t="s">
        <v>83</v>
      </c>
      <c r="S7" s="37">
        <f t="shared" ca="1" si="11"/>
        <v>0</v>
      </c>
      <c r="T7" s="37">
        <f t="shared" ca="1" si="11"/>
        <v>0</v>
      </c>
      <c r="U7" s="37">
        <f t="shared" ca="1" si="11"/>
        <v>0</v>
      </c>
      <c r="V7" s="37">
        <f t="shared" ca="1" si="11"/>
        <v>0</v>
      </c>
      <c r="W7" s="37">
        <f t="shared" ca="1" si="11"/>
        <v>4307.4675617125949</v>
      </c>
      <c r="X7" s="46">
        <f t="shared" ca="1" si="15"/>
        <v>4307.4675617125949</v>
      </c>
      <c r="AB7" t="str">
        <f t="shared" si="12"/>
        <v>PillSM_Nontrad</v>
      </c>
      <c r="AC7" s="1" t="s">
        <v>12</v>
      </c>
      <c r="AD7" s="1" t="s">
        <v>57</v>
      </c>
      <c r="AE7" s="37">
        <f t="shared" ca="1" si="5"/>
        <v>0</v>
      </c>
      <c r="AF7" s="37">
        <f t="shared" ca="1" si="5"/>
        <v>0</v>
      </c>
      <c r="AG7" s="37">
        <f t="shared" ca="1" si="5"/>
        <v>0</v>
      </c>
      <c r="AH7" s="37">
        <f t="shared" ca="1" si="5"/>
        <v>0</v>
      </c>
      <c r="AI7" s="37">
        <f t="shared" ca="1" si="5"/>
        <v>0</v>
      </c>
      <c r="AJ7" s="37">
        <f t="shared" ca="1" si="5"/>
        <v>0</v>
      </c>
      <c r="AK7" s="37">
        <f t="shared" ca="1" si="5"/>
        <v>0</v>
      </c>
      <c r="AL7" s="37">
        <f t="shared" ca="1" si="5"/>
        <v>0</v>
      </c>
      <c r="AM7" s="37">
        <f t="shared" ca="1" si="5"/>
        <v>0</v>
      </c>
      <c r="AN7" s="37">
        <f t="shared" ca="1" si="5"/>
        <v>0</v>
      </c>
      <c r="AO7" s="37">
        <f t="shared" ca="1" si="6"/>
        <v>0</v>
      </c>
      <c r="AP7" s="37">
        <f t="shared" ca="1" si="6"/>
        <v>0</v>
      </c>
      <c r="AQ7" s="37">
        <f t="shared" ca="1" si="6"/>
        <v>0</v>
      </c>
      <c r="AR7" s="37">
        <f t="shared" ca="1" si="6"/>
        <v>0</v>
      </c>
      <c r="AS7" s="37">
        <f t="shared" ca="1" si="6"/>
        <v>0</v>
      </c>
      <c r="AT7" s="37">
        <f t="shared" ca="1" si="6"/>
        <v>0</v>
      </c>
      <c r="AU7" s="37">
        <f t="shared" ca="1" si="6"/>
        <v>0</v>
      </c>
      <c r="AV7" s="37" t="e">
        <f t="shared" ca="1" si="6"/>
        <v>#N/A</v>
      </c>
      <c r="AW7" s="37" t="e">
        <f t="shared" ca="1" si="6"/>
        <v>#N/A</v>
      </c>
      <c r="AX7" s="37" t="e">
        <f t="shared" ca="1" si="6"/>
        <v>#N/A</v>
      </c>
      <c r="BA7" t="str">
        <f t="shared" si="13"/>
        <v>PillSM_Nontrad</v>
      </c>
      <c r="BB7" s="1" t="s">
        <v>12</v>
      </c>
      <c r="BC7" s="1" t="s">
        <v>57</v>
      </c>
      <c r="BD7" s="149">
        <f t="shared" ca="1" si="7"/>
        <v>0</v>
      </c>
      <c r="BE7" s="37">
        <f t="shared" ca="1" si="8"/>
        <v>0</v>
      </c>
      <c r="BF7" s="37">
        <f t="shared" ca="1" si="8"/>
        <v>0</v>
      </c>
      <c r="BG7" s="37">
        <f t="shared" ca="1" si="8"/>
        <v>0</v>
      </c>
      <c r="BH7" s="37">
        <f t="shared" ca="1" si="8"/>
        <v>0</v>
      </c>
      <c r="BI7" s="37">
        <f t="shared" ca="1" si="8"/>
        <v>0</v>
      </c>
      <c r="BJ7" s="37">
        <f t="shared" ca="1" si="8"/>
        <v>0</v>
      </c>
      <c r="BK7" s="37">
        <f t="shared" ca="1" si="8"/>
        <v>0</v>
      </c>
      <c r="BL7" s="37">
        <f t="shared" ca="1" si="8"/>
        <v>0</v>
      </c>
      <c r="BM7" s="37">
        <f t="shared" ca="1" si="8"/>
        <v>0</v>
      </c>
      <c r="BN7" s="37">
        <f t="shared" ca="1" si="8"/>
        <v>0</v>
      </c>
      <c r="BO7" s="37">
        <f t="shared" ca="1" si="9"/>
        <v>0</v>
      </c>
      <c r="BP7" s="37">
        <f t="shared" ca="1" si="9"/>
        <v>0</v>
      </c>
      <c r="BQ7" s="37">
        <f t="shared" ca="1" si="9"/>
        <v>0</v>
      </c>
      <c r="BR7" s="37">
        <f t="shared" ca="1" si="9"/>
        <v>0</v>
      </c>
      <c r="BS7" s="37">
        <f t="shared" ca="1" si="9"/>
        <v>0</v>
      </c>
      <c r="BT7" s="37">
        <f t="shared" ca="1" si="9"/>
        <v>0</v>
      </c>
      <c r="BU7" s="37">
        <f t="shared" ca="1" si="9"/>
        <v>0</v>
      </c>
      <c r="BV7" s="37" t="e">
        <f t="shared" ca="1" si="9"/>
        <v>#N/A</v>
      </c>
      <c r="BW7" s="37" t="e">
        <f t="shared" ca="1" si="9"/>
        <v>#N/A</v>
      </c>
      <c r="BX7" s="37" t="e">
        <f t="shared" ca="1" si="9"/>
        <v>#N/A</v>
      </c>
    </row>
    <row r="8" spans="1:76" x14ac:dyDescent="0.25">
      <c r="B8">
        <f t="shared" si="2"/>
        <v>2019</v>
      </c>
      <c r="C8" s="77" t="s">
        <v>59</v>
      </c>
      <c r="D8" s="72"/>
      <c r="E8" s="182" t="s">
        <v>59</v>
      </c>
      <c r="F8" s="1" t="s">
        <v>80</v>
      </c>
      <c r="G8" s="186">
        <f ca="1">INDEX(INDIRECT(G$3&amp;"_"&amp;$A$2&amp;"!"&amp;$A$4),MATCH($C8,INDIRECT(G$3&amp;"_"&amp;$A$2&amp;"!"&amp;$A$5),0),MATCH($B8,INDIRECT(G$3&amp;"_"&amp;$A$2&amp;"!"&amp;$A$6),0))</f>
        <v>12920.490082730967</v>
      </c>
      <c r="H8" s="37">
        <f t="shared" ca="1" si="10"/>
        <v>0</v>
      </c>
      <c r="I8" s="37">
        <f t="shared" ca="1" si="10"/>
        <v>54430.265679466422</v>
      </c>
      <c r="J8" s="37">
        <f t="shared" ca="1" si="10"/>
        <v>0</v>
      </c>
      <c r="K8" s="37">
        <f t="shared" ca="1" si="10"/>
        <v>9423.1636952202462</v>
      </c>
      <c r="L8" s="46">
        <f t="shared" ca="1" si="14"/>
        <v>76773.919457417622</v>
      </c>
      <c r="P8" s="72"/>
      <c r="Q8" s="69" t="s">
        <v>59</v>
      </c>
      <c r="R8" s="1" t="s">
        <v>80</v>
      </c>
      <c r="S8" s="37">
        <f t="shared" ca="1" si="11"/>
        <v>12920.490082730967</v>
      </c>
      <c r="T8" s="37">
        <f t="shared" ca="1" si="11"/>
        <v>0</v>
      </c>
      <c r="U8" s="37">
        <f t="shared" ca="1" si="11"/>
        <v>54430.265679466422</v>
      </c>
      <c r="V8" s="37">
        <f t="shared" ca="1" si="11"/>
        <v>0</v>
      </c>
      <c r="W8" s="37">
        <f t="shared" ca="1" si="11"/>
        <v>9423.1636952202462</v>
      </c>
      <c r="X8" s="46">
        <f t="shared" ca="1" si="15"/>
        <v>76773.919457417622</v>
      </c>
      <c r="AB8" t="str">
        <f t="shared" si="12"/>
        <v>PillCommercial</v>
      </c>
      <c r="AC8" s="1" t="s">
        <v>12</v>
      </c>
      <c r="AD8" s="1" t="s">
        <v>59</v>
      </c>
      <c r="AE8" s="37">
        <f t="shared" ca="1" si="5"/>
        <v>22334.71692988513</v>
      </c>
      <c r="AF8" s="37">
        <f t="shared" ca="1" si="5"/>
        <v>22792.913770378706</v>
      </c>
      <c r="AG8" s="37">
        <f t="shared" ca="1" si="5"/>
        <v>23219.005509152485</v>
      </c>
      <c r="AH8" s="37">
        <f t="shared" ca="1" si="5"/>
        <v>23645.602626888554</v>
      </c>
      <c r="AI8" s="37">
        <f t="shared" ca="1" si="5"/>
        <v>24404.749047096251</v>
      </c>
      <c r="AJ8" s="37">
        <f t="shared" ca="1" si="5"/>
        <v>25179.711919883994</v>
      </c>
      <c r="AK8" s="37">
        <f t="shared" ca="1" si="5"/>
        <v>25968.565331366</v>
      </c>
      <c r="AL8" s="37">
        <f t="shared" ca="1" si="5"/>
        <v>26752.684049944502</v>
      </c>
      <c r="AM8" s="37">
        <f t="shared" ca="1" si="5"/>
        <v>27552.445522261129</v>
      </c>
      <c r="AN8" s="37">
        <f t="shared" ca="1" si="5"/>
        <v>28367.919134776905</v>
      </c>
      <c r="AO8" s="37">
        <f t="shared" ca="1" si="6"/>
        <v>29200.414500206178</v>
      </c>
      <c r="AP8" s="37">
        <f t="shared" ca="1" si="6"/>
        <v>30050.272643712658</v>
      </c>
      <c r="AQ8" s="37">
        <f t="shared" ca="1" si="6"/>
        <v>31117.350589727168</v>
      </c>
      <c r="AR8" s="37">
        <f t="shared" ca="1" si="6"/>
        <v>32457.488313323425</v>
      </c>
      <c r="AS8" s="37">
        <f t="shared" ca="1" si="6"/>
        <v>33844.330996616605</v>
      </c>
      <c r="AT8" s="37">
        <f t="shared" ca="1" si="6"/>
        <v>35276.384932148125</v>
      </c>
      <c r="AU8" s="37">
        <f t="shared" ca="1" si="6"/>
        <v>36752.825193946679</v>
      </c>
      <c r="AV8" s="37" t="e">
        <f t="shared" ca="1" si="6"/>
        <v>#N/A</v>
      </c>
      <c r="AW8" s="37" t="e">
        <f t="shared" ca="1" si="6"/>
        <v>#N/A</v>
      </c>
      <c r="AX8" s="37" t="e">
        <f t="shared" ca="1" si="6"/>
        <v>#N/A</v>
      </c>
      <c r="BA8" t="str">
        <f t="shared" si="13"/>
        <v>PillCommercial</v>
      </c>
      <c r="BB8" s="1" t="s">
        <v>12</v>
      </c>
      <c r="BC8" s="1" t="s">
        <v>59</v>
      </c>
      <c r="BD8" s="149">
        <f t="shared" ca="1" si="7"/>
        <v>1195899.1048719634</v>
      </c>
      <c r="BE8" s="37">
        <f t="shared" ca="1" si="8"/>
        <v>290351.32008850668</v>
      </c>
      <c r="BF8" s="37">
        <f t="shared" ca="1" si="8"/>
        <v>296307.87901492318</v>
      </c>
      <c r="BG8" s="37">
        <f t="shared" ca="1" si="8"/>
        <v>301847.07161898224</v>
      </c>
      <c r="BH8" s="37">
        <f t="shared" ca="1" si="8"/>
        <v>307392.83414955123</v>
      </c>
      <c r="BI8" s="37">
        <f t="shared" ca="1" si="8"/>
        <v>317261.73761225125</v>
      </c>
      <c r="BJ8" s="37">
        <f t="shared" ca="1" si="8"/>
        <v>327336.25495849189</v>
      </c>
      <c r="BK8" s="37">
        <f t="shared" ca="1" si="8"/>
        <v>337591.34930775804</v>
      </c>
      <c r="BL8" s="37">
        <f t="shared" ca="1" si="8"/>
        <v>347784.89264927851</v>
      </c>
      <c r="BM8" s="37">
        <f t="shared" ca="1" si="8"/>
        <v>358181.79178939469</v>
      </c>
      <c r="BN8" s="37">
        <f t="shared" ca="1" si="8"/>
        <v>368782.94875209976</v>
      </c>
      <c r="BO8" s="37">
        <f t="shared" ca="1" si="9"/>
        <v>379605.38850268035</v>
      </c>
      <c r="BP8" s="37">
        <f t="shared" ca="1" si="9"/>
        <v>390653.54436826456</v>
      </c>
      <c r="BQ8" s="37">
        <f t="shared" ca="1" si="9"/>
        <v>404525.55766645318</v>
      </c>
      <c r="BR8" s="37">
        <f t="shared" ca="1" si="9"/>
        <v>421947.34807320451</v>
      </c>
      <c r="BS8" s="37">
        <f t="shared" ca="1" si="9"/>
        <v>439976.3029560158</v>
      </c>
      <c r="BT8" s="37">
        <f t="shared" ca="1" si="9"/>
        <v>458593.00411792559</v>
      </c>
      <c r="BU8" s="37">
        <f t="shared" ca="1" si="9"/>
        <v>477786.72752130684</v>
      </c>
      <c r="BV8" s="37" t="e">
        <f t="shared" ca="1" si="9"/>
        <v>#N/A</v>
      </c>
      <c r="BW8" s="37" t="e">
        <f t="shared" ca="1" si="9"/>
        <v>#N/A</v>
      </c>
      <c r="BX8" s="37" t="e">
        <f t="shared" ca="1" si="9"/>
        <v>#N/A</v>
      </c>
    </row>
    <row r="9" spans="1:76" ht="15.75" thickBot="1" x14ac:dyDescent="0.3">
      <c r="B9">
        <f t="shared" si="2"/>
        <v>2019</v>
      </c>
      <c r="C9" s="77" t="s">
        <v>60</v>
      </c>
      <c r="D9" s="73"/>
      <c r="E9" s="183"/>
      <c r="F9" s="48" t="s">
        <v>60</v>
      </c>
      <c r="G9" s="187">
        <f ca="1">SUM(G4:G8)</f>
        <v>67917.202646038175</v>
      </c>
      <c r="H9" s="180">
        <f ca="1">SUM(H4:H8)</f>
        <v>100729.28281130738</v>
      </c>
      <c r="I9" s="180">
        <f ca="1">SUM(I4:I8)</f>
        <v>273625.6596831443</v>
      </c>
      <c r="J9" s="180">
        <f ca="1">SUM(J4:J8)</f>
        <v>785768.23730102717</v>
      </c>
      <c r="K9" s="180">
        <f ca="1">SUM(K4:K8)</f>
        <v>193031.92099140884</v>
      </c>
      <c r="L9" s="82">
        <f ca="1">SUM(G9:K9)</f>
        <v>1421072.3034329258</v>
      </c>
      <c r="P9" s="73"/>
      <c r="Q9" s="70"/>
      <c r="R9" s="48" t="s">
        <v>60</v>
      </c>
      <c r="S9" s="180">
        <f ca="1">SUM(S4:S8)</f>
        <v>67917.202646038175</v>
      </c>
      <c r="T9" s="180">
        <f ca="1">SUM(T4:T8)</f>
        <v>100729.28281130738</v>
      </c>
      <c r="U9" s="180">
        <f ca="1">SUM(U4:U8)</f>
        <v>273625.6596831443</v>
      </c>
      <c r="V9" s="180">
        <f ca="1">SUM(V4:V8)</f>
        <v>785768.23730102717</v>
      </c>
      <c r="W9" s="180">
        <f ca="1">SUM(W4:W8)</f>
        <v>193031.92099140884</v>
      </c>
      <c r="X9" s="82">
        <f ca="1">SUM(S9:W9)</f>
        <v>1421072.3034329258</v>
      </c>
      <c r="AB9" t="str">
        <f t="shared" si="12"/>
        <v>IUDPub_Med</v>
      </c>
      <c r="AC9" s="1" t="s">
        <v>16</v>
      </c>
      <c r="AD9" s="1" t="s">
        <v>52</v>
      </c>
      <c r="AE9" s="37">
        <f t="shared" ca="1" si="5"/>
        <v>118068.7717598865</v>
      </c>
      <c r="AF9" s="37">
        <f t="shared" ca="1" si="5"/>
        <v>136161.83563409076</v>
      </c>
      <c r="AG9" s="37">
        <f t="shared" ca="1" si="5"/>
        <v>155235.03002389803</v>
      </c>
      <c r="AH9" s="37">
        <f t="shared" ca="1" si="5"/>
        <v>175523.85026089079</v>
      </c>
      <c r="AI9" s="37">
        <f t="shared" ca="1" si="5"/>
        <v>197059.74565789668</v>
      </c>
      <c r="AJ9" s="37">
        <f t="shared" ca="1" si="5"/>
        <v>219863.60146394884</v>
      </c>
      <c r="AK9" s="37">
        <f t="shared" ca="1" si="5"/>
        <v>243963.37262175226</v>
      </c>
      <c r="AL9" s="37">
        <f t="shared" ca="1" si="5"/>
        <v>269214.61406262638</v>
      </c>
      <c r="AM9" s="37">
        <f t="shared" ca="1" si="5"/>
        <v>295842.17744820565</v>
      </c>
      <c r="AN9" s="37">
        <f t="shared" ca="1" si="5"/>
        <v>323894.5943146575</v>
      </c>
      <c r="AO9" s="37">
        <f t="shared" ca="1" si="6"/>
        <v>353436.43500213069</v>
      </c>
      <c r="AP9" s="37">
        <f t="shared" ca="1" si="6"/>
        <v>384524.35975244432</v>
      </c>
      <c r="AQ9" s="37">
        <f t="shared" ca="1" si="6"/>
        <v>416963.04568825901</v>
      </c>
      <c r="AR9" s="37">
        <f t="shared" ca="1" si="6"/>
        <v>451048.50128322002</v>
      </c>
      <c r="AS9" s="37">
        <f t="shared" ca="1" si="6"/>
        <v>486805.0202833846</v>
      </c>
      <c r="AT9" s="37">
        <f t="shared" ca="1" si="6"/>
        <v>524247.9206730841</v>
      </c>
      <c r="AU9" s="37">
        <f t="shared" ca="1" si="6"/>
        <v>563398.51791986171</v>
      </c>
      <c r="AV9" s="37" t="e">
        <f t="shared" ca="1" si="6"/>
        <v>#N/A</v>
      </c>
      <c r="AW9" s="37" t="e">
        <f t="shared" ca="1" si="6"/>
        <v>#N/A</v>
      </c>
      <c r="AX9" s="37" t="e">
        <f t="shared" ca="1" si="6"/>
        <v>#N/A</v>
      </c>
      <c r="BA9" t="str">
        <f t="shared" si="13"/>
        <v>IUDPub_Med</v>
      </c>
      <c r="BB9" s="1" t="s">
        <v>16</v>
      </c>
      <c r="BC9" s="1" t="s">
        <v>52</v>
      </c>
      <c r="BD9" s="149">
        <f ca="1">SUMIFS($BE9:$BX9,$BE$3:$BX$3,"&gt;="&amp;Yr_Start,$BE$3:$BX$3,"&lt;="&amp;Yr_End)</f>
        <v>185415.35224722259</v>
      </c>
      <c r="BE9" s="37">
        <f ca="1">INDEX(INDIRECT($BB9&amp;"_"&amp;$AZ$2&amp;"!"&amp;$AZ$4),MATCH($BC9,INDIRECT($BB9&amp;"_"&amp;$AZ$2&amp;"!"&amp;$AZ$5),0),MATCH(BE$3,INDIRECT($BB9&amp;"_"&amp;$AZ$2&amp;"!"&amp;$AZ$6),0))</f>
        <v>38946.004742332334</v>
      </c>
      <c r="BF9" s="37">
        <f t="shared" ca="1" si="8"/>
        <v>43760.188169831781</v>
      </c>
      <c r="BG9" s="37">
        <f t="shared" ca="1" si="8"/>
        <v>48673.593440696553</v>
      </c>
      <c r="BH9" s="37">
        <f t="shared" ca="1" si="8"/>
        <v>54035.565894361898</v>
      </c>
      <c r="BI9" s="37">
        <f t="shared" ca="1" si="8"/>
        <v>59693.254149373475</v>
      </c>
      <c r="BJ9" s="37">
        <f t="shared" ca="1" si="8"/>
        <v>65642.930949073183</v>
      </c>
      <c r="BK9" s="37">
        <f t="shared" ca="1" si="8"/>
        <v>71896.20625866187</v>
      </c>
      <c r="BL9" s="37">
        <f t="shared" ca="1" si="8"/>
        <v>78286.757228211602</v>
      </c>
      <c r="BM9" s="37">
        <f t="shared" ca="1" si="8"/>
        <v>85152.479486150172</v>
      </c>
      <c r="BN9" s="37">
        <f t="shared" ca="1" si="8"/>
        <v>92365.933703018352</v>
      </c>
      <c r="BO9" s="37">
        <f t="shared" ca="1" si="9"/>
        <v>99953.709016746579</v>
      </c>
      <c r="BP9" s="37">
        <f t="shared" ca="1" si="9"/>
        <v>107921.93235947246</v>
      </c>
      <c r="BQ9" s="37">
        <f t="shared" ca="1" si="9"/>
        <v>116030.93805591128</v>
      </c>
      <c r="BR9" s="37">
        <f t="shared" ca="1" si="9"/>
        <v>124729.59596197381</v>
      </c>
      <c r="BS9" s="37">
        <f t="shared" ca="1" si="9"/>
        <v>133810.5410182559</v>
      </c>
      <c r="BT9" s="37">
        <f t="shared" ca="1" si="9"/>
        <v>143270.07871217444</v>
      </c>
      <c r="BU9" s="37">
        <f t="shared" ca="1" si="9"/>
        <v>153117.53652353497</v>
      </c>
      <c r="BV9" s="37" t="e">
        <f t="shared" ca="1" si="9"/>
        <v>#N/A</v>
      </c>
      <c r="BW9" s="37" t="e">
        <f t="shared" ca="1" si="9"/>
        <v>#N/A</v>
      </c>
      <c r="BX9" s="37" t="e">
        <f t="shared" ca="1" si="9"/>
        <v>#N/A</v>
      </c>
    </row>
    <row r="10" spans="1:76" x14ac:dyDescent="0.25">
      <c r="B10">
        <f t="shared" ref="B10:B15" si="16">Yr_End</f>
        <v>2022</v>
      </c>
      <c r="C10" s="77" t="s">
        <v>52</v>
      </c>
      <c r="D10" s="72">
        <f>Yr_End</f>
        <v>2022</v>
      </c>
      <c r="E10" s="182" t="s">
        <v>73</v>
      </c>
      <c r="F10" s="81" t="s">
        <v>51</v>
      </c>
      <c r="G10" s="177">
        <f ca="1">INDEX(INDIRECT(G$3&amp;"_"&amp;$A$2&amp;"!"&amp;$A$4),MATCH($C10,INDIRECT(G$3&amp;"_"&amp;$A$2&amp;"!"&amp;$A$5),0),MATCH($B10,INDIRECT(G$3&amp;"_"&amp;$A$2&amp;"!"&amp;$A$6),0))</f>
        <v>0</v>
      </c>
      <c r="H10" s="177">
        <f t="shared" ref="H10:K10" ca="1" si="17">INDEX(INDIRECT(H$3&amp;"_"&amp;$A$2&amp;"!"&amp;$A$4),MATCH($C10,INDIRECT(H$3&amp;"_"&amp;$A$2&amp;"!"&amp;$A$5),0),MATCH($B10,INDIRECT(H$3&amp;"_"&amp;$A$2&amp;"!"&amp;$A$6),0))</f>
        <v>91385.982454448327</v>
      </c>
      <c r="I10" s="177">
        <f t="shared" ca="1" si="17"/>
        <v>271511.12862326176</v>
      </c>
      <c r="J10" s="177">
        <f t="shared" ca="1" si="17"/>
        <v>529967.09817234834</v>
      </c>
      <c r="K10" s="177">
        <f t="shared" ca="1" si="17"/>
        <v>98170.623476306762</v>
      </c>
      <c r="L10" s="184">
        <f ca="1">SUM(G10:K10)</f>
        <v>991034.83272636519</v>
      </c>
      <c r="P10" s="71">
        <f>Yr_End</f>
        <v>2022</v>
      </c>
      <c r="Q10" s="68" t="s">
        <v>73</v>
      </c>
      <c r="R10" s="47" t="s">
        <v>51</v>
      </c>
      <c r="S10" s="178">
        <f ca="1">INDEX(INDIRECT(S$3&amp;"_"&amp;$O$2&amp;"!"&amp;$A$4),MATCH($C10,INDIRECT(S$3&amp;"_"&amp;$O$2&amp;"!"&amp;$A$5),0),MATCH($B10,INDIRECT(S$3&amp;"_"&amp;$O$2&amp;"!"&amp;$A$6),0))</f>
        <v>0</v>
      </c>
      <c r="T10" s="178">
        <f t="shared" ref="T10:W10" ca="1" si="18">INDEX(INDIRECT(T$3&amp;"_"&amp;$O$2&amp;"!"&amp;$A$4),MATCH($C10,INDIRECT(T$3&amp;"_"&amp;$O$2&amp;"!"&amp;$A$5),0),MATCH($B10,INDIRECT(T$3&amp;"_"&amp;$O$2&amp;"!"&amp;$A$6),0))</f>
        <v>71703.864433599723</v>
      </c>
      <c r="U10" s="178">
        <f t="shared" ca="1" si="18"/>
        <v>218730.96208357855</v>
      </c>
      <c r="V10" s="178">
        <f t="shared" ca="1" si="18"/>
        <v>434386.00472989638</v>
      </c>
      <c r="W10" s="178">
        <f t="shared" ca="1" si="18"/>
        <v>79552.416722659851</v>
      </c>
      <c r="X10" s="179">
        <f ca="1">SUM(S10:W10)</f>
        <v>804373.24796973448</v>
      </c>
      <c r="Z10" s="7">
        <f ca="1">S14-G14</f>
        <v>20858.228016754976</v>
      </c>
      <c r="AB10" t="str">
        <f t="shared" si="12"/>
        <v>IUDPub_Outreach</v>
      </c>
      <c r="AC10" s="1" t="s">
        <v>16</v>
      </c>
      <c r="AD10" s="1" t="s">
        <v>54</v>
      </c>
      <c r="AE10" s="37">
        <f t="shared" ca="1" si="5"/>
        <v>6397.6521070781291</v>
      </c>
      <c r="AF10" s="37">
        <f t="shared" ca="1" si="5"/>
        <v>7383.9715070774409</v>
      </c>
      <c r="AG10" s="37">
        <f t="shared" ca="1" si="5"/>
        <v>8423.8353381916768</v>
      </c>
      <c r="AH10" s="37">
        <f t="shared" ca="1" si="5"/>
        <v>9530.0279938406748</v>
      </c>
      <c r="AI10" s="37">
        <f t="shared" ca="1" si="5"/>
        <v>10775.993412542664</v>
      </c>
      <c r="AJ10" s="37">
        <f t="shared" ca="1" si="5"/>
        <v>12096.350842944719</v>
      </c>
      <c r="AK10" s="37">
        <f t="shared" ca="1" si="5"/>
        <v>13492.821843086682</v>
      </c>
      <c r="AL10" s="37">
        <f t="shared" ca="1" si="5"/>
        <v>14957.533959779288</v>
      </c>
      <c r="AM10" s="37">
        <f t="shared" ca="1" si="5"/>
        <v>16503.050330052276</v>
      </c>
      <c r="AN10" s="37">
        <f t="shared" ca="1" si="5"/>
        <v>18132.237515666402</v>
      </c>
      <c r="AO10" s="37">
        <f t="shared" ca="1" si="6"/>
        <v>19848.865850302693</v>
      </c>
      <c r="AP10" s="37">
        <f t="shared" ca="1" si="6"/>
        <v>21656.272717715252</v>
      </c>
      <c r="AQ10" s="37">
        <f t="shared" ca="1" si="6"/>
        <v>23543.57240395738</v>
      </c>
      <c r="AR10" s="37">
        <f t="shared" ca="1" si="6"/>
        <v>25527.557781168387</v>
      </c>
      <c r="AS10" s="37">
        <f t="shared" ca="1" si="6"/>
        <v>27609.746458205409</v>
      </c>
      <c r="AT10" s="37">
        <f t="shared" ca="1" si="6"/>
        <v>29791.133424144835</v>
      </c>
      <c r="AU10" s="37">
        <f t="shared" ca="1" si="6"/>
        <v>32073.041401431841</v>
      </c>
      <c r="AV10" s="37" t="e">
        <f t="shared" ca="1" si="6"/>
        <v>#N/A</v>
      </c>
      <c r="AW10" s="37" t="e">
        <f t="shared" ca="1" si="6"/>
        <v>#N/A</v>
      </c>
      <c r="AX10" s="37" t="e">
        <f t="shared" ca="1" si="6"/>
        <v>#N/A</v>
      </c>
      <c r="BA10" t="str">
        <f t="shared" si="13"/>
        <v>IUDPub_Outreach</v>
      </c>
      <c r="BB10" s="1" t="s">
        <v>16</v>
      </c>
      <c r="BC10" s="1" t="s">
        <v>54</v>
      </c>
      <c r="BD10" s="149">
        <f t="shared" ca="1" si="7"/>
        <v>9845.5302899270373</v>
      </c>
      <c r="BE10" s="37">
        <f t="shared" ca="1" si="8"/>
        <v>1699.845797958146</v>
      </c>
      <c r="BF10" s="37">
        <f t="shared" ca="1" si="8"/>
        <v>2434.3838524477851</v>
      </c>
      <c r="BG10" s="37">
        <f t="shared" ca="1" si="8"/>
        <v>2707.0952126653087</v>
      </c>
      <c r="BH10" s="37">
        <f t="shared" ca="1" si="8"/>
        <v>3004.2054268557972</v>
      </c>
      <c r="BI10" s="37">
        <f t="shared" ca="1" si="8"/>
        <v>3317.7106347543104</v>
      </c>
      <c r="BJ10" s="37">
        <f t="shared" ca="1" si="8"/>
        <v>3662.9646939982863</v>
      </c>
      <c r="BK10" s="37">
        <f t="shared" ca="1" si="8"/>
        <v>4026.112487738641</v>
      </c>
      <c r="BL10" s="37">
        <f t="shared" ca="1" si="8"/>
        <v>4397.9342564940589</v>
      </c>
      <c r="BM10" s="37">
        <f t="shared" ca="1" si="8"/>
        <v>4797.1541876163119</v>
      </c>
      <c r="BN10" s="37">
        <f t="shared" ca="1" si="8"/>
        <v>5216.8068225820125</v>
      </c>
      <c r="BO10" s="37">
        <f t="shared" ca="1" si="9"/>
        <v>5658.4190989115959</v>
      </c>
      <c r="BP10" s="37">
        <f t="shared" ca="1" si="9"/>
        <v>6122.3777044348844</v>
      </c>
      <c r="BQ10" s="37">
        <f t="shared" ca="1" si="9"/>
        <v>6595.1850596584873</v>
      </c>
      <c r="BR10" s="37">
        <f t="shared" ca="1" si="9"/>
        <v>7102.153291114786</v>
      </c>
      <c r="BS10" s="37">
        <f t="shared" ca="1" si="9"/>
        <v>7631.6577598997155</v>
      </c>
      <c r="BT10" s="37">
        <f t="shared" ca="1" si="9"/>
        <v>8183.5057612014716</v>
      </c>
      <c r="BU10" s="37">
        <f t="shared" ca="1" si="9"/>
        <v>8758.2413303619705</v>
      </c>
      <c r="BV10" s="37" t="e">
        <f t="shared" ca="1" si="9"/>
        <v>#N/A</v>
      </c>
      <c r="BW10" s="37" t="e">
        <f t="shared" ca="1" si="9"/>
        <v>#N/A</v>
      </c>
      <c r="BX10" s="37" t="e">
        <f t="shared" ca="1" si="9"/>
        <v>#N/A</v>
      </c>
    </row>
    <row r="11" spans="1:76" x14ac:dyDescent="0.25">
      <c r="B11">
        <f t="shared" si="16"/>
        <v>2022</v>
      </c>
      <c r="C11" s="77" t="s">
        <v>54</v>
      </c>
      <c r="D11" s="72"/>
      <c r="E11" s="182" t="s">
        <v>73</v>
      </c>
      <c r="F11" s="81" t="s">
        <v>53</v>
      </c>
      <c r="G11" s="37">
        <f t="shared" ref="G11:K14" ca="1" si="19">INDEX(INDIRECT(G$3&amp;"_"&amp;$A$2&amp;"!"&amp;$A$4),MATCH($C11,INDIRECT(G$3&amp;"_"&amp;$A$2&amp;"!"&amp;$A$5),0),MATCH($B11,INDIRECT(G$3&amp;"_"&amp;$A$2&amp;"!"&amp;$A$6),0))</f>
        <v>0</v>
      </c>
      <c r="H11" s="37">
        <f t="shared" ca="1" si="19"/>
        <v>9530.0279938406748</v>
      </c>
      <c r="I11" s="37">
        <f t="shared" ca="1" si="19"/>
        <v>23602.357712869623</v>
      </c>
      <c r="J11" s="37">
        <f t="shared" ca="1" si="19"/>
        <v>34302.800474273376</v>
      </c>
      <c r="K11" s="37">
        <f t="shared" ca="1" si="19"/>
        <v>17693.360412367212</v>
      </c>
      <c r="L11" s="46">
        <f ca="1">SUM(G11:K11)</f>
        <v>85128.546593350882</v>
      </c>
      <c r="P11" s="72"/>
      <c r="Q11" s="69" t="s">
        <v>73</v>
      </c>
      <c r="R11" s="74" t="s">
        <v>53</v>
      </c>
      <c r="S11" s="37">
        <f t="shared" ref="S11:W14" ca="1" si="20">INDEX(INDIRECT(S$3&amp;"_"&amp;$O$2&amp;"!"&amp;$A$4),MATCH($C11,INDIRECT(S$3&amp;"_"&amp;$O$2&amp;"!"&amp;$A$5),0),MATCH($B11,INDIRECT(S$3&amp;"_"&amp;$O$2&amp;"!"&amp;$A$6),0))</f>
        <v>0</v>
      </c>
      <c r="T11" s="37">
        <f t="shared" ca="1" si="20"/>
        <v>7226.6271083397287</v>
      </c>
      <c r="U11" s="37">
        <f t="shared" ca="1" si="20"/>
        <v>18546.92371249045</v>
      </c>
      <c r="V11" s="37">
        <f t="shared" ca="1" si="20"/>
        <v>27748.500955749052</v>
      </c>
      <c r="W11" s="37">
        <f t="shared" ca="1" si="20"/>
        <v>12353.538204535071</v>
      </c>
      <c r="X11" s="46">
        <f ca="1">SUM(S11:W11)</f>
        <v>65875.589981114303</v>
      </c>
      <c r="Z11" s="7">
        <f ca="1">T14-H14</f>
        <v>6674.6558365095279</v>
      </c>
      <c r="AB11" t="str">
        <f t="shared" si="12"/>
        <v>IUDSM_Med</v>
      </c>
      <c r="AC11" s="1" t="s">
        <v>16</v>
      </c>
      <c r="AD11" s="1" t="s">
        <v>56</v>
      </c>
      <c r="AE11" s="37">
        <f t="shared" ca="1" si="5"/>
        <v>42960.872932250008</v>
      </c>
      <c r="AF11" s="37">
        <f t="shared" ca="1" si="5"/>
        <v>48195.08594670723</v>
      </c>
      <c r="AG11" s="37">
        <f t="shared" ca="1" si="5"/>
        <v>53686.935995827109</v>
      </c>
      <c r="AH11" s="37">
        <f t="shared" ca="1" si="5"/>
        <v>59516.678080292106</v>
      </c>
      <c r="AI11" s="37">
        <f t="shared" ca="1" si="5"/>
        <v>65691.031199472927</v>
      </c>
      <c r="AJ11" s="37">
        <f t="shared" ca="1" si="5"/>
        <v>72213.700767816932</v>
      </c>
      <c r="AK11" s="37">
        <f t="shared" ca="1" si="5"/>
        <v>79091.168319111355</v>
      </c>
      <c r="AL11" s="37">
        <f t="shared" ca="1" si="5"/>
        <v>86274.894372159979</v>
      </c>
      <c r="AM11" s="37">
        <f t="shared" ca="1" si="5"/>
        <v>93835.901147183831</v>
      </c>
      <c r="AN11" s="37">
        <f t="shared" ca="1" si="5"/>
        <v>101787.23828889156</v>
      </c>
      <c r="AO11" s="37">
        <f t="shared" ca="1" si="6"/>
        <v>110146.90916687233</v>
      </c>
      <c r="AP11" s="37">
        <f t="shared" ca="1" si="6"/>
        <v>118930.28608336489</v>
      </c>
      <c r="AQ11" s="37">
        <f t="shared" ca="1" si="6"/>
        <v>128075.26839304141</v>
      </c>
      <c r="AR11" s="37">
        <f t="shared" ca="1" si="6"/>
        <v>137671.61755986416</v>
      </c>
      <c r="AS11" s="37">
        <f t="shared" ca="1" si="6"/>
        <v>147724.64966673413</v>
      </c>
      <c r="AT11" s="37">
        <f t="shared" ca="1" si="6"/>
        <v>158237.15634848247</v>
      </c>
      <c r="AU11" s="37">
        <f t="shared" ca="1" si="6"/>
        <v>169213.9319544787</v>
      </c>
      <c r="AV11" s="37" t="e">
        <f t="shared" ca="1" si="6"/>
        <v>#N/A</v>
      </c>
      <c r="AW11" s="37" t="e">
        <f t="shared" ca="1" si="6"/>
        <v>#N/A</v>
      </c>
      <c r="AX11" s="37" t="e">
        <f t="shared" ca="1" si="6"/>
        <v>#N/A</v>
      </c>
      <c r="BA11" t="str">
        <f t="shared" si="13"/>
        <v>IUDSM_Med</v>
      </c>
      <c r="BB11" s="1" t="s">
        <v>16</v>
      </c>
      <c r="BC11" s="1" t="s">
        <v>56</v>
      </c>
      <c r="BD11" s="149">
        <f t="shared" ca="1" si="7"/>
        <v>60268.862748332649</v>
      </c>
      <c r="BE11" s="37">
        <f t="shared" ca="1" si="8"/>
        <v>12225.471757946132</v>
      </c>
      <c r="BF11" s="37">
        <f t="shared" ca="1" si="8"/>
        <v>14573.533217120272</v>
      </c>
      <c r="BG11" s="37">
        <f t="shared" ca="1" si="8"/>
        <v>15969.042646230144</v>
      </c>
      <c r="BH11" s="37">
        <f t="shared" ca="1" si="8"/>
        <v>17500.815127036105</v>
      </c>
      <c r="BI11" s="37">
        <f t="shared" ca="1" si="8"/>
        <v>19112.761397505197</v>
      </c>
      <c r="BJ11" s="37">
        <f t="shared" ca="1" si="8"/>
        <v>20803.328524751159</v>
      </c>
      <c r="BK11" s="37">
        <f t="shared" ca="1" si="8"/>
        <v>22576.098152993756</v>
      </c>
      <c r="BL11" s="37">
        <f t="shared" ca="1" si="8"/>
        <v>24377.458296333698</v>
      </c>
      <c r="BM11" s="37">
        <f t="shared" ca="1" si="8"/>
        <v>26316.41859505864</v>
      </c>
      <c r="BN11" s="37">
        <f t="shared" ca="1" si="8"/>
        <v>28350.446086747688</v>
      </c>
      <c r="BO11" s="37">
        <f t="shared" ca="1" si="9"/>
        <v>30487.331375565886</v>
      </c>
      <c r="BP11" s="37">
        <f t="shared" ca="1" si="9"/>
        <v>32728.357170160467</v>
      </c>
      <c r="BQ11" s="37">
        <f t="shared" ca="1" si="9"/>
        <v>34999.392327799316</v>
      </c>
      <c r="BR11" s="37">
        <f t="shared" ca="1" si="9"/>
        <v>37438.798817483919</v>
      </c>
      <c r="BS11" s="37">
        <f t="shared" ca="1" si="9"/>
        <v>39981.644619883933</v>
      </c>
      <c r="BT11" s="37">
        <f t="shared" ca="1" si="9"/>
        <v>42626.560957125344</v>
      </c>
      <c r="BU11" s="37">
        <f t="shared" ca="1" si="9"/>
        <v>45376.157420883712</v>
      </c>
      <c r="BV11" s="37" t="e">
        <f t="shared" ca="1" si="9"/>
        <v>#N/A</v>
      </c>
      <c r="BW11" s="37" t="e">
        <f t="shared" ca="1" si="9"/>
        <v>#N/A</v>
      </c>
      <c r="BX11" s="37" t="e">
        <f t="shared" ca="1" si="9"/>
        <v>#N/A</v>
      </c>
    </row>
    <row r="12" spans="1:76" x14ac:dyDescent="0.25">
      <c r="B12">
        <f t="shared" si="16"/>
        <v>2022</v>
      </c>
      <c r="C12" s="77" t="s">
        <v>56</v>
      </c>
      <c r="D12" s="72"/>
      <c r="E12" s="182" t="s">
        <v>55</v>
      </c>
      <c r="F12" s="81" t="s">
        <v>80</v>
      </c>
      <c r="G12" s="37">
        <f t="shared" ca="1" si="19"/>
        <v>56387.549147201964</v>
      </c>
      <c r="H12" s="37">
        <f t="shared" ca="1" si="19"/>
        <v>45596.102943228936</v>
      </c>
      <c r="I12" s="37">
        <f t="shared" ca="1" si="19"/>
        <v>11179.949880190805</v>
      </c>
      <c r="J12" s="37">
        <f t="shared" ca="1" si="19"/>
        <v>424880.9598755638</v>
      </c>
      <c r="K12" s="37">
        <f t="shared" ca="1" si="19"/>
        <v>109264.63918906062</v>
      </c>
      <c r="L12" s="46">
        <f t="shared" ref="L12:L14" ca="1" si="21">SUM(G12:K12)</f>
        <v>647309.20103524614</v>
      </c>
      <c r="P12" s="72"/>
      <c r="Q12" s="69" t="s">
        <v>55</v>
      </c>
      <c r="R12" s="74" t="s">
        <v>80</v>
      </c>
      <c r="S12" s="37">
        <f t="shared" ca="1" si="20"/>
        <v>35529.321130446995</v>
      </c>
      <c r="T12" s="37">
        <f t="shared" ca="1" si="20"/>
        <v>60906.966013068915</v>
      </c>
      <c r="U12" s="37">
        <f t="shared" ca="1" si="20"/>
        <v>12795.584970691551</v>
      </c>
      <c r="V12" s="37">
        <f t="shared" ca="1" si="20"/>
        <v>475197.32979701494</v>
      </c>
      <c r="W12" s="37">
        <f t="shared" ca="1" si="20"/>
        <v>87936.465939854475</v>
      </c>
      <c r="X12" s="46">
        <f t="shared" ref="X12:X14" ca="1" si="22">SUM(S12:W12)</f>
        <v>672365.66785107693</v>
      </c>
      <c r="Z12" s="7">
        <f ca="1">U14-I14</f>
        <v>56219.9654495617</v>
      </c>
      <c r="AB12" t="str">
        <f t="shared" si="12"/>
        <v>IUDSM_Nontrad</v>
      </c>
      <c r="AC12" s="1" t="s">
        <v>16</v>
      </c>
      <c r="AD12" s="1" t="s">
        <v>57</v>
      </c>
      <c r="AE12" s="37">
        <f t="shared" ca="1" si="5"/>
        <v>0</v>
      </c>
      <c r="AF12" s="37">
        <f t="shared" ca="1" si="5"/>
        <v>0</v>
      </c>
      <c r="AG12" s="37">
        <f t="shared" ca="1" si="5"/>
        <v>0</v>
      </c>
      <c r="AH12" s="37">
        <f t="shared" ca="1" si="5"/>
        <v>0</v>
      </c>
      <c r="AI12" s="37">
        <f t="shared" ca="1" si="5"/>
        <v>0</v>
      </c>
      <c r="AJ12" s="37">
        <f t="shared" ca="1" si="5"/>
        <v>0</v>
      </c>
      <c r="AK12" s="37">
        <f t="shared" ca="1" si="5"/>
        <v>0</v>
      </c>
      <c r="AL12" s="37">
        <f t="shared" ca="1" si="5"/>
        <v>0</v>
      </c>
      <c r="AM12" s="37">
        <f t="shared" ca="1" si="5"/>
        <v>0</v>
      </c>
      <c r="AN12" s="37">
        <f t="shared" ca="1" si="5"/>
        <v>0</v>
      </c>
      <c r="AO12" s="37">
        <f t="shared" ca="1" si="6"/>
        <v>0</v>
      </c>
      <c r="AP12" s="37">
        <f t="shared" ca="1" si="6"/>
        <v>0</v>
      </c>
      <c r="AQ12" s="37">
        <f t="shared" ca="1" si="6"/>
        <v>0</v>
      </c>
      <c r="AR12" s="37">
        <f t="shared" ca="1" si="6"/>
        <v>0</v>
      </c>
      <c r="AS12" s="37">
        <f t="shared" ca="1" si="6"/>
        <v>0</v>
      </c>
      <c r="AT12" s="37">
        <f t="shared" ca="1" si="6"/>
        <v>0</v>
      </c>
      <c r="AU12" s="37">
        <f t="shared" ca="1" si="6"/>
        <v>0</v>
      </c>
      <c r="AV12" s="37" t="e">
        <f t="shared" ca="1" si="6"/>
        <v>#N/A</v>
      </c>
      <c r="AW12" s="37" t="e">
        <f t="shared" ca="1" si="6"/>
        <v>#N/A</v>
      </c>
      <c r="AX12" s="37" t="e">
        <f t="shared" ca="1" si="6"/>
        <v>#N/A</v>
      </c>
      <c r="BA12" t="str">
        <f t="shared" si="13"/>
        <v>IUDSM_Nontrad</v>
      </c>
      <c r="BB12" s="1" t="s">
        <v>16</v>
      </c>
      <c r="BC12" s="1" t="s">
        <v>57</v>
      </c>
      <c r="BD12" s="149">
        <f t="shared" ca="1" si="7"/>
        <v>0</v>
      </c>
      <c r="BE12" s="37">
        <f t="shared" ca="1" si="8"/>
        <v>0</v>
      </c>
      <c r="BF12" s="37">
        <f t="shared" ca="1" si="8"/>
        <v>0</v>
      </c>
      <c r="BG12" s="37">
        <f t="shared" ca="1" si="8"/>
        <v>0</v>
      </c>
      <c r="BH12" s="37">
        <f t="shared" ca="1" si="8"/>
        <v>0</v>
      </c>
      <c r="BI12" s="37">
        <f t="shared" ca="1" si="8"/>
        <v>0</v>
      </c>
      <c r="BJ12" s="37">
        <f t="shared" ca="1" si="8"/>
        <v>0</v>
      </c>
      <c r="BK12" s="37">
        <f t="shared" ca="1" si="8"/>
        <v>0</v>
      </c>
      <c r="BL12" s="37">
        <f t="shared" ca="1" si="8"/>
        <v>0</v>
      </c>
      <c r="BM12" s="37">
        <f t="shared" ca="1" si="8"/>
        <v>0</v>
      </c>
      <c r="BN12" s="37">
        <f t="shared" ca="1" si="8"/>
        <v>0</v>
      </c>
      <c r="BO12" s="37">
        <f t="shared" ca="1" si="9"/>
        <v>0</v>
      </c>
      <c r="BP12" s="37">
        <f t="shared" ca="1" si="9"/>
        <v>0</v>
      </c>
      <c r="BQ12" s="37">
        <f t="shared" ca="1" si="9"/>
        <v>0</v>
      </c>
      <c r="BR12" s="37">
        <f t="shared" ca="1" si="9"/>
        <v>0</v>
      </c>
      <c r="BS12" s="37">
        <f t="shared" ca="1" si="9"/>
        <v>0</v>
      </c>
      <c r="BT12" s="37">
        <f t="shared" ca="1" si="9"/>
        <v>0</v>
      </c>
      <c r="BU12" s="37">
        <f t="shared" ca="1" si="9"/>
        <v>0</v>
      </c>
      <c r="BV12" s="37" t="e">
        <f t="shared" ca="1" si="9"/>
        <v>#N/A</v>
      </c>
      <c r="BW12" s="37" t="e">
        <f t="shared" ca="1" si="9"/>
        <v>#N/A</v>
      </c>
      <c r="BX12" s="37" t="e">
        <f t="shared" ca="1" si="9"/>
        <v>#N/A</v>
      </c>
    </row>
    <row r="13" spans="1:76" x14ac:dyDescent="0.25">
      <c r="B13">
        <f t="shared" si="16"/>
        <v>2022</v>
      </c>
      <c r="C13" s="77" t="s">
        <v>57</v>
      </c>
      <c r="D13" s="72"/>
      <c r="E13" s="182" t="s">
        <v>55</v>
      </c>
      <c r="F13" s="81" t="s">
        <v>83</v>
      </c>
      <c r="G13" s="37">
        <f t="shared" ca="1" si="19"/>
        <v>0</v>
      </c>
      <c r="H13" s="37">
        <f t="shared" ca="1" si="19"/>
        <v>0</v>
      </c>
      <c r="I13" s="37">
        <f t="shared" ca="1" si="19"/>
        <v>0</v>
      </c>
      <c r="J13" s="37">
        <f t="shared" ca="1" si="19"/>
        <v>0</v>
      </c>
      <c r="K13" s="37">
        <f t="shared" ca="1" si="19"/>
        <v>3.2249642270142274E-13</v>
      </c>
      <c r="L13" s="46">
        <f t="shared" ca="1" si="21"/>
        <v>3.2249642270142274E-13</v>
      </c>
      <c r="P13" s="72"/>
      <c r="Q13" s="69" t="s">
        <v>55</v>
      </c>
      <c r="R13" s="74" t="s">
        <v>83</v>
      </c>
      <c r="S13" s="37">
        <f t="shared" ca="1" si="20"/>
        <v>0</v>
      </c>
      <c r="T13" s="37">
        <f t="shared" ca="1" si="20"/>
        <v>0</v>
      </c>
      <c r="U13" s="37">
        <f t="shared" ca="1" si="20"/>
        <v>0</v>
      </c>
      <c r="V13" s="37">
        <f t="shared" ca="1" si="20"/>
        <v>0</v>
      </c>
      <c r="W13" s="37">
        <f t="shared" ca="1" si="20"/>
        <v>3.2249642270142274E-13</v>
      </c>
      <c r="X13" s="46">
        <f t="shared" ca="1" si="22"/>
        <v>3.2249642270142274E-13</v>
      </c>
      <c r="Z13" s="7">
        <f ca="1">V14-J14</f>
        <v>51819.023039525215</v>
      </c>
      <c r="AB13" t="str">
        <f t="shared" si="12"/>
        <v>IUDCommercial</v>
      </c>
      <c r="AC13" s="1" t="s">
        <v>16</v>
      </c>
      <c r="AD13" s="1" t="s">
        <v>59</v>
      </c>
      <c r="AE13" s="37">
        <f t="shared" ca="1" si="5"/>
        <v>0</v>
      </c>
      <c r="AF13" s="37">
        <f t="shared" ca="1" si="5"/>
        <v>0</v>
      </c>
      <c r="AG13" s="37">
        <f t="shared" ca="1" si="5"/>
        <v>0</v>
      </c>
      <c r="AH13" s="37">
        <f t="shared" ca="1" si="5"/>
        <v>0</v>
      </c>
      <c r="AI13" s="37">
        <f t="shared" ca="1" si="5"/>
        <v>0</v>
      </c>
      <c r="AJ13" s="37">
        <f t="shared" ca="1" si="5"/>
        <v>0</v>
      </c>
      <c r="AK13" s="37">
        <f t="shared" ca="1" si="5"/>
        <v>0</v>
      </c>
      <c r="AL13" s="37">
        <f t="shared" ca="1" si="5"/>
        <v>0</v>
      </c>
      <c r="AM13" s="37">
        <f t="shared" ca="1" si="5"/>
        <v>0</v>
      </c>
      <c r="AN13" s="37">
        <f t="shared" ca="1" si="5"/>
        <v>0</v>
      </c>
      <c r="AO13" s="37">
        <f t="shared" ca="1" si="6"/>
        <v>0</v>
      </c>
      <c r="AP13" s="37">
        <f t="shared" ca="1" si="6"/>
        <v>0</v>
      </c>
      <c r="AQ13" s="37">
        <f t="shared" ca="1" si="6"/>
        <v>0</v>
      </c>
      <c r="AR13" s="37">
        <f t="shared" ca="1" si="6"/>
        <v>0</v>
      </c>
      <c r="AS13" s="37">
        <f t="shared" ca="1" si="6"/>
        <v>0</v>
      </c>
      <c r="AT13" s="37">
        <f t="shared" ca="1" si="6"/>
        <v>0</v>
      </c>
      <c r="AU13" s="37">
        <f t="shared" ca="1" si="6"/>
        <v>0</v>
      </c>
      <c r="AV13" s="37" t="e">
        <f t="shared" ca="1" si="6"/>
        <v>#N/A</v>
      </c>
      <c r="AW13" s="37" t="e">
        <f t="shared" ca="1" si="6"/>
        <v>#N/A</v>
      </c>
      <c r="AX13" s="37" t="e">
        <f t="shared" ca="1" si="6"/>
        <v>#N/A</v>
      </c>
      <c r="BA13" t="str">
        <f t="shared" si="13"/>
        <v>IUDCommercial</v>
      </c>
      <c r="BB13" s="1" t="s">
        <v>16</v>
      </c>
      <c r="BC13" s="1" t="s">
        <v>59</v>
      </c>
      <c r="BD13" s="149">
        <f t="shared" ca="1" si="7"/>
        <v>0</v>
      </c>
      <c r="BE13" s="37">
        <f t="shared" ca="1" si="8"/>
        <v>0</v>
      </c>
      <c r="BF13" s="37">
        <f t="shared" ca="1" si="8"/>
        <v>0</v>
      </c>
      <c r="BG13" s="37">
        <f t="shared" ca="1" si="8"/>
        <v>0</v>
      </c>
      <c r="BH13" s="37">
        <f t="shared" ca="1" si="8"/>
        <v>0</v>
      </c>
      <c r="BI13" s="37">
        <f t="shared" ca="1" si="8"/>
        <v>0</v>
      </c>
      <c r="BJ13" s="37">
        <f t="shared" ca="1" si="8"/>
        <v>0</v>
      </c>
      <c r="BK13" s="37">
        <f t="shared" ca="1" si="8"/>
        <v>0</v>
      </c>
      <c r="BL13" s="37">
        <f t="shared" ca="1" si="8"/>
        <v>0</v>
      </c>
      <c r="BM13" s="37">
        <f t="shared" ca="1" si="8"/>
        <v>0</v>
      </c>
      <c r="BN13" s="37">
        <f t="shared" ca="1" si="8"/>
        <v>0</v>
      </c>
      <c r="BO13" s="37">
        <f t="shared" ca="1" si="9"/>
        <v>0</v>
      </c>
      <c r="BP13" s="37">
        <f t="shared" ca="1" si="9"/>
        <v>0</v>
      </c>
      <c r="BQ13" s="37">
        <f t="shared" ca="1" si="9"/>
        <v>0</v>
      </c>
      <c r="BR13" s="37">
        <f t="shared" ca="1" si="9"/>
        <v>0</v>
      </c>
      <c r="BS13" s="37">
        <f t="shared" ca="1" si="9"/>
        <v>0</v>
      </c>
      <c r="BT13" s="37">
        <f t="shared" ca="1" si="9"/>
        <v>0</v>
      </c>
      <c r="BU13" s="37">
        <f t="shared" ca="1" si="9"/>
        <v>0</v>
      </c>
      <c r="BV13" s="37" t="e">
        <f t="shared" ca="1" si="9"/>
        <v>#N/A</v>
      </c>
      <c r="BW13" s="37" t="e">
        <f t="shared" ca="1" si="9"/>
        <v>#N/A</v>
      </c>
      <c r="BX13" s="37" t="e">
        <f t="shared" ca="1" si="9"/>
        <v>#N/A</v>
      </c>
    </row>
    <row r="14" spans="1:76" x14ac:dyDescent="0.25">
      <c r="B14">
        <f t="shared" si="16"/>
        <v>2022</v>
      </c>
      <c r="C14" s="77" t="s">
        <v>59</v>
      </c>
      <c r="D14" s="72"/>
      <c r="E14" s="182" t="s">
        <v>59</v>
      </c>
      <c r="F14" s="8" t="s">
        <v>80</v>
      </c>
      <c r="G14" s="37">
        <f t="shared" ca="1" si="19"/>
        <v>13809.784373354729</v>
      </c>
      <c r="H14" s="37">
        <f t="shared" ca="1" si="19"/>
        <v>0</v>
      </c>
      <c r="I14" s="37">
        <f t="shared" ca="1" si="19"/>
        <v>78467.077862936261</v>
      </c>
      <c r="J14" s="37">
        <f t="shared" ca="1" si="19"/>
        <v>0</v>
      </c>
      <c r="K14" s="37">
        <f t="shared" ca="1" si="19"/>
        <v>11825.359425863473</v>
      </c>
      <c r="L14" s="46">
        <f t="shared" ca="1" si="21"/>
        <v>104102.22166215446</v>
      </c>
      <c r="P14" s="72"/>
      <c r="Q14" s="69" t="s">
        <v>59</v>
      </c>
      <c r="R14" s="1" t="s">
        <v>80</v>
      </c>
      <c r="S14" s="37">
        <f t="shared" ca="1" si="20"/>
        <v>34668.012390109703</v>
      </c>
      <c r="T14" s="37">
        <f t="shared" ca="1" si="20"/>
        <v>6674.6558365095279</v>
      </c>
      <c r="U14" s="37">
        <f t="shared" ca="1" si="20"/>
        <v>134687.04331249796</v>
      </c>
      <c r="V14" s="37">
        <f t="shared" ca="1" si="20"/>
        <v>51819.023039525215</v>
      </c>
      <c r="W14" s="37">
        <f t="shared" ca="1" si="20"/>
        <v>57111.561636548649</v>
      </c>
      <c r="X14" s="46">
        <f t="shared" ca="1" si="22"/>
        <v>284960.29621519108</v>
      </c>
      <c r="Z14" s="142">
        <f ca="1">W14-K14</f>
        <v>45286.20221068518</v>
      </c>
      <c r="AA14" s="142"/>
      <c r="AB14" t="str">
        <f t="shared" si="12"/>
        <v>ImplantPub_Med</v>
      </c>
      <c r="AC14" s="1" t="s">
        <v>23</v>
      </c>
      <c r="AD14" s="1" t="s">
        <v>52</v>
      </c>
      <c r="AE14" s="37">
        <f t="shared" ref="AE14:AN28" ca="1" si="23">INDEX(INDIRECT($AC14&amp;"_"&amp;$AA$2&amp;"!"&amp;$AA$4),MATCH($AD14,INDIRECT($AC14&amp;"_"&amp;$AA$2&amp;"!"&amp;$AA$5),0),MATCH(AE$3,INDIRECT($AC14&amp;"_"&amp;$AA$2&amp;"!"&amp;$AA$6),0))</f>
        <v>523576.38821387046</v>
      </c>
      <c r="AF14" s="37">
        <f t="shared" ca="1" si="23"/>
        <v>590800.55907843006</v>
      </c>
      <c r="AG14" s="37">
        <f t="shared" ca="1" si="23"/>
        <v>661416.54570220388</v>
      </c>
      <c r="AH14" s="37">
        <f t="shared" ca="1" si="23"/>
        <v>736416.26436867635</v>
      </c>
      <c r="AI14" s="37">
        <f t="shared" ca="1" si="23"/>
        <v>815893.6234124559</v>
      </c>
      <c r="AJ14" s="37">
        <f t="shared" ca="1" si="23"/>
        <v>899903.69088293193</v>
      </c>
      <c r="AK14" s="37">
        <f t="shared" ca="1" si="23"/>
        <v>988534.84977570036</v>
      </c>
      <c r="AL14" s="37">
        <f t="shared" ca="1" si="23"/>
        <v>1081185.3089333805</v>
      </c>
      <c r="AM14" s="37">
        <f t="shared" ca="1" si="23"/>
        <v>1178748.1017713889</v>
      </c>
      <c r="AN14" s="37">
        <f t="shared" ca="1" si="23"/>
        <v>1281393.9972185576</v>
      </c>
      <c r="AO14" s="37">
        <f t="shared" ref="AO14:AX28" ca="1" si="24">INDEX(INDIRECT($AC14&amp;"_"&amp;$AA$2&amp;"!"&amp;$AA$4),MATCH($AD14,INDIRECT($AC14&amp;"_"&amp;$AA$2&amp;"!"&amp;$AA$5),0),MATCH(AO$3,INDIRECT($AC14&amp;"_"&amp;$AA$2&amp;"!"&amp;$AA$6),0))</f>
        <v>1389356.3816399826</v>
      </c>
      <c r="AP14" s="37">
        <f t="shared" ca="1" si="24"/>
        <v>1502835.9469631482</v>
      </c>
      <c r="AQ14" s="37">
        <f t="shared" ca="1" si="24"/>
        <v>1621053.0282523911</v>
      </c>
      <c r="AR14" s="37">
        <f t="shared" ca="1" si="24"/>
        <v>1745147.239645551</v>
      </c>
      <c r="AS14" s="37">
        <f t="shared" ca="1" si="24"/>
        <v>1875192.3361883634</v>
      </c>
      <c r="AT14" s="37">
        <f t="shared" ca="1" si="24"/>
        <v>2011229.4198330354</v>
      </c>
      <c r="AU14" s="37">
        <f t="shared" ca="1" si="24"/>
        <v>2153324.4570881166</v>
      </c>
      <c r="AV14" s="37" t="e">
        <f t="shared" ca="1" si="24"/>
        <v>#N/A</v>
      </c>
      <c r="AW14" s="37" t="e">
        <f t="shared" ca="1" si="24"/>
        <v>#N/A</v>
      </c>
      <c r="AX14" s="37" t="e">
        <f t="shared" ca="1" si="24"/>
        <v>#N/A</v>
      </c>
      <c r="AY14" s="105"/>
      <c r="BA14" t="str">
        <f t="shared" si="13"/>
        <v>ImplantPub_Med</v>
      </c>
      <c r="BB14" s="1" t="s">
        <v>23</v>
      </c>
      <c r="BC14" s="1" t="s">
        <v>52</v>
      </c>
      <c r="BD14" s="149">
        <f t="shared" ca="1" si="7"/>
        <v>974826.26327378978</v>
      </c>
      <c r="BE14" s="37">
        <f t="shared" ref="BE14:BN28" ca="1" si="25">INDEX(INDIRECT($BB14&amp;"_"&amp;$AZ$2&amp;"!"&amp;$AZ$4),MATCH($BC14,INDIRECT($BB14&amp;"_"&amp;$AZ$2&amp;"!"&amp;$AZ$5),0),MATCH(BE$3,INDIRECT($BB14&amp;"_"&amp;$AZ$2&amp;"!"&amp;$AZ$6),0))</f>
        <v>207050.92055820121</v>
      </c>
      <c r="BF14" s="37">
        <f t="shared" ca="1" si="25"/>
        <v>230841.79218139403</v>
      </c>
      <c r="BG14" s="37">
        <f t="shared" ca="1" si="25"/>
        <v>255241.16133578325</v>
      </c>
      <c r="BH14" s="37">
        <f t="shared" ca="1" si="25"/>
        <v>281692.3891984112</v>
      </c>
      <c r="BI14" s="37">
        <f t="shared" ca="1" si="25"/>
        <v>309607.44165899092</v>
      </c>
      <c r="BJ14" s="37">
        <f t="shared" ca="1" si="25"/>
        <v>338976.82478686853</v>
      </c>
      <c r="BK14" s="37">
        <f t="shared" ca="1" si="25"/>
        <v>369851.06229368463</v>
      </c>
      <c r="BL14" s="37">
        <f t="shared" ca="1" si="25"/>
        <v>401567.5997125865</v>
      </c>
      <c r="BM14" s="37">
        <f t="shared" ca="1" si="25"/>
        <v>435433.2018796897</v>
      </c>
      <c r="BN14" s="37">
        <f t="shared" ca="1" si="25"/>
        <v>471004.67725072766</v>
      </c>
      <c r="BO14" s="37">
        <f t="shared" ref="BO14:BX28" ca="1" si="26">INDEX(INDIRECT($BB14&amp;"_"&amp;$AZ$2&amp;"!"&amp;$AZ$4),MATCH($BC14,INDIRECT($BB14&amp;"_"&amp;$AZ$2&amp;"!"&amp;$AZ$5),0),MATCH(BO$3,INDIRECT($BB14&amp;"_"&amp;$AZ$2&amp;"!"&amp;$AZ$6),0))</f>
        <v>508398.00855222414</v>
      </c>
      <c r="BP14" s="37">
        <f t="shared" ca="1" si="26"/>
        <v>547653.43458566011</v>
      </c>
      <c r="BQ14" s="37">
        <f t="shared" ca="1" si="26"/>
        <v>587853.31471522688</v>
      </c>
      <c r="BR14" s="37">
        <f t="shared" ca="1" si="26"/>
        <v>630673.28272203181</v>
      </c>
      <c r="BS14" s="37">
        <f t="shared" ca="1" si="26"/>
        <v>675403.60893204703</v>
      </c>
      <c r="BT14" s="37">
        <f t="shared" ca="1" si="26"/>
        <v>722034.68870353571</v>
      </c>
      <c r="BU14" s="37">
        <f t="shared" ca="1" si="26"/>
        <v>770604.23095290468</v>
      </c>
      <c r="BV14" s="37" t="e">
        <f t="shared" ca="1" si="26"/>
        <v>#N/A</v>
      </c>
      <c r="BW14" s="37" t="e">
        <f t="shared" ca="1" si="26"/>
        <v>#N/A</v>
      </c>
      <c r="BX14" s="37" t="e">
        <f t="shared" ca="1" si="26"/>
        <v>#N/A</v>
      </c>
    </row>
    <row r="15" spans="1:76" ht="15.75" thickBot="1" x14ac:dyDescent="0.3">
      <c r="B15">
        <f t="shared" si="16"/>
        <v>2022</v>
      </c>
      <c r="C15" s="77" t="s">
        <v>60</v>
      </c>
      <c r="D15" s="73"/>
      <c r="E15" s="183"/>
      <c r="F15" s="53" t="s">
        <v>60</v>
      </c>
      <c r="G15" s="180">
        <f ca="1">SUM(G10:G14)</f>
        <v>70197.333520556698</v>
      </c>
      <c r="H15" s="180">
        <f ca="1">SUM(H10:H14)</f>
        <v>146512.11339151795</v>
      </c>
      <c r="I15" s="180">
        <f ca="1">SUM(I10:I14)</f>
        <v>384760.51407925849</v>
      </c>
      <c r="J15" s="180">
        <f ca="1">SUM(J10:J14)</f>
        <v>989150.85852218559</v>
      </c>
      <c r="K15" s="180">
        <f ca="1">SUM(K10:K14)</f>
        <v>236953.98250359809</v>
      </c>
      <c r="L15" s="82">
        <f ca="1">SUM(G15:K15)</f>
        <v>1827574.8020171169</v>
      </c>
      <c r="P15" s="73"/>
      <c r="Q15" s="70"/>
      <c r="R15" s="48" t="s">
        <v>60</v>
      </c>
      <c r="S15" s="180">
        <f ca="1">SUM(S10:S14)</f>
        <v>70197.333520556698</v>
      </c>
      <c r="T15" s="180">
        <f ca="1">SUM(T10:T14)</f>
        <v>146512.11339151789</v>
      </c>
      <c r="U15" s="180">
        <f ca="1">SUM(U10:U14)</f>
        <v>384760.51407925854</v>
      </c>
      <c r="V15" s="180">
        <f ca="1">SUM(V10:V14)</f>
        <v>989150.85852218571</v>
      </c>
      <c r="W15" s="180">
        <f ca="1">SUM(W10:W14)</f>
        <v>236953.98250359803</v>
      </c>
      <c r="X15" s="82">
        <f ca="1">SUM(S15:W15)</f>
        <v>1827574.8020171169</v>
      </c>
      <c r="AB15" t="str">
        <f t="shared" si="12"/>
        <v>ImplantPub_Outreach</v>
      </c>
      <c r="AC15" s="1" t="s">
        <v>23</v>
      </c>
      <c r="AD15" s="1" t="s">
        <v>54</v>
      </c>
      <c r="AE15" s="37">
        <f t="shared" ca="1" si="23"/>
        <v>36383.804117370208</v>
      </c>
      <c r="AF15" s="37">
        <f t="shared" ca="1" si="23"/>
        <v>41892.080146483691</v>
      </c>
      <c r="AG15" s="37">
        <f t="shared" ca="1" si="23"/>
        <v>47697.457139114922</v>
      </c>
      <c r="AH15" s="37">
        <f t="shared" ca="1" si="23"/>
        <v>53872.234025067679</v>
      </c>
      <c r="AI15" s="37">
        <f t="shared" ca="1" si="23"/>
        <v>60425.866703786261</v>
      </c>
      <c r="AJ15" s="37">
        <f t="shared" ca="1" si="23"/>
        <v>67364.597057161678</v>
      </c>
      <c r="AK15" s="37">
        <f t="shared" ca="1" si="23"/>
        <v>74696.855700823697</v>
      </c>
      <c r="AL15" s="37">
        <f t="shared" ca="1" si="23"/>
        <v>82378.331059584394</v>
      </c>
      <c r="AM15" s="37">
        <f t="shared" ca="1" si="23"/>
        <v>90477.77500278363</v>
      </c>
      <c r="AN15" s="37">
        <f t="shared" ca="1" si="23"/>
        <v>99009.913183071272</v>
      </c>
      <c r="AO15" s="37">
        <f t="shared" ca="1" si="24"/>
        <v>107994.36976671008</v>
      </c>
      <c r="AP15" s="37">
        <f t="shared" ca="1" si="24"/>
        <v>117448.34367843036</v>
      </c>
      <c r="AQ15" s="37">
        <f t="shared" ca="1" si="24"/>
        <v>127312.09172326076</v>
      </c>
      <c r="AR15" s="37">
        <f t="shared" ca="1" si="24"/>
        <v>137675.93684221598</v>
      </c>
      <c r="AS15" s="37">
        <f t="shared" ca="1" si="24"/>
        <v>148547.18973414612</v>
      </c>
      <c r="AT15" s="37">
        <f t="shared" ca="1" si="24"/>
        <v>159930.43210285544</v>
      </c>
      <c r="AU15" s="37">
        <f t="shared" ca="1" si="24"/>
        <v>171832.08487450785</v>
      </c>
      <c r="AV15" s="37" t="e">
        <f t="shared" ca="1" si="24"/>
        <v>#N/A</v>
      </c>
      <c r="AW15" s="37" t="e">
        <f t="shared" ca="1" si="24"/>
        <v>#N/A</v>
      </c>
      <c r="AX15" s="37" t="e">
        <f t="shared" ca="1" si="24"/>
        <v>#N/A</v>
      </c>
      <c r="BA15" t="str">
        <f t="shared" si="13"/>
        <v>ImplantPub_Outreach</v>
      </c>
      <c r="BB15" s="1" t="s">
        <v>23</v>
      </c>
      <c r="BC15" s="1" t="s">
        <v>54</v>
      </c>
      <c r="BD15" s="149">
        <f t="shared" ca="1" si="7"/>
        <v>71747.703984452048</v>
      </c>
      <c r="BE15" s="37">
        <f t="shared" ca="1" si="25"/>
        <v>14892.60488832683</v>
      </c>
      <c r="BF15" s="37">
        <f t="shared" ca="1" si="25"/>
        <v>16878.214815791671</v>
      </c>
      <c r="BG15" s="37">
        <f t="shared" ca="1" si="25"/>
        <v>18896.652038407381</v>
      </c>
      <c r="BH15" s="37">
        <f t="shared" ca="1" si="25"/>
        <v>21080.232241926165</v>
      </c>
      <c r="BI15" s="37">
        <f t="shared" ca="1" si="25"/>
        <v>23388.705811552234</v>
      </c>
      <c r="BJ15" s="37">
        <f t="shared" ca="1" si="25"/>
        <v>25821.813698308615</v>
      </c>
      <c r="BK15" s="37">
        <f t="shared" ca="1" si="25"/>
        <v>28383.695224025047</v>
      </c>
      <c r="BL15" s="37">
        <f t="shared" ca="1" si="25"/>
        <v>31024.242765268093</v>
      </c>
      <c r="BM15" s="37">
        <f t="shared" ca="1" si="25"/>
        <v>33842.672399319359</v>
      </c>
      <c r="BN15" s="37">
        <f t="shared" ca="1" si="25"/>
        <v>36806.442868657512</v>
      </c>
      <c r="BO15" s="37">
        <f t="shared" ca="1" si="26"/>
        <v>39925.054453348581</v>
      </c>
      <c r="BP15" s="37">
        <f t="shared" ca="1" si="26"/>
        <v>43202.214463817174</v>
      </c>
      <c r="BQ15" s="37">
        <f t="shared" ca="1" si="26"/>
        <v>46566.355444339875</v>
      </c>
      <c r="BR15" s="37">
        <f t="shared" ca="1" si="26"/>
        <v>50148.873782474198</v>
      </c>
      <c r="BS15" s="37">
        <f t="shared" ca="1" si="26"/>
        <v>53894.983155122623</v>
      </c>
      <c r="BT15" s="37">
        <f t="shared" ca="1" si="26"/>
        <v>57804.239160629993</v>
      </c>
      <c r="BU15" s="37">
        <f t="shared" ca="1" si="26"/>
        <v>61879.912803794745</v>
      </c>
      <c r="BV15" s="37" t="e">
        <f t="shared" ca="1" si="26"/>
        <v>#N/A</v>
      </c>
      <c r="BW15" s="37" t="e">
        <f t="shared" ca="1" si="26"/>
        <v>#N/A</v>
      </c>
      <c r="BX15" s="37" t="e">
        <f t="shared" ca="1" si="26"/>
        <v>#N/A</v>
      </c>
    </row>
    <row r="16" spans="1:76" x14ac:dyDescent="0.25">
      <c r="AB16" t="str">
        <f t="shared" si="12"/>
        <v>ImplantSM_Med</v>
      </c>
      <c r="AC16" s="1" t="s">
        <v>23</v>
      </c>
      <c r="AD16" s="1" t="s">
        <v>56</v>
      </c>
      <c r="AE16" s="37">
        <f t="shared" ca="1" si="23"/>
        <v>16408.734211887673</v>
      </c>
      <c r="AF16" s="37">
        <f t="shared" ca="1" si="23"/>
        <v>18443.244019420676</v>
      </c>
      <c r="AG16" s="37">
        <f t="shared" ca="1" si="23"/>
        <v>20578.749086230731</v>
      </c>
      <c r="AH16" s="37">
        <f t="shared" ca="1" si="23"/>
        <v>22846.044733036502</v>
      </c>
      <c r="AI16" s="37">
        <f t="shared" ca="1" si="23"/>
        <v>25247.820940255617</v>
      </c>
      <c r="AJ16" s="37">
        <f t="shared" ca="1" si="23"/>
        <v>27785.594923790984</v>
      </c>
      <c r="AK16" s="37">
        <f t="shared" ca="1" si="23"/>
        <v>30461.938893715414</v>
      </c>
      <c r="AL16" s="37">
        <f t="shared" ca="1" si="23"/>
        <v>33258.208173717831</v>
      </c>
      <c r="AM16" s="37">
        <f t="shared" ca="1" si="23"/>
        <v>36201.811989323469</v>
      </c>
      <c r="AN16" s="37">
        <f t="shared" ca="1" si="23"/>
        <v>39297.855273480105</v>
      </c>
      <c r="AO16" s="37">
        <f t="shared" ca="1" si="24"/>
        <v>42553.358111590707</v>
      </c>
      <c r="AP16" s="37">
        <f t="shared" ca="1" si="24"/>
        <v>45974.3291933738</v>
      </c>
      <c r="AQ16" s="37">
        <f t="shared" ca="1" si="24"/>
        <v>49536.814577565703</v>
      </c>
      <c r="AR16" s="37">
        <f t="shared" ca="1" si="24"/>
        <v>53294.826853197817</v>
      </c>
      <c r="AS16" s="37">
        <f t="shared" ca="1" si="24"/>
        <v>57235.812026298045</v>
      </c>
      <c r="AT16" s="37">
        <f t="shared" ca="1" si="24"/>
        <v>61357.831471097292</v>
      </c>
      <c r="AU16" s="37">
        <f t="shared" ca="1" si="24"/>
        <v>65662.83918905395</v>
      </c>
      <c r="AV16" s="37" t="e">
        <f t="shared" ca="1" si="24"/>
        <v>#N/A</v>
      </c>
      <c r="AW16" s="37" t="e">
        <f t="shared" ca="1" si="24"/>
        <v>#N/A</v>
      </c>
      <c r="AX16" s="37" t="e">
        <f t="shared" ca="1" si="24"/>
        <v>#N/A</v>
      </c>
      <c r="BA16" t="str">
        <f t="shared" si="13"/>
        <v>ImplantSM_Med</v>
      </c>
      <c r="BB16" s="1" t="s">
        <v>23</v>
      </c>
      <c r="BC16" s="1" t="s">
        <v>56</v>
      </c>
      <c r="BD16" s="149">
        <f t="shared" ca="1" si="7"/>
        <v>30202.241279119859</v>
      </c>
      <c r="BE16" s="37">
        <f t="shared" ca="1" si="25"/>
        <v>6442.8284712400673</v>
      </c>
      <c r="BF16" s="37">
        <f t="shared" ca="1" si="25"/>
        <v>7162.2392487478992</v>
      </c>
      <c r="BG16" s="37">
        <f t="shared" ca="1" si="25"/>
        <v>7899.0188228790166</v>
      </c>
      <c r="BH16" s="37">
        <f t="shared" ca="1" si="25"/>
        <v>8698.1547362528745</v>
      </c>
      <c r="BI16" s="37">
        <f t="shared" ca="1" si="25"/>
        <v>9541.1651862930212</v>
      </c>
      <c r="BJ16" s="37">
        <f t="shared" ca="1" si="25"/>
        <v>10427.718027365248</v>
      </c>
      <c r="BK16" s="37">
        <f t="shared" ca="1" si="25"/>
        <v>11359.342383609111</v>
      </c>
      <c r="BL16" s="37">
        <f t="shared" ca="1" si="25"/>
        <v>12315.625184288481</v>
      </c>
      <c r="BM16" s="37">
        <f t="shared" ca="1" si="25"/>
        <v>13336.793869892463</v>
      </c>
      <c r="BN16" s="37">
        <f t="shared" ca="1" si="25"/>
        <v>14409.10953082022</v>
      </c>
      <c r="BO16" s="37">
        <f t="shared" ca="1" si="26"/>
        <v>15536.082611073132</v>
      </c>
      <c r="BP16" s="37">
        <f t="shared" ca="1" si="26"/>
        <v>16718.895491655188</v>
      </c>
      <c r="BQ16" s="37">
        <f t="shared" ca="1" si="26"/>
        <v>17929.463257121213</v>
      </c>
      <c r="BR16" s="37">
        <f t="shared" ca="1" si="26"/>
        <v>19238.266831121393</v>
      </c>
      <c r="BS16" s="37">
        <f t="shared" ca="1" si="26"/>
        <v>20595.618564724544</v>
      </c>
      <c r="BT16" s="37">
        <f t="shared" ca="1" si="26"/>
        <v>22008.210703017379</v>
      </c>
      <c r="BU16" s="37">
        <f t="shared" ca="1" si="26"/>
        <v>23479.330052674555</v>
      </c>
      <c r="BV16" s="37" t="e">
        <f t="shared" ca="1" si="26"/>
        <v>#N/A</v>
      </c>
      <c r="BW16" s="37" t="e">
        <f t="shared" ca="1" si="26"/>
        <v>#N/A</v>
      </c>
      <c r="BX16" s="37" t="e">
        <f t="shared" ca="1" si="26"/>
        <v>#N/A</v>
      </c>
    </row>
    <row r="17" spans="1:76" ht="15.75" thickBot="1" x14ac:dyDescent="0.3">
      <c r="A17" t="s">
        <v>67</v>
      </c>
      <c r="D17" s="3" t="s">
        <v>84</v>
      </c>
      <c r="E17" s="3"/>
      <c r="O17" t="s">
        <v>69</v>
      </c>
      <c r="P17" s="3" t="s">
        <v>84</v>
      </c>
      <c r="Q17" s="3"/>
      <c r="AB17" t="str">
        <f t="shared" si="12"/>
        <v>ImplantSM_Nontrad</v>
      </c>
      <c r="AC17" s="1" t="s">
        <v>23</v>
      </c>
      <c r="AD17" s="1" t="s">
        <v>57</v>
      </c>
      <c r="AE17" s="37">
        <f t="shared" ca="1" si="23"/>
        <v>0</v>
      </c>
      <c r="AF17" s="37">
        <f t="shared" ca="1" si="23"/>
        <v>0</v>
      </c>
      <c r="AG17" s="37">
        <f t="shared" ca="1" si="23"/>
        <v>0</v>
      </c>
      <c r="AH17" s="37">
        <f t="shared" ca="1" si="23"/>
        <v>0</v>
      </c>
      <c r="AI17" s="37">
        <f t="shared" ca="1" si="23"/>
        <v>0</v>
      </c>
      <c r="AJ17" s="37">
        <f t="shared" ca="1" si="23"/>
        <v>0</v>
      </c>
      <c r="AK17" s="37">
        <f t="shared" ca="1" si="23"/>
        <v>0</v>
      </c>
      <c r="AL17" s="37">
        <f t="shared" ca="1" si="23"/>
        <v>0</v>
      </c>
      <c r="AM17" s="37">
        <f t="shared" ca="1" si="23"/>
        <v>0</v>
      </c>
      <c r="AN17" s="37">
        <f t="shared" ca="1" si="23"/>
        <v>0</v>
      </c>
      <c r="AO17" s="37">
        <f t="shared" ca="1" si="24"/>
        <v>0</v>
      </c>
      <c r="AP17" s="37">
        <f t="shared" ca="1" si="24"/>
        <v>0</v>
      </c>
      <c r="AQ17" s="37">
        <f t="shared" ca="1" si="24"/>
        <v>0</v>
      </c>
      <c r="AR17" s="37">
        <f t="shared" ca="1" si="24"/>
        <v>0</v>
      </c>
      <c r="AS17" s="37">
        <f t="shared" ca="1" si="24"/>
        <v>0</v>
      </c>
      <c r="AT17" s="37">
        <f t="shared" ca="1" si="24"/>
        <v>0</v>
      </c>
      <c r="AU17" s="37">
        <f t="shared" ca="1" si="24"/>
        <v>0</v>
      </c>
      <c r="AV17" s="37" t="e">
        <f t="shared" ca="1" si="24"/>
        <v>#N/A</v>
      </c>
      <c r="AW17" s="37" t="e">
        <f t="shared" ca="1" si="24"/>
        <v>#N/A</v>
      </c>
      <c r="AX17" s="37" t="e">
        <f t="shared" ca="1" si="24"/>
        <v>#N/A</v>
      </c>
      <c r="BA17" t="str">
        <f t="shared" si="13"/>
        <v>ImplantSM_Nontrad</v>
      </c>
      <c r="BB17" s="1" t="s">
        <v>23</v>
      </c>
      <c r="BC17" s="1" t="s">
        <v>57</v>
      </c>
      <c r="BD17" s="149">
        <f t="shared" ca="1" si="7"/>
        <v>0</v>
      </c>
      <c r="BE17" s="37">
        <f t="shared" ca="1" si="25"/>
        <v>0</v>
      </c>
      <c r="BF17" s="37">
        <f t="shared" ca="1" si="25"/>
        <v>0</v>
      </c>
      <c r="BG17" s="37">
        <f t="shared" ca="1" si="25"/>
        <v>0</v>
      </c>
      <c r="BH17" s="37">
        <f t="shared" ca="1" si="25"/>
        <v>0</v>
      </c>
      <c r="BI17" s="37">
        <f t="shared" ca="1" si="25"/>
        <v>0</v>
      </c>
      <c r="BJ17" s="37">
        <f t="shared" ca="1" si="25"/>
        <v>0</v>
      </c>
      <c r="BK17" s="37">
        <f t="shared" ca="1" si="25"/>
        <v>0</v>
      </c>
      <c r="BL17" s="37">
        <f t="shared" ca="1" si="25"/>
        <v>0</v>
      </c>
      <c r="BM17" s="37">
        <f t="shared" ca="1" si="25"/>
        <v>0</v>
      </c>
      <c r="BN17" s="37">
        <f t="shared" ca="1" si="25"/>
        <v>0</v>
      </c>
      <c r="BO17" s="37">
        <f t="shared" ca="1" si="26"/>
        <v>0</v>
      </c>
      <c r="BP17" s="37">
        <f t="shared" ca="1" si="26"/>
        <v>0</v>
      </c>
      <c r="BQ17" s="37">
        <f t="shared" ca="1" si="26"/>
        <v>0</v>
      </c>
      <c r="BR17" s="37">
        <f t="shared" ca="1" si="26"/>
        <v>0</v>
      </c>
      <c r="BS17" s="37">
        <f t="shared" ca="1" si="26"/>
        <v>0</v>
      </c>
      <c r="BT17" s="37">
        <f t="shared" ca="1" si="26"/>
        <v>0</v>
      </c>
      <c r="BU17" s="37">
        <f t="shared" ca="1" si="26"/>
        <v>0</v>
      </c>
      <c r="BV17" s="37" t="e">
        <f t="shared" ca="1" si="26"/>
        <v>#N/A</v>
      </c>
      <c r="BW17" s="37" t="e">
        <f t="shared" ca="1" si="26"/>
        <v>#N/A</v>
      </c>
      <c r="BX17" s="37" t="e">
        <f t="shared" ca="1" si="26"/>
        <v>#N/A</v>
      </c>
    </row>
    <row r="18" spans="1:76" ht="15.75" thickBot="1" x14ac:dyDescent="0.3">
      <c r="D18" s="49" t="s">
        <v>70</v>
      </c>
      <c r="E18" s="67" t="s">
        <v>71</v>
      </c>
      <c r="F18" s="9" t="s">
        <v>50</v>
      </c>
      <c r="G18" s="9" t="s">
        <v>12</v>
      </c>
      <c r="H18" s="9" t="s">
        <v>16</v>
      </c>
      <c r="I18" s="9" t="s">
        <v>23</v>
      </c>
      <c r="J18" s="9" t="s">
        <v>22</v>
      </c>
      <c r="K18" s="9" t="s">
        <v>25</v>
      </c>
      <c r="L18" s="10" t="s">
        <v>60</v>
      </c>
      <c r="P18" s="49" t="s">
        <v>70</v>
      </c>
      <c r="Q18" s="67" t="s">
        <v>71</v>
      </c>
      <c r="R18" s="9" t="s">
        <v>50</v>
      </c>
      <c r="S18" s="9" t="s">
        <v>12</v>
      </c>
      <c r="T18" s="9" t="s">
        <v>16</v>
      </c>
      <c r="U18" s="9" t="s">
        <v>23</v>
      </c>
      <c r="V18" s="9" t="s">
        <v>22</v>
      </c>
      <c r="W18" s="9" t="s">
        <v>25</v>
      </c>
      <c r="X18" s="10" t="s">
        <v>60</v>
      </c>
      <c r="AB18" t="str">
        <f t="shared" si="12"/>
        <v>ImplantCommercial</v>
      </c>
      <c r="AC18" s="1" t="s">
        <v>23</v>
      </c>
      <c r="AD18" s="1" t="s">
        <v>59</v>
      </c>
      <c r="AE18" s="37">
        <f t="shared" ca="1" si="23"/>
        <v>103404.12863295653</v>
      </c>
      <c r="AF18" s="37">
        <f t="shared" ca="1" si="23"/>
        <v>117663.02959107266</v>
      </c>
      <c r="AG18" s="37">
        <f t="shared" ca="1" si="23"/>
        <v>132663.88410625831</v>
      </c>
      <c r="AH18" s="37">
        <f t="shared" ca="1" si="23"/>
        <v>148606.54755395057</v>
      </c>
      <c r="AI18" s="37">
        <f t="shared" ca="1" si="23"/>
        <v>165513.00639758795</v>
      </c>
      <c r="AJ18" s="37">
        <f t="shared" ca="1" si="23"/>
        <v>183396.97173293977</v>
      </c>
      <c r="AK18" s="37">
        <f t="shared" ca="1" si="23"/>
        <v>202278.58587939665</v>
      </c>
      <c r="AL18" s="37">
        <f t="shared" ca="1" si="23"/>
        <v>222036.07136266923</v>
      </c>
      <c r="AM18" s="37">
        <f t="shared" ca="1" si="23"/>
        <v>242853.65745419619</v>
      </c>
      <c r="AN18" s="37">
        <f t="shared" ca="1" si="23"/>
        <v>264768.42648392473</v>
      </c>
      <c r="AO18" s="37">
        <f t="shared" ca="1" si="24"/>
        <v>287830.46983931091</v>
      </c>
      <c r="AP18" s="37">
        <f t="shared" ca="1" si="24"/>
        <v>312083.24194942729</v>
      </c>
      <c r="AQ18" s="37">
        <f t="shared" ca="1" si="24"/>
        <v>337366.23065712571</v>
      </c>
      <c r="AR18" s="37">
        <f t="shared" ca="1" si="24"/>
        <v>364283.48765913257</v>
      </c>
      <c r="AS18" s="37">
        <f t="shared" ca="1" si="24"/>
        <v>392573.28762152477</v>
      </c>
      <c r="AT18" s="37">
        <f t="shared" ca="1" si="24"/>
        <v>422187.29713945149</v>
      </c>
      <c r="AU18" s="37">
        <f t="shared" ca="1" si="24"/>
        <v>453141.56114652334</v>
      </c>
      <c r="AV18" s="37" t="e">
        <f t="shared" ca="1" si="24"/>
        <v>#N/A</v>
      </c>
      <c r="AW18" s="37" t="e">
        <f t="shared" ca="1" si="24"/>
        <v>#N/A</v>
      </c>
      <c r="AX18" s="37" t="e">
        <f t="shared" ca="1" si="24"/>
        <v>#N/A</v>
      </c>
      <c r="BA18" t="str">
        <f t="shared" si="13"/>
        <v>ImplantCommercial</v>
      </c>
      <c r="BB18" s="1" t="s">
        <v>23</v>
      </c>
      <c r="BC18" s="1" t="s">
        <v>59</v>
      </c>
      <c r="BD18" s="149">
        <f t="shared" ca="1" si="7"/>
        <v>197261.50171373895</v>
      </c>
      <c r="BE18" s="37">
        <f t="shared" ca="1" si="25"/>
        <v>41518.132064530044</v>
      </c>
      <c r="BF18" s="37">
        <f t="shared" ca="1" si="25"/>
        <v>46572.691155915047</v>
      </c>
      <c r="BG18" s="37">
        <f t="shared" ca="1" si="25"/>
        <v>51770.551262395849</v>
      </c>
      <c r="BH18" s="37">
        <f t="shared" ca="1" si="25"/>
        <v>57400.127230897997</v>
      </c>
      <c r="BI18" s="37">
        <f t="shared" ca="1" si="25"/>
        <v>63346.004954246935</v>
      </c>
      <c r="BJ18" s="37">
        <f t="shared" ca="1" si="25"/>
        <v>69606.77983459807</v>
      </c>
      <c r="BK18" s="37">
        <f t="shared" ca="1" si="25"/>
        <v>76193.16781300056</v>
      </c>
      <c r="BL18" s="37">
        <f t="shared" ca="1" si="25"/>
        <v>82969.543570584006</v>
      </c>
      <c r="BM18" s="37">
        <f t="shared" ca="1" si="25"/>
        <v>90203.858392361086</v>
      </c>
      <c r="BN18" s="37">
        <f t="shared" ca="1" si="25"/>
        <v>97806.536984164879</v>
      </c>
      <c r="BO18" s="37">
        <f t="shared" ca="1" si="26"/>
        <v>105802.17663161263</v>
      </c>
      <c r="BP18" s="37">
        <f t="shared" ca="1" si="26"/>
        <v>114199.79393490104</v>
      </c>
      <c r="BQ18" s="37">
        <f t="shared" ca="1" si="26"/>
        <v>122809.00181689445</v>
      </c>
      <c r="BR18" s="37">
        <f t="shared" ca="1" si="26"/>
        <v>132344.20408235869</v>
      </c>
      <c r="BS18" s="37">
        <f t="shared" ca="1" si="26"/>
        <v>142128.38985587112</v>
      </c>
      <c r="BT18" s="37">
        <f t="shared" ca="1" si="26"/>
        <v>152293.16189965321</v>
      </c>
      <c r="BU18" s="37">
        <f t="shared" ca="1" si="26"/>
        <v>162887.79436315037</v>
      </c>
      <c r="BV18" s="37" t="e">
        <f t="shared" ca="1" si="26"/>
        <v>#N/A</v>
      </c>
      <c r="BW18" s="37" t="e">
        <f t="shared" ca="1" si="26"/>
        <v>#N/A</v>
      </c>
      <c r="BX18" s="37" t="e">
        <f t="shared" ca="1" si="26"/>
        <v>#N/A</v>
      </c>
    </row>
    <row r="19" spans="1:76" x14ac:dyDescent="0.25">
      <c r="A19" t="s">
        <v>85</v>
      </c>
      <c r="B19">
        <f t="shared" ref="B19:B24" si="27">Yr_Start</f>
        <v>2019</v>
      </c>
      <c r="C19" s="77" t="s">
        <v>52</v>
      </c>
      <c r="D19" s="71">
        <f>Yr_Start</f>
        <v>2019</v>
      </c>
      <c r="E19" s="181" t="s">
        <v>73</v>
      </c>
      <c r="F19" s="47" t="s">
        <v>51</v>
      </c>
      <c r="G19" s="178">
        <f ca="1">INDEX(INDIRECT(G$18&amp;"_"&amp;$A$17&amp;"!"&amp;$A$19),MATCH($C19,INDIRECT(G$18&amp;"_"&amp;$A$17&amp;"!"&amp;$A$20),0),MATCH($B19,INDIRECT(G$18&amp;"_"&amp;$A$17&amp;"!"&amp;$A$21),0))</f>
        <v>0</v>
      </c>
      <c r="H19" s="178">
        <f t="shared" ref="H19:K19" ca="1" si="28">INDEX(INDIRECT(H$18&amp;"_"&amp;$A$17&amp;"!"&amp;$A$19),MATCH($C19,INDIRECT(H$18&amp;"_"&amp;$A$17&amp;"!"&amp;$A$20),0),MATCH($B19,INDIRECT(H$18&amp;"_"&amp;$A$17&amp;"!"&amp;$A$21),0))</f>
        <v>56515.073884773352</v>
      </c>
      <c r="I19" s="178">
        <f t="shared" ca="1" si="28"/>
        <v>328233.45576963801</v>
      </c>
      <c r="J19" s="178">
        <f t="shared" ca="1" si="28"/>
        <v>571617.9933902059</v>
      </c>
      <c r="K19" s="178">
        <f t="shared" ca="1" si="28"/>
        <v>87197.859691478676</v>
      </c>
      <c r="L19" s="179">
        <f t="shared" ref="L19:L22" ca="1" si="29">SUM(G19:K19)</f>
        <v>1043564.3827360959</v>
      </c>
      <c r="P19" s="71">
        <f>Yr_Start</f>
        <v>2019</v>
      </c>
      <c r="Q19" s="68" t="s">
        <v>73</v>
      </c>
      <c r="R19" s="47" t="s">
        <v>51</v>
      </c>
      <c r="S19" s="178">
        <f ca="1">INDEX(INDIRECT(S$18&amp;"_"&amp;$O$17&amp;"!"&amp;$A$19),MATCH($C19,INDIRECT(S$18&amp;"_"&amp;$O$17&amp;"!"&amp;$A$20),0),MATCH($B19,INDIRECT(S$18&amp;"_"&amp;$O$17&amp;"!"&amp;$A$21),0))</f>
        <v>0</v>
      </c>
      <c r="T19" s="178">
        <f t="shared" ref="T19:W19" ca="1" si="30">INDEX(INDIRECT(T$18&amp;"_"&amp;$O$17&amp;"!"&amp;$A$19),MATCH($C19,INDIRECT(T$18&amp;"_"&amp;$O$17&amp;"!"&amp;$A$20),0),MATCH($B19,INDIRECT(T$18&amp;"_"&amp;$O$17&amp;"!"&amp;$A$21),0))</f>
        <v>56515.073884773352</v>
      </c>
      <c r="U19" s="178">
        <f t="shared" ca="1" si="30"/>
        <v>328233.45576963801</v>
      </c>
      <c r="V19" s="178">
        <f t="shared" ca="1" si="30"/>
        <v>571617.9933902059</v>
      </c>
      <c r="W19" s="178">
        <f t="shared" ca="1" si="30"/>
        <v>87197.859691478676</v>
      </c>
      <c r="X19" s="179">
        <f ca="1">SUM(S19:W19)</f>
        <v>1043564.3827360959</v>
      </c>
      <c r="AB19" t="str">
        <f t="shared" si="12"/>
        <v>InjectablePub_Med</v>
      </c>
      <c r="AC19" s="1" t="s">
        <v>22</v>
      </c>
      <c r="AD19" s="1" t="s">
        <v>52</v>
      </c>
      <c r="AE19" s="37">
        <f t="shared" ca="1" si="23"/>
        <v>963811.08477007388</v>
      </c>
      <c r="AF19" s="37">
        <f t="shared" ca="1" si="23"/>
        <v>1069985.0807435964</v>
      </c>
      <c r="AG19" s="37">
        <f t="shared" ca="1" si="23"/>
        <v>1181113.3348700986</v>
      </c>
      <c r="AH19" s="37">
        <f t="shared" ca="1" si="23"/>
        <v>1298951.0205842317</v>
      </c>
      <c r="AI19" s="37">
        <f t="shared" ca="1" si="23"/>
        <v>1423609.4709994327</v>
      </c>
      <c r="AJ19" s="37">
        <f t="shared" ca="1" si="23"/>
        <v>1555139.3360484701</v>
      </c>
      <c r="AK19" s="37">
        <f t="shared" ca="1" si="23"/>
        <v>1693655.2460847958</v>
      </c>
      <c r="AL19" s="37">
        <f t="shared" ca="1" si="23"/>
        <v>1838101.756618333</v>
      </c>
      <c r="AM19" s="37">
        <f t="shared" ca="1" si="23"/>
        <v>1989982.1996350542</v>
      </c>
      <c r="AN19" s="37">
        <f t="shared" ca="1" si="23"/>
        <v>2149550.8935746518</v>
      </c>
      <c r="AO19" s="37">
        <f t="shared" ca="1" si="24"/>
        <v>2317165.933335769</v>
      </c>
      <c r="AP19" s="37">
        <f t="shared" ca="1" si="24"/>
        <v>2493128.4480928397</v>
      </c>
      <c r="AQ19" s="37">
        <f t="shared" ca="1" si="24"/>
        <v>2676120.0534949461</v>
      </c>
      <c r="AR19" s="37">
        <f t="shared" ca="1" si="24"/>
        <v>2868004.8335234416</v>
      </c>
      <c r="AS19" s="37">
        <f t="shared" ca="1" si="24"/>
        <v>3068872.6627258076</v>
      </c>
      <c r="AT19" s="37">
        <f t="shared" ca="1" si="24"/>
        <v>3278762.9654891361</v>
      </c>
      <c r="AU19" s="37">
        <f t="shared" ca="1" si="24"/>
        <v>3497758.5987298414</v>
      </c>
      <c r="AV19" s="37" t="e">
        <f t="shared" ca="1" si="24"/>
        <v>#N/A</v>
      </c>
      <c r="AW19" s="37" t="e">
        <f t="shared" ca="1" si="24"/>
        <v>#N/A</v>
      </c>
      <c r="AX19" s="37" t="e">
        <f t="shared" ca="1" si="24"/>
        <v>#N/A</v>
      </c>
      <c r="BA19" t="str">
        <f t="shared" si="13"/>
        <v>InjectablePub_Med</v>
      </c>
      <c r="BB19" s="1" t="s">
        <v>22</v>
      </c>
      <c r="BC19" s="1" t="s">
        <v>52</v>
      </c>
      <c r="BD19" s="149">
        <f t="shared" ca="1" si="7"/>
        <v>18055442.083872005</v>
      </c>
      <c r="BE19" s="37">
        <f t="shared" ca="1" si="25"/>
        <v>3855244.3390802955</v>
      </c>
      <c r="BF19" s="37">
        <f t="shared" ca="1" si="25"/>
        <v>4279940.3229743857</v>
      </c>
      <c r="BG19" s="37">
        <f t="shared" ca="1" si="25"/>
        <v>4724453.3394803945</v>
      </c>
      <c r="BH19" s="37">
        <f t="shared" ca="1" si="25"/>
        <v>5195804.0823369268</v>
      </c>
      <c r="BI19" s="37">
        <f t="shared" ca="1" si="25"/>
        <v>5694437.8839977309</v>
      </c>
      <c r="BJ19" s="37">
        <f t="shared" ca="1" si="25"/>
        <v>6220557.3441938804</v>
      </c>
      <c r="BK19" s="37">
        <f t="shared" ca="1" si="25"/>
        <v>6774620.9843391832</v>
      </c>
      <c r="BL19" s="37">
        <f t="shared" ca="1" si="25"/>
        <v>7352407.0264733322</v>
      </c>
      <c r="BM19" s="37">
        <f t="shared" ca="1" si="25"/>
        <v>7959928.7985402169</v>
      </c>
      <c r="BN19" s="37">
        <f t="shared" ca="1" si="25"/>
        <v>8598203.5742986072</v>
      </c>
      <c r="BO19" s="37">
        <f t="shared" ca="1" si="26"/>
        <v>9268663.733343076</v>
      </c>
      <c r="BP19" s="37">
        <f t="shared" ca="1" si="26"/>
        <v>9972513.7923713587</v>
      </c>
      <c r="BQ19" s="37">
        <f t="shared" ca="1" si="26"/>
        <v>10704480.213979784</v>
      </c>
      <c r="BR19" s="37">
        <f t="shared" ca="1" si="26"/>
        <v>11472019.334093766</v>
      </c>
      <c r="BS19" s="37">
        <f t="shared" ca="1" si="26"/>
        <v>12275490.650903231</v>
      </c>
      <c r="BT19" s="37">
        <f t="shared" ca="1" si="26"/>
        <v>13115051.861956544</v>
      </c>
      <c r="BU19" s="37">
        <f t="shared" ca="1" si="26"/>
        <v>13991034.394919366</v>
      </c>
      <c r="BV19" s="37" t="e">
        <f t="shared" ca="1" si="26"/>
        <v>#N/A</v>
      </c>
      <c r="BW19" s="37" t="e">
        <f t="shared" ca="1" si="26"/>
        <v>#N/A</v>
      </c>
      <c r="BX19" s="37" t="e">
        <f t="shared" ca="1" si="26"/>
        <v>#N/A</v>
      </c>
    </row>
    <row r="20" spans="1:76" x14ac:dyDescent="0.25">
      <c r="A20" t="s">
        <v>86</v>
      </c>
      <c r="B20">
        <f t="shared" si="27"/>
        <v>2019</v>
      </c>
      <c r="C20" s="77" t="s">
        <v>54</v>
      </c>
      <c r="D20" s="72"/>
      <c r="E20" s="182" t="s">
        <v>73</v>
      </c>
      <c r="F20" s="1" t="s">
        <v>53</v>
      </c>
      <c r="G20" s="37">
        <f t="shared" ref="G20:K23" ca="1" si="31">INDEX(INDIRECT(G$18&amp;"_"&amp;$A$17&amp;"!"&amp;$A$19),MATCH($C20,INDIRECT(G$18&amp;"_"&amp;$A$17&amp;"!"&amp;$A$20),0),MATCH($B20,INDIRECT(G$18&amp;"_"&amp;$A$17&amp;"!"&amp;$A$21),0))</f>
        <v>2919.5819403029254</v>
      </c>
      <c r="H20" s="37">
        <f t="shared" ca="1" si="31"/>
        <v>186.03491991346547</v>
      </c>
      <c r="I20" s="37">
        <f t="shared" ca="1" si="31"/>
        <v>20671.589497203582</v>
      </c>
      <c r="J20" s="37">
        <f t="shared" ca="1" si="31"/>
        <v>27779.664376314096</v>
      </c>
      <c r="K20" s="37">
        <f t="shared" ca="1" si="31"/>
        <v>10458.308906330043</v>
      </c>
      <c r="L20" s="46">
        <f t="shared" ca="1" si="29"/>
        <v>62015.179640064111</v>
      </c>
      <c r="P20" s="72"/>
      <c r="Q20" s="69" t="s">
        <v>73</v>
      </c>
      <c r="R20" s="74" t="s">
        <v>53</v>
      </c>
      <c r="S20" s="37">
        <f t="shared" ref="S20:W23" ca="1" si="32">INDEX(INDIRECT(S$18&amp;"_"&amp;$O$17&amp;"!"&amp;$A$19),MATCH($C20,INDIRECT(S$18&amp;"_"&amp;$O$17&amp;"!"&amp;$A$20),0),MATCH($B20,INDIRECT(S$18&amp;"_"&amp;$O$17&amp;"!"&amp;$A$21),0))</f>
        <v>2919.5819403029254</v>
      </c>
      <c r="T20" s="37">
        <f t="shared" ca="1" si="32"/>
        <v>186.03491991346547</v>
      </c>
      <c r="U20" s="37">
        <f t="shared" ca="1" si="32"/>
        <v>20671.589497203582</v>
      </c>
      <c r="V20" s="37">
        <f t="shared" ca="1" si="32"/>
        <v>27867.116689093928</v>
      </c>
      <c r="W20" s="37">
        <f t="shared" ca="1" si="32"/>
        <v>10458.308906330043</v>
      </c>
      <c r="X20" s="46">
        <f ca="1">SUM(S20:W20)</f>
        <v>62102.631952843942</v>
      </c>
      <c r="AB20" t="str">
        <f t="shared" si="12"/>
        <v>InjectablePub_Outreach</v>
      </c>
      <c r="AC20" s="1" t="s">
        <v>22</v>
      </c>
      <c r="AD20" s="1" t="s">
        <v>54</v>
      </c>
      <c r="AE20" s="37">
        <f t="shared" ca="1" si="23"/>
        <v>50499.976383553003</v>
      </c>
      <c r="AF20" s="37">
        <f t="shared" ca="1" si="23"/>
        <v>57047.615585655949</v>
      </c>
      <c r="AG20" s="37">
        <f t="shared" ca="1" si="23"/>
        <v>67027.547330106521</v>
      </c>
      <c r="AH20" s="37">
        <f t="shared" ca="1" si="23"/>
        <v>74318.394678163255</v>
      </c>
      <c r="AI20" s="37">
        <f t="shared" ca="1" si="23"/>
        <v>85641.673971844866</v>
      </c>
      <c r="AJ20" s="37">
        <f t="shared" ca="1" si="23"/>
        <v>93859.917484832884</v>
      </c>
      <c r="AK20" s="37">
        <f t="shared" ca="1" si="23"/>
        <v>106370.56773946104</v>
      </c>
      <c r="AL20" s="37">
        <f t="shared" ca="1" si="23"/>
        <v>117663.77667261622</v>
      </c>
      <c r="AM20" s="37">
        <f t="shared" ca="1" si="23"/>
        <v>129576.55699288656</v>
      </c>
      <c r="AN20" s="37">
        <f t="shared" ca="1" si="23"/>
        <v>142130.82766344681</v>
      </c>
      <c r="AO20" s="37">
        <f t="shared" ca="1" si="24"/>
        <v>155355.57025650359</v>
      </c>
      <c r="AP20" s="37">
        <f t="shared" ca="1" si="24"/>
        <v>169276.33630590804</v>
      </c>
      <c r="AQ20" s="37">
        <f t="shared" ca="1" si="24"/>
        <v>183807.61766984698</v>
      </c>
      <c r="AR20" s="37">
        <f t="shared" ca="1" si="24"/>
        <v>199080.23043762197</v>
      </c>
      <c r="AS20" s="37">
        <f t="shared" ca="1" si="24"/>
        <v>215105.4905469426</v>
      </c>
      <c r="AT20" s="37">
        <f t="shared" ca="1" si="24"/>
        <v>231890.69145470843</v>
      </c>
      <c r="AU20" s="37">
        <f t="shared" ca="1" si="24"/>
        <v>249445.72508146905</v>
      </c>
      <c r="AV20" s="37" t="e">
        <f t="shared" ca="1" si="24"/>
        <v>#N/A</v>
      </c>
      <c r="AW20" s="37" t="e">
        <f t="shared" ca="1" si="24"/>
        <v>#N/A</v>
      </c>
      <c r="AX20" s="37" t="e">
        <f t="shared" ca="1" si="24"/>
        <v>#N/A</v>
      </c>
      <c r="BA20" t="str">
        <f t="shared" si="13"/>
        <v>InjectablePub_Outreach</v>
      </c>
      <c r="BB20" s="1" t="s">
        <v>22</v>
      </c>
      <c r="BC20" s="1" t="s">
        <v>54</v>
      </c>
      <c r="BD20" s="149">
        <f t="shared" ca="1" si="7"/>
        <v>995574.13590991485</v>
      </c>
      <c r="BE20" s="37">
        <f t="shared" ca="1" si="25"/>
        <v>201999.90553421201</v>
      </c>
      <c r="BF20" s="37">
        <f t="shared" ca="1" si="25"/>
        <v>228190.4623426238</v>
      </c>
      <c r="BG20" s="37">
        <f t="shared" ca="1" si="25"/>
        <v>268110.18932042609</v>
      </c>
      <c r="BH20" s="37">
        <f t="shared" ca="1" si="25"/>
        <v>297273.57871265302</v>
      </c>
      <c r="BI20" s="37">
        <f t="shared" ca="1" si="25"/>
        <v>342566.69588737946</v>
      </c>
      <c r="BJ20" s="37">
        <f t="shared" ca="1" si="25"/>
        <v>375439.66993933154</v>
      </c>
      <c r="BK20" s="37">
        <f t="shared" ca="1" si="25"/>
        <v>425482.27095784416</v>
      </c>
      <c r="BL20" s="37">
        <f t="shared" ca="1" si="25"/>
        <v>470655.10669046489</v>
      </c>
      <c r="BM20" s="37">
        <f t="shared" ca="1" si="25"/>
        <v>518306.22797154624</v>
      </c>
      <c r="BN20" s="37">
        <f t="shared" ca="1" si="25"/>
        <v>568523.31065378722</v>
      </c>
      <c r="BO20" s="37">
        <f t="shared" ca="1" si="26"/>
        <v>621422.28102601436</v>
      </c>
      <c r="BP20" s="37">
        <f t="shared" ca="1" si="26"/>
        <v>677105.34522363218</v>
      </c>
      <c r="BQ20" s="37">
        <f t="shared" ca="1" si="26"/>
        <v>735230.47067938792</v>
      </c>
      <c r="BR20" s="37">
        <f t="shared" ca="1" si="26"/>
        <v>796320.92175048788</v>
      </c>
      <c r="BS20" s="37">
        <f t="shared" ca="1" si="26"/>
        <v>860421.9621877704</v>
      </c>
      <c r="BT20" s="37">
        <f t="shared" ca="1" si="26"/>
        <v>927562.76581883372</v>
      </c>
      <c r="BU20" s="37">
        <f t="shared" ca="1" si="26"/>
        <v>997782.90032587619</v>
      </c>
      <c r="BV20" s="37" t="e">
        <f t="shared" ca="1" si="26"/>
        <v>#N/A</v>
      </c>
      <c r="BW20" s="37" t="e">
        <f t="shared" ca="1" si="26"/>
        <v>#N/A</v>
      </c>
      <c r="BX20" s="37" t="e">
        <f t="shared" ca="1" si="26"/>
        <v>#N/A</v>
      </c>
    </row>
    <row r="21" spans="1:76" x14ac:dyDescent="0.25">
      <c r="A21" t="s">
        <v>87</v>
      </c>
      <c r="B21">
        <f t="shared" si="27"/>
        <v>2019</v>
      </c>
      <c r="C21" s="77" t="s">
        <v>56</v>
      </c>
      <c r="D21" s="72"/>
      <c r="E21" s="182" t="s">
        <v>55</v>
      </c>
      <c r="F21" s="1" t="s">
        <v>80</v>
      </c>
      <c r="G21" s="37">
        <f t="shared" ca="1" si="31"/>
        <v>38371.391011580155</v>
      </c>
      <c r="H21" s="37">
        <f t="shared" ca="1" si="31"/>
        <v>9996.9051832204423</v>
      </c>
      <c r="I21" s="37">
        <f t="shared" ca="1" si="31"/>
        <v>8268.4872726088906</v>
      </c>
      <c r="J21" s="37">
        <f t="shared" ca="1" si="31"/>
        <v>275578.53314446029</v>
      </c>
      <c r="K21" s="37">
        <f t="shared" ca="1" si="31"/>
        <v>45838.194118098167</v>
      </c>
      <c r="L21" s="46">
        <f t="shared" ca="1" si="29"/>
        <v>378053.51072996797</v>
      </c>
      <c r="P21" s="72"/>
      <c r="Q21" s="69" t="s">
        <v>55</v>
      </c>
      <c r="R21" s="74" t="s">
        <v>80</v>
      </c>
      <c r="S21" s="37">
        <f t="shared" ca="1" si="32"/>
        <v>38371.391011580155</v>
      </c>
      <c r="T21" s="37">
        <f t="shared" ca="1" si="32"/>
        <v>9996.9051832204423</v>
      </c>
      <c r="U21" s="37">
        <f t="shared" ca="1" si="32"/>
        <v>8268.4872726088906</v>
      </c>
      <c r="V21" s="37">
        <f t="shared" ca="1" si="32"/>
        <v>275578.53314446029</v>
      </c>
      <c r="W21" s="37">
        <f t="shared" ca="1" si="32"/>
        <v>45838.194118098167</v>
      </c>
      <c r="X21" s="46">
        <f t="shared" ref="X21:X23" ca="1" si="33">SUM(S21:W21)</f>
        <v>378053.51072996797</v>
      </c>
      <c r="AB21" t="str">
        <f t="shared" si="12"/>
        <v>InjectableSM_Med</v>
      </c>
      <c r="AC21" s="1" t="s">
        <v>22</v>
      </c>
      <c r="AD21" s="1" t="s">
        <v>56</v>
      </c>
      <c r="AE21" s="37">
        <f t="shared" ca="1" si="23"/>
        <v>646433.36705838051</v>
      </c>
      <c r="AF21" s="37">
        <f t="shared" ca="1" si="23"/>
        <v>663224.67545157962</v>
      </c>
      <c r="AG21" s="37">
        <f t="shared" ca="1" si="23"/>
        <v>679345.75941014802</v>
      </c>
      <c r="AH21" s="37">
        <f t="shared" ca="1" si="23"/>
        <v>695754.67750176357</v>
      </c>
      <c r="AI21" s="37">
        <f t="shared" ca="1" si="23"/>
        <v>712335.54632810922</v>
      </c>
      <c r="AJ21" s="37">
        <f t="shared" ca="1" si="23"/>
        <v>740356.90723830741</v>
      </c>
      <c r="AK21" s="37">
        <f t="shared" ca="1" si="23"/>
        <v>774674.65430387179</v>
      </c>
      <c r="AL21" s="37">
        <f t="shared" ca="1" si="23"/>
        <v>809624.05032567924</v>
      </c>
      <c r="AM21" s="37">
        <f t="shared" ca="1" si="23"/>
        <v>845834.57420211495</v>
      </c>
      <c r="AN21" s="37">
        <f t="shared" ca="1" si="23"/>
        <v>883339.23836669244</v>
      </c>
      <c r="AO21" s="37">
        <f t="shared" ca="1" si="24"/>
        <v>922210.88814390684</v>
      </c>
      <c r="AP21" s="37">
        <f t="shared" ca="1" si="24"/>
        <v>962494.24331666669</v>
      </c>
      <c r="AQ21" s="37">
        <f t="shared" ca="1" si="24"/>
        <v>1003624.1980833067</v>
      </c>
      <c r="AR21" s="37">
        <f t="shared" ca="1" si="24"/>
        <v>1046260.8526076479</v>
      </c>
      <c r="AS21" s="37">
        <f t="shared" ca="1" si="24"/>
        <v>1090365.8569255371</v>
      </c>
      <c r="AT21" s="37">
        <f t="shared" ca="1" si="24"/>
        <v>1135889.7494425001</v>
      </c>
      <c r="AU21" s="37">
        <f t="shared" ca="1" si="24"/>
        <v>1182804.7465069555</v>
      </c>
      <c r="AV21" s="37" t="e">
        <f t="shared" ca="1" si="24"/>
        <v>#N/A</v>
      </c>
      <c r="AW21" s="37" t="e">
        <f t="shared" ca="1" si="24"/>
        <v>#N/A</v>
      </c>
      <c r="AX21" s="37" t="e">
        <f t="shared" ca="1" si="24"/>
        <v>#N/A</v>
      </c>
      <c r="BA21" t="str">
        <f t="shared" si="13"/>
        <v>InjectableSM_Med</v>
      </c>
      <c r="BB21" s="1" t="s">
        <v>22</v>
      </c>
      <c r="BC21" s="1" t="s">
        <v>56</v>
      </c>
      <c r="BD21" s="149">
        <f t="shared" ca="1" si="7"/>
        <v>10739033.917687487</v>
      </c>
      <c r="BE21" s="37">
        <f t="shared" ca="1" si="25"/>
        <v>2585733.468233522</v>
      </c>
      <c r="BF21" s="37">
        <f t="shared" ca="1" si="25"/>
        <v>2652898.7018063185</v>
      </c>
      <c r="BG21" s="37">
        <f t="shared" ca="1" si="25"/>
        <v>2717383.0376405921</v>
      </c>
      <c r="BH21" s="37">
        <f t="shared" ca="1" si="25"/>
        <v>2783018.7100070543</v>
      </c>
      <c r="BI21" s="37">
        <f t="shared" ca="1" si="25"/>
        <v>2849342.1853124369</v>
      </c>
      <c r="BJ21" s="37">
        <f t="shared" ca="1" si="25"/>
        <v>2961427.6289532296</v>
      </c>
      <c r="BK21" s="37">
        <f t="shared" ca="1" si="25"/>
        <v>3098698.6172154872</v>
      </c>
      <c r="BL21" s="37">
        <f t="shared" ca="1" si="25"/>
        <v>3238496.201302717</v>
      </c>
      <c r="BM21" s="37">
        <f t="shared" ca="1" si="25"/>
        <v>3383338.2968084598</v>
      </c>
      <c r="BN21" s="37">
        <f t="shared" ca="1" si="25"/>
        <v>3533356.9534667698</v>
      </c>
      <c r="BO21" s="37">
        <f t="shared" ca="1" si="26"/>
        <v>3688843.5525756273</v>
      </c>
      <c r="BP21" s="37">
        <f t="shared" ca="1" si="26"/>
        <v>3849976.9732666668</v>
      </c>
      <c r="BQ21" s="37">
        <f t="shared" ca="1" si="26"/>
        <v>4014496.7923332267</v>
      </c>
      <c r="BR21" s="37">
        <f t="shared" ca="1" si="26"/>
        <v>4185043.4104305916</v>
      </c>
      <c r="BS21" s="37">
        <f t="shared" ca="1" si="26"/>
        <v>4361463.4277021484</v>
      </c>
      <c r="BT21" s="37">
        <f t="shared" ca="1" si="26"/>
        <v>4543558.9977700002</v>
      </c>
      <c r="BU21" s="37">
        <f t="shared" ca="1" si="26"/>
        <v>4731218.9860278219</v>
      </c>
      <c r="BV21" s="37" t="e">
        <f t="shared" ca="1" si="26"/>
        <v>#N/A</v>
      </c>
      <c r="BW21" s="37" t="e">
        <f t="shared" ca="1" si="26"/>
        <v>#N/A</v>
      </c>
      <c r="BX21" s="37" t="e">
        <f t="shared" ca="1" si="26"/>
        <v>#N/A</v>
      </c>
    </row>
    <row r="22" spans="1:76" x14ac:dyDescent="0.25">
      <c r="B22">
        <f t="shared" si="27"/>
        <v>2019</v>
      </c>
      <c r="C22" s="77" t="s">
        <v>57</v>
      </c>
      <c r="D22" s="72"/>
      <c r="E22" s="182" t="s">
        <v>55</v>
      </c>
      <c r="F22" s="1" t="s">
        <v>83</v>
      </c>
      <c r="G22" s="37">
        <f t="shared" ca="1" si="31"/>
        <v>0</v>
      </c>
      <c r="H22" s="37">
        <f t="shared" ca="1" si="31"/>
        <v>0</v>
      </c>
      <c r="I22" s="37">
        <f t="shared" ca="1" si="31"/>
        <v>0</v>
      </c>
      <c r="J22" s="37">
        <f t="shared" ca="1" si="31"/>
        <v>0</v>
      </c>
      <c r="K22" s="37">
        <f t="shared" ca="1" si="31"/>
        <v>124.72996529810563</v>
      </c>
      <c r="L22" s="46">
        <f t="shared" ca="1" si="29"/>
        <v>124.72996529810563</v>
      </c>
      <c r="P22" s="72"/>
      <c r="Q22" s="69" t="s">
        <v>55</v>
      </c>
      <c r="R22" s="74" t="s">
        <v>83</v>
      </c>
      <c r="S22" s="37">
        <f t="shared" ca="1" si="32"/>
        <v>0</v>
      </c>
      <c r="T22" s="37">
        <f t="shared" ca="1" si="32"/>
        <v>0</v>
      </c>
      <c r="U22" s="37">
        <f t="shared" ca="1" si="32"/>
        <v>0</v>
      </c>
      <c r="V22" s="37">
        <f t="shared" ca="1" si="32"/>
        <v>0</v>
      </c>
      <c r="W22" s="37">
        <f t="shared" ca="1" si="32"/>
        <v>124.72996529810563</v>
      </c>
      <c r="X22" s="46">
        <f t="shared" ca="1" si="33"/>
        <v>124.72996529810563</v>
      </c>
      <c r="AB22" t="str">
        <f t="shared" si="12"/>
        <v>InjectableSM_Nontrad</v>
      </c>
      <c r="AC22" s="1" t="s">
        <v>22</v>
      </c>
      <c r="AD22" s="1" t="s">
        <v>57</v>
      </c>
      <c r="AE22" s="37">
        <f t="shared" ca="1" si="23"/>
        <v>0</v>
      </c>
      <c r="AF22" s="37">
        <f t="shared" ca="1" si="23"/>
        <v>0</v>
      </c>
      <c r="AG22" s="37">
        <f t="shared" ca="1" si="23"/>
        <v>0</v>
      </c>
      <c r="AH22" s="37">
        <f t="shared" ca="1" si="23"/>
        <v>0</v>
      </c>
      <c r="AI22" s="37">
        <f t="shared" ca="1" si="23"/>
        <v>0</v>
      </c>
      <c r="AJ22" s="37">
        <f t="shared" ca="1" si="23"/>
        <v>0</v>
      </c>
      <c r="AK22" s="37">
        <f t="shared" ca="1" si="23"/>
        <v>0</v>
      </c>
      <c r="AL22" s="37">
        <f t="shared" ca="1" si="23"/>
        <v>0</v>
      </c>
      <c r="AM22" s="37">
        <f t="shared" ca="1" si="23"/>
        <v>0</v>
      </c>
      <c r="AN22" s="37">
        <f t="shared" ca="1" si="23"/>
        <v>0</v>
      </c>
      <c r="AO22" s="37">
        <f t="shared" ca="1" si="24"/>
        <v>0</v>
      </c>
      <c r="AP22" s="37">
        <f t="shared" ca="1" si="24"/>
        <v>0</v>
      </c>
      <c r="AQ22" s="37">
        <f t="shared" ca="1" si="24"/>
        <v>0</v>
      </c>
      <c r="AR22" s="37">
        <f t="shared" ca="1" si="24"/>
        <v>0</v>
      </c>
      <c r="AS22" s="37">
        <f t="shared" ca="1" si="24"/>
        <v>0</v>
      </c>
      <c r="AT22" s="37">
        <f t="shared" ca="1" si="24"/>
        <v>0</v>
      </c>
      <c r="AU22" s="37">
        <f t="shared" ca="1" si="24"/>
        <v>0</v>
      </c>
      <c r="AV22" s="37" t="e">
        <f t="shared" ca="1" si="24"/>
        <v>#N/A</v>
      </c>
      <c r="AW22" s="37" t="e">
        <f t="shared" ca="1" si="24"/>
        <v>#N/A</v>
      </c>
      <c r="AX22" s="37" t="e">
        <f t="shared" ca="1" si="24"/>
        <v>#N/A</v>
      </c>
      <c r="BA22" t="str">
        <f t="shared" si="13"/>
        <v>InjectableSM_Nontrad</v>
      </c>
      <c r="BB22" s="1" t="s">
        <v>22</v>
      </c>
      <c r="BC22" s="1" t="s">
        <v>57</v>
      </c>
      <c r="BD22" s="149">
        <f t="shared" ca="1" si="7"/>
        <v>0</v>
      </c>
      <c r="BE22" s="37">
        <f t="shared" ca="1" si="25"/>
        <v>0</v>
      </c>
      <c r="BF22" s="37">
        <f t="shared" ca="1" si="25"/>
        <v>0</v>
      </c>
      <c r="BG22" s="37">
        <f t="shared" ca="1" si="25"/>
        <v>0</v>
      </c>
      <c r="BH22" s="37">
        <f t="shared" ca="1" si="25"/>
        <v>0</v>
      </c>
      <c r="BI22" s="37">
        <f t="shared" ca="1" si="25"/>
        <v>0</v>
      </c>
      <c r="BJ22" s="37">
        <f t="shared" ca="1" si="25"/>
        <v>0</v>
      </c>
      <c r="BK22" s="37">
        <f t="shared" ca="1" si="25"/>
        <v>0</v>
      </c>
      <c r="BL22" s="37">
        <f t="shared" ca="1" si="25"/>
        <v>0</v>
      </c>
      <c r="BM22" s="37">
        <f t="shared" ca="1" si="25"/>
        <v>0</v>
      </c>
      <c r="BN22" s="37">
        <f t="shared" ca="1" si="25"/>
        <v>0</v>
      </c>
      <c r="BO22" s="37">
        <f t="shared" ca="1" si="26"/>
        <v>0</v>
      </c>
      <c r="BP22" s="37">
        <f t="shared" ca="1" si="26"/>
        <v>0</v>
      </c>
      <c r="BQ22" s="37">
        <f t="shared" ca="1" si="26"/>
        <v>0</v>
      </c>
      <c r="BR22" s="37">
        <f t="shared" ca="1" si="26"/>
        <v>0</v>
      </c>
      <c r="BS22" s="37">
        <f t="shared" ca="1" si="26"/>
        <v>0</v>
      </c>
      <c r="BT22" s="37">
        <f t="shared" ca="1" si="26"/>
        <v>0</v>
      </c>
      <c r="BU22" s="37">
        <f t="shared" ca="1" si="26"/>
        <v>0</v>
      </c>
      <c r="BV22" s="37" t="e">
        <f t="shared" ca="1" si="26"/>
        <v>#N/A</v>
      </c>
      <c r="BW22" s="37" t="e">
        <f t="shared" ca="1" si="26"/>
        <v>#N/A</v>
      </c>
      <c r="BX22" s="37" t="e">
        <f t="shared" ca="1" si="26"/>
        <v>#N/A</v>
      </c>
    </row>
    <row r="23" spans="1:76" x14ac:dyDescent="0.25">
      <c r="B23">
        <f t="shared" si="27"/>
        <v>2019</v>
      </c>
      <c r="C23" s="77" t="s">
        <v>59</v>
      </c>
      <c r="D23" s="72"/>
      <c r="E23" s="182" t="s">
        <v>59</v>
      </c>
      <c r="F23" s="1" t="s">
        <v>80</v>
      </c>
      <c r="G23" s="37">
        <f t="shared" ca="1" si="31"/>
        <v>9414.2268471541647</v>
      </c>
      <c r="H23" s="37">
        <f t="shared" ca="1" si="31"/>
        <v>0</v>
      </c>
      <c r="I23" s="37">
        <f t="shared" ca="1" si="31"/>
        <v>48973.862953490105</v>
      </c>
      <c r="J23" s="37">
        <f t="shared" ca="1" si="31"/>
        <v>0</v>
      </c>
      <c r="K23" s="37">
        <f t="shared" ca="1" si="31"/>
        <v>4841.3171313398143</v>
      </c>
      <c r="L23" s="46">
        <f ca="1">SUM(G23:K23)</f>
        <v>63229.406931984086</v>
      </c>
      <c r="P23" s="72"/>
      <c r="Q23" s="69" t="s">
        <v>59</v>
      </c>
      <c r="R23" s="1" t="s">
        <v>80</v>
      </c>
      <c r="S23" s="37">
        <f t="shared" ca="1" si="32"/>
        <v>9414.2268471541647</v>
      </c>
      <c r="T23" s="37">
        <f t="shared" ca="1" si="32"/>
        <v>0</v>
      </c>
      <c r="U23" s="37">
        <f t="shared" ca="1" si="32"/>
        <v>48973.862953490105</v>
      </c>
      <c r="V23" s="37">
        <f t="shared" ca="1" si="32"/>
        <v>0</v>
      </c>
      <c r="W23" s="37">
        <f t="shared" ca="1" si="32"/>
        <v>4841.3171313398143</v>
      </c>
      <c r="X23" s="46">
        <f t="shared" ca="1" si="33"/>
        <v>63229.406931984086</v>
      </c>
      <c r="Z23" s="7"/>
      <c r="AB23" t="str">
        <f t="shared" si="12"/>
        <v>InjectableCommercial</v>
      </c>
      <c r="AC23" s="1" t="s">
        <v>22</v>
      </c>
      <c r="AD23" s="1" t="s">
        <v>59</v>
      </c>
      <c r="AE23" s="37">
        <f t="shared" ca="1" si="23"/>
        <v>0</v>
      </c>
      <c r="AF23" s="37">
        <f t="shared" ca="1" si="23"/>
        <v>0</v>
      </c>
      <c r="AG23" s="37">
        <f t="shared" ca="1" si="23"/>
        <v>0</v>
      </c>
      <c r="AH23" s="37">
        <f t="shared" ca="1" si="23"/>
        <v>0</v>
      </c>
      <c r="AI23" s="37">
        <f t="shared" ca="1" si="23"/>
        <v>0</v>
      </c>
      <c r="AJ23" s="37">
        <f t="shared" ca="1" si="23"/>
        <v>0</v>
      </c>
      <c r="AK23" s="37">
        <f t="shared" ca="1" si="23"/>
        <v>0</v>
      </c>
      <c r="AL23" s="37">
        <f t="shared" ca="1" si="23"/>
        <v>0</v>
      </c>
      <c r="AM23" s="37">
        <f t="shared" ca="1" si="23"/>
        <v>0</v>
      </c>
      <c r="AN23" s="37">
        <f t="shared" ca="1" si="23"/>
        <v>0</v>
      </c>
      <c r="AO23" s="37">
        <f t="shared" ca="1" si="24"/>
        <v>0</v>
      </c>
      <c r="AP23" s="37">
        <f t="shared" ca="1" si="24"/>
        <v>0</v>
      </c>
      <c r="AQ23" s="37">
        <f t="shared" ca="1" si="24"/>
        <v>0</v>
      </c>
      <c r="AR23" s="37">
        <f t="shared" ca="1" si="24"/>
        <v>0</v>
      </c>
      <c r="AS23" s="37">
        <f t="shared" ca="1" si="24"/>
        <v>0</v>
      </c>
      <c r="AT23" s="37">
        <f t="shared" ca="1" si="24"/>
        <v>0</v>
      </c>
      <c r="AU23" s="37">
        <f t="shared" ca="1" si="24"/>
        <v>0</v>
      </c>
      <c r="AV23" s="37" t="e">
        <f t="shared" ca="1" si="24"/>
        <v>#N/A</v>
      </c>
      <c r="AW23" s="37" t="e">
        <f t="shared" ca="1" si="24"/>
        <v>#N/A</v>
      </c>
      <c r="AX23" s="37" t="e">
        <f t="shared" ca="1" si="24"/>
        <v>#N/A</v>
      </c>
      <c r="BA23" t="str">
        <f t="shared" si="13"/>
        <v>InjectableCommercial</v>
      </c>
      <c r="BB23" s="1" t="s">
        <v>22</v>
      </c>
      <c r="BC23" s="1" t="s">
        <v>59</v>
      </c>
      <c r="BD23" s="149">
        <f t="shared" ca="1" si="7"/>
        <v>0</v>
      </c>
      <c r="BE23" s="37">
        <f t="shared" ca="1" si="25"/>
        <v>0</v>
      </c>
      <c r="BF23" s="37">
        <f t="shared" ca="1" si="25"/>
        <v>0</v>
      </c>
      <c r="BG23" s="37">
        <f t="shared" ca="1" si="25"/>
        <v>0</v>
      </c>
      <c r="BH23" s="37">
        <f t="shared" ca="1" si="25"/>
        <v>0</v>
      </c>
      <c r="BI23" s="37">
        <f t="shared" ca="1" si="25"/>
        <v>0</v>
      </c>
      <c r="BJ23" s="37">
        <f t="shared" ca="1" si="25"/>
        <v>0</v>
      </c>
      <c r="BK23" s="37">
        <f t="shared" ca="1" si="25"/>
        <v>0</v>
      </c>
      <c r="BL23" s="37">
        <f t="shared" ca="1" si="25"/>
        <v>0</v>
      </c>
      <c r="BM23" s="37">
        <f t="shared" ca="1" si="25"/>
        <v>0</v>
      </c>
      <c r="BN23" s="37">
        <f t="shared" ca="1" si="25"/>
        <v>0</v>
      </c>
      <c r="BO23" s="37">
        <f t="shared" ca="1" si="26"/>
        <v>0</v>
      </c>
      <c r="BP23" s="37">
        <f t="shared" ca="1" si="26"/>
        <v>0</v>
      </c>
      <c r="BQ23" s="37">
        <f t="shared" ca="1" si="26"/>
        <v>0</v>
      </c>
      <c r="BR23" s="37">
        <f t="shared" ca="1" si="26"/>
        <v>0</v>
      </c>
      <c r="BS23" s="37">
        <f t="shared" ca="1" si="26"/>
        <v>0</v>
      </c>
      <c r="BT23" s="37">
        <f t="shared" ca="1" si="26"/>
        <v>0</v>
      </c>
      <c r="BU23" s="37">
        <f t="shared" ca="1" si="26"/>
        <v>0</v>
      </c>
      <c r="BV23" s="37" t="e">
        <f t="shared" ca="1" si="26"/>
        <v>#N/A</v>
      </c>
      <c r="BW23" s="37" t="e">
        <f t="shared" ca="1" si="26"/>
        <v>#N/A</v>
      </c>
      <c r="BX23" s="37" t="e">
        <f t="shared" ca="1" si="26"/>
        <v>#N/A</v>
      </c>
    </row>
    <row r="24" spans="1:76" ht="15.75" thickBot="1" x14ac:dyDescent="0.3">
      <c r="B24">
        <f t="shared" si="27"/>
        <v>2019</v>
      </c>
      <c r="C24" s="77" t="s">
        <v>60</v>
      </c>
      <c r="D24" s="73"/>
      <c r="E24" s="183"/>
      <c r="F24" s="48" t="s">
        <v>60</v>
      </c>
      <c r="G24" s="180">
        <f ca="1">SUM(G19:G23)</f>
        <v>50705.199799037247</v>
      </c>
      <c r="H24" s="180">
        <f ca="1">SUM(H19:H23)</f>
        <v>66698.013987907267</v>
      </c>
      <c r="I24" s="180">
        <f ca="1">SUM(I19:I23)</f>
        <v>406147.39549294062</v>
      </c>
      <c r="J24" s="180">
        <f ca="1">SUM(J19:J23)</f>
        <v>874976.19091098034</v>
      </c>
      <c r="K24" s="180">
        <f ca="1">SUM(K19:K23)</f>
        <v>148460.40981254479</v>
      </c>
      <c r="L24" s="82">
        <f ca="1">SUM(G24:K24)</f>
        <v>1546987.2100034102</v>
      </c>
      <c r="P24" s="73"/>
      <c r="Q24" s="70"/>
      <c r="R24" s="48" t="s">
        <v>60</v>
      </c>
      <c r="S24" s="180">
        <f ca="1">SUM(S19:S23)</f>
        <v>50705.199799037247</v>
      </c>
      <c r="T24" s="180">
        <f ca="1">SUM(T19:T23)</f>
        <v>66698.013987907267</v>
      </c>
      <c r="U24" s="180">
        <f ca="1">SUM(U19:U23)</f>
        <v>406147.39549294062</v>
      </c>
      <c r="V24" s="180">
        <f ca="1">SUM(V19:V23)</f>
        <v>875063.64322376007</v>
      </c>
      <c r="W24" s="180">
        <f ca="1">SUM(W19:W23)</f>
        <v>148460.40981254479</v>
      </c>
      <c r="X24" s="82">
        <f ca="1">SUM(S24:W24)</f>
        <v>1547074.6623161898</v>
      </c>
      <c r="Z24" s="7"/>
      <c r="AB24" t="str">
        <f t="shared" si="12"/>
        <v>CondomPub_Med</v>
      </c>
      <c r="AC24" s="1" t="s">
        <v>25</v>
      </c>
      <c r="AD24" s="1" t="s">
        <v>52</v>
      </c>
      <c r="AE24" s="37">
        <f t="shared" ca="1" si="23"/>
        <v>163017.57041401308</v>
      </c>
      <c r="AF24" s="37">
        <f t="shared" ca="1" si="23"/>
        <v>180578.6602809201</v>
      </c>
      <c r="AG24" s="37">
        <f t="shared" ca="1" si="23"/>
        <v>198948.57458576138</v>
      </c>
      <c r="AH24" s="37">
        <f t="shared" ca="1" si="23"/>
        <v>218422.58197195237</v>
      </c>
      <c r="AI24" s="37">
        <f t="shared" ca="1" si="23"/>
        <v>239018.12296421308</v>
      </c>
      <c r="AJ24" s="37">
        <f t="shared" ca="1" si="23"/>
        <v>260742.61855143402</v>
      </c>
      <c r="AK24" s="37">
        <f t="shared" ca="1" si="23"/>
        <v>283614.37122323102</v>
      </c>
      <c r="AL24" s="37">
        <f t="shared" ca="1" si="23"/>
        <v>307456.04726026254</v>
      </c>
      <c r="AM24" s="37">
        <f t="shared" ca="1" si="23"/>
        <v>332518.74196201446</v>
      </c>
      <c r="AN24" s="37">
        <f t="shared" ca="1" si="23"/>
        <v>358844.11403486104</v>
      </c>
      <c r="AO24" s="37">
        <f t="shared" ca="1" si="24"/>
        <v>386491.11517663294</v>
      </c>
      <c r="AP24" s="37">
        <f t="shared" ca="1" si="24"/>
        <v>415509.13470856275</v>
      </c>
      <c r="AQ24" s="37">
        <f t="shared" ca="1" si="24"/>
        <v>445677.82268972986</v>
      </c>
      <c r="AR24" s="37">
        <f t="shared" ca="1" si="24"/>
        <v>477307.18684473168</v>
      </c>
      <c r="AS24" s="37">
        <f t="shared" ca="1" si="24"/>
        <v>510411.39156439505</v>
      </c>
      <c r="AT24" s="37">
        <f t="shared" ca="1" si="24"/>
        <v>544996.28637417639</v>
      </c>
      <c r="AU24" s="37">
        <f t="shared" ca="1" si="24"/>
        <v>581075.01407752489</v>
      </c>
      <c r="AV24" s="37" t="e">
        <f t="shared" ca="1" si="24"/>
        <v>#N/A</v>
      </c>
      <c r="AW24" s="37" t="e">
        <f t="shared" ca="1" si="24"/>
        <v>#N/A</v>
      </c>
      <c r="AX24" s="37" t="e">
        <f t="shared" ca="1" si="24"/>
        <v>#N/A</v>
      </c>
      <c r="BA24" t="str">
        <f t="shared" si="13"/>
        <v>CondomPub_Med</v>
      </c>
      <c r="BB24" s="1" t="s">
        <v>25</v>
      </c>
      <c r="BC24" s="1" t="s">
        <v>52</v>
      </c>
      <c r="BD24" s="149">
        <f t="shared" ca="1" si="7"/>
        <v>74574803.950759396</v>
      </c>
      <c r="BE24" s="37">
        <f t="shared" ca="1" si="25"/>
        <v>15975721.900573282</v>
      </c>
      <c r="BF24" s="37">
        <f t="shared" ca="1" si="25"/>
        <v>17696708.707530167</v>
      </c>
      <c r="BG24" s="37">
        <f t="shared" ca="1" si="25"/>
        <v>19496960.309404615</v>
      </c>
      <c r="BH24" s="37">
        <f t="shared" ca="1" si="25"/>
        <v>21405413.03325133</v>
      </c>
      <c r="BI24" s="37">
        <f t="shared" ca="1" si="25"/>
        <v>23423776.050492883</v>
      </c>
      <c r="BJ24" s="37">
        <f t="shared" ca="1" si="25"/>
        <v>25552776.618040532</v>
      </c>
      <c r="BK24" s="37">
        <f t="shared" ca="1" si="25"/>
        <v>27794208.37987664</v>
      </c>
      <c r="BL24" s="37">
        <f t="shared" ca="1" si="25"/>
        <v>30130692.631505728</v>
      </c>
      <c r="BM24" s="37">
        <f t="shared" ca="1" si="25"/>
        <v>32586836.71227742</v>
      </c>
      <c r="BN24" s="37">
        <f t="shared" ca="1" si="25"/>
        <v>35166723.17541638</v>
      </c>
      <c r="BO24" s="37">
        <f t="shared" ca="1" si="26"/>
        <v>37876129.287310034</v>
      </c>
      <c r="BP24" s="37">
        <f t="shared" ca="1" si="26"/>
        <v>40719895.201439157</v>
      </c>
      <c r="BQ24" s="37">
        <f t="shared" ca="1" si="26"/>
        <v>43676426.623593524</v>
      </c>
      <c r="BR24" s="37">
        <f t="shared" ca="1" si="26"/>
        <v>46776104.310783707</v>
      </c>
      <c r="BS24" s="37">
        <f t="shared" ca="1" si="26"/>
        <v>50020316.373310715</v>
      </c>
      <c r="BT24" s="37">
        <f t="shared" ca="1" si="26"/>
        <v>53409636.064669281</v>
      </c>
      <c r="BU24" s="37">
        <f t="shared" ca="1" si="26"/>
        <v>56945351.379597433</v>
      </c>
      <c r="BV24" s="37" t="e">
        <f t="shared" ca="1" si="26"/>
        <v>#N/A</v>
      </c>
      <c r="BW24" s="37" t="e">
        <f t="shared" ca="1" si="26"/>
        <v>#N/A</v>
      </c>
      <c r="BX24" s="37" t="e">
        <f t="shared" ca="1" si="26"/>
        <v>#N/A</v>
      </c>
    </row>
    <row r="25" spans="1:76" x14ac:dyDescent="0.25">
      <c r="B25">
        <f t="shared" ref="B25:B30" si="34">Yr_End</f>
        <v>2022</v>
      </c>
      <c r="C25" s="77" t="s">
        <v>52</v>
      </c>
      <c r="D25" s="72">
        <f>Yr_End</f>
        <v>2022</v>
      </c>
      <c r="E25" s="182" t="s">
        <v>73</v>
      </c>
      <c r="F25" s="81" t="s">
        <v>51</v>
      </c>
      <c r="G25" s="177">
        <f ca="1">INDEX(INDIRECT(G$18&amp;"_"&amp;$A$17&amp;"!"&amp;$A$19),MATCH($C25,INDIRECT(G$18&amp;"_"&amp;$A$17&amp;"!"&amp;$A$20),0),MATCH($B25,INDIRECT(G$18&amp;"_"&amp;$A$17&amp;"!"&amp;$A$21),0))</f>
        <v>0</v>
      </c>
      <c r="H25" s="177">
        <f t="shared" ref="H25:K25" ca="1" si="35">INDEX(INDIRECT(H$18&amp;"_"&amp;$A$17&amp;"!"&amp;$A$19),MATCH($C25,INDIRECT(H$18&amp;"_"&amp;$A$17&amp;"!"&amp;$A$20),0),MATCH($B25,INDIRECT(H$18&amp;"_"&amp;$A$17&amp;"!"&amp;$A$21),0))</f>
        <v>84137.86780644246</v>
      </c>
      <c r="I25" s="177">
        <f t="shared" ca="1" si="35"/>
        <v>464905.13574541465</v>
      </c>
      <c r="J25" s="177">
        <f t="shared" ca="1" si="35"/>
        <v>768983.92241188325</v>
      </c>
      <c r="K25" s="177">
        <f t="shared" ca="1" si="35"/>
        <v>120251.95849564561</v>
      </c>
      <c r="L25" s="184">
        <f t="shared" ref="L25:L28" ca="1" si="36">SUM(G25:K25)</f>
        <v>1438278.8844593859</v>
      </c>
      <c r="P25" s="71">
        <f>Yr_End</f>
        <v>2022</v>
      </c>
      <c r="Q25" s="68" t="s">
        <v>73</v>
      </c>
      <c r="R25" s="47" t="s">
        <v>51</v>
      </c>
      <c r="S25" s="178">
        <f ca="1">INDEX(INDIRECT(S$18&amp;"_"&amp;$O$17&amp;"!"&amp;$A$19),MATCH($C25,INDIRECT(S$18&amp;"_"&amp;$O$17&amp;"!"&amp;$A$20),0),MATCH($B25,INDIRECT(S$18&amp;"_"&amp;$O$17&amp;"!"&amp;$A$21),0))</f>
        <v>0</v>
      </c>
      <c r="T25" s="178">
        <f t="shared" ref="T25:W25" ca="1" si="37">INDEX(INDIRECT(T$18&amp;"_"&amp;$O$17&amp;"!"&amp;$A$19),MATCH($C25,INDIRECT(T$18&amp;"_"&amp;$O$17&amp;"!"&amp;$A$20),0),MATCH($B25,INDIRECT(T$18&amp;"_"&amp;$O$17&amp;"!"&amp;$A$21),0))</f>
        <v>84137.86780644246</v>
      </c>
      <c r="U25" s="178">
        <f t="shared" ca="1" si="37"/>
        <v>464905.13574541465</v>
      </c>
      <c r="V25" s="178">
        <f t="shared" ca="1" si="37"/>
        <v>768983.92241188325</v>
      </c>
      <c r="W25" s="178">
        <f t="shared" ca="1" si="37"/>
        <v>120251.95849564561</v>
      </c>
      <c r="X25" s="179">
        <f ca="1">SUM(S25:W25)</f>
        <v>1438278.8844593859</v>
      </c>
      <c r="Z25" s="7"/>
      <c r="AA25" s="7">
        <f ca="1">SUM(AF41:AH41)-SUM(AF8:AH8)</f>
        <v>70327.983679460274</v>
      </c>
      <c r="AB25" t="str">
        <f t="shared" si="12"/>
        <v>CondomPub_Outreach</v>
      </c>
      <c r="AC25" s="1" t="s">
        <v>25</v>
      </c>
      <c r="AD25" s="1" t="s">
        <v>54</v>
      </c>
      <c r="AE25" s="37">
        <f t="shared" ca="1" si="23"/>
        <v>26758.026241817461</v>
      </c>
      <c r="AF25" s="37">
        <f t="shared" ca="1" si="23"/>
        <v>26486.93555566754</v>
      </c>
      <c r="AG25" s="37">
        <f t="shared" ca="1" si="23"/>
        <v>26117.211754955715</v>
      </c>
      <c r="AH25" s="37">
        <f t="shared" ca="1" si="23"/>
        <v>25684.621502323345</v>
      </c>
      <c r="AI25" s="37">
        <f t="shared" ca="1" si="23"/>
        <v>25767.656483180639</v>
      </c>
      <c r="AJ25" s="37">
        <f t="shared" ca="1" si="23"/>
        <v>25922.06518684527</v>
      </c>
      <c r="AK25" s="37">
        <f t="shared" ca="1" si="23"/>
        <v>26043.648299116445</v>
      </c>
      <c r="AL25" s="37">
        <f t="shared" ca="1" si="23"/>
        <v>26112.501847545398</v>
      </c>
      <c r="AM25" s="37">
        <f t="shared" ca="1" si="23"/>
        <v>26208.639494852941</v>
      </c>
      <c r="AN25" s="37">
        <f t="shared" ca="1" si="23"/>
        <v>26401.860572024372</v>
      </c>
      <c r="AO25" s="37">
        <f t="shared" ca="1" si="24"/>
        <v>26989.666411756385</v>
      </c>
      <c r="AP25" s="37">
        <f t="shared" ca="1" si="24"/>
        <v>27652.885525700418</v>
      </c>
      <c r="AQ25" s="37">
        <f t="shared" ca="1" si="24"/>
        <v>28307.059690026505</v>
      </c>
      <c r="AR25" s="37">
        <f t="shared" ca="1" si="24"/>
        <v>28970.089659182551</v>
      </c>
      <c r="AS25" s="37">
        <f t="shared" ca="1" si="24"/>
        <v>29907.925727679318</v>
      </c>
      <c r="AT25" s="37">
        <f t="shared" ca="1" si="24"/>
        <v>31253.217043534936</v>
      </c>
      <c r="AU25" s="37">
        <f t="shared" ca="1" si="24"/>
        <v>32694.414752959376</v>
      </c>
      <c r="AV25" s="37" t="e">
        <f t="shared" ca="1" si="24"/>
        <v>#N/A</v>
      </c>
      <c r="AW25" s="37" t="e">
        <f t="shared" ca="1" si="24"/>
        <v>#N/A</v>
      </c>
      <c r="AX25" s="37" t="e">
        <f t="shared" ca="1" si="24"/>
        <v>#N/A</v>
      </c>
      <c r="BA25" t="str">
        <f t="shared" si="13"/>
        <v>CondomPub_Outreach</v>
      </c>
      <c r="BB25" s="1" t="s">
        <v>25</v>
      </c>
      <c r="BC25" s="1" t="s">
        <v>54</v>
      </c>
      <c r="BD25" s="149">
        <f t="shared" ca="1" si="7"/>
        <v>10294585.915366877</v>
      </c>
      <c r="BE25" s="37">
        <f t="shared" ca="1" si="25"/>
        <v>2622286.5716981115</v>
      </c>
      <c r="BF25" s="37">
        <f t="shared" ca="1" si="25"/>
        <v>2595719.684455419</v>
      </c>
      <c r="BG25" s="37">
        <f t="shared" ca="1" si="25"/>
        <v>2559486.7519856598</v>
      </c>
      <c r="BH25" s="37">
        <f t="shared" ca="1" si="25"/>
        <v>2517092.9072276875</v>
      </c>
      <c r="BI25" s="37">
        <f t="shared" ca="1" si="25"/>
        <v>2525230.3353517028</v>
      </c>
      <c r="BJ25" s="37">
        <f t="shared" ca="1" si="25"/>
        <v>2540362.3883108366</v>
      </c>
      <c r="BK25" s="37">
        <f t="shared" ca="1" si="25"/>
        <v>2552277.5333134113</v>
      </c>
      <c r="BL25" s="37">
        <f t="shared" ca="1" si="25"/>
        <v>2559025.181059449</v>
      </c>
      <c r="BM25" s="37">
        <f t="shared" ca="1" si="25"/>
        <v>2568446.6704955883</v>
      </c>
      <c r="BN25" s="37">
        <f t="shared" ca="1" si="25"/>
        <v>2587382.3360583885</v>
      </c>
      <c r="BO25" s="37">
        <f t="shared" ca="1" si="26"/>
        <v>2644987.3083521258</v>
      </c>
      <c r="BP25" s="37">
        <f t="shared" ca="1" si="26"/>
        <v>2709982.7815186409</v>
      </c>
      <c r="BQ25" s="37">
        <f t="shared" ca="1" si="26"/>
        <v>2774091.8496225975</v>
      </c>
      <c r="BR25" s="37">
        <f t="shared" ca="1" si="26"/>
        <v>2839068.7865998903</v>
      </c>
      <c r="BS25" s="37">
        <f t="shared" ca="1" si="26"/>
        <v>2930976.7213125732</v>
      </c>
      <c r="BT25" s="37">
        <f t="shared" ca="1" si="26"/>
        <v>3062815.2702664239</v>
      </c>
      <c r="BU25" s="37">
        <f t="shared" ca="1" si="26"/>
        <v>3204052.6457900191</v>
      </c>
      <c r="BV25" s="37" t="e">
        <f t="shared" ca="1" si="26"/>
        <v>#N/A</v>
      </c>
      <c r="BW25" s="37" t="e">
        <f t="shared" ca="1" si="26"/>
        <v>#N/A</v>
      </c>
      <c r="BX25" s="37" t="e">
        <f t="shared" ca="1" si="26"/>
        <v>#N/A</v>
      </c>
    </row>
    <row r="26" spans="1:76" x14ac:dyDescent="0.25">
      <c r="B26">
        <f t="shared" si="34"/>
        <v>2022</v>
      </c>
      <c r="C26" s="77" t="s">
        <v>54</v>
      </c>
      <c r="D26" s="72"/>
      <c r="E26" s="182" t="s">
        <v>73</v>
      </c>
      <c r="F26" s="81" t="s">
        <v>53</v>
      </c>
      <c r="G26" s="37">
        <f t="shared" ref="G26:K29" ca="1" si="38">INDEX(INDIRECT(G$18&amp;"_"&amp;$A$17&amp;"!"&amp;$A$19),MATCH($C26,INDIRECT(G$18&amp;"_"&amp;$A$17&amp;"!"&amp;$A$20),0),MATCH($B26,INDIRECT(G$18&amp;"_"&amp;$A$17&amp;"!"&amp;$A$21),0))</f>
        <v>4479.3001215354807</v>
      </c>
      <c r="H26" s="37">
        <f t="shared" ca="1" si="38"/>
        <v>0</v>
      </c>
      <c r="I26" s="37">
        <f t="shared" ca="1" si="38"/>
        <v>30269.876312198052</v>
      </c>
      <c r="J26" s="37">
        <f t="shared" ca="1" si="38"/>
        <v>40015.594203889879</v>
      </c>
      <c r="K26" s="37">
        <f t="shared" ca="1" si="38"/>
        <v>7991.2610899561323</v>
      </c>
      <c r="L26" s="46">
        <f t="shared" ca="1" si="36"/>
        <v>82756.031727579539</v>
      </c>
      <c r="P26" s="72"/>
      <c r="Q26" s="69" t="s">
        <v>73</v>
      </c>
      <c r="R26" s="74" t="s">
        <v>53</v>
      </c>
      <c r="S26" s="37">
        <f t="shared" ref="S26:W29" ca="1" si="39">INDEX(INDIRECT(S$18&amp;"_"&amp;$O$17&amp;"!"&amp;$A$19),MATCH($C26,INDIRECT(S$18&amp;"_"&amp;$O$17&amp;"!"&amp;$A$20),0),MATCH($B26,INDIRECT(S$18&amp;"_"&amp;$O$17&amp;"!"&amp;$A$21),0))</f>
        <v>4479.3001215354807</v>
      </c>
      <c r="T26" s="37">
        <f t="shared" ca="1" si="39"/>
        <v>0</v>
      </c>
      <c r="U26" s="37">
        <f t="shared" ca="1" si="39"/>
        <v>30269.876312198052</v>
      </c>
      <c r="V26" s="37">
        <f t="shared" ca="1" si="39"/>
        <v>41801.592718582324</v>
      </c>
      <c r="W26" s="37">
        <f t="shared" ca="1" si="39"/>
        <v>7991.2610899561323</v>
      </c>
      <c r="X26" s="46">
        <f ca="1">SUM(S26:W26)</f>
        <v>84542.030242271983</v>
      </c>
      <c r="Z26" s="7"/>
      <c r="AA26" s="7">
        <f ca="1">SUM(AF46:AH46)-SUM(AF13:AH13)</f>
        <v>14312.91107626387</v>
      </c>
      <c r="AB26" t="str">
        <f t="shared" si="12"/>
        <v>CondomSM_Med</v>
      </c>
      <c r="AC26" s="1" t="s">
        <v>25</v>
      </c>
      <c r="AD26" s="1" t="s">
        <v>56</v>
      </c>
      <c r="AE26" s="37">
        <f t="shared" ca="1" si="23"/>
        <v>133020.05579455232</v>
      </c>
      <c r="AF26" s="37">
        <f t="shared" ca="1" si="23"/>
        <v>142671.50889755177</v>
      </c>
      <c r="AG26" s="37">
        <f t="shared" ca="1" si="23"/>
        <v>152639.69278685108</v>
      </c>
      <c r="AH26" s="37">
        <f t="shared" ca="1" si="23"/>
        <v>163146.70398979276</v>
      </c>
      <c r="AI26" s="37">
        <f t="shared" ca="1" si="23"/>
        <v>174190.39293774698</v>
      </c>
      <c r="AJ26" s="37">
        <f t="shared" ca="1" si="23"/>
        <v>185763.31319288371</v>
      </c>
      <c r="AK26" s="37">
        <f t="shared" ca="1" si="23"/>
        <v>197867.60384057218</v>
      </c>
      <c r="AL26" s="37">
        <f t="shared" ca="1" si="23"/>
        <v>210372.49762508477</v>
      </c>
      <c r="AM26" s="37">
        <f t="shared" ca="1" si="23"/>
        <v>223445.4612484884</v>
      </c>
      <c r="AN26" s="37">
        <f t="shared" ca="1" si="23"/>
        <v>237104.50577649628</v>
      </c>
      <c r="AO26" s="37">
        <f t="shared" ca="1" si="24"/>
        <v>251378.69416860124</v>
      </c>
      <c r="AP26" s="37">
        <f t="shared" ca="1" si="24"/>
        <v>266512.25236849766</v>
      </c>
      <c r="AQ26" s="37">
        <f t="shared" ca="1" si="24"/>
        <v>283953.95067515131</v>
      </c>
      <c r="AR26" s="37">
        <f t="shared" ca="1" si="24"/>
        <v>302207.9463047554</v>
      </c>
      <c r="AS26" s="37">
        <f t="shared" ca="1" si="24"/>
        <v>321278.60035339231</v>
      </c>
      <c r="AT26" s="37">
        <f t="shared" ca="1" si="24"/>
        <v>341165.48165855458</v>
      </c>
      <c r="AU26" s="37">
        <f t="shared" ca="1" si="24"/>
        <v>361873.15461738408</v>
      </c>
      <c r="AV26" s="37" t="e">
        <f t="shared" ca="1" si="24"/>
        <v>#N/A</v>
      </c>
      <c r="AW26" s="37" t="e">
        <f t="shared" ca="1" si="24"/>
        <v>#N/A</v>
      </c>
      <c r="AX26" s="37" t="e">
        <f t="shared" ca="1" si="24"/>
        <v>#N/A</v>
      </c>
      <c r="BA26" t="str">
        <f t="shared" si="13"/>
        <v>CondomSM_Med</v>
      </c>
      <c r="BB26" s="1" t="s">
        <v>25</v>
      </c>
      <c r="BC26" s="1" t="s">
        <v>56</v>
      </c>
      <c r="BD26" s="149">
        <f t="shared" ca="1" si="7"/>
        <v>57964840.223937295</v>
      </c>
      <c r="BE26" s="37">
        <f t="shared" ca="1" si="25"/>
        <v>13035965.467866126</v>
      </c>
      <c r="BF26" s="37">
        <f t="shared" ca="1" si="25"/>
        <v>13981807.871960074</v>
      </c>
      <c r="BG26" s="37">
        <f t="shared" ca="1" si="25"/>
        <v>14958689.893111404</v>
      </c>
      <c r="BH26" s="37">
        <f t="shared" ca="1" si="25"/>
        <v>15988376.990999691</v>
      </c>
      <c r="BI26" s="37">
        <f t="shared" ca="1" si="25"/>
        <v>17070658.507899202</v>
      </c>
      <c r="BJ26" s="37">
        <f t="shared" ca="1" si="25"/>
        <v>18204804.692902602</v>
      </c>
      <c r="BK26" s="37">
        <f t="shared" ca="1" si="25"/>
        <v>19391025.176376075</v>
      </c>
      <c r="BL26" s="37">
        <f t="shared" ca="1" si="25"/>
        <v>20616504.767258309</v>
      </c>
      <c r="BM26" s="37">
        <f t="shared" ca="1" si="25"/>
        <v>21897655.202351861</v>
      </c>
      <c r="BN26" s="37">
        <f t="shared" ca="1" si="25"/>
        <v>23236241.566096637</v>
      </c>
      <c r="BO26" s="37">
        <f t="shared" ca="1" si="26"/>
        <v>24635112.02852292</v>
      </c>
      <c r="BP26" s="37">
        <f t="shared" ca="1" si="26"/>
        <v>26118200.732112776</v>
      </c>
      <c r="BQ26" s="37">
        <f t="shared" ca="1" si="26"/>
        <v>27827487.166164827</v>
      </c>
      <c r="BR26" s="37">
        <f t="shared" ca="1" si="26"/>
        <v>29616378.737866033</v>
      </c>
      <c r="BS26" s="37">
        <f t="shared" ca="1" si="26"/>
        <v>31485302.834632449</v>
      </c>
      <c r="BT26" s="37">
        <f t="shared" ca="1" si="26"/>
        <v>33434217.202538349</v>
      </c>
      <c r="BU26" s="37">
        <f t="shared" ca="1" si="26"/>
        <v>35463569.152503639</v>
      </c>
      <c r="BV26" s="37" t="e">
        <f t="shared" ca="1" si="26"/>
        <v>#N/A</v>
      </c>
      <c r="BW26" s="37" t="e">
        <f t="shared" ca="1" si="26"/>
        <v>#N/A</v>
      </c>
      <c r="BX26" s="37" t="e">
        <f t="shared" ca="1" si="26"/>
        <v>#N/A</v>
      </c>
    </row>
    <row r="27" spans="1:76" x14ac:dyDescent="0.25">
      <c r="B27">
        <f t="shared" si="34"/>
        <v>2022</v>
      </c>
      <c r="C27" s="77" t="s">
        <v>56</v>
      </c>
      <c r="D27" s="72"/>
      <c r="E27" s="182" t="s">
        <v>55</v>
      </c>
      <c r="F27" s="81" t="s">
        <v>80</v>
      </c>
      <c r="G27" s="37">
        <f t="shared" ca="1" si="38"/>
        <v>40439.452756514249</v>
      </c>
      <c r="H27" s="37">
        <f t="shared" ca="1" si="38"/>
        <v>13920.575137063168</v>
      </c>
      <c r="I27" s="37">
        <f t="shared" ca="1" si="38"/>
        <v>11666.094852845697</v>
      </c>
      <c r="J27" s="37">
        <f t="shared" ca="1" si="38"/>
        <v>270873.71762619977</v>
      </c>
      <c r="K27" s="37">
        <f t="shared" ca="1" si="38"/>
        <v>53882.064800732151</v>
      </c>
      <c r="L27" s="46">
        <f t="shared" ca="1" si="36"/>
        <v>390781.90517335501</v>
      </c>
      <c r="P27" s="72"/>
      <c r="Q27" s="69" t="s">
        <v>55</v>
      </c>
      <c r="R27" s="74" t="s">
        <v>80</v>
      </c>
      <c r="S27" s="37">
        <f t="shared" ca="1" si="39"/>
        <v>25685.725376213515</v>
      </c>
      <c r="T27" s="37">
        <f t="shared" ca="1" si="39"/>
        <v>12546.407178015608</v>
      </c>
      <c r="U27" s="37">
        <f t="shared" ca="1" si="39"/>
        <v>11666.094852845697</v>
      </c>
      <c r="V27" s="37">
        <f t="shared" ca="1" si="39"/>
        <v>244833.53721396837</v>
      </c>
      <c r="W27" s="37">
        <f t="shared" ca="1" si="39"/>
        <v>37080.402832622131</v>
      </c>
      <c r="X27" s="46">
        <f t="shared" ref="X27:X29" ca="1" si="40">SUM(S27:W27)</f>
        <v>331812.16745366534</v>
      </c>
      <c r="Z27" s="7"/>
      <c r="AA27" s="7">
        <f ca="1">SUM(AF51:AH51)-SUM(AF18:AH18)</f>
        <v>109810.81818748161</v>
      </c>
      <c r="AB27" t="str">
        <f t="shared" si="12"/>
        <v>CondomSM_Nontrad</v>
      </c>
      <c r="AC27" s="1" t="s">
        <v>25</v>
      </c>
      <c r="AD27" s="1" t="s">
        <v>57</v>
      </c>
      <c r="AE27" s="37">
        <f t="shared" ca="1" si="23"/>
        <v>4432.1975270107005</v>
      </c>
      <c r="AF27" s="37">
        <f t="shared" ca="1" si="23"/>
        <v>3067.7534749616984</v>
      </c>
      <c r="AG27" s="37">
        <f t="shared" ca="1" si="23"/>
        <v>1590.1507330977304</v>
      </c>
      <c r="AH27" s="37">
        <f t="shared" ca="1" si="23"/>
        <v>3.2249642270142274E-13</v>
      </c>
      <c r="AI27" s="37">
        <f t="shared" ca="1" si="23"/>
        <v>0</v>
      </c>
      <c r="AJ27" s="37">
        <f t="shared" ca="1" si="23"/>
        <v>0</v>
      </c>
      <c r="AK27" s="37">
        <f t="shared" ca="1" si="23"/>
        <v>0</v>
      </c>
      <c r="AL27" s="37">
        <f t="shared" ca="1" si="23"/>
        <v>0</v>
      </c>
      <c r="AM27" s="37">
        <f t="shared" ca="1" si="23"/>
        <v>0</v>
      </c>
      <c r="AN27" s="37">
        <f t="shared" ca="1" si="23"/>
        <v>0</v>
      </c>
      <c r="AO27" s="37">
        <f t="shared" ca="1" si="24"/>
        <v>0</v>
      </c>
      <c r="AP27" s="37">
        <f t="shared" ca="1" si="24"/>
        <v>0</v>
      </c>
      <c r="AQ27" s="37">
        <f t="shared" ca="1" si="24"/>
        <v>0</v>
      </c>
      <c r="AR27" s="37">
        <f t="shared" ca="1" si="24"/>
        <v>0</v>
      </c>
      <c r="AS27" s="37">
        <f t="shared" ca="1" si="24"/>
        <v>0</v>
      </c>
      <c r="AT27" s="37">
        <f t="shared" ca="1" si="24"/>
        <v>0</v>
      </c>
      <c r="AU27" s="37">
        <f t="shared" ca="1" si="24"/>
        <v>0</v>
      </c>
      <c r="AV27" s="37" t="e">
        <f t="shared" ca="1" si="24"/>
        <v>#N/A</v>
      </c>
      <c r="AW27" s="37" t="e">
        <f t="shared" ca="1" si="24"/>
        <v>#N/A</v>
      </c>
      <c r="AX27" s="37" t="e">
        <f t="shared" ca="1" si="24"/>
        <v>#N/A</v>
      </c>
      <c r="BA27" t="str">
        <f t="shared" si="13"/>
        <v>CondomSM_Nontrad</v>
      </c>
      <c r="BB27" s="1" t="s">
        <v>25</v>
      </c>
      <c r="BC27" s="1" t="s">
        <v>57</v>
      </c>
      <c r="BD27" s="149">
        <f t="shared" ca="1" si="7"/>
        <v>890829.97003687266</v>
      </c>
      <c r="BE27" s="37">
        <f t="shared" ca="1" si="25"/>
        <v>434355.35764704866</v>
      </c>
      <c r="BF27" s="37">
        <f t="shared" ca="1" si="25"/>
        <v>300639.84054624644</v>
      </c>
      <c r="BG27" s="37">
        <f t="shared" ca="1" si="25"/>
        <v>155834.77184357756</v>
      </c>
      <c r="BH27" s="37">
        <f t="shared" ca="1" si="25"/>
        <v>3.1604649424739429E-11</v>
      </c>
      <c r="BI27" s="37">
        <f t="shared" ca="1" si="25"/>
        <v>0</v>
      </c>
      <c r="BJ27" s="37">
        <f t="shared" ca="1" si="25"/>
        <v>0</v>
      </c>
      <c r="BK27" s="37">
        <f t="shared" ca="1" si="25"/>
        <v>0</v>
      </c>
      <c r="BL27" s="37">
        <f t="shared" ca="1" si="25"/>
        <v>0</v>
      </c>
      <c r="BM27" s="37">
        <f t="shared" ca="1" si="25"/>
        <v>0</v>
      </c>
      <c r="BN27" s="37">
        <f t="shared" ca="1" si="25"/>
        <v>0</v>
      </c>
      <c r="BO27" s="37">
        <f t="shared" ca="1" si="26"/>
        <v>0</v>
      </c>
      <c r="BP27" s="37">
        <f t="shared" ca="1" si="26"/>
        <v>0</v>
      </c>
      <c r="BQ27" s="37">
        <f t="shared" ca="1" si="26"/>
        <v>0</v>
      </c>
      <c r="BR27" s="37">
        <f t="shared" ca="1" si="26"/>
        <v>0</v>
      </c>
      <c r="BS27" s="37">
        <f t="shared" ca="1" si="26"/>
        <v>0</v>
      </c>
      <c r="BT27" s="37">
        <f t="shared" ca="1" si="26"/>
        <v>0</v>
      </c>
      <c r="BU27" s="37">
        <f t="shared" ca="1" si="26"/>
        <v>0</v>
      </c>
      <c r="BV27" s="37" t="e">
        <f t="shared" ca="1" si="26"/>
        <v>#N/A</v>
      </c>
      <c r="BW27" s="37" t="e">
        <f t="shared" ca="1" si="26"/>
        <v>#N/A</v>
      </c>
      <c r="BX27" s="37" t="e">
        <f t="shared" ca="1" si="26"/>
        <v>#N/A</v>
      </c>
    </row>
    <row r="28" spans="1:76" x14ac:dyDescent="0.25">
      <c r="B28">
        <f t="shared" si="34"/>
        <v>2022</v>
      </c>
      <c r="C28" s="77" t="s">
        <v>57</v>
      </c>
      <c r="D28" s="72"/>
      <c r="E28" s="182" t="s">
        <v>55</v>
      </c>
      <c r="F28" s="81" t="s">
        <v>83</v>
      </c>
      <c r="G28" s="37">
        <f t="shared" ca="1" si="38"/>
        <v>0</v>
      </c>
      <c r="H28" s="37">
        <f t="shared" ca="1" si="38"/>
        <v>0</v>
      </c>
      <c r="I28" s="37">
        <f t="shared" ca="1" si="38"/>
        <v>0</v>
      </c>
      <c r="J28" s="37">
        <f t="shared" ca="1" si="38"/>
        <v>0</v>
      </c>
      <c r="K28" s="37">
        <f t="shared" ca="1" si="38"/>
        <v>0</v>
      </c>
      <c r="L28" s="46">
        <f t="shared" ca="1" si="36"/>
        <v>0</v>
      </c>
      <c r="P28" s="72"/>
      <c r="Q28" s="69" t="s">
        <v>55</v>
      </c>
      <c r="R28" s="74" t="s">
        <v>83</v>
      </c>
      <c r="S28" s="37">
        <f t="shared" ca="1" si="39"/>
        <v>0</v>
      </c>
      <c r="T28" s="37">
        <f t="shared" ca="1" si="39"/>
        <v>0</v>
      </c>
      <c r="U28" s="37">
        <f t="shared" ca="1" si="39"/>
        <v>0</v>
      </c>
      <c r="V28" s="37">
        <f t="shared" ca="1" si="39"/>
        <v>0</v>
      </c>
      <c r="W28" s="37">
        <f t="shared" ca="1" si="39"/>
        <v>0</v>
      </c>
      <c r="X28" s="46">
        <f t="shared" ca="1" si="40"/>
        <v>0</v>
      </c>
      <c r="Z28" s="7"/>
      <c r="AA28" s="7">
        <f ca="1">SUM(AF56:AH56)-SUM(AF23:AH23)</f>
        <v>148975.68336019525</v>
      </c>
      <c r="AB28" t="str">
        <f t="shared" si="12"/>
        <v>CondomCommercial</v>
      </c>
      <c r="AC28" s="1" t="s">
        <v>25</v>
      </c>
      <c r="AD28" s="1" t="s">
        <v>59</v>
      </c>
      <c r="AE28" s="37">
        <f t="shared" ca="1" si="23"/>
        <v>14264.48082656006</v>
      </c>
      <c r="AF28" s="37">
        <f t="shared" ca="1" si="23"/>
        <v>15277.992018226592</v>
      </c>
      <c r="AG28" s="37">
        <f t="shared" ca="1" si="23"/>
        <v>16323.892815367126</v>
      </c>
      <c r="AH28" s="37">
        <f t="shared" ca="1" si="23"/>
        <v>17425.913415233481</v>
      </c>
      <c r="AI28" s="37">
        <f t="shared" ca="1" si="23"/>
        <v>18583.748136856302</v>
      </c>
      <c r="AJ28" s="37">
        <f t="shared" ca="1" si="23"/>
        <v>19796.536497801266</v>
      </c>
      <c r="AK28" s="37">
        <f t="shared" ca="1" si="23"/>
        <v>21064.449166135379</v>
      </c>
      <c r="AL28" s="37">
        <f t="shared" ca="1" si="23"/>
        <v>22373.527186503808</v>
      </c>
      <c r="AM28" s="37">
        <f t="shared" ca="1" si="23"/>
        <v>23741.557210230916</v>
      </c>
      <c r="AN28" s="37">
        <f t="shared" ca="1" si="23"/>
        <v>25170.397324065278</v>
      </c>
      <c r="AO28" s="37">
        <f t="shared" ca="1" si="24"/>
        <v>26663.076733458325</v>
      </c>
      <c r="AP28" s="37">
        <f t="shared" ca="1" si="24"/>
        <v>28246.562493392837</v>
      </c>
      <c r="AQ28" s="37">
        <f t="shared" ca="1" si="24"/>
        <v>30082.548103524994</v>
      </c>
      <c r="AR28" s="37">
        <f t="shared" ca="1" si="24"/>
        <v>32003.804053977321</v>
      </c>
      <c r="AS28" s="37">
        <f t="shared" ca="1" si="24"/>
        <v>34010.761401604119</v>
      </c>
      <c r="AT28" s="37">
        <f t="shared" ca="1" si="24"/>
        <v>36103.346859173173</v>
      </c>
      <c r="AU28" s="37">
        <f t="shared" ca="1" si="24"/>
        <v>38282.018693291102</v>
      </c>
      <c r="AV28" s="37" t="e">
        <f t="shared" ca="1" si="24"/>
        <v>#N/A</v>
      </c>
      <c r="AW28" s="37" t="e">
        <f t="shared" ca="1" si="24"/>
        <v>#N/A</v>
      </c>
      <c r="AX28" s="37" t="e">
        <f t="shared" ca="1" si="24"/>
        <v>#N/A</v>
      </c>
      <c r="BA28" t="str">
        <f t="shared" si="13"/>
        <v>CondomCommercial</v>
      </c>
      <c r="BB28" s="1" t="s">
        <v>25</v>
      </c>
      <c r="BC28" s="1" t="s">
        <v>59</v>
      </c>
      <c r="BD28" s="149">
        <f t="shared" ca="1" si="7"/>
        <v>6202643.3493879521</v>
      </c>
      <c r="BE28" s="37">
        <f t="shared" ca="1" si="25"/>
        <v>1397919.121002886</v>
      </c>
      <c r="BF28" s="37">
        <f t="shared" ca="1" si="25"/>
        <v>1497243.2177862062</v>
      </c>
      <c r="BG28" s="37">
        <f t="shared" ca="1" si="25"/>
        <v>1599741.4959059781</v>
      </c>
      <c r="BH28" s="37">
        <f t="shared" ca="1" si="25"/>
        <v>1707739.5146928811</v>
      </c>
      <c r="BI28" s="37">
        <f t="shared" ca="1" si="25"/>
        <v>1821207.3174119173</v>
      </c>
      <c r="BJ28" s="37">
        <f t="shared" ca="1" si="25"/>
        <v>1940060.5767845241</v>
      </c>
      <c r="BK28" s="37">
        <f t="shared" ca="1" si="25"/>
        <v>2064316.018281267</v>
      </c>
      <c r="BL28" s="37">
        <f t="shared" ca="1" si="25"/>
        <v>2192605.6642773729</v>
      </c>
      <c r="BM28" s="37">
        <f t="shared" ca="1" si="25"/>
        <v>2326672.6066026301</v>
      </c>
      <c r="BN28" s="37">
        <f t="shared" ca="1" si="25"/>
        <v>2466698.9377583973</v>
      </c>
      <c r="BO28" s="37">
        <f t="shared" ca="1" si="26"/>
        <v>2612981.519878916</v>
      </c>
      <c r="BP28" s="37">
        <f t="shared" ca="1" si="26"/>
        <v>2768163.124352498</v>
      </c>
      <c r="BQ28" s="37">
        <f t="shared" ca="1" si="26"/>
        <v>2948089.7141454495</v>
      </c>
      <c r="BR28" s="37">
        <f t="shared" ca="1" si="26"/>
        <v>3136372.7972897775</v>
      </c>
      <c r="BS28" s="37">
        <f t="shared" ca="1" si="26"/>
        <v>3333054.6173572037</v>
      </c>
      <c r="BT28" s="37">
        <f t="shared" ca="1" si="26"/>
        <v>3538127.9921989706</v>
      </c>
      <c r="BU28" s="37">
        <f t="shared" ca="1" si="26"/>
        <v>3751637.8319425276</v>
      </c>
      <c r="BV28" s="37" t="e">
        <f t="shared" ca="1" si="26"/>
        <v>#N/A</v>
      </c>
      <c r="BW28" s="37" t="e">
        <f t="shared" ca="1" si="26"/>
        <v>#N/A</v>
      </c>
      <c r="BX28" s="37" t="e">
        <f t="shared" ca="1" si="26"/>
        <v>#N/A</v>
      </c>
    </row>
    <row r="29" spans="1:76" x14ac:dyDescent="0.25">
      <c r="B29">
        <f t="shared" si="34"/>
        <v>2022</v>
      </c>
      <c r="C29" s="77" t="s">
        <v>59</v>
      </c>
      <c r="D29" s="72"/>
      <c r="E29" s="182" t="s">
        <v>59</v>
      </c>
      <c r="F29" s="8" t="s">
        <v>80</v>
      </c>
      <c r="G29" s="37">
        <f t="shared" ca="1" si="38"/>
        <v>9835.8182535338256</v>
      </c>
      <c r="H29" s="37">
        <f t="shared" ca="1" si="38"/>
        <v>0</v>
      </c>
      <c r="I29" s="37">
        <f t="shared" ca="1" si="38"/>
        <v>70139.469691014325</v>
      </c>
      <c r="J29" s="37">
        <f t="shared" ca="1" si="38"/>
        <v>0</v>
      </c>
      <c r="K29" s="37">
        <f t="shared" ca="1" si="38"/>
        <v>5600.5539893700079</v>
      </c>
      <c r="L29" s="46">
        <f ca="1">SUM(G29:K29)</f>
        <v>85575.841933918156</v>
      </c>
      <c r="P29" s="72"/>
      <c r="Q29" s="69" t="s">
        <v>59</v>
      </c>
      <c r="R29" s="1" t="s">
        <v>80</v>
      </c>
      <c r="S29" s="37">
        <f t="shared" ca="1" si="39"/>
        <v>24589.545633834561</v>
      </c>
      <c r="T29" s="37">
        <f t="shared" ca="1" si="39"/>
        <v>1374.1679590475594</v>
      </c>
      <c r="U29" s="37">
        <f t="shared" ca="1" si="39"/>
        <v>70139.469691014325</v>
      </c>
      <c r="V29" s="37">
        <f t="shared" ca="1" si="39"/>
        <v>26040.180412231406</v>
      </c>
      <c r="W29" s="37">
        <f t="shared" ca="1" si="39"/>
        <v>22402.215957480032</v>
      </c>
      <c r="X29" s="46">
        <f t="shared" ca="1" si="40"/>
        <v>144545.57965360789</v>
      </c>
      <c r="Z29" s="7"/>
      <c r="AA29" s="7">
        <f ca="1">SUM(AF61:AH61)-SUM(AF28:AH28)</f>
        <v>116266.4839152006</v>
      </c>
      <c r="AB29" t="str">
        <f t="shared" si="12"/>
        <v>TotalPub_Med</v>
      </c>
      <c r="AC29" s="1" t="s">
        <v>60</v>
      </c>
      <c r="AD29" s="1" t="s">
        <v>52</v>
      </c>
      <c r="AE29" s="37">
        <f ca="1">SUMIFS(AE$4:AE$28,$AD$4:$AD$28,$AD29)</f>
        <v>1771040.0393091775</v>
      </c>
      <c r="AF29" s="37">
        <f t="shared" ref="AF29:AX33" ca="1" si="41">SUMIFS(AF$4:AF$28,$AD$4:$AD$28,$AD29)</f>
        <v>1979302.3523902455</v>
      </c>
      <c r="AG29" s="37">
        <f t="shared" ca="1" si="41"/>
        <v>2197634.175920736</v>
      </c>
      <c r="AH29" s="37">
        <f t="shared" ca="1" si="41"/>
        <v>2429313.7171857511</v>
      </c>
      <c r="AI29" s="37">
        <f t="shared" ca="1" si="41"/>
        <v>2675580.9630339984</v>
      </c>
      <c r="AJ29" s="37">
        <f t="shared" ca="1" si="41"/>
        <v>2935649.2469467847</v>
      </c>
      <c r="AK29" s="37">
        <f t="shared" ca="1" si="41"/>
        <v>3209767.8397054793</v>
      </c>
      <c r="AL29" s="37">
        <f t="shared" ca="1" si="41"/>
        <v>3495957.7268746025</v>
      </c>
      <c r="AM29" s="37">
        <f t="shared" ca="1" si="41"/>
        <v>3797091.2208166635</v>
      </c>
      <c r="AN29" s="37">
        <f ca="1">SUMIFS(AN$4:AN$28,$AD$4:$AD$28,$AD29)</f>
        <v>4113683.5991427279</v>
      </c>
      <c r="AO29" s="37">
        <f t="shared" ca="1" si="41"/>
        <v>4446449.865154515</v>
      </c>
      <c r="AP29" s="37">
        <f t="shared" ca="1" si="41"/>
        <v>4795997.8895169953</v>
      </c>
      <c r="AQ29" s="37">
        <f t="shared" ca="1" si="41"/>
        <v>5159813.9501253264</v>
      </c>
      <c r="AR29" s="37">
        <f t="shared" ca="1" si="41"/>
        <v>5541507.7612969438</v>
      </c>
      <c r="AS29" s="37">
        <f t="shared" ca="1" si="41"/>
        <v>5941281.4107619505</v>
      </c>
      <c r="AT29" s="37">
        <f t="shared" ca="1" si="41"/>
        <v>6359236.5923694316</v>
      </c>
      <c r="AU29" s="37">
        <f t="shared" ca="1" si="41"/>
        <v>6795556.5878153443</v>
      </c>
      <c r="AV29" s="37" t="e">
        <f t="shared" ca="1" si="41"/>
        <v>#N/A</v>
      </c>
      <c r="AW29" s="37" t="e">
        <f t="shared" ca="1" si="41"/>
        <v>#N/A</v>
      </c>
      <c r="AX29" s="37" t="e">
        <f t="shared" ca="1" si="41"/>
        <v>#N/A</v>
      </c>
      <c r="BA29" t="str">
        <f t="shared" si="13"/>
        <v>TotalPub_Med</v>
      </c>
      <c r="BB29" s="1" t="s">
        <v>60</v>
      </c>
      <c r="BC29" s="1" t="s">
        <v>52</v>
      </c>
      <c r="BD29" s="149">
        <f t="shared" ca="1" si="7"/>
        <v>93858908.360215515</v>
      </c>
      <c r="BE29" s="37">
        <f ca="1">SUMIF($BC$4:$BC$28,$BC29,BE$4:BE$28)</f>
        <v>20110324.078921448</v>
      </c>
      <c r="BF29" s="37">
        <f t="shared" ref="BF29:BX33" ca="1" si="42">SUMIF($BC$4:$BC$28,$BC29,BF$4:BF$28)</f>
        <v>22274341.827347487</v>
      </c>
      <c r="BG29" s="37">
        <f t="shared" ca="1" si="42"/>
        <v>24537297.383265555</v>
      </c>
      <c r="BH29" s="37">
        <f t="shared" ca="1" si="42"/>
        <v>26936945.070681028</v>
      </c>
      <c r="BI29" s="37">
        <f t="shared" ca="1" si="42"/>
        <v>29487514.63029898</v>
      </c>
      <c r="BJ29" s="37">
        <f t="shared" ca="1" si="42"/>
        <v>32177953.717970356</v>
      </c>
      <c r="BK29" s="37">
        <f t="shared" ca="1" si="42"/>
        <v>35010576.632768169</v>
      </c>
      <c r="BL29" s="37">
        <f t="shared" ca="1" si="42"/>
        <v>37962954.014919862</v>
      </c>
      <c r="BM29" s="37">
        <f t="shared" ca="1" si="42"/>
        <v>41067351.19218348</v>
      </c>
      <c r="BN29" s="37">
        <f t="shared" ca="1" si="42"/>
        <v>44328297.360668734</v>
      </c>
      <c r="BO29" s="37">
        <f t="shared" ca="1" si="42"/>
        <v>47753144.738222077</v>
      </c>
      <c r="BP29" s="37">
        <f t="shared" ca="1" si="42"/>
        <v>51347984.360755652</v>
      </c>
      <c r="BQ29" s="37">
        <f t="shared" ca="1" si="42"/>
        <v>55084791.090344444</v>
      </c>
      <c r="BR29" s="37">
        <f t="shared" ca="1" si="42"/>
        <v>59003526.523561478</v>
      </c>
      <c r="BS29" s="37">
        <f t="shared" ca="1" si="42"/>
        <v>63105021.17416425</v>
      </c>
      <c r="BT29" s="37">
        <f t="shared" ca="1" si="42"/>
        <v>67389992.694041535</v>
      </c>
      <c r="BU29" s="37">
        <f t="shared" ca="1" si="42"/>
        <v>71860107.541993231</v>
      </c>
      <c r="BV29" s="37" t="e">
        <f t="shared" ca="1" si="42"/>
        <v>#N/A</v>
      </c>
      <c r="BW29" s="37" t="e">
        <f t="shared" ca="1" si="42"/>
        <v>#N/A</v>
      </c>
      <c r="BX29" s="37" t="e">
        <f t="shared" ca="1" si="42"/>
        <v>#N/A</v>
      </c>
    </row>
    <row r="30" spans="1:76" ht="15.75" thickBot="1" x14ac:dyDescent="0.3">
      <c r="B30">
        <f t="shared" si="34"/>
        <v>2022</v>
      </c>
      <c r="C30" s="77" t="s">
        <v>60</v>
      </c>
      <c r="D30" s="73"/>
      <c r="E30" s="183"/>
      <c r="F30" s="53" t="s">
        <v>60</v>
      </c>
      <c r="G30" s="180">
        <f ca="1">SUM(G25:G29)</f>
        <v>54754.571131583558</v>
      </c>
      <c r="H30" s="180">
        <f ca="1">SUM(H25:H29)</f>
        <v>98058.442943505623</v>
      </c>
      <c r="I30" s="180">
        <f ca="1">SUM(I25:I29)</f>
        <v>576980.57660147268</v>
      </c>
      <c r="J30" s="180">
        <f ca="1">SUM(J25:J29)</f>
        <v>1079873.2342419729</v>
      </c>
      <c r="K30" s="180">
        <f ca="1">SUM(K25:K29)</f>
        <v>187725.8383757039</v>
      </c>
      <c r="L30" s="82">
        <f ca="1">SUM(G30:K30)</f>
        <v>1997392.6632942387</v>
      </c>
      <c r="P30" s="73"/>
      <c r="Q30" s="70"/>
      <c r="R30" s="48" t="s">
        <v>60</v>
      </c>
      <c r="S30" s="180">
        <f ca="1">SUM(S25:S29)</f>
        <v>54754.571131583558</v>
      </c>
      <c r="T30" s="180">
        <f ca="1">SUM(T25:T29)</f>
        <v>98058.442943505623</v>
      </c>
      <c r="U30" s="180">
        <f ca="1">SUM(U25:U29)</f>
        <v>576980.57660147268</v>
      </c>
      <c r="V30" s="180">
        <f ca="1">SUM(V25:V29)</f>
        <v>1081659.2327566654</v>
      </c>
      <c r="W30" s="180">
        <f ca="1">SUM(W25:W29)</f>
        <v>187725.8383757039</v>
      </c>
      <c r="X30" s="82">
        <f ca="1">SUM(S30:W30)</f>
        <v>1999178.6618089313</v>
      </c>
      <c r="AA30" s="7"/>
      <c r="AB30" t="str">
        <f t="shared" si="12"/>
        <v>TotalPub_Outreach</v>
      </c>
      <c r="AC30" s="1" t="s">
        <v>60</v>
      </c>
      <c r="AD30" s="1" t="s">
        <v>54</v>
      </c>
      <c r="AE30" s="37">
        <f t="shared" ref="AE30:AT33" ca="1" si="43">SUMIFS(AE$4:AE$28,$AD$4:$AD$28,$AD30)</f>
        <v>122959.04079012171</v>
      </c>
      <c r="AF30" s="37">
        <f t="shared" ca="1" si="43"/>
        <v>136220.69246938932</v>
      </c>
      <c r="AG30" s="37">
        <f t="shared" ca="1" si="43"/>
        <v>153194.04834140913</v>
      </c>
      <c r="AH30" s="37">
        <f t="shared" ca="1" si="43"/>
        <v>167884.57832093042</v>
      </c>
      <c r="AI30" s="37">
        <f t="shared" ca="1" si="43"/>
        <v>187676.11888359702</v>
      </c>
      <c r="AJ30" s="37">
        <f t="shared" ca="1" si="43"/>
        <v>204928.45277968963</v>
      </c>
      <c r="AK30" s="37">
        <f t="shared" ca="1" si="43"/>
        <v>226945.78455706386</v>
      </c>
      <c r="AL30" s="37">
        <f t="shared" ca="1" si="43"/>
        <v>248142.47794433637</v>
      </c>
      <c r="AM30" s="37">
        <f t="shared" ca="1" si="43"/>
        <v>270522.77924005891</v>
      </c>
      <c r="AN30" s="37">
        <f t="shared" ca="1" si="43"/>
        <v>294197.34629306733</v>
      </c>
      <c r="AO30" s="37">
        <f t="shared" ca="1" si="43"/>
        <v>319517.82863900688</v>
      </c>
      <c r="AP30" s="37">
        <f t="shared" ca="1" si="43"/>
        <v>346212.71126770345</v>
      </c>
      <c r="AQ30" s="37">
        <f t="shared" ca="1" si="43"/>
        <v>374036.28240547975</v>
      </c>
      <c r="AR30" s="37">
        <f t="shared" ca="1" si="43"/>
        <v>403252.26768859505</v>
      </c>
      <c r="AS30" s="37">
        <f t="shared" ca="1" si="43"/>
        <v>434147.47496291302</v>
      </c>
      <c r="AT30" s="37">
        <f t="shared" ca="1" si="43"/>
        <v>466867.89119061787</v>
      </c>
      <c r="AU30" s="37">
        <f t="shared" ca="1" si="41"/>
        <v>501120.22479257744</v>
      </c>
      <c r="AV30" s="37" t="e">
        <f t="shared" ca="1" si="41"/>
        <v>#N/A</v>
      </c>
      <c r="AW30" s="37" t="e">
        <f t="shared" ca="1" si="41"/>
        <v>#N/A</v>
      </c>
      <c r="AX30" s="37" t="e">
        <f t="shared" ca="1" si="41"/>
        <v>#N/A</v>
      </c>
      <c r="BA30" t="str">
        <f t="shared" si="13"/>
        <v>TotalPub_Outreach</v>
      </c>
      <c r="BB30" s="1" t="s">
        <v>60</v>
      </c>
      <c r="BC30" s="1" t="s">
        <v>54</v>
      </c>
      <c r="BD30" s="149">
        <f t="shared" ca="1" si="7"/>
        <v>11563333.876251156</v>
      </c>
      <c r="BE30" s="37">
        <f t="shared" ref="BE30:BT33" ca="1" si="44">SUMIF($BC$4:$BC$28,$BC30,BE$4:BE$28)</f>
        <v>2878833.4931425466</v>
      </c>
      <c r="BF30" s="37">
        <f t="shared" ca="1" si="44"/>
        <v>2887553.9112348435</v>
      </c>
      <c r="BG30" s="37">
        <f t="shared" ca="1" si="44"/>
        <v>2900264.6466846825</v>
      </c>
      <c r="BH30" s="37">
        <f t="shared" ca="1" si="44"/>
        <v>2896681.8251890838</v>
      </c>
      <c r="BI30" s="37">
        <f t="shared" ca="1" si="44"/>
        <v>2960347.5157445422</v>
      </c>
      <c r="BJ30" s="37">
        <f t="shared" ca="1" si="44"/>
        <v>3019198.6253452408</v>
      </c>
      <c r="BK30" s="37">
        <f t="shared" ca="1" si="44"/>
        <v>3092614.1946525071</v>
      </c>
      <c r="BL30" s="37">
        <f t="shared" ca="1" si="44"/>
        <v>3156496.8120342195</v>
      </c>
      <c r="BM30" s="37">
        <f t="shared" ca="1" si="44"/>
        <v>3226230.5715073561</v>
      </c>
      <c r="BN30" s="37">
        <f t="shared" ca="1" si="44"/>
        <v>3308721.4920685757</v>
      </c>
      <c r="BO30" s="37">
        <f t="shared" ca="1" si="44"/>
        <v>3433274.695528945</v>
      </c>
      <c r="BP30" s="37">
        <f t="shared" ca="1" si="44"/>
        <v>3568738.0684298668</v>
      </c>
      <c r="BQ30" s="37">
        <f t="shared" ca="1" si="44"/>
        <v>3706341.0927450294</v>
      </c>
      <c r="BR30" s="37">
        <f t="shared" ca="1" si="44"/>
        <v>3848620.6240132474</v>
      </c>
      <c r="BS30" s="37">
        <f t="shared" ca="1" si="44"/>
        <v>4021627.91686258</v>
      </c>
      <c r="BT30" s="37">
        <f t="shared" ca="1" si="44"/>
        <v>4238397.2041569538</v>
      </c>
      <c r="BU30" s="37">
        <f t="shared" ca="1" si="42"/>
        <v>4468448.1631187722</v>
      </c>
      <c r="BV30" s="37" t="e">
        <f t="shared" ca="1" si="42"/>
        <v>#N/A</v>
      </c>
      <c r="BW30" s="37" t="e">
        <f t="shared" ca="1" si="42"/>
        <v>#N/A</v>
      </c>
      <c r="BX30" s="37" t="e">
        <f t="shared" ca="1" si="42"/>
        <v>#N/A</v>
      </c>
    </row>
    <row r="31" spans="1:76" x14ac:dyDescent="0.25">
      <c r="G31" s="75">
        <f ca="1">G27/$L$27</f>
        <v>0.10348343211688596</v>
      </c>
      <c r="H31" s="75">
        <f ca="1">H27/$L$27</f>
        <v>3.5622363658030308E-2</v>
      </c>
      <c r="I31" s="75">
        <f ca="1">I27/$L$27</f>
        <v>2.9853211467584441E-2</v>
      </c>
      <c r="J31" s="75">
        <f ca="1">J27/$L$27</f>
        <v>0.69315829121114836</v>
      </c>
      <c r="K31" s="75">
        <f ca="1">K27/$L$27</f>
        <v>0.13788270154635102</v>
      </c>
      <c r="L31" s="75"/>
      <c r="AA31" s="7"/>
      <c r="AB31" t="str">
        <f t="shared" si="12"/>
        <v>TotalSM_Med</v>
      </c>
      <c r="AC31" s="1" t="s">
        <v>60</v>
      </c>
      <c r="AD31" s="1" t="s">
        <v>56</v>
      </c>
      <c r="AE31" s="37">
        <f t="shared" ca="1" si="43"/>
        <v>929624.90942062414</v>
      </c>
      <c r="AF31" s="37">
        <f t="shared" ca="1" si="41"/>
        <v>965414.97607099859</v>
      </c>
      <c r="AG31" s="37">
        <f t="shared" ca="1" si="41"/>
        <v>1001095.4908708571</v>
      </c>
      <c r="AH31" s="37">
        <f t="shared" ca="1" si="41"/>
        <v>1038091.1062086012</v>
      </c>
      <c r="AI31" s="37">
        <f t="shared" ca="1" si="41"/>
        <v>1077621.8391206311</v>
      </c>
      <c r="AJ31" s="37">
        <f t="shared" ca="1" si="41"/>
        <v>1129687.3968843552</v>
      </c>
      <c r="AK31" s="37">
        <f t="shared" ca="1" si="41"/>
        <v>1189147.5682206308</v>
      </c>
      <c r="AL31" s="37">
        <f t="shared" ca="1" si="41"/>
        <v>1250063.3094051066</v>
      </c>
      <c r="AM31" s="37">
        <f t="shared" ca="1" si="41"/>
        <v>1313414.4662449914</v>
      </c>
      <c r="AN31" s="37">
        <f t="shared" ca="1" si="41"/>
        <v>1379271.1695194622</v>
      </c>
      <c r="AO31" s="37">
        <f t="shared" ca="1" si="41"/>
        <v>1447766.4774386794</v>
      </c>
      <c r="AP31" s="37">
        <f t="shared" ca="1" si="41"/>
        <v>1519212.8668702175</v>
      </c>
      <c r="AQ31" s="37">
        <f t="shared" ca="1" si="41"/>
        <v>1595204.8119286888</v>
      </c>
      <c r="AR31" s="37">
        <f t="shared" ca="1" si="41"/>
        <v>1675277.6591442069</v>
      </c>
      <c r="AS31" s="37">
        <f t="shared" ca="1" si="41"/>
        <v>1758485.1199059412</v>
      </c>
      <c r="AT31" s="37">
        <f t="shared" ca="1" si="41"/>
        <v>1844772.413984234</v>
      </c>
      <c r="AU31" s="37">
        <f t="shared" ca="1" si="41"/>
        <v>1934120.082310172</v>
      </c>
      <c r="AV31" s="37" t="e">
        <f t="shared" ca="1" si="41"/>
        <v>#N/A</v>
      </c>
      <c r="AW31" s="37" t="e">
        <f t="shared" ca="1" si="41"/>
        <v>#N/A</v>
      </c>
      <c r="AX31" s="37" t="e">
        <f t="shared" ca="1" si="41"/>
        <v>#N/A</v>
      </c>
      <c r="BA31" t="str">
        <f t="shared" si="13"/>
        <v>TotalSM_Med</v>
      </c>
      <c r="BB31" s="1" t="s">
        <v>60</v>
      </c>
      <c r="BC31" s="1" t="s">
        <v>56</v>
      </c>
      <c r="BD31" s="149">
        <f t="shared" ca="1" si="7"/>
        <v>73673943.302424759</v>
      </c>
      <c r="BE31" s="37">
        <f t="shared" ca="1" si="44"/>
        <v>16820791.668835033</v>
      </c>
      <c r="BF31" s="37">
        <f t="shared" ca="1" si="42"/>
        <v>17863888.34905687</v>
      </c>
      <c r="BG31" s="37">
        <f t="shared" ca="1" si="42"/>
        <v>18932917.588914506</v>
      </c>
      <c r="BH31" s="37">
        <f t="shared" ca="1" si="42"/>
        <v>20056345.695618346</v>
      </c>
      <c r="BI31" s="37">
        <f t="shared" ca="1" si="42"/>
        <v>21250696.240091041</v>
      </c>
      <c r="BJ31" s="37">
        <f t="shared" ca="1" si="42"/>
        <v>22543845.818308178</v>
      </c>
      <c r="BK31" s="37">
        <f t="shared" ca="1" si="42"/>
        <v>23915337.871351846</v>
      </c>
      <c r="BL31" s="37">
        <f t="shared" ca="1" si="42"/>
        <v>25328631.617851689</v>
      </c>
      <c r="BM31" s="37">
        <f t="shared" ca="1" si="42"/>
        <v>26803904.04117772</v>
      </c>
      <c r="BN31" s="37">
        <f t="shared" ca="1" si="42"/>
        <v>28343008.388761695</v>
      </c>
      <c r="BO31" s="37">
        <f t="shared" ca="1" si="42"/>
        <v>29949175.157105394</v>
      </c>
      <c r="BP31" s="37">
        <f t="shared" ca="1" si="42"/>
        <v>31646547.784849346</v>
      </c>
      <c r="BQ31" s="37">
        <f t="shared" ca="1" si="42"/>
        <v>33585102.356678084</v>
      </c>
      <c r="BR31" s="37">
        <f t="shared" ca="1" si="42"/>
        <v>35624050.619588874</v>
      </c>
      <c r="BS31" s="37">
        <f t="shared" ca="1" si="42"/>
        <v>37751786.137660943</v>
      </c>
      <c r="BT31" s="37">
        <f t="shared" ca="1" si="42"/>
        <v>39967999.507795289</v>
      </c>
      <c r="BU31" s="37">
        <f t="shared" ca="1" si="42"/>
        <v>42272993.956554919</v>
      </c>
      <c r="BV31" s="37" t="e">
        <f t="shared" ca="1" si="42"/>
        <v>#N/A</v>
      </c>
      <c r="BW31" s="37" t="e">
        <f t="shared" ca="1" si="42"/>
        <v>#N/A</v>
      </c>
      <c r="BX31" s="37" t="e">
        <f t="shared" ca="1" si="42"/>
        <v>#N/A</v>
      </c>
    </row>
    <row r="32" spans="1:76" ht="15.75" thickBot="1" x14ac:dyDescent="0.3">
      <c r="D32" s="3" t="str">
        <f>CONCATENATE("Number of methods to be distributed between ",Yr_Start," and ",Yr_End)</f>
        <v>Number of methods to be distributed between 2019 and 2022</v>
      </c>
      <c r="E32" s="3"/>
      <c r="P32" s="3" t="str">
        <f>CONCATENATE("Number of methods to be distributed between ",Yr_Start," and ",Yr_End)</f>
        <v>Number of methods to be distributed between 2019 and 2022</v>
      </c>
      <c r="Q32" s="3"/>
      <c r="AB32" t="str">
        <f t="shared" si="12"/>
        <v>TotalSM_Nontrad</v>
      </c>
      <c r="AC32" s="1" t="s">
        <v>60</v>
      </c>
      <c r="AD32" s="1" t="s">
        <v>57</v>
      </c>
      <c r="AE32" s="37">
        <f t="shared" ca="1" si="43"/>
        <v>4432.1975270107005</v>
      </c>
      <c r="AF32" s="37">
        <f t="shared" ca="1" si="41"/>
        <v>3067.7534749616984</v>
      </c>
      <c r="AG32" s="37">
        <f t="shared" ca="1" si="41"/>
        <v>1590.1507330977304</v>
      </c>
      <c r="AH32" s="37">
        <f t="shared" ca="1" si="41"/>
        <v>3.2249642270142274E-13</v>
      </c>
      <c r="AI32" s="37">
        <f t="shared" ca="1" si="41"/>
        <v>0</v>
      </c>
      <c r="AJ32" s="37">
        <f t="shared" ca="1" si="41"/>
        <v>0</v>
      </c>
      <c r="AK32" s="37">
        <f t="shared" ca="1" si="41"/>
        <v>0</v>
      </c>
      <c r="AL32" s="37">
        <f t="shared" ca="1" si="41"/>
        <v>0</v>
      </c>
      <c r="AM32" s="37">
        <f t="shared" ca="1" si="41"/>
        <v>0</v>
      </c>
      <c r="AN32" s="37">
        <f t="shared" ca="1" si="41"/>
        <v>0</v>
      </c>
      <c r="AO32" s="37">
        <f t="shared" ca="1" si="41"/>
        <v>0</v>
      </c>
      <c r="AP32" s="37">
        <f t="shared" ca="1" si="41"/>
        <v>0</v>
      </c>
      <c r="AQ32" s="37">
        <f t="shared" ca="1" si="41"/>
        <v>0</v>
      </c>
      <c r="AR32" s="37">
        <f t="shared" ca="1" si="41"/>
        <v>0</v>
      </c>
      <c r="AS32" s="37">
        <f t="shared" ca="1" si="41"/>
        <v>0</v>
      </c>
      <c r="AT32" s="37">
        <f t="shared" ca="1" si="41"/>
        <v>0</v>
      </c>
      <c r="AU32" s="37">
        <f t="shared" ca="1" si="41"/>
        <v>0</v>
      </c>
      <c r="AV32" s="37" t="e">
        <f t="shared" ca="1" si="41"/>
        <v>#N/A</v>
      </c>
      <c r="AW32" s="37" t="e">
        <f t="shared" ca="1" si="41"/>
        <v>#N/A</v>
      </c>
      <c r="AX32" s="37" t="e">
        <f t="shared" ca="1" si="41"/>
        <v>#N/A</v>
      </c>
      <c r="BA32" t="str">
        <f t="shared" si="13"/>
        <v>TotalSM_Nontrad</v>
      </c>
      <c r="BB32" s="1" t="s">
        <v>60</v>
      </c>
      <c r="BC32" s="1" t="s">
        <v>57</v>
      </c>
      <c r="BD32" s="149">
        <f t="shared" ca="1" si="7"/>
        <v>890829.97003687266</v>
      </c>
      <c r="BE32" s="37">
        <f t="shared" ca="1" si="44"/>
        <v>434355.35764704866</v>
      </c>
      <c r="BF32" s="37">
        <f t="shared" ca="1" si="42"/>
        <v>300639.84054624644</v>
      </c>
      <c r="BG32" s="37">
        <f t="shared" ca="1" si="42"/>
        <v>155834.77184357756</v>
      </c>
      <c r="BH32" s="37">
        <f t="shared" ca="1" si="42"/>
        <v>3.1604649424739429E-11</v>
      </c>
      <c r="BI32" s="37">
        <f t="shared" ca="1" si="42"/>
        <v>0</v>
      </c>
      <c r="BJ32" s="37">
        <f t="shared" ca="1" si="42"/>
        <v>0</v>
      </c>
      <c r="BK32" s="37">
        <f t="shared" ca="1" si="42"/>
        <v>0</v>
      </c>
      <c r="BL32" s="37">
        <f t="shared" ca="1" si="42"/>
        <v>0</v>
      </c>
      <c r="BM32" s="37">
        <f t="shared" ca="1" si="42"/>
        <v>0</v>
      </c>
      <c r="BN32" s="37">
        <f t="shared" ca="1" si="42"/>
        <v>0</v>
      </c>
      <c r="BO32" s="37">
        <f t="shared" ca="1" si="42"/>
        <v>0</v>
      </c>
      <c r="BP32" s="37">
        <f t="shared" ca="1" si="42"/>
        <v>0</v>
      </c>
      <c r="BQ32" s="37">
        <f t="shared" ca="1" si="42"/>
        <v>0</v>
      </c>
      <c r="BR32" s="37">
        <f t="shared" ca="1" si="42"/>
        <v>0</v>
      </c>
      <c r="BS32" s="37">
        <f t="shared" ca="1" si="42"/>
        <v>0</v>
      </c>
      <c r="BT32" s="37">
        <f t="shared" ca="1" si="42"/>
        <v>0</v>
      </c>
      <c r="BU32" s="37">
        <f t="shared" ca="1" si="42"/>
        <v>0</v>
      </c>
      <c r="BV32" s="37" t="e">
        <f t="shared" ca="1" si="42"/>
        <v>#N/A</v>
      </c>
      <c r="BW32" s="37" t="e">
        <f t="shared" ca="1" si="42"/>
        <v>#N/A</v>
      </c>
      <c r="BX32" s="37" t="e">
        <f t="shared" ca="1" si="42"/>
        <v>#N/A</v>
      </c>
    </row>
    <row r="33" spans="3:76" ht="15.75" thickBot="1" x14ac:dyDescent="0.3">
      <c r="E33" s="49" t="s">
        <v>71</v>
      </c>
      <c r="F33" s="9" t="s">
        <v>50</v>
      </c>
      <c r="G33" s="51" t="s">
        <v>12</v>
      </c>
      <c r="H33" s="51" t="s">
        <v>16</v>
      </c>
      <c r="I33" s="9" t="s">
        <v>23</v>
      </c>
      <c r="J33" s="51" t="s">
        <v>22</v>
      </c>
      <c r="K33" s="51" t="s">
        <v>25</v>
      </c>
      <c r="L33" s="52" t="s">
        <v>60</v>
      </c>
      <c r="Q33" s="49" t="s">
        <v>71</v>
      </c>
      <c r="R33" s="9" t="s">
        <v>50</v>
      </c>
      <c r="S33" s="51" t="s">
        <v>12</v>
      </c>
      <c r="T33" s="51" t="s">
        <v>16</v>
      </c>
      <c r="U33" s="9" t="s">
        <v>23</v>
      </c>
      <c r="V33" s="51" t="s">
        <v>22</v>
      </c>
      <c r="W33" s="51" t="s">
        <v>25</v>
      </c>
      <c r="X33" s="52" t="s">
        <v>60</v>
      </c>
      <c r="AB33" t="str">
        <f t="shared" si="12"/>
        <v>TotalCommercial</v>
      </c>
      <c r="AC33" s="1" t="s">
        <v>60</v>
      </c>
      <c r="AD33" s="1" t="s">
        <v>59</v>
      </c>
      <c r="AE33" s="37">
        <f t="shared" ca="1" si="43"/>
        <v>140003.32638940171</v>
      </c>
      <c r="AF33" s="37">
        <f t="shared" ca="1" si="41"/>
        <v>155733.93537967795</v>
      </c>
      <c r="AG33" s="37">
        <f t="shared" ca="1" si="41"/>
        <v>172206.78243077791</v>
      </c>
      <c r="AH33" s="37">
        <f t="shared" ca="1" si="41"/>
        <v>189678.06359607261</v>
      </c>
      <c r="AI33" s="37">
        <f t="shared" ca="1" si="41"/>
        <v>208501.50358154048</v>
      </c>
      <c r="AJ33" s="37">
        <f t="shared" ca="1" si="41"/>
        <v>228373.22015062504</v>
      </c>
      <c r="AK33" s="37">
        <f t="shared" ca="1" si="41"/>
        <v>249311.60037689802</v>
      </c>
      <c r="AL33" s="37">
        <f t="shared" ca="1" si="41"/>
        <v>271162.28259911755</v>
      </c>
      <c r="AM33" s="37">
        <f t="shared" ca="1" si="41"/>
        <v>294147.66018668824</v>
      </c>
      <c r="AN33" s="37">
        <f t="shared" ca="1" si="41"/>
        <v>318306.74294276693</v>
      </c>
      <c r="AO33" s="37">
        <f t="shared" ca="1" si="41"/>
        <v>343693.96107297542</v>
      </c>
      <c r="AP33" s="37">
        <f t="shared" ca="1" si="41"/>
        <v>370380.07708653278</v>
      </c>
      <c r="AQ33" s="37">
        <f t="shared" ca="1" si="41"/>
        <v>398566.12935037789</v>
      </c>
      <c r="AR33" s="37">
        <f t="shared" ca="1" si="41"/>
        <v>428744.78002643329</v>
      </c>
      <c r="AS33" s="37">
        <f t="shared" ca="1" si="41"/>
        <v>460428.3800197455</v>
      </c>
      <c r="AT33" s="37">
        <f t="shared" ca="1" si="41"/>
        <v>493567.02893077279</v>
      </c>
      <c r="AU33" s="37">
        <f t="shared" ca="1" si="41"/>
        <v>528176.40503376105</v>
      </c>
      <c r="AV33" s="37" t="e">
        <f t="shared" ca="1" si="41"/>
        <v>#N/A</v>
      </c>
      <c r="AW33" s="37" t="e">
        <f t="shared" ca="1" si="41"/>
        <v>#N/A</v>
      </c>
      <c r="AX33" s="37" t="e">
        <f t="shared" ca="1" si="41"/>
        <v>#N/A</v>
      </c>
      <c r="BA33" t="str">
        <f t="shared" si="13"/>
        <v>TotalCommercial</v>
      </c>
      <c r="BB33" s="1" t="s">
        <v>60</v>
      </c>
      <c r="BC33" s="1" t="s">
        <v>59</v>
      </c>
      <c r="BD33" s="149">
        <f t="shared" ca="1" si="7"/>
        <v>7595803.9559736531</v>
      </c>
      <c r="BE33" s="37">
        <f t="shared" ca="1" si="44"/>
        <v>1729788.5731559228</v>
      </c>
      <c r="BF33" s="37">
        <f t="shared" ca="1" si="42"/>
        <v>1840123.7879570443</v>
      </c>
      <c r="BG33" s="37">
        <f t="shared" ca="1" si="42"/>
        <v>1953359.1187873562</v>
      </c>
      <c r="BH33" s="37">
        <f t="shared" ca="1" si="42"/>
        <v>2072532.4760733303</v>
      </c>
      <c r="BI33" s="37">
        <f t="shared" ca="1" si="42"/>
        <v>2201815.0599784153</v>
      </c>
      <c r="BJ33" s="37">
        <f t="shared" ca="1" si="42"/>
        <v>2337003.6115776142</v>
      </c>
      <c r="BK33" s="37">
        <f t="shared" ca="1" si="42"/>
        <v>2478100.5354020256</v>
      </c>
      <c r="BL33" s="37">
        <f t="shared" ca="1" si="42"/>
        <v>2623360.1004972355</v>
      </c>
      <c r="BM33" s="37">
        <f t="shared" ca="1" si="42"/>
        <v>2775058.256784386</v>
      </c>
      <c r="BN33" s="37">
        <f t="shared" ca="1" si="42"/>
        <v>2933288.4234946622</v>
      </c>
      <c r="BO33" s="37">
        <f t="shared" ca="1" si="42"/>
        <v>3098389.0850132089</v>
      </c>
      <c r="BP33" s="37">
        <f t="shared" ca="1" si="42"/>
        <v>3273016.4626556635</v>
      </c>
      <c r="BQ33" s="37">
        <f t="shared" ca="1" si="42"/>
        <v>3475424.2736287974</v>
      </c>
      <c r="BR33" s="37">
        <f t="shared" ca="1" si="42"/>
        <v>3690664.3494453407</v>
      </c>
      <c r="BS33" s="37">
        <f t="shared" ca="1" si="42"/>
        <v>3915159.3101690905</v>
      </c>
      <c r="BT33" s="37">
        <f t="shared" ca="1" si="42"/>
        <v>4149014.1582165495</v>
      </c>
      <c r="BU33" s="37">
        <f t="shared" ca="1" si="42"/>
        <v>4392312.3538269848</v>
      </c>
      <c r="BV33" s="37" t="e">
        <f t="shared" ca="1" si="42"/>
        <v>#N/A</v>
      </c>
      <c r="BW33" s="37" t="e">
        <f t="shared" ca="1" si="42"/>
        <v>#N/A</v>
      </c>
      <c r="BX33" s="37" t="e">
        <f t="shared" ca="1" si="42"/>
        <v>#N/A</v>
      </c>
    </row>
    <row r="34" spans="3:76" x14ac:dyDescent="0.25">
      <c r="C34" s="77" t="s">
        <v>52</v>
      </c>
      <c r="E34" s="66" t="s">
        <v>73</v>
      </c>
      <c r="F34" s="47" t="s">
        <v>51</v>
      </c>
      <c r="G34" s="37">
        <f t="shared" ref="G34:K38" ca="1" si="45">INDEX($BA$3:$BD$33,MATCH(G$33&amp;$C34,$BA$3:$BA$33,0),4)</f>
        <v>68420.710063108258</v>
      </c>
      <c r="H34" s="37">
        <f ca="1">INDEX($BA$3:$BD$33,MATCH(H$33&amp;$C34,$BA$3:$BA$33,0),4)</f>
        <v>185415.35224722259</v>
      </c>
      <c r="I34" s="37">
        <f t="shared" ca="1" si="45"/>
        <v>974826.26327378978</v>
      </c>
      <c r="J34" s="37">
        <f t="shared" ca="1" si="45"/>
        <v>18055442.083872005</v>
      </c>
      <c r="K34" s="37">
        <f t="shared" ca="1" si="45"/>
        <v>74574803.950759396</v>
      </c>
      <c r="L34" s="46">
        <f t="shared" ref="L34:L37" ca="1" si="46">SUM(G34:K34)</f>
        <v>93858908.360215515</v>
      </c>
      <c r="Q34" s="66" t="s">
        <v>73</v>
      </c>
      <c r="R34" s="47" t="s">
        <v>51</v>
      </c>
      <c r="S34" s="37">
        <f t="shared" ref="S34:W38" ca="1" si="47">INDEX($BA$36:$BD$66,MATCH(S$33&amp;$C34,$BA$36:$BA$66,0),4)</f>
        <v>68420.710063108258</v>
      </c>
      <c r="T34" s="37">
        <f t="shared" ca="1" si="47"/>
        <v>161654.60625609331</v>
      </c>
      <c r="U34" s="37">
        <f t="shared" ca="1" si="47"/>
        <v>906323.62324374623</v>
      </c>
      <c r="V34" s="37">
        <f t="shared" ca="1" si="47"/>
        <v>17308672.640650891</v>
      </c>
      <c r="W34" s="37">
        <f t="shared" ca="1" si="47"/>
        <v>71010961.656578034</v>
      </c>
      <c r="X34" s="46">
        <f t="shared" ref="X34:X37" ca="1" si="48">SUM(S34:W34)</f>
        <v>89456033.236791879</v>
      </c>
      <c r="Z34" s="7">
        <f ca="1">S38-G38</f>
        <v>914263.78783298354</v>
      </c>
    </row>
    <row r="35" spans="3:76" ht="15.75" thickBot="1" x14ac:dyDescent="0.3">
      <c r="C35" s="77" t="s">
        <v>54</v>
      </c>
      <c r="E35" s="64" t="s">
        <v>73</v>
      </c>
      <c r="F35" s="74" t="s">
        <v>53</v>
      </c>
      <c r="G35" s="37">
        <f t="shared" ca="1" si="45"/>
        <v>191580.59069998463</v>
      </c>
      <c r="H35" s="37">
        <f t="shared" ca="1" si="45"/>
        <v>9845.5302899270373</v>
      </c>
      <c r="I35" s="37">
        <f t="shared" ca="1" si="45"/>
        <v>71747.703984452048</v>
      </c>
      <c r="J35" s="37">
        <f t="shared" ca="1" si="45"/>
        <v>995574.13590991485</v>
      </c>
      <c r="K35" s="37">
        <f t="shared" ca="1" si="45"/>
        <v>10294585.915366877</v>
      </c>
      <c r="L35" s="46">
        <f t="shared" ca="1" si="46"/>
        <v>11563333.876251156</v>
      </c>
      <c r="Q35" s="64" t="s">
        <v>73</v>
      </c>
      <c r="R35" s="74" t="s">
        <v>53</v>
      </c>
      <c r="S35" s="37">
        <f t="shared" ca="1" si="47"/>
        <v>191580.59069998463</v>
      </c>
      <c r="T35" s="37">
        <f t="shared" ca="1" si="47"/>
        <v>7064.8070314771076</v>
      </c>
      <c r="U35" s="37">
        <f t="shared" ca="1" si="47"/>
        <v>65186.326894759834</v>
      </c>
      <c r="V35" s="37">
        <f t="shared" ca="1" si="47"/>
        <v>958394.73085073498</v>
      </c>
      <c r="W35" s="37">
        <f t="shared" ca="1" si="47"/>
        <v>9272452.8775568064</v>
      </c>
      <c r="X35" s="46">
        <f t="shared" ca="1" si="48"/>
        <v>10494679.333033763</v>
      </c>
      <c r="Z35" s="7">
        <f ca="1">T38-H38</f>
        <v>9410.5819000585616</v>
      </c>
      <c r="AA35" t="s">
        <v>69</v>
      </c>
      <c r="AC35" t="s">
        <v>35</v>
      </c>
      <c r="AZ35" t="s">
        <v>69</v>
      </c>
      <c r="BB35" t="s">
        <v>35</v>
      </c>
    </row>
    <row r="36" spans="3:76" x14ac:dyDescent="0.25">
      <c r="C36" s="77" t="s">
        <v>56</v>
      </c>
      <c r="E36" s="64" t="s">
        <v>55</v>
      </c>
      <c r="F36" s="74" t="s">
        <v>80</v>
      </c>
      <c r="G36" s="37">
        <f t="shared" ca="1" si="45"/>
        <v>4879598.0567725226</v>
      </c>
      <c r="H36" s="37">
        <f t="shared" ca="1" si="45"/>
        <v>60268.862748332649</v>
      </c>
      <c r="I36" s="37">
        <f t="shared" ca="1" si="45"/>
        <v>30202.241279119859</v>
      </c>
      <c r="J36" s="37">
        <f t="shared" ca="1" si="45"/>
        <v>10739033.917687487</v>
      </c>
      <c r="K36" s="37">
        <f t="shared" ca="1" si="45"/>
        <v>57964840.223937295</v>
      </c>
      <c r="L36" s="46">
        <f t="shared" ca="1" si="46"/>
        <v>73673943.302424759</v>
      </c>
      <c r="Q36" s="64" t="s">
        <v>55</v>
      </c>
      <c r="R36" s="74" t="s">
        <v>80</v>
      </c>
      <c r="S36" s="37">
        <f t="shared" ca="1" si="47"/>
        <v>3965334.2689395379</v>
      </c>
      <c r="T36" s="37">
        <f t="shared" ca="1" si="47"/>
        <v>77399.750097853248</v>
      </c>
      <c r="U36" s="37">
        <f t="shared" ca="1" si="47"/>
        <v>32299.151468693948</v>
      </c>
      <c r="V36" s="37">
        <f t="shared" ca="1" si="47"/>
        <v>10941108.982863955</v>
      </c>
      <c r="W36" s="37">
        <f t="shared" ca="1" si="47"/>
        <v>51156700.132239066</v>
      </c>
      <c r="X36" s="46">
        <f t="shared" ca="1" si="48"/>
        <v>66172842.285609104</v>
      </c>
      <c r="Z36" s="7">
        <f ca="1">U38-I38</f>
        <v>72967.106930161652</v>
      </c>
      <c r="AC36" s="9" t="s">
        <v>49</v>
      </c>
      <c r="AD36" s="9" t="s">
        <v>50</v>
      </c>
      <c r="AE36" s="9">
        <f>Yr_Start</f>
        <v>2019</v>
      </c>
      <c r="AF36" s="9">
        <f>AE36+1</f>
        <v>2020</v>
      </c>
      <c r="AG36" s="9">
        <f t="shared" ref="AG36:AX36" si="49">AF36+1</f>
        <v>2021</v>
      </c>
      <c r="AH36" s="9">
        <f t="shared" si="49"/>
        <v>2022</v>
      </c>
      <c r="AI36" s="9">
        <f t="shared" si="49"/>
        <v>2023</v>
      </c>
      <c r="AJ36" s="9">
        <f t="shared" si="49"/>
        <v>2024</v>
      </c>
      <c r="AK36" s="9">
        <f t="shared" si="49"/>
        <v>2025</v>
      </c>
      <c r="AL36" s="9">
        <f t="shared" si="49"/>
        <v>2026</v>
      </c>
      <c r="AM36" s="9">
        <f t="shared" si="49"/>
        <v>2027</v>
      </c>
      <c r="AN36" s="9">
        <f t="shared" si="49"/>
        <v>2028</v>
      </c>
      <c r="AO36" s="9">
        <f t="shared" si="49"/>
        <v>2029</v>
      </c>
      <c r="AP36" s="9">
        <f t="shared" si="49"/>
        <v>2030</v>
      </c>
      <c r="AQ36" s="9">
        <f t="shared" si="49"/>
        <v>2031</v>
      </c>
      <c r="AR36" s="9">
        <f t="shared" si="49"/>
        <v>2032</v>
      </c>
      <c r="AS36" s="9">
        <f t="shared" si="49"/>
        <v>2033</v>
      </c>
      <c r="AT36" s="9">
        <f t="shared" si="49"/>
        <v>2034</v>
      </c>
      <c r="AU36" s="9">
        <f t="shared" si="49"/>
        <v>2035</v>
      </c>
      <c r="AV36" s="9">
        <f t="shared" si="49"/>
        <v>2036</v>
      </c>
      <c r="AW36" s="9">
        <f t="shared" si="49"/>
        <v>2037</v>
      </c>
      <c r="AX36" s="9">
        <f t="shared" si="49"/>
        <v>2038</v>
      </c>
      <c r="BB36" s="9" t="s">
        <v>49</v>
      </c>
      <c r="BC36" s="9" t="s">
        <v>50</v>
      </c>
      <c r="BD36" s="148" t="str">
        <f>Yr_Start&amp;" - "&amp;Yr_End</f>
        <v>2019 - 2022</v>
      </c>
      <c r="BE36" s="9">
        <f>Yr_Start</f>
        <v>2019</v>
      </c>
      <c r="BF36" s="9">
        <f>BE36+1</f>
        <v>2020</v>
      </c>
      <c r="BG36" s="9">
        <f t="shared" ref="BG36:BX36" si="50">BF36+1</f>
        <v>2021</v>
      </c>
      <c r="BH36" s="9">
        <f t="shared" si="50"/>
        <v>2022</v>
      </c>
      <c r="BI36" s="9">
        <f t="shared" si="50"/>
        <v>2023</v>
      </c>
      <c r="BJ36" s="9">
        <f t="shared" si="50"/>
        <v>2024</v>
      </c>
      <c r="BK36" s="9">
        <f t="shared" si="50"/>
        <v>2025</v>
      </c>
      <c r="BL36" s="9">
        <f t="shared" si="50"/>
        <v>2026</v>
      </c>
      <c r="BM36" s="9">
        <f t="shared" si="50"/>
        <v>2027</v>
      </c>
      <c r="BN36" s="9">
        <f t="shared" si="50"/>
        <v>2028</v>
      </c>
      <c r="BO36" s="9">
        <f t="shared" si="50"/>
        <v>2029</v>
      </c>
      <c r="BP36" s="9">
        <f t="shared" si="50"/>
        <v>2030</v>
      </c>
      <c r="BQ36" s="9">
        <f t="shared" si="50"/>
        <v>2031</v>
      </c>
      <c r="BR36" s="9">
        <f t="shared" si="50"/>
        <v>2032</v>
      </c>
      <c r="BS36" s="9">
        <f t="shared" si="50"/>
        <v>2033</v>
      </c>
      <c r="BT36" s="9">
        <f t="shared" si="50"/>
        <v>2034</v>
      </c>
      <c r="BU36" s="9">
        <f t="shared" si="50"/>
        <v>2035</v>
      </c>
      <c r="BV36" s="9">
        <f t="shared" si="50"/>
        <v>2036</v>
      </c>
      <c r="BW36" s="9">
        <f t="shared" si="50"/>
        <v>2037</v>
      </c>
      <c r="BX36" s="9">
        <f t="shared" si="50"/>
        <v>2038</v>
      </c>
    </row>
    <row r="37" spans="3:76" x14ac:dyDescent="0.25">
      <c r="C37" s="77" t="s">
        <v>57</v>
      </c>
      <c r="E37" s="64" t="s">
        <v>55</v>
      </c>
      <c r="F37" s="74" t="s">
        <v>83</v>
      </c>
      <c r="G37" s="37">
        <f t="shared" ca="1" si="45"/>
        <v>0</v>
      </c>
      <c r="H37" s="37">
        <f t="shared" ca="1" si="45"/>
        <v>0</v>
      </c>
      <c r="I37" s="37">
        <f t="shared" ca="1" si="45"/>
        <v>0</v>
      </c>
      <c r="J37" s="37">
        <f t="shared" ca="1" si="45"/>
        <v>0</v>
      </c>
      <c r="K37" s="37">
        <f t="shared" ca="1" si="45"/>
        <v>890829.97003687266</v>
      </c>
      <c r="L37" s="46">
        <f t="shared" ca="1" si="46"/>
        <v>890829.97003687266</v>
      </c>
      <c r="Q37" s="64" t="s">
        <v>55</v>
      </c>
      <c r="R37" s="74" t="s">
        <v>83</v>
      </c>
      <c r="S37" s="37">
        <f t="shared" ca="1" si="47"/>
        <v>0</v>
      </c>
      <c r="T37" s="37">
        <f t="shared" ca="1" si="47"/>
        <v>0</v>
      </c>
      <c r="U37" s="37">
        <f t="shared" ca="1" si="47"/>
        <v>0</v>
      </c>
      <c r="V37" s="37">
        <f t="shared" ca="1" si="47"/>
        <v>0</v>
      </c>
      <c r="W37" s="37">
        <f t="shared" ca="1" si="47"/>
        <v>890829.97003687266</v>
      </c>
      <c r="X37" s="46">
        <f t="shared" ca="1" si="48"/>
        <v>890829.97003687266</v>
      </c>
      <c r="Z37" s="7">
        <f ca="1">V38-J38</f>
        <v>595902.73344078101</v>
      </c>
      <c r="AB37" t="str">
        <f>AC37&amp;AD37</f>
        <v>PillPub_Med</v>
      </c>
      <c r="AC37" s="1" t="s">
        <v>12</v>
      </c>
      <c r="AD37" s="1" t="s">
        <v>52</v>
      </c>
      <c r="AE37" s="37">
        <f t="shared" ref="AE37:AN46" ca="1" si="51">INDEX(INDIRECT($AC37&amp;"_"&amp;$AA$35&amp;"!"&amp;$AA$4),MATCH($AD37,INDIRECT($AC37&amp;"_"&amp;$AA$35&amp;"!"&amp;$AA$5),0),MATCH(AE$3,INDIRECT($AC37&amp;"_"&amp;$AA$35&amp;"!"&amp;$AA$6),0))</f>
        <v>2566.2241513336935</v>
      </c>
      <c r="AF37" s="37">
        <f t="shared" ca="1" si="51"/>
        <v>1776.2166532081926</v>
      </c>
      <c r="AG37" s="37">
        <f t="shared" ca="1" si="51"/>
        <v>920.69073877413439</v>
      </c>
      <c r="AH37" s="37">
        <f t="shared" ca="1" si="51"/>
        <v>0</v>
      </c>
      <c r="AI37" s="37">
        <f t="shared" ca="1" si="51"/>
        <v>0</v>
      </c>
      <c r="AJ37" s="37">
        <f t="shared" ca="1" si="51"/>
        <v>0</v>
      </c>
      <c r="AK37" s="37">
        <f t="shared" ca="1" si="51"/>
        <v>0</v>
      </c>
      <c r="AL37" s="37">
        <f t="shared" ca="1" si="51"/>
        <v>0</v>
      </c>
      <c r="AM37" s="37">
        <f t="shared" ca="1" si="51"/>
        <v>0</v>
      </c>
      <c r="AN37" s="37">
        <f t="shared" ca="1" si="51"/>
        <v>0</v>
      </c>
      <c r="AO37" s="37">
        <f t="shared" ref="AO37:AX46" ca="1" si="52">INDEX(INDIRECT($AC37&amp;"_"&amp;$AA$35&amp;"!"&amp;$AA$4),MATCH($AD37,INDIRECT($AC37&amp;"_"&amp;$AA$35&amp;"!"&amp;$AA$5),0),MATCH(AO$3,INDIRECT($AC37&amp;"_"&amp;$AA$35&amp;"!"&amp;$AA$6),0))</f>
        <v>0</v>
      </c>
      <c r="AP37" s="37">
        <f t="shared" ca="1" si="52"/>
        <v>0</v>
      </c>
      <c r="AQ37" s="37">
        <f t="shared" ca="1" si="52"/>
        <v>0</v>
      </c>
      <c r="AR37" s="37">
        <f t="shared" ca="1" si="52"/>
        <v>0</v>
      </c>
      <c r="AS37" s="37">
        <f t="shared" ca="1" si="52"/>
        <v>0</v>
      </c>
      <c r="AT37" s="37">
        <f t="shared" ca="1" si="52"/>
        <v>0</v>
      </c>
      <c r="AU37" s="37">
        <f t="shared" ca="1" si="52"/>
        <v>0</v>
      </c>
      <c r="AV37" s="37" t="e">
        <f t="shared" ca="1" si="52"/>
        <v>#N/A</v>
      </c>
      <c r="AW37" s="37" t="e">
        <f t="shared" ca="1" si="52"/>
        <v>#N/A</v>
      </c>
      <c r="AX37" s="37" t="e">
        <f t="shared" ca="1" si="52"/>
        <v>#N/A</v>
      </c>
      <c r="BA37" t="str">
        <f>BB37&amp;BC37</f>
        <v>PillPub_Med</v>
      </c>
      <c r="BB37" s="1" t="s">
        <v>12</v>
      </c>
      <c r="BC37" s="1" t="s">
        <v>52</v>
      </c>
      <c r="BD37" s="149">
        <f t="shared" ref="BD37:BD66" ca="1" si="53">SUMIFS($BE37:$BX37,$BE$3:$BX$3,"&gt;="&amp;Yr_Start,$BE$3:$BX$3,"&lt;="&amp;Yr_End)</f>
        <v>68420.710063108258</v>
      </c>
      <c r="BE37" s="37">
        <f t="shared" ref="BE37:BN46" ca="1" si="54">INDEX(INDIRECT($BB37&amp;"_"&amp;$AZ$35&amp;"!"&amp;$AZ$4),MATCH($BC37,INDIRECT($BB37&amp;"_"&amp;$AZ$35&amp;"!"&amp;$AZ$5),0),MATCH(BE$3,INDIRECT($BB37&amp;"_"&amp;$AZ$35&amp;"!"&amp;$AZ$6),0))</f>
        <v>33360.913967338012</v>
      </c>
      <c r="BF37" s="37">
        <f t="shared" ca="1" si="54"/>
        <v>23090.816491706504</v>
      </c>
      <c r="BG37" s="37">
        <f t="shared" ca="1" si="54"/>
        <v>11968.979604063747</v>
      </c>
      <c r="BH37" s="37">
        <f t="shared" ca="1" si="54"/>
        <v>0</v>
      </c>
      <c r="BI37" s="37">
        <f t="shared" ca="1" si="54"/>
        <v>0</v>
      </c>
      <c r="BJ37" s="37">
        <f t="shared" ca="1" si="54"/>
        <v>0</v>
      </c>
      <c r="BK37" s="37">
        <f t="shared" ca="1" si="54"/>
        <v>0</v>
      </c>
      <c r="BL37" s="37">
        <f t="shared" ca="1" si="54"/>
        <v>0</v>
      </c>
      <c r="BM37" s="37">
        <f t="shared" ca="1" si="54"/>
        <v>0</v>
      </c>
      <c r="BN37" s="37">
        <f t="shared" ca="1" si="54"/>
        <v>0</v>
      </c>
      <c r="BO37" s="37">
        <f t="shared" ref="BO37:BX46" ca="1" si="55">INDEX(INDIRECT($BB37&amp;"_"&amp;$AZ$35&amp;"!"&amp;$AZ$4),MATCH($BC37,INDIRECT($BB37&amp;"_"&amp;$AZ$35&amp;"!"&amp;$AZ$5),0),MATCH(BO$3,INDIRECT($BB37&amp;"_"&amp;$AZ$35&amp;"!"&amp;$AZ$6),0))</f>
        <v>0</v>
      </c>
      <c r="BP37" s="37">
        <f t="shared" ca="1" si="55"/>
        <v>0</v>
      </c>
      <c r="BQ37" s="37">
        <f t="shared" ca="1" si="55"/>
        <v>0</v>
      </c>
      <c r="BR37" s="37">
        <f t="shared" ca="1" si="55"/>
        <v>0</v>
      </c>
      <c r="BS37" s="37">
        <f t="shared" ca="1" si="55"/>
        <v>0</v>
      </c>
      <c r="BT37" s="37">
        <f t="shared" ca="1" si="55"/>
        <v>0</v>
      </c>
      <c r="BU37" s="37">
        <f t="shared" ca="1" si="55"/>
        <v>0</v>
      </c>
      <c r="BV37" s="37" t="e">
        <f t="shared" ca="1" si="55"/>
        <v>#N/A</v>
      </c>
      <c r="BW37" s="37" t="e">
        <f t="shared" ca="1" si="55"/>
        <v>#N/A</v>
      </c>
      <c r="BX37" s="37" t="e">
        <f t="shared" ca="1" si="55"/>
        <v>#N/A</v>
      </c>
    </row>
    <row r="38" spans="3:76" x14ac:dyDescent="0.25">
      <c r="C38" s="77" t="s">
        <v>59</v>
      </c>
      <c r="E38" s="64" t="s">
        <v>59</v>
      </c>
      <c r="F38" s="1" t="s">
        <v>80</v>
      </c>
      <c r="G38" s="37">
        <f t="shared" ca="1" si="45"/>
        <v>1195899.1048719634</v>
      </c>
      <c r="H38" s="37">
        <f t="shared" ca="1" si="45"/>
        <v>0</v>
      </c>
      <c r="I38" s="37">
        <f t="shared" ca="1" si="45"/>
        <v>197261.50171373895</v>
      </c>
      <c r="J38" s="37">
        <f t="shared" ca="1" si="45"/>
        <v>0</v>
      </c>
      <c r="K38" s="37">
        <f t="shared" ca="1" si="45"/>
        <v>6202643.3493879521</v>
      </c>
      <c r="L38" s="46">
        <f ca="1">SUM(G38:K38)</f>
        <v>7595803.955973655</v>
      </c>
      <c r="Q38" s="64" t="s">
        <v>59</v>
      </c>
      <c r="R38" s="1" t="s">
        <v>80</v>
      </c>
      <c r="S38" s="37">
        <f t="shared" ca="1" si="47"/>
        <v>2110162.8927049469</v>
      </c>
      <c r="T38" s="37">
        <f t="shared" ca="1" si="47"/>
        <v>9410.5819000585616</v>
      </c>
      <c r="U38" s="37">
        <f t="shared" ca="1" si="47"/>
        <v>270228.6086439006</v>
      </c>
      <c r="V38" s="37">
        <f t="shared" ca="1" si="47"/>
        <v>595902.73344078101</v>
      </c>
      <c r="W38" s="37">
        <f t="shared" ca="1" si="47"/>
        <v>17596758.773077611</v>
      </c>
      <c r="X38" s="46">
        <f ca="1">SUM(S38:W38)</f>
        <v>20582463.5897673</v>
      </c>
      <c r="Z38" s="142">
        <f ca="1">W38-K38</f>
        <v>11394115.42368966</v>
      </c>
      <c r="AB38" t="str">
        <f t="shared" ref="AB38:AB66" si="56">AC38&amp;AD38</f>
        <v>PillPub_Outreach</v>
      </c>
      <c r="AC38" s="1" t="s">
        <v>12</v>
      </c>
      <c r="AD38" s="1" t="s">
        <v>54</v>
      </c>
      <c r="AE38" s="37">
        <f t="shared" ca="1" si="51"/>
        <v>2919.5819403029254</v>
      </c>
      <c r="AF38" s="37">
        <f t="shared" ca="1" si="51"/>
        <v>3410.0896745047157</v>
      </c>
      <c r="AG38" s="37">
        <f t="shared" ca="1" si="51"/>
        <v>3927.996779040312</v>
      </c>
      <c r="AH38" s="37">
        <f t="shared" ca="1" si="51"/>
        <v>4479.3001215354807</v>
      </c>
      <c r="AI38" s="37">
        <f t="shared" ca="1" si="51"/>
        <v>5064.9283122425695</v>
      </c>
      <c r="AJ38" s="37">
        <f t="shared" ca="1" si="51"/>
        <v>5685.5222079050627</v>
      </c>
      <c r="AK38" s="37">
        <f t="shared" ca="1" si="51"/>
        <v>6341.8909745759956</v>
      </c>
      <c r="AL38" s="37">
        <f t="shared" ca="1" si="51"/>
        <v>7030.3344048110393</v>
      </c>
      <c r="AM38" s="37">
        <f t="shared" ca="1" si="51"/>
        <v>7756.757419483517</v>
      </c>
      <c r="AN38" s="37">
        <f t="shared" ca="1" si="51"/>
        <v>8522.5073588585019</v>
      </c>
      <c r="AO38" s="37">
        <f t="shared" ca="1" si="52"/>
        <v>9329.3563537341961</v>
      </c>
      <c r="AP38" s="37">
        <f t="shared" ca="1" si="52"/>
        <v>10178.873039949345</v>
      </c>
      <c r="AQ38" s="37">
        <f t="shared" ca="1" si="52"/>
        <v>11065.940918388103</v>
      </c>
      <c r="AR38" s="37">
        <f t="shared" ca="1" si="52"/>
        <v>11998.452968406165</v>
      </c>
      <c r="AS38" s="37">
        <f t="shared" ca="1" si="52"/>
        <v>12977.122495939526</v>
      </c>
      <c r="AT38" s="37">
        <f t="shared" ca="1" si="52"/>
        <v>14002.417165374234</v>
      </c>
      <c r="AU38" s="37">
        <f t="shared" ca="1" si="52"/>
        <v>15074.958682209293</v>
      </c>
      <c r="AV38" s="37" t="e">
        <f t="shared" ca="1" si="52"/>
        <v>#N/A</v>
      </c>
      <c r="AW38" s="37" t="e">
        <f t="shared" ca="1" si="52"/>
        <v>#N/A</v>
      </c>
      <c r="AX38" s="37" t="e">
        <f t="shared" ca="1" si="52"/>
        <v>#N/A</v>
      </c>
      <c r="BA38" t="str">
        <f t="shared" ref="BA38:BA66" si="57">BB38&amp;BC38</f>
        <v>PillPub_Outreach</v>
      </c>
      <c r="BB38" s="1" t="s">
        <v>12</v>
      </c>
      <c r="BC38" s="1" t="s">
        <v>54</v>
      </c>
      <c r="BD38" s="149">
        <f t="shared" ca="1" si="53"/>
        <v>191580.59069998463</v>
      </c>
      <c r="BE38" s="37">
        <f t="shared" ca="1" si="54"/>
        <v>37954.565223938029</v>
      </c>
      <c r="BF38" s="37">
        <f t="shared" ca="1" si="54"/>
        <v>44331.165768561303</v>
      </c>
      <c r="BG38" s="37">
        <f t="shared" ca="1" si="54"/>
        <v>51063.958127524056</v>
      </c>
      <c r="BH38" s="37">
        <f t="shared" ca="1" si="54"/>
        <v>58230.901579961246</v>
      </c>
      <c r="BI38" s="37">
        <f t="shared" ca="1" si="54"/>
        <v>65844.068059153404</v>
      </c>
      <c r="BJ38" s="37">
        <f t="shared" ca="1" si="54"/>
        <v>73911.788702765814</v>
      </c>
      <c r="BK38" s="37">
        <f t="shared" ca="1" si="54"/>
        <v>82444.582669487951</v>
      </c>
      <c r="BL38" s="37">
        <f t="shared" ca="1" si="54"/>
        <v>91394.34726254351</v>
      </c>
      <c r="BM38" s="37">
        <f t="shared" ca="1" si="54"/>
        <v>100837.84645328572</v>
      </c>
      <c r="BN38" s="37">
        <f t="shared" ca="1" si="54"/>
        <v>110792.59566516052</v>
      </c>
      <c r="BO38" s="37">
        <f t="shared" ca="1" si="55"/>
        <v>121281.63259854454</v>
      </c>
      <c r="BP38" s="37">
        <f t="shared" ca="1" si="55"/>
        <v>132325.34951934149</v>
      </c>
      <c r="BQ38" s="37">
        <f t="shared" ca="1" si="55"/>
        <v>143857.23193904533</v>
      </c>
      <c r="BR38" s="37">
        <f t="shared" ca="1" si="55"/>
        <v>155979.88858928016</v>
      </c>
      <c r="BS38" s="37">
        <f t="shared" ca="1" si="55"/>
        <v>168702.59244721383</v>
      </c>
      <c r="BT38" s="37">
        <f t="shared" ca="1" si="55"/>
        <v>182031.42314986503</v>
      </c>
      <c r="BU38" s="37">
        <f t="shared" ca="1" si="55"/>
        <v>195974.46286872082</v>
      </c>
      <c r="BV38" s="37" t="e">
        <f t="shared" ca="1" si="55"/>
        <v>#N/A</v>
      </c>
      <c r="BW38" s="37" t="e">
        <f t="shared" ca="1" si="55"/>
        <v>#N/A</v>
      </c>
      <c r="BX38" s="37" t="e">
        <f t="shared" ca="1" si="55"/>
        <v>#N/A</v>
      </c>
    </row>
    <row r="39" spans="3:76" ht="15.75" thickBot="1" x14ac:dyDescent="0.3">
      <c r="C39" s="77" t="s">
        <v>60</v>
      </c>
      <c r="E39" s="65"/>
      <c r="F39" s="48" t="s">
        <v>60</v>
      </c>
      <c r="G39" s="55">
        <f ca="1">SUM(G34:G38)</f>
        <v>6335498.4624075787</v>
      </c>
      <c r="H39" s="55">
        <f t="shared" ref="H39:K39" ca="1" si="58">SUM(H34:H38)</f>
        <v>255529.74528548226</v>
      </c>
      <c r="I39" s="55">
        <f t="shared" ca="1" si="58"/>
        <v>1274037.7102511006</v>
      </c>
      <c r="J39" s="55">
        <f t="shared" ca="1" si="58"/>
        <v>29790050.137469407</v>
      </c>
      <c r="K39" s="55">
        <f t="shared" ca="1" si="58"/>
        <v>149927703.40948838</v>
      </c>
      <c r="L39" s="55">
        <f ca="1">SUM(L34:L38)</f>
        <v>187582819.46490195</v>
      </c>
      <c r="Q39" s="65"/>
      <c r="R39" s="48" t="s">
        <v>60</v>
      </c>
      <c r="S39" s="55">
        <f ca="1">SUM(S34:S38)</f>
        <v>6335498.4624075778</v>
      </c>
      <c r="T39" s="55">
        <f t="shared" ref="T39" ca="1" si="59">SUM(T34:T38)</f>
        <v>255529.7452854822</v>
      </c>
      <c r="U39" s="55">
        <f t="shared" ref="U39" ca="1" si="60">SUM(U34:U38)</f>
        <v>1274037.7102511006</v>
      </c>
      <c r="V39" s="55">
        <f t="shared" ref="V39" ca="1" si="61">SUM(V34:V38)</f>
        <v>29804079.087806359</v>
      </c>
      <c r="W39" s="55">
        <f t="shared" ref="W39" ca="1" si="62">SUM(W34:W38)</f>
        <v>149927703.40948841</v>
      </c>
      <c r="X39" s="55">
        <f ca="1">SUM(X34:X38)</f>
        <v>187596848.41523892</v>
      </c>
      <c r="AB39" t="str">
        <f t="shared" si="56"/>
        <v>PillSM_Med</v>
      </c>
      <c r="AC39" s="1" t="s">
        <v>12</v>
      </c>
      <c r="AD39" s="1" t="s">
        <v>56</v>
      </c>
      <c r="AE39" s="37">
        <f t="shared" ca="1" si="51"/>
        <v>90801.879423553677</v>
      </c>
      <c r="AF39" s="37">
        <f t="shared" ca="1" si="51"/>
        <v>81457.290594273945</v>
      </c>
      <c r="AG39" s="37">
        <f t="shared" ca="1" si="51"/>
        <v>71551.496470860977</v>
      </c>
      <c r="AH39" s="37">
        <f t="shared" ca="1" si="51"/>
        <v>61215.04650666051</v>
      </c>
      <c r="AI39" s="37">
        <f t="shared" ca="1" si="51"/>
        <v>50950.768576463881</v>
      </c>
      <c r="AJ39" s="37">
        <f t="shared" ca="1" si="51"/>
        <v>40104.680534528205</v>
      </c>
      <c r="AK39" s="37">
        <f t="shared" ca="1" si="51"/>
        <v>28507.742247631519</v>
      </c>
      <c r="AL39" s="37">
        <f t="shared" ca="1" si="51"/>
        <v>16128.2163480122</v>
      </c>
      <c r="AM39" s="37">
        <f t="shared" ca="1" si="51"/>
        <v>2975.4515002831499</v>
      </c>
      <c r="AN39" s="37">
        <f t="shared" ca="1" si="51"/>
        <v>3210.2793932596865</v>
      </c>
      <c r="AO39" s="37">
        <f t="shared" ca="1" si="52"/>
        <v>3456.8835847437426</v>
      </c>
      <c r="AP39" s="37">
        <f t="shared" ca="1" si="52"/>
        <v>3715.7039960887469</v>
      </c>
      <c r="AQ39" s="37">
        <f t="shared" ca="1" si="52"/>
        <v>3984.7687720506829</v>
      </c>
      <c r="AR39" s="37">
        <f t="shared" ca="1" si="52"/>
        <v>4266.8487148693594</v>
      </c>
      <c r="AS39" s="37">
        <f t="shared" ca="1" si="52"/>
        <v>4562.0687089151515</v>
      </c>
      <c r="AT39" s="37">
        <f t="shared" ca="1" si="52"/>
        <v>4870.4794865761633</v>
      </c>
      <c r="AU39" s="37">
        <f t="shared" ca="1" si="52"/>
        <v>5192.1971203517642</v>
      </c>
      <c r="AV39" s="37" t="e">
        <f t="shared" ca="1" si="52"/>
        <v>#N/A</v>
      </c>
      <c r="AW39" s="37" t="e">
        <f t="shared" ca="1" si="52"/>
        <v>#N/A</v>
      </c>
      <c r="AX39" s="37" t="e">
        <f t="shared" ca="1" si="52"/>
        <v>#N/A</v>
      </c>
      <c r="BA39" t="str">
        <f t="shared" si="57"/>
        <v>PillSM_Med</v>
      </c>
      <c r="BB39" s="1" t="s">
        <v>12</v>
      </c>
      <c r="BC39" s="1" t="s">
        <v>56</v>
      </c>
      <c r="BD39" s="149">
        <f t="shared" ca="1" si="53"/>
        <v>3965334.2689395379</v>
      </c>
      <c r="BE39" s="37">
        <f t="shared" ca="1" si="54"/>
        <v>1180424.4325061976</v>
      </c>
      <c r="BF39" s="37">
        <f t="shared" ca="1" si="54"/>
        <v>1058944.7777255613</v>
      </c>
      <c r="BG39" s="37">
        <f t="shared" ca="1" si="54"/>
        <v>930169.45412119268</v>
      </c>
      <c r="BH39" s="37">
        <f t="shared" ca="1" si="54"/>
        <v>795795.60458658659</v>
      </c>
      <c r="BI39" s="37">
        <f t="shared" ca="1" si="54"/>
        <v>662359.99149403046</v>
      </c>
      <c r="BJ39" s="37">
        <f t="shared" ca="1" si="54"/>
        <v>521360.84694886667</v>
      </c>
      <c r="BK39" s="37">
        <f t="shared" ca="1" si="54"/>
        <v>370600.64921920968</v>
      </c>
      <c r="BL39" s="37">
        <f t="shared" ca="1" si="54"/>
        <v>209666.81252415862</v>
      </c>
      <c r="BM39" s="37">
        <f t="shared" ca="1" si="54"/>
        <v>38680.869503680951</v>
      </c>
      <c r="BN39" s="37">
        <f t="shared" ca="1" si="54"/>
        <v>41733.632112375926</v>
      </c>
      <c r="BO39" s="37">
        <f t="shared" ca="1" si="55"/>
        <v>44939.486601668657</v>
      </c>
      <c r="BP39" s="37">
        <f t="shared" ca="1" si="55"/>
        <v>48304.151949153711</v>
      </c>
      <c r="BQ39" s="37">
        <f t="shared" ca="1" si="55"/>
        <v>51801.994036658871</v>
      </c>
      <c r="BR39" s="37">
        <f t="shared" ca="1" si="55"/>
        <v>55469.033293301676</v>
      </c>
      <c r="BS39" s="37">
        <f t="shared" ca="1" si="55"/>
        <v>59306.893215896969</v>
      </c>
      <c r="BT39" s="37">
        <f t="shared" ca="1" si="55"/>
        <v>63316.233325490117</v>
      </c>
      <c r="BU39" s="37">
        <f t="shared" ca="1" si="55"/>
        <v>67498.562564572945</v>
      </c>
      <c r="BV39" s="37" t="e">
        <f t="shared" ca="1" si="55"/>
        <v>#N/A</v>
      </c>
      <c r="BW39" s="37" t="e">
        <f t="shared" ca="1" si="55"/>
        <v>#N/A</v>
      </c>
      <c r="BX39" s="37" t="e">
        <f t="shared" ca="1" si="55"/>
        <v>#N/A</v>
      </c>
    </row>
    <row r="40" spans="3:76" x14ac:dyDescent="0.25">
      <c r="AB40" t="str">
        <f t="shared" si="56"/>
        <v>PillSM_Nontrad</v>
      </c>
      <c r="AC40" s="1" t="s">
        <v>12</v>
      </c>
      <c r="AD40" s="1" t="s">
        <v>57</v>
      </c>
      <c r="AE40" s="37">
        <f t="shared" ca="1" si="51"/>
        <v>0</v>
      </c>
      <c r="AF40" s="37">
        <f t="shared" ca="1" si="51"/>
        <v>0</v>
      </c>
      <c r="AG40" s="37">
        <f t="shared" ca="1" si="51"/>
        <v>0</v>
      </c>
      <c r="AH40" s="37">
        <f t="shared" ca="1" si="51"/>
        <v>0</v>
      </c>
      <c r="AI40" s="37">
        <f t="shared" ca="1" si="51"/>
        <v>0</v>
      </c>
      <c r="AJ40" s="37">
        <f t="shared" ca="1" si="51"/>
        <v>0</v>
      </c>
      <c r="AK40" s="37">
        <f t="shared" ca="1" si="51"/>
        <v>0</v>
      </c>
      <c r="AL40" s="37">
        <f t="shared" ca="1" si="51"/>
        <v>0</v>
      </c>
      <c r="AM40" s="37">
        <f t="shared" ca="1" si="51"/>
        <v>0</v>
      </c>
      <c r="AN40" s="37">
        <f t="shared" ca="1" si="51"/>
        <v>0</v>
      </c>
      <c r="AO40" s="37">
        <f t="shared" ca="1" si="52"/>
        <v>0</v>
      </c>
      <c r="AP40" s="37">
        <f t="shared" ca="1" si="52"/>
        <v>0</v>
      </c>
      <c r="AQ40" s="37">
        <f t="shared" ca="1" si="52"/>
        <v>0</v>
      </c>
      <c r="AR40" s="37">
        <f t="shared" ca="1" si="52"/>
        <v>0</v>
      </c>
      <c r="AS40" s="37">
        <f t="shared" ca="1" si="52"/>
        <v>0</v>
      </c>
      <c r="AT40" s="37">
        <f t="shared" ca="1" si="52"/>
        <v>0</v>
      </c>
      <c r="AU40" s="37">
        <f t="shared" ca="1" si="52"/>
        <v>0</v>
      </c>
      <c r="AV40" s="37" t="e">
        <f t="shared" ca="1" si="52"/>
        <v>#N/A</v>
      </c>
      <c r="AW40" s="37" t="e">
        <f t="shared" ca="1" si="52"/>
        <v>#N/A</v>
      </c>
      <c r="AX40" s="37" t="e">
        <f t="shared" ca="1" si="52"/>
        <v>#N/A</v>
      </c>
      <c r="BA40" t="str">
        <f t="shared" si="57"/>
        <v>PillSM_Nontrad</v>
      </c>
      <c r="BB40" s="1" t="s">
        <v>12</v>
      </c>
      <c r="BC40" s="1" t="s">
        <v>57</v>
      </c>
      <c r="BD40" s="149">
        <f t="shared" ca="1" si="53"/>
        <v>0</v>
      </c>
      <c r="BE40" s="37">
        <f t="shared" ca="1" si="54"/>
        <v>0</v>
      </c>
      <c r="BF40" s="37">
        <f t="shared" ca="1" si="54"/>
        <v>0</v>
      </c>
      <c r="BG40" s="37">
        <f t="shared" ca="1" si="54"/>
        <v>0</v>
      </c>
      <c r="BH40" s="37">
        <f t="shared" ca="1" si="54"/>
        <v>0</v>
      </c>
      <c r="BI40" s="37">
        <f t="shared" ca="1" si="54"/>
        <v>0</v>
      </c>
      <c r="BJ40" s="37">
        <f t="shared" ca="1" si="54"/>
        <v>0</v>
      </c>
      <c r="BK40" s="37">
        <f t="shared" ca="1" si="54"/>
        <v>0</v>
      </c>
      <c r="BL40" s="37">
        <f t="shared" ca="1" si="54"/>
        <v>0</v>
      </c>
      <c r="BM40" s="37">
        <f t="shared" ca="1" si="54"/>
        <v>0</v>
      </c>
      <c r="BN40" s="37">
        <f t="shared" ca="1" si="54"/>
        <v>0</v>
      </c>
      <c r="BO40" s="37">
        <f t="shared" ca="1" si="55"/>
        <v>0</v>
      </c>
      <c r="BP40" s="37">
        <f t="shared" ca="1" si="55"/>
        <v>0</v>
      </c>
      <c r="BQ40" s="37">
        <f t="shared" ca="1" si="55"/>
        <v>0</v>
      </c>
      <c r="BR40" s="37">
        <f t="shared" ca="1" si="55"/>
        <v>0</v>
      </c>
      <c r="BS40" s="37">
        <f t="shared" ca="1" si="55"/>
        <v>0</v>
      </c>
      <c r="BT40" s="37">
        <f t="shared" ca="1" si="55"/>
        <v>0</v>
      </c>
      <c r="BU40" s="37">
        <f t="shared" ca="1" si="55"/>
        <v>0</v>
      </c>
      <c r="BV40" s="37" t="e">
        <f t="shared" ca="1" si="55"/>
        <v>#N/A</v>
      </c>
      <c r="BW40" s="37" t="e">
        <f t="shared" ca="1" si="55"/>
        <v>#N/A</v>
      </c>
      <c r="BX40" s="37" t="e">
        <f t="shared" ca="1" si="55"/>
        <v>#N/A</v>
      </c>
    </row>
    <row r="41" spans="3:76" ht="15.75" thickBot="1" x14ac:dyDescent="0.3">
      <c r="D41" s="3" t="s">
        <v>88</v>
      </c>
      <c r="P41" s="3" t="s">
        <v>88</v>
      </c>
      <c r="AB41" t="str">
        <f t="shared" si="56"/>
        <v>PillCommercial</v>
      </c>
      <c r="AC41" s="1" t="s">
        <v>12</v>
      </c>
      <c r="AD41" s="1" t="s">
        <v>59</v>
      </c>
      <c r="AE41" s="37">
        <f t="shared" ca="1" si="51"/>
        <v>22334.71692988513</v>
      </c>
      <c r="AF41" s="37">
        <f t="shared" ca="1" si="51"/>
        <v>34216.084931844052</v>
      </c>
      <c r="AG41" s="37">
        <f t="shared" ca="1" si="51"/>
        <v>46511.862630091709</v>
      </c>
      <c r="AH41" s="37">
        <f t="shared" ca="1" si="51"/>
        <v>59257.558023944264</v>
      </c>
      <c r="AI41" s="37">
        <f t="shared" ca="1" si="51"/>
        <v>73214.247141288753</v>
      </c>
      <c r="AJ41" s="37">
        <f t="shared" ca="1" si="51"/>
        <v>88128.991719593992</v>
      </c>
      <c r="AK41" s="37">
        <f t="shared" ca="1" si="51"/>
        <v>103874.261325464</v>
      </c>
      <c r="AL41" s="37">
        <f t="shared" ca="1" si="51"/>
        <v>120387.07822475026</v>
      </c>
      <c r="AM41" s="37">
        <f t="shared" ca="1" si="51"/>
        <v>137762.22761130563</v>
      </c>
      <c r="AN41" s="37">
        <f t="shared" ca="1" si="51"/>
        <v>141839.59567388456</v>
      </c>
      <c r="AO41" s="37">
        <f t="shared" ca="1" si="52"/>
        <v>146002.07250103093</v>
      </c>
      <c r="AP41" s="37">
        <f t="shared" ca="1" si="52"/>
        <v>150251.36321856332</v>
      </c>
      <c r="AQ41" s="37">
        <f t="shared" ca="1" si="52"/>
        <v>155586.75294863587</v>
      </c>
      <c r="AR41" s="37">
        <f t="shared" ca="1" si="52"/>
        <v>162287.44156661717</v>
      </c>
      <c r="AS41" s="37">
        <f t="shared" ca="1" si="52"/>
        <v>169221.65498308305</v>
      </c>
      <c r="AT41" s="37">
        <f t="shared" ca="1" si="52"/>
        <v>176381.92466074065</v>
      </c>
      <c r="AU41" s="37">
        <f t="shared" ca="1" si="52"/>
        <v>183764.12596973346</v>
      </c>
      <c r="AV41" s="37" t="e">
        <f t="shared" ca="1" si="52"/>
        <v>#N/A</v>
      </c>
      <c r="AW41" s="37" t="e">
        <f t="shared" ca="1" si="52"/>
        <v>#N/A</v>
      </c>
      <c r="AX41" s="37" t="e">
        <f t="shared" ca="1" si="52"/>
        <v>#N/A</v>
      </c>
      <c r="BA41" t="str">
        <f t="shared" si="57"/>
        <v>PillCommercial</v>
      </c>
      <c r="BB41" s="1" t="s">
        <v>12</v>
      </c>
      <c r="BC41" s="1" t="s">
        <v>59</v>
      </c>
      <c r="BD41" s="149">
        <f t="shared" ca="1" si="53"/>
        <v>2110162.8927049469</v>
      </c>
      <c r="BE41" s="37">
        <f t="shared" ca="1" si="54"/>
        <v>290351.32008850668</v>
      </c>
      <c r="BF41" s="37">
        <f t="shared" ca="1" si="54"/>
        <v>444809.10411397263</v>
      </c>
      <c r="BG41" s="37">
        <f t="shared" ca="1" si="54"/>
        <v>604654.2141911923</v>
      </c>
      <c r="BH41" s="37">
        <f t="shared" ca="1" si="54"/>
        <v>770348.25431127544</v>
      </c>
      <c r="BI41" s="37">
        <f t="shared" ca="1" si="54"/>
        <v>951785.21283675381</v>
      </c>
      <c r="BJ41" s="37">
        <f t="shared" ca="1" si="54"/>
        <v>1145676.8923547217</v>
      </c>
      <c r="BK41" s="37">
        <f t="shared" ca="1" si="54"/>
        <v>1350365.3972310321</v>
      </c>
      <c r="BL41" s="37">
        <f t="shared" ca="1" si="54"/>
        <v>1565032.0169217535</v>
      </c>
      <c r="BM41" s="37">
        <f t="shared" ca="1" si="54"/>
        <v>1790908.9589469731</v>
      </c>
      <c r="BN41" s="37">
        <f t="shared" ca="1" si="54"/>
        <v>1843914.7437604992</v>
      </c>
      <c r="BO41" s="37">
        <f t="shared" ca="1" si="55"/>
        <v>1898026.9425134019</v>
      </c>
      <c r="BP41" s="37">
        <f t="shared" ca="1" si="55"/>
        <v>1953267.7218413232</v>
      </c>
      <c r="BQ41" s="37">
        <f t="shared" ca="1" si="55"/>
        <v>2022627.7883322663</v>
      </c>
      <c r="BR41" s="37">
        <f t="shared" ca="1" si="55"/>
        <v>2109736.740366023</v>
      </c>
      <c r="BS41" s="37">
        <f t="shared" ca="1" si="55"/>
        <v>2199881.5147800795</v>
      </c>
      <c r="BT41" s="37">
        <f t="shared" ca="1" si="55"/>
        <v>2292965.0205896287</v>
      </c>
      <c r="BU41" s="37">
        <f t="shared" ca="1" si="55"/>
        <v>2388933.6376065346</v>
      </c>
      <c r="BV41" s="37" t="e">
        <f t="shared" ca="1" si="55"/>
        <v>#N/A</v>
      </c>
      <c r="BW41" s="37" t="e">
        <f t="shared" ca="1" si="55"/>
        <v>#N/A</v>
      </c>
      <c r="BX41" s="37" t="e">
        <f t="shared" ca="1" si="55"/>
        <v>#N/A</v>
      </c>
    </row>
    <row r="42" spans="3:76" ht="15.75" thickBot="1" x14ac:dyDescent="0.3">
      <c r="D42" t="s">
        <v>89</v>
      </c>
      <c r="F42" s="50" t="s">
        <v>90</v>
      </c>
      <c r="G42" s="9" t="s">
        <v>12</v>
      </c>
      <c r="H42" s="9" t="s">
        <v>16</v>
      </c>
      <c r="I42" s="9" t="s">
        <v>23</v>
      </c>
      <c r="J42" s="9" t="s">
        <v>22</v>
      </c>
      <c r="K42" s="9" t="s">
        <v>25</v>
      </c>
      <c r="L42" s="52" t="s">
        <v>60</v>
      </c>
      <c r="P42" t="s">
        <v>89</v>
      </c>
      <c r="R42" s="50" t="s">
        <v>90</v>
      </c>
      <c r="S42" s="9" t="s">
        <v>12</v>
      </c>
      <c r="T42" s="9" t="s">
        <v>16</v>
      </c>
      <c r="U42" s="9" t="s">
        <v>23</v>
      </c>
      <c r="V42" s="9" t="s">
        <v>22</v>
      </c>
      <c r="W42" s="9" t="s">
        <v>25</v>
      </c>
      <c r="X42" s="52" t="s">
        <v>60</v>
      </c>
      <c r="AB42" t="str">
        <f t="shared" si="56"/>
        <v>IUDPub_Med</v>
      </c>
      <c r="AC42" s="1" t="s">
        <v>16</v>
      </c>
      <c r="AD42" s="1" t="s">
        <v>52</v>
      </c>
      <c r="AE42" s="37">
        <f t="shared" ca="1" si="51"/>
        <v>118068.7717598865</v>
      </c>
      <c r="AF42" s="37">
        <f t="shared" ca="1" si="51"/>
        <v>130057.24718768075</v>
      </c>
      <c r="AG42" s="37">
        <f t="shared" ca="1" si="51"/>
        <v>142577.92980701698</v>
      </c>
      <c r="AH42" s="37">
        <f t="shared" ca="1" si="51"/>
        <v>155841.73224004218</v>
      </c>
      <c r="AI42" s="37">
        <f t="shared" ca="1" si="51"/>
        <v>169858.72825828678</v>
      </c>
      <c r="AJ42" s="37">
        <f t="shared" ca="1" si="51"/>
        <v>184632.1843306339</v>
      </c>
      <c r="AK42" s="37">
        <f t="shared" ca="1" si="51"/>
        <v>200173.35837359904</v>
      </c>
      <c r="AL42" s="37">
        <f t="shared" ca="1" si="51"/>
        <v>216355.98875664672</v>
      </c>
      <c r="AM42" s="37">
        <f t="shared" ca="1" si="51"/>
        <v>233356.09259427065</v>
      </c>
      <c r="AN42" s="37">
        <f t="shared" ca="1" si="51"/>
        <v>252023.14903413947</v>
      </c>
      <c r="AO42" s="37">
        <f t="shared" ca="1" si="52"/>
        <v>272336.37435323768</v>
      </c>
      <c r="AP42" s="37">
        <f t="shared" ca="1" si="52"/>
        <v>293672.77868523082</v>
      </c>
      <c r="AQ42" s="37">
        <f t="shared" ca="1" si="52"/>
        <v>315878.30268399988</v>
      </c>
      <c r="AR42" s="37">
        <f t="shared" ca="1" si="52"/>
        <v>339173.83434466901</v>
      </c>
      <c r="AS42" s="37">
        <f t="shared" ca="1" si="52"/>
        <v>363571.56993555429</v>
      </c>
      <c r="AT42" s="37">
        <f t="shared" ca="1" si="52"/>
        <v>389077.57871892233</v>
      </c>
      <c r="AU42" s="37">
        <f t="shared" ca="1" si="52"/>
        <v>415702.93779166334</v>
      </c>
      <c r="AV42" s="37" t="e">
        <f t="shared" ca="1" si="52"/>
        <v>#N/A</v>
      </c>
      <c r="AW42" s="37" t="e">
        <f t="shared" ca="1" si="52"/>
        <v>#N/A</v>
      </c>
      <c r="AX42" s="37" t="e">
        <f t="shared" ca="1" si="52"/>
        <v>#N/A</v>
      </c>
      <c r="BA42" t="str">
        <f t="shared" si="57"/>
        <v>IUDPub_Med</v>
      </c>
      <c r="BB42" s="1" t="s">
        <v>16</v>
      </c>
      <c r="BC42" s="1" t="s">
        <v>52</v>
      </c>
      <c r="BD42" s="149">
        <f t="shared" ca="1" si="53"/>
        <v>161654.60625609331</v>
      </c>
      <c r="BE42" s="37">
        <f t="shared" ca="1" si="54"/>
        <v>38946.004742332334</v>
      </c>
      <c r="BF42" s="37">
        <f t="shared" ca="1" si="54"/>
        <v>37655.599723421758</v>
      </c>
      <c r="BG42" s="37">
        <f t="shared" ca="1" si="54"/>
        <v>40793.997225353793</v>
      </c>
      <c r="BH42" s="37">
        <f t="shared" ca="1" si="54"/>
        <v>44259.004564985415</v>
      </c>
      <c r="BI42" s="37">
        <f t="shared" ca="1" si="54"/>
        <v>47895.633461732024</v>
      </c>
      <c r="BJ42" s="37">
        <f t="shared" ca="1" si="54"/>
        <v>51699.266563279016</v>
      </c>
      <c r="BK42" s="37">
        <f t="shared" ca="1" si="54"/>
        <v>55678.605419189917</v>
      </c>
      <c r="BL42" s="37">
        <f t="shared" ca="1" si="54"/>
        <v>59698.577855569216</v>
      </c>
      <c r="BM42" s="37">
        <f t="shared" ca="1" si="54"/>
        <v>64034.014436894955</v>
      </c>
      <c r="BN42" s="37">
        <f t="shared" ca="1" si="54"/>
        <v>69396.6417864494</v>
      </c>
      <c r="BO42" s="37">
        <f t="shared" ca="1" si="55"/>
        <v>75100.866413476338</v>
      </c>
      <c r="BP42" s="37">
        <f t="shared" ca="1" si="55"/>
        <v>80539.963974001352</v>
      </c>
      <c r="BQ42" s="37">
        <f t="shared" ca="1" si="55"/>
        <v>86047.432408601875</v>
      </c>
      <c r="BR42" s="37">
        <f t="shared" ca="1" si="55"/>
        <v>91964.727896321259</v>
      </c>
      <c r="BS42" s="37">
        <f t="shared" ca="1" si="55"/>
        <v>98131.177839726355</v>
      </c>
      <c r="BT42" s="37">
        <f t="shared" ca="1" si="55"/>
        <v>104543.30659544506</v>
      </c>
      <c r="BU42" s="37">
        <f t="shared" ca="1" si="55"/>
        <v>111207.44140294153</v>
      </c>
      <c r="BV42" s="37" t="e">
        <f t="shared" ca="1" si="55"/>
        <v>#N/A</v>
      </c>
      <c r="BW42" s="37" t="e">
        <f t="shared" ca="1" si="55"/>
        <v>#N/A</v>
      </c>
      <c r="BX42" s="37" t="e">
        <f t="shared" ca="1" si="55"/>
        <v>#N/A</v>
      </c>
    </row>
    <row r="43" spans="3:76" x14ac:dyDescent="0.25">
      <c r="E43" s="3"/>
      <c r="F43" s="54" t="s">
        <v>73</v>
      </c>
      <c r="G43" s="56">
        <f ca="1">SUM(G34:G35)*INDEX(Tbl_SubCost,MATCH(G$42,Tbl_Product,0),MATCH($M43,Tbl_SubType,0))</f>
        <v>357151306.79582405</v>
      </c>
      <c r="H43" s="56">
        <f t="shared" ref="H43:J43" ca="1" si="63">SUM(H34:H35)*INDEX(Tbl_SubCost,MATCH(H$42,Tbl_Product,0),MATCH($M43,Tbl_SubType,0))</f>
        <v>679039245.11119151</v>
      </c>
      <c r="I43" s="56">
        <f t="shared" ca="1" si="63"/>
        <v>51560513070.944542</v>
      </c>
      <c r="J43" s="56">
        <f t="shared" ca="1" si="63"/>
        <v>82814767507.392014</v>
      </c>
      <c r="K43" s="56">
        <f ca="1">SUM(K34:K35)*INDEX(Tbl_SubCost,MATCH(K$42,Tbl_Product,0),MATCH($M43,Tbl_SubType,0))</f>
        <v>14757089509.922035</v>
      </c>
      <c r="L43" s="57">
        <f ca="1">SUM(G43:K43)</f>
        <v>150168560640.16559</v>
      </c>
      <c r="M43" t="s">
        <v>91</v>
      </c>
      <c r="Q43" s="3"/>
      <c r="R43" s="54" t="s">
        <v>73</v>
      </c>
      <c r="S43" s="56">
        <f ca="1">SUM(S34:S35)*INDEX(Tbl_SubCost,MATCH(S$42,Tbl_Product,0),MATCH($Y43,Tbl_SubType,0))</f>
        <v>357151306.79582405</v>
      </c>
      <c r="T43" s="56">
        <f ca="1">SUM(T34:T35)*INDEX(Tbl_SubCost,MATCH(T$42,Tbl_Product,0),MATCH($Y43,Tbl_SubType,0))</f>
        <v>586738631.64885485</v>
      </c>
      <c r="U43" s="56">
        <f ca="1">SUM(U34:U35)*INDEX(Tbl_SubCost,MATCH(U$42,Tbl_Product,0),MATCH($Y43,Tbl_SubType,0))</f>
        <v>47862409203.523636</v>
      </c>
      <c r="V43" s="56">
        <f ca="1">SUM(V34:V35)*INDEX(Tbl_SubCost,MATCH(V$42,Tbl_Product,0),MATCH($Y43,Tbl_SubType,0))</f>
        <v>79406941863.917557</v>
      </c>
      <c r="W43" s="56">
        <f ca="1">SUM(W34:W35)*INDEX(Tbl_SubCost,MATCH(W$42,Tbl_Product,0),MATCH($Y43,Tbl_SubType,0))</f>
        <v>13959680119.195364</v>
      </c>
      <c r="X43" s="57">
        <f ca="1">SUM(S43:W43)</f>
        <v>142172921125.08124</v>
      </c>
      <c r="Y43" t="s">
        <v>91</v>
      </c>
      <c r="AB43" t="str">
        <f t="shared" si="56"/>
        <v>IUDPub_Outreach</v>
      </c>
      <c r="AC43" s="1" t="s">
        <v>16</v>
      </c>
      <c r="AD43" s="1" t="s">
        <v>54</v>
      </c>
      <c r="AE43" s="37">
        <f t="shared" ca="1" si="51"/>
        <v>6397.6521070781291</v>
      </c>
      <c r="AF43" s="37">
        <f t="shared" ca="1" si="51"/>
        <v>6669.5507105866873</v>
      </c>
      <c r="AG43" s="37">
        <f t="shared" ca="1" si="51"/>
        <v>6942.5732191171037</v>
      </c>
      <c r="AH43" s="37">
        <f t="shared" ca="1" si="51"/>
        <v>7226.6271083397287</v>
      </c>
      <c r="AI43" s="37">
        <f t="shared" ca="1" si="51"/>
        <v>7592.6547343363854</v>
      </c>
      <c r="AJ43" s="37">
        <f t="shared" ca="1" si="51"/>
        <v>7973.2134175736646</v>
      </c>
      <c r="AK43" s="37">
        <f t="shared" ca="1" si="51"/>
        <v>8368.0706608993114</v>
      </c>
      <c r="AL43" s="37">
        <f t="shared" ca="1" si="51"/>
        <v>8771.4820213046896</v>
      </c>
      <c r="AM43" s="37">
        <f t="shared" ca="1" si="51"/>
        <v>9190.295522283086</v>
      </c>
      <c r="AN43" s="37">
        <f t="shared" ca="1" si="51"/>
        <v>9624.9370665839033</v>
      </c>
      <c r="AO43" s="37">
        <f t="shared" ca="1" si="52"/>
        <v>10127.360750358148</v>
      </c>
      <c r="AP43" s="37">
        <f t="shared" ca="1" si="52"/>
        <v>10729.687299410311</v>
      </c>
      <c r="AQ43" s="37">
        <f t="shared" ca="1" si="52"/>
        <v>11351.80060042721</v>
      </c>
      <c r="AR43" s="37">
        <f t="shared" ca="1" si="52"/>
        <v>12001.38937736172</v>
      </c>
      <c r="AS43" s="37">
        <f t="shared" ca="1" si="52"/>
        <v>12678.431011891533</v>
      </c>
      <c r="AT43" s="37">
        <f t="shared" ca="1" si="52"/>
        <v>13382.73264771572</v>
      </c>
      <c r="AU43" s="37">
        <f t="shared" ca="1" si="52"/>
        <v>14114.315871206212</v>
      </c>
      <c r="AV43" s="37" t="e">
        <f t="shared" ca="1" si="52"/>
        <v>#N/A</v>
      </c>
      <c r="AW43" s="37" t="e">
        <f t="shared" ca="1" si="52"/>
        <v>#N/A</v>
      </c>
      <c r="AX43" s="37" t="e">
        <f t="shared" ca="1" si="52"/>
        <v>#N/A</v>
      </c>
      <c r="BA43" t="str">
        <f t="shared" si="57"/>
        <v>IUDPub_Outreach</v>
      </c>
      <c r="BB43" s="1" t="s">
        <v>16</v>
      </c>
      <c r="BC43" s="1" t="s">
        <v>54</v>
      </c>
      <c r="BD43" s="149">
        <f t="shared" ca="1" si="53"/>
        <v>7064.8070314771076</v>
      </c>
      <c r="BE43" s="37">
        <f t="shared" ca="1" si="54"/>
        <v>1699.845797958146</v>
      </c>
      <c r="BF43" s="37">
        <f t="shared" ca="1" si="54"/>
        <v>1719.9630559570314</v>
      </c>
      <c r="BG43" s="37">
        <f t="shared" ca="1" si="54"/>
        <v>1784.9450212791521</v>
      </c>
      <c r="BH43" s="37">
        <f t="shared" ca="1" si="54"/>
        <v>1860.0531562827773</v>
      </c>
      <c r="BI43" s="37">
        <f t="shared" ca="1" si="54"/>
        <v>1937.0335191139891</v>
      </c>
      <c r="BJ43" s="37">
        <f t="shared" ca="1" si="54"/>
        <v>2031.1357993973631</v>
      </c>
      <c r="BK43" s="37">
        <f t="shared" ca="1" si="54"/>
        <v>2128.164508015574</v>
      </c>
      <c r="BL43" s="37">
        <f t="shared" ca="1" si="54"/>
        <v>2222.5571562530549</v>
      </c>
      <c r="BM43" s="37">
        <f t="shared" ca="1" si="54"/>
        <v>2325.6574186533289</v>
      </c>
      <c r="BN43" s="37">
        <f t="shared" ca="1" si="54"/>
        <v>2432.5318752319231</v>
      </c>
      <c r="BO43" s="37">
        <f t="shared" ca="1" si="55"/>
        <v>2594.8013069446583</v>
      </c>
      <c r="BP43" s="37">
        <f t="shared" ca="1" si="55"/>
        <v>2803.9267121734993</v>
      </c>
      <c r="BQ43" s="37">
        <f t="shared" ca="1" si="55"/>
        <v>2954.6540182800109</v>
      </c>
      <c r="BR43" s="37">
        <f t="shared" ca="1" si="55"/>
        <v>3117.3715161578166</v>
      </c>
      <c r="BS43" s="37">
        <f t="shared" ca="1" si="55"/>
        <v>3286.0393252606214</v>
      </c>
      <c r="BT43" s="37">
        <f t="shared" ca="1" si="55"/>
        <v>3460.4822905832166</v>
      </c>
      <c r="BU43" s="37">
        <f t="shared" ca="1" si="55"/>
        <v>3640.8729295156486</v>
      </c>
      <c r="BV43" s="37" t="e">
        <f t="shared" ca="1" si="55"/>
        <v>#N/A</v>
      </c>
      <c r="BW43" s="37" t="e">
        <f t="shared" ca="1" si="55"/>
        <v>#N/A</v>
      </c>
      <c r="BX43" s="37" t="e">
        <f t="shared" ca="1" si="55"/>
        <v>#N/A</v>
      </c>
    </row>
    <row r="44" spans="3:76" x14ac:dyDescent="0.25">
      <c r="F44" s="8" t="s">
        <v>55</v>
      </c>
      <c r="G44" s="56">
        <f ca="1">SUM(G36:G37)*INDEX(Tbl_SubCost,MATCH(G$42,Tbl_Product,0),MATCH($M44,Tbl_SubType,0))</f>
        <v>5362295703.9053516</v>
      </c>
      <c r="H44" s="56">
        <f ca="1">SUM(H36:H37)*INDEX(Tbl_SubCost,MATCH(H$42,Tbl_Product,0),MATCH($M44,Tbl_SubType,0))</f>
        <v>167672797.67488128</v>
      </c>
      <c r="I44" s="56">
        <f ca="1">SUM(I36:I37)*INDEX(Tbl_SubCost,MATCH(I$42,Tbl_Product,0),MATCH($M44,Tbl_SubType,0))</f>
        <v>1190354895.0856953</v>
      </c>
      <c r="J44" s="56">
        <f ca="1">SUM(J36:J37)*INDEX(Tbl_SubCost,MATCH(J$42,Tbl_Product,0),MATCH($M44,Tbl_SubType,0))</f>
        <v>37346064352.150009</v>
      </c>
      <c r="K44" s="56">
        <f ca="1">SUM(K36:K37)*INDEX(Tbl_SubCost,MATCH(K$42,Tbl_Product,0),MATCH($M44,Tbl_SubType,0))</f>
        <v>8187059146.6625853</v>
      </c>
      <c r="L44" s="57">
        <f ca="1">SUM(G44:K44)</f>
        <v>52253446895.478516</v>
      </c>
      <c r="M44" t="s">
        <v>92</v>
      </c>
      <c r="R44" s="8" t="s">
        <v>55</v>
      </c>
      <c r="S44" s="56">
        <f ca="1">SUM(S36:S37)*INDEX(Tbl_SubCost,MATCH(S$42,Tbl_Product,0),MATCH($Y44,Tbl_SubType,0))</f>
        <v>4357591479.3578682</v>
      </c>
      <c r="T44" s="56">
        <f ca="1">SUM(T36:T37)*INDEX(Tbl_SubCost,MATCH(T$42,Tbl_Product,0),MATCH($Y44,Tbl_SubType,0))</f>
        <v>215332296.75223556</v>
      </c>
      <c r="U44" s="56">
        <f ca="1">SUM(U36:U37)*INDEX(Tbl_SubCost,MATCH(U$42,Tbl_Product,0),MATCH($Y44,Tbl_SubType,0))</f>
        <v>1272999997.0053408</v>
      </c>
      <c r="V44" s="56">
        <f ca="1">SUM(V36:V37)*INDEX(Tbl_SubCost,MATCH(V$42,Tbl_Product,0),MATCH($Y44,Tbl_SubType,0))</f>
        <v>38048800598.807693</v>
      </c>
      <c r="W44" s="56">
        <f ca="1">SUM(W36:W37)*INDEX(Tbl_SubCost,MATCH(W$42,Tbl_Product,0),MATCH($Y44,Tbl_SubType,0))</f>
        <v>7240019627.3469944</v>
      </c>
      <c r="X44" s="57">
        <f t="shared" ref="X44" ca="1" si="64">SUM(S44:W44)</f>
        <v>51134743999.270134</v>
      </c>
      <c r="Y44" t="s">
        <v>92</v>
      </c>
      <c r="AB44" t="str">
        <f t="shared" si="56"/>
        <v>IUDSM_Med</v>
      </c>
      <c r="AC44" s="1" t="s">
        <v>16</v>
      </c>
      <c r="AD44" s="1" t="s">
        <v>56</v>
      </c>
      <c r="AE44" s="37">
        <f t="shared" ca="1" si="51"/>
        <v>42960.872932250008</v>
      </c>
      <c r="AF44" s="37">
        <f t="shared" ca="1" si="51"/>
        <v>53209.162330523708</v>
      </c>
      <c r="AG44" s="37">
        <f t="shared" ca="1" si="51"/>
        <v>63366.143910160215</v>
      </c>
      <c r="AH44" s="37">
        <f t="shared" ca="1" si="51"/>
        <v>73453.373191084524</v>
      </c>
      <c r="AI44" s="37">
        <f t="shared" ca="1" si="51"/>
        <v>83411.211272988206</v>
      </c>
      <c r="AJ44" s="37">
        <f t="shared" ca="1" si="51"/>
        <v>93169.928556282946</v>
      </c>
      <c r="AK44" s="37">
        <f t="shared" ca="1" si="51"/>
        <v>102658.08403717956</v>
      </c>
      <c r="AL44" s="37">
        <f t="shared" ca="1" si="51"/>
        <v>111728.63659153515</v>
      </c>
      <c r="AM44" s="37">
        <f t="shared" ca="1" si="51"/>
        <v>120386.70261078539</v>
      </c>
      <c r="AN44" s="37">
        <f t="shared" ca="1" si="51"/>
        <v>128558.058596389</v>
      </c>
      <c r="AO44" s="37">
        <f t="shared" ca="1" si="52"/>
        <v>136169.95411945455</v>
      </c>
      <c r="AP44" s="37">
        <f t="shared" ca="1" si="52"/>
        <v>143141.09366646124</v>
      </c>
      <c r="AQ44" s="37">
        <f t="shared" ca="1" si="52"/>
        <v>149294.57550509254</v>
      </c>
      <c r="AR44" s="37">
        <f t="shared" ca="1" si="52"/>
        <v>154631.81438740631</v>
      </c>
      <c r="AS44" s="37">
        <f t="shared" ca="1" si="52"/>
        <v>159045.8329745052</v>
      </c>
      <c r="AT44" s="37">
        <f t="shared" ca="1" si="52"/>
        <v>162423.42228222432</v>
      </c>
      <c r="AU44" s="37">
        <f t="shared" ca="1" si="52"/>
        <v>164650.50147442828</v>
      </c>
      <c r="AV44" s="37" t="e">
        <f t="shared" ca="1" si="52"/>
        <v>#N/A</v>
      </c>
      <c r="AW44" s="37" t="e">
        <f t="shared" ca="1" si="52"/>
        <v>#N/A</v>
      </c>
      <c r="AX44" s="37" t="e">
        <f t="shared" ca="1" si="52"/>
        <v>#N/A</v>
      </c>
      <c r="BA44" t="str">
        <f t="shared" si="57"/>
        <v>IUDSM_Med</v>
      </c>
      <c r="BB44" s="1" t="s">
        <v>16</v>
      </c>
      <c r="BC44" s="1" t="s">
        <v>56</v>
      </c>
      <c r="BD44" s="149">
        <f t="shared" ca="1" si="53"/>
        <v>77399.750097853248</v>
      </c>
      <c r="BE44" s="37">
        <f t="shared" ca="1" si="54"/>
        <v>12225.471757946132</v>
      </c>
      <c r="BF44" s="37">
        <f t="shared" ca="1" si="54"/>
        <v>19587.609600936747</v>
      </c>
      <c r="BG44" s="37">
        <f t="shared" ca="1" si="54"/>
        <v>21724.19078192427</v>
      </c>
      <c r="BH44" s="37">
        <f t="shared" ca="1" si="54"/>
        <v>23862.477957046096</v>
      </c>
      <c r="BI44" s="37">
        <f t="shared" ca="1" si="54"/>
        <v>25925.962688661195</v>
      </c>
      <c r="BJ44" s="37">
        <f t="shared" ca="1" si="54"/>
        <v>27891.589299161737</v>
      </c>
      <c r="BK44" s="37">
        <f t="shared" ca="1" si="54"/>
        <v>29742.487775740741</v>
      </c>
      <c r="BL44" s="37">
        <f t="shared" ca="1" si="54"/>
        <v>31387.52734504679</v>
      </c>
      <c r="BM44" s="37">
        <f t="shared" ca="1" si="54"/>
        <v>32946.900060888314</v>
      </c>
      <c r="BN44" s="37">
        <f t="shared" ca="1" si="54"/>
        <v>34342.378292296096</v>
      </c>
      <c r="BO44" s="37">
        <f t="shared" ca="1" si="55"/>
        <v>35559.299565758796</v>
      </c>
      <c r="BP44" s="37">
        <f t="shared" ca="1" si="55"/>
        <v>36573.303486018558</v>
      </c>
      <c r="BQ44" s="37">
        <f t="shared" ca="1" si="55"/>
        <v>37271.110896557657</v>
      </c>
      <c r="BR44" s="37">
        <f t="shared" ca="1" si="55"/>
        <v>37792.581383420846</v>
      </c>
      <c r="BS44" s="37">
        <f t="shared" ca="1" si="55"/>
        <v>38029.630410448102</v>
      </c>
      <c r="BT44" s="37">
        <f t="shared" ca="1" si="55"/>
        <v>37952.770389133293</v>
      </c>
      <c r="BU44" s="37">
        <f t="shared" ca="1" si="55"/>
        <v>37536.518818774457</v>
      </c>
      <c r="BV44" s="37" t="e">
        <f t="shared" ca="1" si="55"/>
        <v>#N/A</v>
      </c>
      <c r="BW44" s="37" t="e">
        <f t="shared" ca="1" si="55"/>
        <v>#N/A</v>
      </c>
      <c r="BX44" s="37" t="e">
        <f t="shared" ca="1" si="55"/>
        <v>#N/A</v>
      </c>
    </row>
    <row r="45" spans="3:76" ht="15.75" thickBot="1" x14ac:dyDescent="0.3">
      <c r="F45" s="53" t="s">
        <v>60</v>
      </c>
      <c r="G45" s="58">
        <f ca="1">SUM(G43:G44)</f>
        <v>5719447010.7011757</v>
      </c>
      <c r="H45" s="58">
        <f ca="1">SUM(H43:H44)</f>
        <v>846712042.78607273</v>
      </c>
      <c r="I45" s="58">
        <f ca="1">SUM(I43:I44)</f>
        <v>52750867966.030235</v>
      </c>
      <c r="J45" s="58">
        <f ca="1">SUM(J43:J44)</f>
        <v>120160831859.54202</v>
      </c>
      <c r="K45" s="58">
        <f ca="1">SUM(K43:K44)</f>
        <v>22944148656.584621</v>
      </c>
      <c r="L45" s="59">
        <f ca="1">SUM(G45:K45)</f>
        <v>202422007535.64413</v>
      </c>
      <c r="R45" s="53" t="s">
        <v>60</v>
      </c>
      <c r="S45" s="58">
        <f ca="1">SUM(S43:S44)</f>
        <v>4714742786.1536922</v>
      </c>
      <c r="T45" s="58">
        <f ca="1">SUM(T43:T44)</f>
        <v>802070928.40109038</v>
      </c>
      <c r="U45" s="58">
        <f ca="1">SUM(U43:U44)</f>
        <v>49135409200.528976</v>
      </c>
      <c r="V45" s="58">
        <f ca="1">SUM(V43:V44)</f>
        <v>117455742462.72525</v>
      </c>
      <c r="W45" s="58">
        <f ca="1">SUM(W43:W44)</f>
        <v>21199699746.542358</v>
      </c>
      <c r="X45" s="59">
        <f ca="1">SUM(S45:W45)</f>
        <v>193307665124.35138</v>
      </c>
      <c r="AB45" t="str">
        <f t="shared" si="56"/>
        <v>IUDSM_Nontrad</v>
      </c>
      <c r="AC45" s="1" t="s">
        <v>16</v>
      </c>
      <c r="AD45" s="1" t="s">
        <v>57</v>
      </c>
      <c r="AE45" s="37">
        <f t="shared" ca="1" si="51"/>
        <v>0</v>
      </c>
      <c r="AF45" s="37">
        <f t="shared" ca="1" si="51"/>
        <v>0</v>
      </c>
      <c r="AG45" s="37">
        <f t="shared" ca="1" si="51"/>
        <v>0</v>
      </c>
      <c r="AH45" s="37">
        <f t="shared" ca="1" si="51"/>
        <v>0</v>
      </c>
      <c r="AI45" s="37">
        <f t="shared" ca="1" si="51"/>
        <v>0</v>
      </c>
      <c r="AJ45" s="37">
        <f t="shared" ca="1" si="51"/>
        <v>0</v>
      </c>
      <c r="AK45" s="37">
        <f t="shared" ca="1" si="51"/>
        <v>0</v>
      </c>
      <c r="AL45" s="37">
        <f t="shared" ca="1" si="51"/>
        <v>0</v>
      </c>
      <c r="AM45" s="37">
        <f t="shared" ca="1" si="51"/>
        <v>0</v>
      </c>
      <c r="AN45" s="37">
        <f t="shared" ca="1" si="51"/>
        <v>0</v>
      </c>
      <c r="AO45" s="37">
        <f t="shared" ca="1" si="52"/>
        <v>0</v>
      </c>
      <c r="AP45" s="37">
        <f t="shared" ca="1" si="52"/>
        <v>0</v>
      </c>
      <c r="AQ45" s="37">
        <f t="shared" ca="1" si="52"/>
        <v>0</v>
      </c>
      <c r="AR45" s="37">
        <f t="shared" ca="1" si="52"/>
        <v>0</v>
      </c>
      <c r="AS45" s="37">
        <f t="shared" ca="1" si="52"/>
        <v>0</v>
      </c>
      <c r="AT45" s="37">
        <f t="shared" ca="1" si="52"/>
        <v>0</v>
      </c>
      <c r="AU45" s="37">
        <f t="shared" ca="1" si="52"/>
        <v>0</v>
      </c>
      <c r="AV45" s="37" t="e">
        <f t="shared" ca="1" si="52"/>
        <v>#N/A</v>
      </c>
      <c r="AW45" s="37" t="e">
        <f t="shared" ca="1" si="52"/>
        <v>#N/A</v>
      </c>
      <c r="AX45" s="37" t="e">
        <f t="shared" ca="1" si="52"/>
        <v>#N/A</v>
      </c>
      <c r="BA45" t="str">
        <f t="shared" si="57"/>
        <v>IUDSM_Nontrad</v>
      </c>
      <c r="BB45" s="1" t="s">
        <v>16</v>
      </c>
      <c r="BC45" s="1" t="s">
        <v>57</v>
      </c>
      <c r="BD45" s="149">
        <f t="shared" ca="1" si="53"/>
        <v>0</v>
      </c>
      <c r="BE45" s="37">
        <f t="shared" ca="1" si="54"/>
        <v>0</v>
      </c>
      <c r="BF45" s="37">
        <f t="shared" ca="1" si="54"/>
        <v>0</v>
      </c>
      <c r="BG45" s="37">
        <f t="shared" ca="1" si="54"/>
        <v>0</v>
      </c>
      <c r="BH45" s="37">
        <f t="shared" ca="1" si="54"/>
        <v>0</v>
      </c>
      <c r="BI45" s="37">
        <f t="shared" ca="1" si="54"/>
        <v>0</v>
      </c>
      <c r="BJ45" s="37">
        <f t="shared" ca="1" si="54"/>
        <v>0</v>
      </c>
      <c r="BK45" s="37">
        <f t="shared" ca="1" si="54"/>
        <v>0</v>
      </c>
      <c r="BL45" s="37">
        <f t="shared" ca="1" si="54"/>
        <v>0</v>
      </c>
      <c r="BM45" s="37">
        <f t="shared" ca="1" si="54"/>
        <v>0</v>
      </c>
      <c r="BN45" s="37">
        <f t="shared" ca="1" si="54"/>
        <v>0</v>
      </c>
      <c r="BO45" s="37">
        <f t="shared" ca="1" si="55"/>
        <v>0</v>
      </c>
      <c r="BP45" s="37">
        <f t="shared" ca="1" si="55"/>
        <v>0</v>
      </c>
      <c r="BQ45" s="37">
        <f t="shared" ca="1" si="55"/>
        <v>0</v>
      </c>
      <c r="BR45" s="37">
        <f t="shared" ca="1" si="55"/>
        <v>0</v>
      </c>
      <c r="BS45" s="37">
        <f t="shared" ca="1" si="55"/>
        <v>0</v>
      </c>
      <c r="BT45" s="37">
        <f t="shared" ca="1" si="55"/>
        <v>0</v>
      </c>
      <c r="BU45" s="37">
        <f t="shared" ca="1" si="55"/>
        <v>0</v>
      </c>
      <c r="BV45" s="37" t="e">
        <f t="shared" ca="1" si="55"/>
        <v>#N/A</v>
      </c>
      <c r="BW45" s="37" t="e">
        <f t="shared" ca="1" si="55"/>
        <v>#N/A</v>
      </c>
      <c r="BX45" s="37" t="e">
        <f t="shared" ca="1" si="55"/>
        <v>#N/A</v>
      </c>
    </row>
    <row r="46" spans="3:76" x14ac:dyDescent="0.25">
      <c r="AB46" t="str">
        <f t="shared" si="56"/>
        <v>IUDCommercial</v>
      </c>
      <c r="AC46" s="1" t="s">
        <v>16</v>
      </c>
      <c r="AD46" s="1" t="s">
        <v>59</v>
      </c>
      <c r="AE46" s="37">
        <f t="shared" ca="1" si="51"/>
        <v>0</v>
      </c>
      <c r="AF46" s="37">
        <f t="shared" ca="1" si="51"/>
        <v>1804.9328590842854</v>
      </c>
      <c r="AG46" s="37">
        <f t="shared" ca="1" si="51"/>
        <v>4459.1544216224966</v>
      </c>
      <c r="AH46" s="37">
        <f t="shared" ca="1" si="51"/>
        <v>8048.8237955570876</v>
      </c>
      <c r="AI46" s="37">
        <f t="shared" ca="1" si="51"/>
        <v>12664.176004300878</v>
      </c>
      <c r="AJ46" s="37">
        <f t="shared" ca="1" si="51"/>
        <v>18398.326770219956</v>
      </c>
      <c r="AK46" s="37">
        <f t="shared" ca="1" si="51"/>
        <v>25347.84971227232</v>
      </c>
      <c r="AL46" s="37">
        <f t="shared" ca="1" si="51"/>
        <v>33590.935025079023</v>
      </c>
      <c r="AM46" s="37">
        <f t="shared" ca="1" si="51"/>
        <v>43248.038198102528</v>
      </c>
      <c r="AN46" s="37">
        <f t="shared" ca="1" si="51"/>
        <v>54429.727995939451</v>
      </c>
      <c r="AO46" s="37">
        <f t="shared" ca="1" si="52"/>
        <v>67254.512646644638</v>
      </c>
      <c r="AP46" s="37">
        <f t="shared" ca="1" si="52"/>
        <v>81845.565380778353</v>
      </c>
      <c r="AQ46" s="37">
        <f t="shared" ca="1" si="52"/>
        <v>98272.350666756887</v>
      </c>
      <c r="AR46" s="37">
        <f t="shared" ca="1" si="52"/>
        <v>116713.91276080327</v>
      </c>
      <c r="AS46" s="37">
        <f t="shared" ca="1" si="52"/>
        <v>137300.35351740822</v>
      </c>
      <c r="AT46" s="37">
        <f t="shared" ca="1" si="52"/>
        <v>160161.73432067933</v>
      </c>
      <c r="AU46" s="37">
        <f t="shared" ca="1" si="52"/>
        <v>185431.89858905267</v>
      </c>
      <c r="AV46" s="37" t="e">
        <f t="shared" ca="1" si="52"/>
        <v>#N/A</v>
      </c>
      <c r="AW46" s="37" t="e">
        <f t="shared" ca="1" si="52"/>
        <v>#N/A</v>
      </c>
      <c r="AX46" s="37" t="e">
        <f t="shared" ca="1" si="52"/>
        <v>#N/A</v>
      </c>
      <c r="BA46" t="str">
        <f t="shared" si="57"/>
        <v>IUDCommercial</v>
      </c>
      <c r="BB46" s="1" t="s">
        <v>16</v>
      </c>
      <c r="BC46" s="1" t="s">
        <v>59</v>
      </c>
      <c r="BD46" s="149">
        <f t="shared" ca="1" si="53"/>
        <v>9410.5819000585616</v>
      </c>
      <c r="BE46" s="37">
        <f t="shared" ca="1" si="54"/>
        <v>0</v>
      </c>
      <c r="BF46" s="37">
        <f t="shared" ca="1" si="54"/>
        <v>1804.9328590842854</v>
      </c>
      <c r="BG46" s="37">
        <f t="shared" ca="1" si="54"/>
        <v>3046.5982710347948</v>
      </c>
      <c r="BH46" s="37">
        <f t="shared" ca="1" si="54"/>
        <v>4559.0507699394811</v>
      </c>
      <c r="BI46" s="37">
        <f t="shared" ca="1" si="54"/>
        <v>6365.0965121257668</v>
      </c>
      <c r="BJ46" s="37">
        <f t="shared" ca="1" si="54"/>
        <v>8487.2325059844879</v>
      </c>
      <c r="BK46" s="37">
        <f t="shared" ca="1" si="54"/>
        <v>10949.159196448005</v>
      </c>
      <c r="BL46" s="37">
        <f t="shared" ca="1" si="54"/>
        <v>13753.487424170253</v>
      </c>
      <c r="BM46" s="37">
        <f t="shared" ca="1" si="54"/>
        <v>16959.480352388506</v>
      </c>
      <c r="BN46" s="37">
        <f t="shared" ca="1" si="54"/>
        <v>20583.437232207041</v>
      </c>
      <c r="BO46" s="37">
        <f t="shared" ca="1" si="55"/>
        <v>24657.334215039857</v>
      </c>
      <c r="BP46" s="37">
        <f t="shared" ca="1" si="55"/>
        <v>29211.59896166515</v>
      </c>
      <c r="BQ46" s="37">
        <f t="shared" ca="1" si="55"/>
        <v>34219.29949919122</v>
      </c>
      <c r="BR46" s="37">
        <f t="shared" ca="1" si="55"/>
        <v>39805.116586819633</v>
      </c>
      <c r="BS46" s="37">
        <f t="shared" ca="1" si="55"/>
        <v>45959.030487214346</v>
      </c>
      <c r="BT46" s="37">
        <f t="shared" ca="1" si="55"/>
        <v>52709.283741838146</v>
      </c>
      <c r="BU46" s="37">
        <f t="shared" ca="1" si="55"/>
        <v>60087.932598955769</v>
      </c>
      <c r="BV46" s="37" t="e">
        <f t="shared" ca="1" si="55"/>
        <v>#N/A</v>
      </c>
      <c r="BW46" s="37" t="e">
        <f t="shared" ca="1" si="55"/>
        <v>#N/A</v>
      </c>
      <c r="BX46" s="37" t="e">
        <f t="shared" ca="1" si="55"/>
        <v>#N/A</v>
      </c>
    </row>
    <row r="47" spans="3:76" ht="15.75" thickBot="1" x14ac:dyDescent="0.3">
      <c r="AB47" t="str">
        <f t="shared" si="56"/>
        <v>ImplantPub_Med</v>
      </c>
      <c r="AC47" s="1" t="s">
        <v>23</v>
      </c>
      <c r="AD47" s="1" t="s">
        <v>52</v>
      </c>
      <c r="AE47" s="37">
        <f t="shared" ref="AE47:AN61" ca="1" si="65">INDEX(INDIRECT($AC47&amp;"_"&amp;$AA$35&amp;"!"&amp;$AA$4),MATCH($AD47,INDIRECT($AC47&amp;"_"&amp;$AA$35&amp;"!"&amp;$AA$5),0),MATCH(AE$3,INDIRECT($AC47&amp;"_"&amp;$AA$35&amp;"!"&amp;$AA$6),0))</f>
        <v>523576.38821387046</v>
      </c>
      <c r="AF47" s="37">
        <f t="shared" ca="1" si="65"/>
        <v>574430.30896020331</v>
      </c>
      <c r="AG47" s="37">
        <f t="shared" ca="1" si="65"/>
        <v>627474.88065127772</v>
      </c>
      <c r="AH47" s="37">
        <f t="shared" ca="1" si="65"/>
        <v>683636.09782899322</v>
      </c>
      <c r="AI47" s="37">
        <f t="shared" ca="1" si="65"/>
        <v>742950.54752603592</v>
      </c>
      <c r="AJ47" s="37">
        <f t="shared" ca="1" si="65"/>
        <v>805426.05073487037</v>
      </c>
      <c r="AK47" s="37">
        <f t="shared" ca="1" si="65"/>
        <v>871106.2151976329</v>
      </c>
      <c r="AL47" s="37">
        <f t="shared" ca="1" si="65"/>
        <v>939438.01101792813</v>
      </c>
      <c r="AM47" s="37">
        <f t="shared" ca="1" si="65"/>
        <v>1011183.5154037033</v>
      </c>
      <c r="AN47" s="37">
        <f t="shared" ca="1" si="65"/>
        <v>1088476.91428247</v>
      </c>
      <c r="AO47" s="37">
        <f t="shared" ref="AO47:AX61" ca="1" si="66">INDEX(INDIRECT($AC47&amp;"_"&amp;$AA$35&amp;"!"&amp;$AA$4),MATCH($AD47,INDIRECT($AC47&amp;"_"&amp;$AA$35&amp;"!"&amp;$AA$5),0),MATCH(AO$3,INDIRECT($AC47&amp;"_"&amp;$AA$35&amp;"!"&amp;$AA$6),0))</f>
        <v>1170445.8053884576</v>
      </c>
      <c r="AP47" s="37">
        <f t="shared" ca="1" si="66"/>
        <v>1256446.090093906</v>
      </c>
      <c r="AQ47" s="37">
        <f t="shared" ca="1" si="66"/>
        <v>1345807.9128977181</v>
      </c>
      <c r="AR47" s="37">
        <f t="shared" ca="1" si="66"/>
        <v>1439464.9358963696</v>
      </c>
      <c r="AS47" s="37">
        <f t="shared" ca="1" si="66"/>
        <v>1537455.376251756</v>
      </c>
      <c r="AT47" s="37">
        <f t="shared" ca="1" si="66"/>
        <v>1639792.8364403546</v>
      </c>
      <c r="AU47" s="37">
        <f t="shared" ca="1" si="66"/>
        <v>1746513.2830476752</v>
      </c>
      <c r="AV47" s="37" t="e">
        <f t="shared" ca="1" si="66"/>
        <v>#N/A</v>
      </c>
      <c r="AW47" s="37" t="e">
        <f t="shared" ca="1" si="66"/>
        <v>#N/A</v>
      </c>
      <c r="AX47" s="37" t="e">
        <f t="shared" ca="1" si="66"/>
        <v>#N/A</v>
      </c>
      <c r="BA47" t="str">
        <f t="shared" si="57"/>
        <v>ImplantPub_Med</v>
      </c>
      <c r="BB47" s="1" t="s">
        <v>23</v>
      </c>
      <c r="BC47" s="1" t="s">
        <v>52</v>
      </c>
      <c r="BD47" s="149">
        <f t="shared" ca="1" si="53"/>
        <v>906323.62324374623</v>
      </c>
      <c r="BE47" s="37">
        <f t="shared" ref="BE47:BN61" ca="1" si="67">INDEX(INDIRECT($BB47&amp;"_"&amp;$AZ$35&amp;"!"&amp;$AZ$4),MATCH($BC47,INDIRECT($BB47&amp;"_"&amp;$AZ$35&amp;"!"&amp;$AZ$5),0),MATCH(BE$3,INDIRECT($BB47&amp;"_"&amp;$AZ$35&amp;"!"&amp;$AZ$6),0))</f>
        <v>207050.92055820121</v>
      </c>
      <c r="BF47" s="37">
        <f t="shared" ca="1" si="67"/>
        <v>214471.54206316741</v>
      </c>
      <c r="BG47" s="37">
        <f t="shared" ca="1" si="67"/>
        <v>232554.0432411379</v>
      </c>
      <c r="BH47" s="37">
        <f t="shared" ca="1" si="67"/>
        <v>252247.11738123975</v>
      </c>
      <c r="BI47" s="37">
        <f t="shared" ca="1" si="67"/>
        <v>272950.73026860313</v>
      </c>
      <c r="BJ47" s="37">
        <f t="shared" ca="1" si="67"/>
        <v>294647.54931072058</v>
      </c>
      <c r="BK47" s="37">
        <f t="shared" ca="1" si="67"/>
        <v>317375.80531740957</v>
      </c>
      <c r="BL47" s="37">
        <f t="shared" ca="1" si="67"/>
        <v>340552.48806955555</v>
      </c>
      <c r="BM47" s="37">
        <f t="shared" ca="1" si="67"/>
        <v>365319.88282887771</v>
      </c>
      <c r="BN47" s="37">
        <f t="shared" ca="1" si="67"/>
        <v>393288.24744242395</v>
      </c>
      <c r="BO47" s="37">
        <f t="shared" ref="BO47:BX61" ca="1" si="68">INDEX(INDIRECT($BB47&amp;"_"&amp;$AZ$35&amp;"!"&amp;$AZ$4),MATCH($BC47,INDIRECT($BB47&amp;"_"&amp;$AZ$35&amp;"!"&amp;$AZ$5),0),MATCH(BO$3,INDIRECT($BB47&amp;"_"&amp;$AZ$35&amp;"!"&amp;$AZ$6),0))</f>
        <v>422117.92681925942</v>
      </c>
      <c r="BP47" s="37">
        <f t="shared" ca="1" si="68"/>
        <v>451764.59888934146</v>
      </c>
      <c r="BQ47" s="37">
        <f t="shared" ca="1" si="68"/>
        <v>482001.22595815768</v>
      </c>
      <c r="BR47" s="37">
        <f t="shared" ca="1" si="68"/>
        <v>514221.99577918835</v>
      </c>
      <c r="BS47" s="37">
        <f t="shared" ca="1" si="68"/>
        <v>547823.2328230018</v>
      </c>
      <c r="BT47" s="37">
        <f t="shared" ca="1" si="68"/>
        <v>582792.26526727236</v>
      </c>
      <c r="BU47" s="37">
        <f t="shared" ca="1" si="68"/>
        <v>619155.70799493126</v>
      </c>
      <c r="BV47" s="37" t="e">
        <f t="shared" ca="1" si="68"/>
        <v>#N/A</v>
      </c>
      <c r="BW47" s="37" t="e">
        <f t="shared" ca="1" si="68"/>
        <v>#N/A</v>
      </c>
      <c r="BX47" s="37" t="e">
        <f t="shared" ca="1" si="68"/>
        <v>#N/A</v>
      </c>
    </row>
    <row r="48" spans="3:76" ht="15.75" thickBot="1" x14ac:dyDescent="0.3">
      <c r="D48" t="s">
        <v>93</v>
      </c>
      <c r="F48" s="50" t="s">
        <v>90</v>
      </c>
      <c r="G48" s="9" t="s">
        <v>12</v>
      </c>
      <c r="H48" s="9" t="s">
        <v>16</v>
      </c>
      <c r="I48" s="9" t="s">
        <v>23</v>
      </c>
      <c r="J48" s="9" t="s">
        <v>22</v>
      </c>
      <c r="K48" s="9" t="s">
        <v>25</v>
      </c>
      <c r="L48" s="52" t="s">
        <v>60</v>
      </c>
      <c r="P48" t="s">
        <v>93</v>
      </c>
      <c r="R48" s="50" t="s">
        <v>90</v>
      </c>
      <c r="S48" s="9" t="s">
        <v>12</v>
      </c>
      <c r="T48" s="9" t="s">
        <v>16</v>
      </c>
      <c r="U48" s="9" t="s">
        <v>23</v>
      </c>
      <c r="V48" s="9" t="s">
        <v>22</v>
      </c>
      <c r="W48" s="9" t="s">
        <v>25</v>
      </c>
      <c r="X48" s="52" t="s">
        <v>60</v>
      </c>
      <c r="AB48" t="str">
        <f t="shared" si="56"/>
        <v>ImplantPub_Outreach</v>
      </c>
      <c r="AC48" s="1" t="s">
        <v>23</v>
      </c>
      <c r="AD48" s="1" t="s">
        <v>54</v>
      </c>
      <c r="AE48" s="37">
        <f t="shared" ca="1" si="65"/>
        <v>36383.804117370208</v>
      </c>
      <c r="AF48" s="37">
        <f t="shared" ca="1" si="65"/>
        <v>40324.091175092879</v>
      </c>
      <c r="AG48" s="37">
        <f t="shared" ca="1" si="65"/>
        <v>44446.428224703996</v>
      </c>
      <c r="AH48" s="37">
        <f t="shared" ca="1" si="65"/>
        <v>48816.800024688506</v>
      </c>
      <c r="AI48" s="37">
        <f t="shared" ca="1" si="65"/>
        <v>53439.172077667732</v>
      </c>
      <c r="AJ48" s="37">
        <f t="shared" ca="1" si="65"/>
        <v>58315.260808459381</v>
      </c>
      <c r="AK48" s="37">
        <f t="shared" ca="1" si="65"/>
        <v>63449.20813196426</v>
      </c>
      <c r="AL48" s="37">
        <f t="shared" ca="1" si="65"/>
        <v>68801.372964825874</v>
      </c>
      <c r="AM48" s="37">
        <f t="shared" ca="1" si="65"/>
        <v>74427.96381952861</v>
      </c>
      <c r="AN48" s="37">
        <f t="shared" ca="1" si="65"/>
        <v>80338.34966477417</v>
      </c>
      <c r="AO48" s="37">
        <f t="shared" ca="1" si="66"/>
        <v>86661.332908402532</v>
      </c>
      <c r="AP48" s="37">
        <f t="shared" ca="1" si="66"/>
        <v>93479.401578878023</v>
      </c>
      <c r="AQ48" s="37">
        <f t="shared" ca="1" si="66"/>
        <v>100575.90690091866</v>
      </c>
      <c r="AR48" s="37">
        <f t="shared" ca="1" si="66"/>
        <v>108021.21700664322</v>
      </c>
      <c r="AS48" s="37">
        <f t="shared" ca="1" si="66"/>
        <v>115819.28398094504</v>
      </c>
      <c r="AT48" s="37">
        <f t="shared" ca="1" si="66"/>
        <v>123972.10161099402</v>
      </c>
      <c r="AU48" s="37">
        <f t="shared" ca="1" si="66"/>
        <v>132483.25303785305</v>
      </c>
      <c r="AV48" s="37" t="e">
        <f t="shared" ca="1" si="66"/>
        <v>#N/A</v>
      </c>
      <c r="AW48" s="37" t="e">
        <f t="shared" ca="1" si="66"/>
        <v>#N/A</v>
      </c>
      <c r="AX48" s="37" t="e">
        <f t="shared" ca="1" si="66"/>
        <v>#N/A</v>
      </c>
      <c r="BA48" t="str">
        <f t="shared" si="57"/>
        <v>ImplantPub_Outreach</v>
      </c>
      <c r="BB48" s="1" t="s">
        <v>23</v>
      </c>
      <c r="BC48" s="1" t="s">
        <v>54</v>
      </c>
      <c r="BD48" s="149">
        <f t="shared" ca="1" si="53"/>
        <v>65186.326894759834</v>
      </c>
      <c r="BE48" s="37">
        <f t="shared" ca="1" si="67"/>
        <v>14892.60488832683</v>
      </c>
      <c r="BF48" s="37">
        <f t="shared" ca="1" si="67"/>
        <v>15310.225844400855</v>
      </c>
      <c r="BG48" s="37">
        <f t="shared" ca="1" si="67"/>
        <v>16723.615541827647</v>
      </c>
      <c r="BH48" s="37">
        <f t="shared" ca="1" si="67"/>
        <v>18259.880620204502</v>
      </c>
      <c r="BI48" s="37">
        <f t="shared" ca="1" si="67"/>
        <v>19877.622060694386</v>
      </c>
      <c r="BJ48" s="37">
        <f t="shared" ca="1" si="67"/>
        <v>21575.830005062817</v>
      </c>
      <c r="BK48" s="37">
        <f t="shared" ca="1" si="67"/>
        <v>23357.466326148435</v>
      </c>
      <c r="BL48" s="37">
        <f t="shared" ca="1" si="67"/>
        <v>25180.042374100442</v>
      </c>
      <c r="BM48" s="37">
        <f t="shared" ca="1" si="67"/>
        <v>27127.019906210819</v>
      </c>
      <c r="BN48" s="37">
        <f t="shared" ca="1" si="67"/>
        <v>29169.124538848257</v>
      </c>
      <c r="BO48" s="37">
        <f t="shared" ca="1" si="68"/>
        <v>31428.717513870281</v>
      </c>
      <c r="BP48" s="37">
        <f t="shared" ca="1" si="68"/>
        <v>33899.73520435128</v>
      </c>
      <c r="BQ48" s="37">
        <f t="shared" ca="1" si="68"/>
        <v>36308.818315440025</v>
      </c>
      <c r="BR48" s="37">
        <f t="shared" ca="1" si="68"/>
        <v>38875.281012261636</v>
      </c>
      <c r="BS48" s="37">
        <f t="shared" ca="1" si="68"/>
        <v>41554.697288877833</v>
      </c>
      <c r="BT48" s="37">
        <f t="shared" ca="1" si="68"/>
        <v>44346.343874094309</v>
      </c>
      <c r="BU48" s="37">
        <f t="shared" ca="1" si="68"/>
        <v>47252.433180294647</v>
      </c>
      <c r="BV48" s="37" t="e">
        <f t="shared" ca="1" si="68"/>
        <v>#N/A</v>
      </c>
      <c r="BW48" s="37" t="e">
        <f t="shared" ca="1" si="68"/>
        <v>#N/A</v>
      </c>
      <c r="BX48" s="37" t="e">
        <f t="shared" ca="1" si="68"/>
        <v>#N/A</v>
      </c>
    </row>
    <row r="49" spans="4:76" x14ac:dyDescent="0.25">
      <c r="E49" s="3"/>
      <c r="F49" s="54" t="s">
        <v>73</v>
      </c>
      <c r="G49" s="60">
        <f t="shared" ref="G49:K49" ca="1" si="69">SUM(G34:G35)*INDEX(Tbl_SubCost,MATCH(G$48,Tbl_Product,0),MATCH($M49,Tbl_SubType,0))</f>
        <v>99208.696332173349</v>
      </c>
      <c r="H49" s="60">
        <f t="shared" ca="1" si="69"/>
        <v>188622.01253088654</v>
      </c>
      <c r="I49" s="60">
        <f t="shared" ca="1" si="69"/>
        <v>14322364.741929039</v>
      </c>
      <c r="J49" s="60">
        <f t="shared" ca="1" si="69"/>
        <v>23004102.085386667</v>
      </c>
      <c r="K49" s="60">
        <f t="shared" ca="1" si="69"/>
        <v>4099191.5305338991</v>
      </c>
      <c r="L49" s="61">
        <f ca="1">SUM(G49:K49)</f>
        <v>41713489.06671267</v>
      </c>
      <c r="M49" t="s">
        <v>94</v>
      </c>
      <c r="Q49" s="3"/>
      <c r="R49" s="54" t="s">
        <v>73</v>
      </c>
      <c r="S49" s="60">
        <f ca="1">SUM(S34:S35)*INDEX(Tbl_SubCost,MATCH(S$48,Tbl_Product,0),MATCH($Y49,Tbl_SubType,0))</f>
        <v>99208.696332173349</v>
      </c>
      <c r="T49" s="60">
        <f ca="1">SUM(T34:T35)*INDEX(Tbl_SubCost,MATCH(T$48,Tbl_Product,0),MATCH($Y49,Tbl_SubType,0))</f>
        <v>162982.95323579301</v>
      </c>
      <c r="U49" s="60">
        <f ca="1">SUM(U34:U35)*INDEX(Tbl_SubCost,MATCH(U$48,Tbl_Product,0),MATCH($Y49,Tbl_SubType,0))</f>
        <v>13295113.667645454</v>
      </c>
      <c r="V49" s="60">
        <f ca="1">SUM(V34:V35)*INDEX(Tbl_SubCost,MATCH(V$48,Tbl_Product,0),MATCH($Y49,Tbl_SubType,0))</f>
        <v>22057483.851088211</v>
      </c>
      <c r="W49" s="60">
        <f ca="1">SUM(W34:W35)*INDEX(Tbl_SubCost,MATCH(W$48,Tbl_Product,0),MATCH($Y49,Tbl_SubType,0))</f>
        <v>3877688.9219987127</v>
      </c>
      <c r="X49" s="61">
        <f ca="1">SUM(S49:W49)</f>
        <v>39492478.090300336</v>
      </c>
      <c r="Y49" t="s">
        <v>94</v>
      </c>
      <c r="AB49" t="str">
        <f t="shared" si="56"/>
        <v>ImplantSM_Med</v>
      </c>
      <c r="AC49" s="1" t="s">
        <v>23</v>
      </c>
      <c r="AD49" s="1" t="s">
        <v>56</v>
      </c>
      <c r="AE49" s="37">
        <f t="shared" ca="1" si="65"/>
        <v>16408.734211887673</v>
      </c>
      <c r="AF49" s="37">
        <f t="shared" ca="1" si="65"/>
        <v>18944.347980723935</v>
      </c>
      <c r="AG49" s="37">
        <f t="shared" ca="1" si="65"/>
        <v>21617.725441962182</v>
      </c>
      <c r="AH49" s="37">
        <f t="shared" ca="1" si="65"/>
        <v>24461.679823537248</v>
      </c>
      <c r="AI49" s="37">
        <f t="shared" ca="1" si="65"/>
        <v>27480.655748053214</v>
      </c>
      <c r="AJ49" s="37">
        <f t="shared" ca="1" si="65"/>
        <v>30677.616694433666</v>
      </c>
      <c r="AK49" s="37">
        <f t="shared" ca="1" si="65"/>
        <v>34056.505472266683</v>
      </c>
      <c r="AL49" s="37">
        <f t="shared" ca="1" si="65"/>
        <v>37597.18479145327</v>
      </c>
      <c r="AM49" s="37">
        <f t="shared" ca="1" si="65"/>
        <v>41331.072531867045</v>
      </c>
      <c r="AN49" s="37">
        <f t="shared" ca="1" si="65"/>
        <v>45264.985536166103</v>
      </c>
      <c r="AO49" s="37">
        <f t="shared" ca="1" si="66"/>
        <v>49407.983460915144</v>
      </c>
      <c r="AP49" s="37">
        <f t="shared" ca="1" si="66"/>
        <v>53768.022781483021</v>
      </c>
      <c r="AQ49" s="37">
        <f t="shared" ca="1" si="66"/>
        <v>58317.817934907129</v>
      </c>
      <c r="AR49" s="37">
        <f t="shared" ca="1" si="66"/>
        <v>63098.787804712301</v>
      </c>
      <c r="AS49" s="37">
        <f t="shared" ca="1" si="66"/>
        <v>68114.363773019053</v>
      </c>
      <c r="AT49" s="37">
        <f t="shared" ca="1" si="66"/>
        <v>73366.718203518845</v>
      </c>
      <c r="AU49" s="37">
        <f t="shared" ca="1" si="66"/>
        <v>78858.859775974168</v>
      </c>
      <c r="AV49" s="37" t="e">
        <f t="shared" ca="1" si="66"/>
        <v>#N/A</v>
      </c>
      <c r="AW49" s="37" t="e">
        <f t="shared" ca="1" si="66"/>
        <v>#N/A</v>
      </c>
      <c r="AX49" s="37" t="e">
        <f t="shared" ca="1" si="66"/>
        <v>#N/A</v>
      </c>
      <c r="BA49" t="str">
        <f t="shared" si="57"/>
        <v>ImplantSM_Med</v>
      </c>
      <c r="BB49" s="1" t="s">
        <v>23</v>
      </c>
      <c r="BC49" s="1" t="s">
        <v>56</v>
      </c>
      <c r="BD49" s="149">
        <f t="shared" ca="1" si="53"/>
        <v>32299.151468693948</v>
      </c>
      <c r="BE49" s="37">
        <f t="shared" ca="1" si="67"/>
        <v>6442.8284712400673</v>
      </c>
      <c r="BF49" s="37">
        <f t="shared" ca="1" si="67"/>
        <v>7663.3432100511563</v>
      </c>
      <c r="BG49" s="37">
        <f t="shared" ca="1" si="67"/>
        <v>8593.4862052144781</v>
      </c>
      <c r="BH49" s="37">
        <f t="shared" ca="1" si="67"/>
        <v>9599.4935821882482</v>
      </c>
      <c r="BI49" s="37">
        <f t="shared" ca="1" si="67"/>
        <v>10663.250869371357</v>
      </c>
      <c r="BJ49" s="37">
        <f t="shared" ca="1" si="67"/>
        <v>11784.66586764708</v>
      </c>
      <c r="BK49" s="37">
        <f t="shared" ca="1" si="67"/>
        <v>12965.643994843533</v>
      </c>
      <c r="BL49" s="37">
        <f t="shared" ca="1" si="67"/>
        <v>14183.33727926993</v>
      </c>
      <c r="BM49" s="37">
        <f t="shared" ca="1" si="67"/>
        <v>15483.007987742913</v>
      </c>
      <c r="BN49" s="37">
        <f t="shared" ca="1" si="67"/>
        <v>16849.873170507515</v>
      </c>
      <c r="BO49" s="37">
        <f t="shared" ca="1" si="68"/>
        <v>18288.305904800945</v>
      </c>
      <c r="BP49" s="37">
        <f t="shared" ca="1" si="68"/>
        <v>19800.034152103857</v>
      </c>
      <c r="BQ49" s="37">
        <f t="shared" ca="1" si="68"/>
        <v>21352.302272637549</v>
      </c>
      <c r="BR49" s="37">
        <f t="shared" ca="1" si="68"/>
        <v>23005.287974463652</v>
      </c>
      <c r="BS49" s="37">
        <f t="shared" ca="1" si="68"/>
        <v>24733.947157279352</v>
      </c>
      <c r="BT49" s="37">
        <f t="shared" ca="1" si="68"/>
        <v>26538.093109568246</v>
      </c>
      <c r="BU49" s="37">
        <f t="shared" ca="1" si="68"/>
        <v>28419.241011054961</v>
      </c>
      <c r="BV49" s="37" t="e">
        <f t="shared" ca="1" si="68"/>
        <v>#N/A</v>
      </c>
      <c r="BW49" s="37" t="e">
        <f t="shared" ca="1" si="68"/>
        <v>#N/A</v>
      </c>
      <c r="BX49" s="37" t="e">
        <f t="shared" ca="1" si="68"/>
        <v>#N/A</v>
      </c>
    </row>
    <row r="50" spans="4:76" x14ac:dyDescent="0.25">
      <c r="F50" s="8" t="s">
        <v>55</v>
      </c>
      <c r="G50" s="60">
        <f ca="1">SUM(G36:G37)*INDEX(Tbl_SubCost,MATCH(G$48,Tbl_Product,0),MATCH($M50,Tbl_SubType,0))</f>
        <v>1489526.5844181534</v>
      </c>
      <c r="H50" s="60">
        <f ca="1">SUM(H36:H37)*INDEX(Tbl_SubCost,MATCH(H$48,Tbl_Product,0),MATCH($M50,Tbl_SubType,0))</f>
        <v>46575.777131911476</v>
      </c>
      <c r="I50" s="60">
        <f ca="1">SUM(I36:I37)*INDEX(Tbl_SubCost,MATCH(I$48,Tbl_Product,0),MATCH($M50,Tbl_SubType,0))</f>
        <v>330654.13752380421</v>
      </c>
      <c r="J50" s="60">
        <f ca="1">SUM(J36:J37)*INDEX(Tbl_SubCost,MATCH(J$48,Tbl_Product,0),MATCH($M50,Tbl_SubType,0))</f>
        <v>10373906.764486114</v>
      </c>
      <c r="K50" s="60">
        <f ca="1">SUM(K36:K37)*INDEX(Tbl_SubCost,MATCH(K$48,Tbl_Product,0),MATCH($M50,Tbl_SubType,0))</f>
        <v>2274183.0962951621</v>
      </c>
      <c r="L50" s="61">
        <f t="shared" ref="L50:L51" ca="1" si="70">SUM(G50:K50)</f>
        <v>14514846.359855145</v>
      </c>
      <c r="M50" t="s">
        <v>95</v>
      </c>
      <c r="R50" s="8" t="s">
        <v>55</v>
      </c>
      <c r="S50" s="60">
        <f ca="1">SUM(S36:S37)*INDEX(Tbl_SubCost,MATCH(S$48,Tbl_Product,0),MATCH($Y50,Tbl_SubType,0))</f>
        <v>1210442.0775994076</v>
      </c>
      <c r="T50" s="60">
        <f ca="1">SUM(T36:T37)*INDEX(Tbl_SubCost,MATCH(T$48,Tbl_Product,0),MATCH($Y50,Tbl_SubType,0))</f>
        <v>59814.526875620992</v>
      </c>
      <c r="U50" s="60">
        <f ca="1">SUM(U36:U37)*INDEX(Tbl_SubCost,MATCH(U$48,Tbl_Product,0),MATCH($Y50,Tbl_SubType,0))</f>
        <v>353611.11027926137</v>
      </c>
      <c r="V50" s="60">
        <f ca="1">SUM(V36:V37)*INDEX(Tbl_SubCost,MATCH(V$48,Tbl_Product,0),MATCH($Y50,Tbl_SubType,0))</f>
        <v>10569111.277446581</v>
      </c>
      <c r="W50" s="60">
        <f ca="1">SUM(W36:W37)*INDEX(Tbl_SubCost,MATCH(W$48,Tbl_Product,0),MATCH($Y50,Tbl_SubType,0))</f>
        <v>2011116.5631519426</v>
      </c>
      <c r="X50" s="61">
        <f t="shared" ref="X50:X51" ca="1" si="71">SUM(S50:W50)</f>
        <v>14204095.555352813</v>
      </c>
      <c r="Y50" t="s">
        <v>95</v>
      </c>
      <c r="AB50" t="str">
        <f t="shared" si="56"/>
        <v>ImplantSM_Nontrad</v>
      </c>
      <c r="AC50" s="1" t="s">
        <v>23</v>
      </c>
      <c r="AD50" s="1" t="s">
        <v>57</v>
      </c>
      <c r="AE50" s="37">
        <f t="shared" ca="1" si="65"/>
        <v>0</v>
      </c>
      <c r="AF50" s="37">
        <f t="shared" ca="1" si="65"/>
        <v>0</v>
      </c>
      <c r="AG50" s="37">
        <f t="shared" ca="1" si="65"/>
        <v>0</v>
      </c>
      <c r="AH50" s="37">
        <f t="shared" ca="1" si="65"/>
        <v>0</v>
      </c>
      <c r="AI50" s="37">
        <f t="shared" ca="1" si="65"/>
        <v>0</v>
      </c>
      <c r="AJ50" s="37">
        <f t="shared" ca="1" si="65"/>
        <v>0</v>
      </c>
      <c r="AK50" s="37">
        <f t="shared" ca="1" si="65"/>
        <v>0</v>
      </c>
      <c r="AL50" s="37">
        <f t="shared" ca="1" si="65"/>
        <v>0</v>
      </c>
      <c r="AM50" s="37">
        <f t="shared" ca="1" si="65"/>
        <v>0</v>
      </c>
      <c r="AN50" s="37">
        <f t="shared" ca="1" si="65"/>
        <v>0</v>
      </c>
      <c r="AO50" s="37">
        <f t="shared" ca="1" si="66"/>
        <v>0</v>
      </c>
      <c r="AP50" s="37">
        <f t="shared" ca="1" si="66"/>
        <v>0</v>
      </c>
      <c r="AQ50" s="37">
        <f t="shared" ca="1" si="66"/>
        <v>0</v>
      </c>
      <c r="AR50" s="37">
        <f t="shared" ca="1" si="66"/>
        <v>0</v>
      </c>
      <c r="AS50" s="37">
        <f t="shared" ca="1" si="66"/>
        <v>0</v>
      </c>
      <c r="AT50" s="37">
        <f t="shared" ca="1" si="66"/>
        <v>0</v>
      </c>
      <c r="AU50" s="37">
        <f t="shared" ca="1" si="66"/>
        <v>0</v>
      </c>
      <c r="AV50" s="37" t="e">
        <f t="shared" ca="1" si="66"/>
        <v>#N/A</v>
      </c>
      <c r="AW50" s="37" t="e">
        <f t="shared" ca="1" si="66"/>
        <v>#N/A</v>
      </c>
      <c r="AX50" s="37" t="e">
        <f t="shared" ca="1" si="66"/>
        <v>#N/A</v>
      </c>
      <c r="BA50" t="str">
        <f t="shared" si="57"/>
        <v>ImplantSM_Nontrad</v>
      </c>
      <c r="BB50" s="1" t="s">
        <v>23</v>
      </c>
      <c r="BC50" s="1" t="s">
        <v>57</v>
      </c>
      <c r="BD50" s="149">
        <f t="shared" ca="1" si="53"/>
        <v>0</v>
      </c>
      <c r="BE50" s="37">
        <f t="shared" ca="1" si="67"/>
        <v>0</v>
      </c>
      <c r="BF50" s="37">
        <f t="shared" ca="1" si="67"/>
        <v>0</v>
      </c>
      <c r="BG50" s="37">
        <f t="shared" ca="1" si="67"/>
        <v>0</v>
      </c>
      <c r="BH50" s="37">
        <f t="shared" ca="1" si="67"/>
        <v>0</v>
      </c>
      <c r="BI50" s="37">
        <f t="shared" ca="1" si="67"/>
        <v>0</v>
      </c>
      <c r="BJ50" s="37">
        <f t="shared" ca="1" si="67"/>
        <v>0</v>
      </c>
      <c r="BK50" s="37">
        <f t="shared" ca="1" si="67"/>
        <v>0</v>
      </c>
      <c r="BL50" s="37">
        <f t="shared" ca="1" si="67"/>
        <v>0</v>
      </c>
      <c r="BM50" s="37">
        <f t="shared" ca="1" si="67"/>
        <v>0</v>
      </c>
      <c r="BN50" s="37">
        <f t="shared" ca="1" si="67"/>
        <v>0</v>
      </c>
      <c r="BO50" s="37">
        <f t="shared" ca="1" si="68"/>
        <v>0</v>
      </c>
      <c r="BP50" s="37">
        <f t="shared" ca="1" si="68"/>
        <v>0</v>
      </c>
      <c r="BQ50" s="37">
        <f t="shared" ca="1" si="68"/>
        <v>0</v>
      </c>
      <c r="BR50" s="37">
        <f t="shared" ca="1" si="68"/>
        <v>0</v>
      </c>
      <c r="BS50" s="37">
        <f t="shared" ca="1" si="68"/>
        <v>0</v>
      </c>
      <c r="BT50" s="37">
        <f t="shared" ca="1" si="68"/>
        <v>0</v>
      </c>
      <c r="BU50" s="37">
        <f t="shared" ca="1" si="68"/>
        <v>0</v>
      </c>
      <c r="BV50" s="37" t="e">
        <f t="shared" ca="1" si="68"/>
        <v>#N/A</v>
      </c>
      <c r="BW50" s="37" t="e">
        <f t="shared" ca="1" si="68"/>
        <v>#N/A</v>
      </c>
      <c r="BX50" s="37" t="e">
        <f t="shared" ca="1" si="68"/>
        <v>#N/A</v>
      </c>
    </row>
    <row r="51" spans="4:76" ht="15.75" thickBot="1" x14ac:dyDescent="0.3">
      <c r="F51" s="53" t="s">
        <v>60</v>
      </c>
      <c r="G51" s="62">
        <f ca="1">SUM(G49:G50)</f>
        <v>1588735.2807503268</v>
      </c>
      <c r="H51" s="62">
        <f ca="1">SUM(H49:H50)</f>
        <v>235197.78966279802</v>
      </c>
      <c r="I51" s="62">
        <f ca="1">SUM(I49:I50)</f>
        <v>14653018.879452843</v>
      </c>
      <c r="J51" s="62">
        <f ca="1">SUM(J49:J50)</f>
        <v>33378008.849872783</v>
      </c>
      <c r="K51" s="62">
        <f ca="1">SUM(K49:K50)</f>
        <v>6373374.6268290617</v>
      </c>
      <c r="L51" s="63">
        <f t="shared" ca="1" si="70"/>
        <v>56228335.426567808</v>
      </c>
      <c r="R51" s="53" t="s">
        <v>60</v>
      </c>
      <c r="S51" s="62">
        <f ca="1">SUM(S49:S50)</f>
        <v>1309650.7739315811</v>
      </c>
      <c r="T51" s="62">
        <f ca="1">SUM(T49:T50)</f>
        <v>222797.48011141401</v>
      </c>
      <c r="U51" s="62">
        <f ca="1">SUM(U49:U50)</f>
        <v>13648724.777924716</v>
      </c>
      <c r="V51" s="62">
        <f ca="1">SUM(V49:V50)</f>
        <v>32626595.128534794</v>
      </c>
      <c r="W51" s="62">
        <f ca="1">SUM(W49:W50)</f>
        <v>5888805.4851506557</v>
      </c>
      <c r="X51" s="63">
        <f t="shared" ca="1" si="71"/>
        <v>53696573.645653166</v>
      </c>
      <c r="AB51" t="str">
        <f t="shared" si="56"/>
        <v>ImplantCommercial</v>
      </c>
      <c r="AC51" s="1" t="s">
        <v>23</v>
      </c>
      <c r="AD51" s="1" t="s">
        <v>59</v>
      </c>
      <c r="AE51" s="37">
        <f t="shared" ca="1" si="65"/>
        <v>103404.12863295653</v>
      </c>
      <c r="AF51" s="37">
        <f t="shared" ca="1" si="65"/>
        <v>135100.16471938684</v>
      </c>
      <c r="AG51" s="37">
        <f t="shared" ca="1" si="65"/>
        <v>168817.60171586403</v>
      </c>
      <c r="AH51" s="37">
        <f t="shared" ca="1" si="65"/>
        <v>204826.51300351229</v>
      </c>
      <c r="AI51" s="37">
        <f t="shared" ca="1" si="65"/>
        <v>243209.94210232893</v>
      </c>
      <c r="AJ51" s="37">
        <f t="shared" ca="1" si="65"/>
        <v>284031.92635906109</v>
      </c>
      <c r="AK51" s="37">
        <f t="shared" ca="1" si="65"/>
        <v>327360.30144777254</v>
      </c>
      <c r="AL51" s="37">
        <f t="shared" ca="1" si="65"/>
        <v>373021.35075514484</v>
      </c>
      <c r="AM51" s="37">
        <f t="shared" ca="1" si="65"/>
        <v>421338.79446259339</v>
      </c>
      <c r="AN51" s="37">
        <f t="shared" ca="1" si="65"/>
        <v>472409.28497584187</v>
      </c>
      <c r="AO51" s="37">
        <f t="shared" ca="1" si="66"/>
        <v>526353.8855378835</v>
      </c>
      <c r="AP51" s="37">
        <f t="shared" ca="1" si="66"/>
        <v>583283.82853248355</v>
      </c>
      <c r="AQ51" s="37">
        <f t="shared" ca="1" si="66"/>
        <v>642922.66989565094</v>
      </c>
      <c r="AR51" s="37">
        <f t="shared" ca="1" si="66"/>
        <v>705740.47132671298</v>
      </c>
      <c r="AS51" s="37">
        <f t="shared" ca="1" si="66"/>
        <v>771799.90337398124</v>
      </c>
      <c r="AT51" s="37">
        <f t="shared" ca="1" si="66"/>
        <v>841147.06451690663</v>
      </c>
      <c r="AU51" s="37">
        <f t="shared" ca="1" si="66"/>
        <v>913835.4151370991</v>
      </c>
      <c r="AV51" s="37" t="e">
        <f t="shared" ca="1" si="66"/>
        <v>#N/A</v>
      </c>
      <c r="AW51" s="37" t="e">
        <f t="shared" ca="1" si="66"/>
        <v>#N/A</v>
      </c>
      <c r="AX51" s="37" t="e">
        <f t="shared" ca="1" si="66"/>
        <v>#N/A</v>
      </c>
      <c r="BA51" t="str">
        <f t="shared" si="57"/>
        <v>ImplantCommercial</v>
      </c>
      <c r="BB51" s="1" t="s">
        <v>23</v>
      </c>
      <c r="BC51" s="1" t="s">
        <v>59</v>
      </c>
      <c r="BD51" s="149">
        <f t="shared" ca="1" si="53"/>
        <v>270228.6086439006</v>
      </c>
      <c r="BE51" s="37">
        <f t="shared" ca="1" si="67"/>
        <v>41518.132064530044</v>
      </c>
      <c r="BF51" s="37">
        <f t="shared" ca="1" si="67"/>
        <v>64009.826284229217</v>
      </c>
      <c r="BG51" s="37">
        <f t="shared" ca="1" si="67"/>
        <v>75936.238471285586</v>
      </c>
      <c r="BH51" s="37">
        <f t="shared" ca="1" si="67"/>
        <v>88764.411823855757</v>
      </c>
      <c r="BI51" s="37">
        <f t="shared" ca="1" si="67"/>
        <v>102391.71441241422</v>
      </c>
      <c r="BJ51" s="37">
        <f t="shared" ca="1" si="67"/>
        <v>116825.09116370996</v>
      </c>
      <c r="BK51" s="37">
        <f t="shared" ca="1" si="67"/>
        <v>132088.352075918</v>
      </c>
      <c r="BL51" s="37">
        <f t="shared" ca="1" si="67"/>
        <v>147961.14350980119</v>
      </c>
      <c r="BM51" s="37">
        <f t="shared" ca="1" si="67"/>
        <v>164886.61581843131</v>
      </c>
      <c r="BN51" s="37">
        <f t="shared" ca="1" si="67"/>
        <v>182738.86378280891</v>
      </c>
      <c r="BO51" s="37">
        <f t="shared" ca="1" si="68"/>
        <v>201572.50211699214</v>
      </c>
      <c r="BP51" s="37">
        <f t="shared" ca="1" si="68"/>
        <v>221415.53222518868</v>
      </c>
      <c r="BQ51" s="37">
        <f t="shared" ca="1" si="68"/>
        <v>241915.03777956849</v>
      </c>
      <c r="BR51" s="37">
        <f t="shared" ca="1" si="68"/>
        <v>263731.13577345293</v>
      </c>
      <c r="BS51" s="37">
        <f t="shared" ca="1" si="68"/>
        <v>286603.32933686604</v>
      </c>
      <c r="BT51" s="37">
        <f t="shared" ca="1" si="68"/>
        <v>310534.63094729459</v>
      </c>
      <c r="BU51" s="37">
        <f t="shared" ca="1" si="68"/>
        <v>335546.80828172574</v>
      </c>
      <c r="BV51" s="37" t="e">
        <f t="shared" ca="1" si="68"/>
        <v>#N/A</v>
      </c>
      <c r="BW51" s="37" t="e">
        <f t="shared" ca="1" si="68"/>
        <v>#N/A</v>
      </c>
      <c r="BX51" s="37" t="e">
        <f t="shared" ca="1" si="68"/>
        <v>#N/A</v>
      </c>
    </row>
    <row r="52" spans="4:76" x14ac:dyDescent="0.25">
      <c r="AB52" t="str">
        <f t="shared" si="56"/>
        <v>InjectablePub_Med</v>
      </c>
      <c r="AC52" s="1" t="s">
        <v>22</v>
      </c>
      <c r="AD52" s="1" t="s">
        <v>52</v>
      </c>
      <c r="AE52" s="37">
        <f t="shared" ca="1" si="65"/>
        <v>963811.08477007388</v>
      </c>
      <c r="AF52" s="37">
        <f t="shared" ca="1" si="65"/>
        <v>1040339.7327121515</v>
      </c>
      <c r="AG52" s="37">
        <f t="shared" ca="1" si="65"/>
        <v>1119647.4155387182</v>
      </c>
      <c r="AH52" s="37">
        <f t="shared" ca="1" si="65"/>
        <v>1203369.9271417796</v>
      </c>
      <c r="AI52" s="37">
        <f t="shared" ca="1" si="65"/>
        <v>1291514.7958710804</v>
      </c>
      <c r="AJ52" s="37">
        <f t="shared" ca="1" si="65"/>
        <v>1384047.1106303344</v>
      </c>
      <c r="AK52" s="37">
        <f t="shared" ca="1" si="65"/>
        <v>1481000.4170026067</v>
      </c>
      <c r="AL52" s="37">
        <f t="shared" ca="1" si="65"/>
        <v>1581407.5736417505</v>
      </c>
      <c r="AM52" s="37">
        <f t="shared" ca="1" si="65"/>
        <v>1686534.7602410577</v>
      </c>
      <c r="AN52" s="37">
        <f t="shared" ca="1" si="65"/>
        <v>1799180.1652418168</v>
      </c>
      <c r="AO52" s="37">
        <f t="shared" ca="1" si="66"/>
        <v>1919258.9682770495</v>
      </c>
      <c r="AP52" s="37">
        <f t="shared" ca="1" si="66"/>
        <v>2044964.7651883438</v>
      </c>
      <c r="AQ52" s="37">
        <f t="shared" ca="1" si="66"/>
        <v>2175178.3498798599</v>
      </c>
      <c r="AR52" s="37">
        <f t="shared" ca="1" si="66"/>
        <v>2311388.6055680243</v>
      </c>
      <c r="AS52" s="37">
        <f t="shared" ca="1" si="66"/>
        <v>2453620.0420904402</v>
      </c>
      <c r="AT52" s="37">
        <f t="shared" ca="1" si="66"/>
        <v>2601861.4232760938</v>
      </c>
      <c r="AU52" s="37">
        <f t="shared" ca="1" si="66"/>
        <v>2756140.4460438788</v>
      </c>
      <c r="AV52" s="37" t="e">
        <f t="shared" ca="1" si="66"/>
        <v>#N/A</v>
      </c>
      <c r="AW52" s="37" t="e">
        <f t="shared" ca="1" si="66"/>
        <v>#N/A</v>
      </c>
      <c r="AX52" s="37" t="e">
        <f t="shared" ca="1" si="66"/>
        <v>#N/A</v>
      </c>
      <c r="BA52" t="str">
        <f t="shared" si="57"/>
        <v>InjectablePub_Med</v>
      </c>
      <c r="BB52" s="1" t="s">
        <v>22</v>
      </c>
      <c r="BC52" s="1" t="s">
        <v>52</v>
      </c>
      <c r="BD52" s="149">
        <f t="shared" ca="1" si="53"/>
        <v>17308672.640650891</v>
      </c>
      <c r="BE52" s="37">
        <f t="shared" ca="1" si="67"/>
        <v>3855244.3390802955</v>
      </c>
      <c r="BF52" s="37">
        <f t="shared" ca="1" si="67"/>
        <v>4161358.9308486059</v>
      </c>
      <c r="BG52" s="37">
        <f t="shared" ca="1" si="67"/>
        <v>4478589.6621548729</v>
      </c>
      <c r="BH52" s="37">
        <f t="shared" ca="1" si="67"/>
        <v>4813479.7085671183</v>
      </c>
      <c r="BI52" s="37">
        <f t="shared" ca="1" si="67"/>
        <v>5166059.1834843215</v>
      </c>
      <c r="BJ52" s="37">
        <f t="shared" ca="1" si="67"/>
        <v>5536188.4425213374</v>
      </c>
      <c r="BK52" s="37">
        <f t="shared" ca="1" si="67"/>
        <v>5924001.6680104267</v>
      </c>
      <c r="BL52" s="37">
        <f t="shared" ca="1" si="67"/>
        <v>6325630.294567002</v>
      </c>
      <c r="BM52" s="37">
        <f t="shared" ca="1" si="67"/>
        <v>6746139.0409642309</v>
      </c>
      <c r="BN52" s="37">
        <f t="shared" ca="1" si="67"/>
        <v>7196720.6609672671</v>
      </c>
      <c r="BO52" s="37">
        <f t="shared" ca="1" si="68"/>
        <v>7677035.8731081979</v>
      </c>
      <c r="BP52" s="37">
        <f t="shared" ca="1" si="68"/>
        <v>8179859.0607533753</v>
      </c>
      <c r="BQ52" s="37">
        <f t="shared" ca="1" si="68"/>
        <v>8700713.3995194398</v>
      </c>
      <c r="BR52" s="37">
        <f t="shared" ca="1" si="68"/>
        <v>9245554.4222720973</v>
      </c>
      <c r="BS52" s="37">
        <f t="shared" ca="1" si="68"/>
        <v>9814480.1683617607</v>
      </c>
      <c r="BT52" s="37">
        <f t="shared" ca="1" si="68"/>
        <v>10407445.693104375</v>
      </c>
      <c r="BU52" s="37">
        <f t="shared" ca="1" si="68"/>
        <v>11024561.784175515</v>
      </c>
      <c r="BV52" s="37" t="e">
        <f t="shared" ca="1" si="68"/>
        <v>#N/A</v>
      </c>
      <c r="BW52" s="37" t="e">
        <f t="shared" ca="1" si="68"/>
        <v>#N/A</v>
      </c>
      <c r="BX52" s="37" t="e">
        <f t="shared" ca="1" si="68"/>
        <v>#N/A</v>
      </c>
    </row>
    <row r="53" spans="4:76" ht="15.75" thickBot="1" x14ac:dyDescent="0.3">
      <c r="F53" s="26"/>
      <c r="G53" s="26"/>
      <c r="H53" s="26"/>
      <c r="I53" s="26"/>
      <c r="J53" s="26"/>
      <c r="P53" s="3" t="s">
        <v>96</v>
      </c>
      <c r="AB53" t="str">
        <f t="shared" si="56"/>
        <v>InjectablePub_Outreach</v>
      </c>
      <c r="AC53" s="1" t="s">
        <v>22</v>
      </c>
      <c r="AD53" s="1" t="s">
        <v>54</v>
      </c>
      <c r="AE53" s="37">
        <f t="shared" ca="1" si="65"/>
        <v>50587.428696332834</v>
      </c>
      <c r="AF53" s="37">
        <f t="shared" ca="1" si="65"/>
        <v>56585.775582250775</v>
      </c>
      <c r="AG53" s="37">
        <f t="shared" ca="1" si="65"/>
        <v>62875.384759768749</v>
      </c>
      <c r="AH53" s="37">
        <f t="shared" ca="1" si="65"/>
        <v>69550.09367433138</v>
      </c>
      <c r="AI53" s="37">
        <f t="shared" ca="1" si="65"/>
        <v>76617.236134786101</v>
      </c>
      <c r="AJ53" s="37">
        <f t="shared" ca="1" si="65"/>
        <v>84128.299142789823</v>
      </c>
      <c r="AK53" s="37">
        <f t="shared" ca="1" si="65"/>
        <v>92070.716753895234</v>
      </c>
      <c r="AL53" s="37">
        <f t="shared" ca="1" si="65"/>
        <v>100365.08754333746</v>
      </c>
      <c r="AM53" s="37">
        <f t="shared" ca="1" si="65"/>
        <v>109093.96155064458</v>
      </c>
      <c r="AN53" s="37">
        <f t="shared" ca="1" si="65"/>
        <v>118272.34722143413</v>
      </c>
      <c r="AO53" s="37">
        <f t="shared" ca="1" si="66"/>
        <v>128064.57294330373</v>
      </c>
      <c r="AP53" s="37">
        <f t="shared" ca="1" si="66"/>
        <v>138577.0157859413</v>
      </c>
      <c r="AQ53" s="37">
        <f t="shared" ca="1" si="66"/>
        <v>149529.57854114127</v>
      </c>
      <c r="AR53" s="37">
        <f t="shared" ca="1" si="66"/>
        <v>161064.14232665763</v>
      </c>
      <c r="AS53" s="37">
        <f t="shared" ca="1" si="66"/>
        <v>173176.48735095054</v>
      </c>
      <c r="AT53" s="37">
        <f t="shared" ca="1" si="66"/>
        <v>185848.91857799134</v>
      </c>
      <c r="AU53" s="37">
        <f t="shared" ca="1" si="66"/>
        <v>199087.74325822393</v>
      </c>
      <c r="AV53" s="37" t="e">
        <f t="shared" ca="1" si="66"/>
        <v>#N/A</v>
      </c>
      <c r="AW53" s="37" t="e">
        <f t="shared" ca="1" si="66"/>
        <v>#N/A</v>
      </c>
      <c r="AX53" s="37" t="e">
        <f t="shared" ca="1" si="66"/>
        <v>#N/A</v>
      </c>
      <c r="BA53" t="str">
        <f t="shared" si="57"/>
        <v>InjectablePub_Outreach</v>
      </c>
      <c r="BB53" s="1" t="s">
        <v>22</v>
      </c>
      <c r="BC53" s="1" t="s">
        <v>54</v>
      </c>
      <c r="BD53" s="149">
        <f t="shared" ca="1" si="53"/>
        <v>958394.73085073498</v>
      </c>
      <c r="BE53" s="37">
        <f t="shared" ca="1" si="67"/>
        <v>202349.71478533134</v>
      </c>
      <c r="BF53" s="37">
        <f t="shared" ca="1" si="67"/>
        <v>226343.1023290031</v>
      </c>
      <c r="BG53" s="37">
        <f t="shared" ca="1" si="67"/>
        <v>251501.539039075</v>
      </c>
      <c r="BH53" s="37">
        <f t="shared" ca="1" si="67"/>
        <v>278200.37469732552</v>
      </c>
      <c r="BI53" s="37">
        <f t="shared" ca="1" si="67"/>
        <v>306468.9445391444</v>
      </c>
      <c r="BJ53" s="37">
        <f t="shared" ca="1" si="67"/>
        <v>336513.19657115929</v>
      </c>
      <c r="BK53" s="37">
        <f t="shared" ca="1" si="67"/>
        <v>368282.86701558094</v>
      </c>
      <c r="BL53" s="37">
        <f t="shared" ca="1" si="67"/>
        <v>401460.35017334984</v>
      </c>
      <c r="BM53" s="37">
        <f t="shared" ca="1" si="67"/>
        <v>436375.84620257834</v>
      </c>
      <c r="BN53" s="37">
        <f t="shared" ca="1" si="67"/>
        <v>473089.38888573652</v>
      </c>
      <c r="BO53" s="37">
        <f t="shared" ca="1" si="68"/>
        <v>512258.29177321494</v>
      </c>
      <c r="BP53" s="37">
        <f t="shared" ca="1" si="68"/>
        <v>554308.0631437652</v>
      </c>
      <c r="BQ53" s="37">
        <f t="shared" ca="1" si="68"/>
        <v>598118.31416456506</v>
      </c>
      <c r="BR53" s="37">
        <f t="shared" ca="1" si="68"/>
        <v>644256.56930663052</v>
      </c>
      <c r="BS53" s="37">
        <f t="shared" ca="1" si="68"/>
        <v>692705.94940380217</v>
      </c>
      <c r="BT53" s="37">
        <f t="shared" ca="1" si="68"/>
        <v>743395.67431196535</v>
      </c>
      <c r="BU53" s="37">
        <f t="shared" ca="1" si="68"/>
        <v>796350.97303289571</v>
      </c>
      <c r="BV53" s="37" t="e">
        <f t="shared" ca="1" si="68"/>
        <v>#N/A</v>
      </c>
      <c r="BW53" s="37" t="e">
        <f t="shared" ca="1" si="68"/>
        <v>#N/A</v>
      </c>
      <c r="BX53" s="37" t="e">
        <f t="shared" ca="1" si="68"/>
        <v>#N/A</v>
      </c>
    </row>
    <row r="54" spans="4:76" ht="15.75" thickBot="1" x14ac:dyDescent="0.3">
      <c r="E54" s="90"/>
      <c r="F54" s="90"/>
      <c r="G54" s="90"/>
      <c r="H54" s="90"/>
      <c r="I54" s="90"/>
      <c r="J54" s="90"/>
      <c r="K54" s="90"/>
      <c r="P54" t="s">
        <v>89</v>
      </c>
      <c r="R54" s="50" t="s">
        <v>90</v>
      </c>
      <c r="S54" s="9" t="s">
        <v>12</v>
      </c>
      <c r="T54" s="9" t="s">
        <v>16</v>
      </c>
      <c r="U54" s="9" t="s">
        <v>23</v>
      </c>
      <c r="V54" s="9" t="s">
        <v>22</v>
      </c>
      <c r="W54" s="9" t="s">
        <v>25</v>
      </c>
      <c r="X54" s="52" t="s">
        <v>60</v>
      </c>
      <c r="AB54" t="str">
        <f t="shared" si="56"/>
        <v>InjectableSM_Med</v>
      </c>
      <c r="AC54" s="1" t="s">
        <v>22</v>
      </c>
      <c r="AD54" s="1" t="s">
        <v>56</v>
      </c>
      <c r="AE54" s="37">
        <f t="shared" ca="1" si="65"/>
        <v>646433.36705838051</v>
      </c>
      <c r="AF54" s="37">
        <f t="shared" ca="1" si="65"/>
        <v>672277.0501828019</v>
      </c>
      <c r="AG54" s="37">
        <f t="shared" ca="1" si="65"/>
        <v>696535.96146382322</v>
      </c>
      <c r="AH54" s="37">
        <f t="shared" ca="1" si="65"/>
        <v>720030.86701098329</v>
      </c>
      <c r="AI54" s="37">
        <f t="shared" ca="1" si="65"/>
        <v>742492.77009722975</v>
      </c>
      <c r="AJ54" s="37">
        <f t="shared" ca="1" si="65"/>
        <v>773124.1314520624</v>
      </c>
      <c r="AK54" s="37">
        <f t="shared" ca="1" si="65"/>
        <v>806479.05253130523</v>
      </c>
      <c r="AL54" s="37">
        <f t="shared" ca="1" si="65"/>
        <v>837244.25984412641</v>
      </c>
      <c r="AM54" s="37">
        <f t="shared" ca="1" si="65"/>
        <v>865753.03234490845</v>
      </c>
      <c r="AN54" s="37">
        <f t="shared" ca="1" si="65"/>
        <v>891699.16199148155</v>
      </c>
      <c r="AO54" s="37">
        <f t="shared" ca="1" si="66"/>
        <v>914798.92140495381</v>
      </c>
      <c r="AP54" s="37">
        <f t="shared" ca="1" si="66"/>
        <v>934720.53340648185</v>
      </c>
      <c r="AQ54" s="37">
        <f t="shared" ca="1" si="66"/>
        <v>950534.97410710948</v>
      </c>
      <c r="AR54" s="37">
        <f t="shared" ca="1" si="66"/>
        <v>962486.25231710018</v>
      </c>
      <c r="AS54" s="37">
        <f t="shared" ca="1" si="66"/>
        <v>970112.72445804882</v>
      </c>
      <c r="AT54" s="37">
        <f t="shared" ca="1" si="66"/>
        <v>972932.35714577418</v>
      </c>
      <c r="AU54" s="37">
        <f t="shared" ca="1" si="66"/>
        <v>970473.47001056536</v>
      </c>
      <c r="AV54" s="37" t="e">
        <f t="shared" ca="1" si="66"/>
        <v>#N/A</v>
      </c>
      <c r="AW54" s="37" t="e">
        <f t="shared" ca="1" si="66"/>
        <v>#N/A</v>
      </c>
      <c r="AX54" s="37" t="e">
        <f t="shared" ca="1" si="66"/>
        <v>#N/A</v>
      </c>
      <c r="BA54" t="str">
        <f t="shared" si="57"/>
        <v>InjectableSM_Med</v>
      </c>
      <c r="BB54" s="1" t="s">
        <v>22</v>
      </c>
      <c r="BC54" s="1" t="s">
        <v>56</v>
      </c>
      <c r="BD54" s="149">
        <f t="shared" ca="1" si="53"/>
        <v>10941108.982863955</v>
      </c>
      <c r="BE54" s="37">
        <f t="shared" ca="1" si="67"/>
        <v>2585733.468233522</v>
      </c>
      <c r="BF54" s="37">
        <f t="shared" ca="1" si="67"/>
        <v>2689108.2007312076</v>
      </c>
      <c r="BG54" s="37">
        <f t="shared" ca="1" si="67"/>
        <v>2786143.8458552929</v>
      </c>
      <c r="BH54" s="37">
        <f t="shared" ca="1" si="67"/>
        <v>2880123.4680439332</v>
      </c>
      <c r="BI54" s="37">
        <f t="shared" ca="1" si="67"/>
        <v>2969971.080388919</v>
      </c>
      <c r="BJ54" s="37">
        <f t="shared" ca="1" si="67"/>
        <v>3092496.5258082496</v>
      </c>
      <c r="BK54" s="37">
        <f t="shared" ca="1" si="67"/>
        <v>3225916.2101252209</v>
      </c>
      <c r="BL54" s="37">
        <f t="shared" ca="1" si="67"/>
        <v>3348977.0393765057</v>
      </c>
      <c r="BM54" s="37">
        <f t="shared" ca="1" si="67"/>
        <v>3463012.1293796338</v>
      </c>
      <c r="BN54" s="37">
        <f t="shared" ca="1" si="67"/>
        <v>3566796.6479659262</v>
      </c>
      <c r="BO54" s="37">
        <f t="shared" ca="1" si="68"/>
        <v>3659195.6856198153</v>
      </c>
      <c r="BP54" s="37">
        <f t="shared" ca="1" si="68"/>
        <v>3738882.1336259274</v>
      </c>
      <c r="BQ54" s="37">
        <f t="shared" ca="1" si="68"/>
        <v>3802139.8964284379</v>
      </c>
      <c r="BR54" s="37">
        <f t="shared" ca="1" si="68"/>
        <v>3849945.0092684007</v>
      </c>
      <c r="BS54" s="37">
        <f t="shared" ca="1" si="68"/>
        <v>3880450.8978321953</v>
      </c>
      <c r="BT54" s="37">
        <f t="shared" ca="1" si="68"/>
        <v>3891729.4285830967</v>
      </c>
      <c r="BU54" s="37">
        <f t="shared" ca="1" si="68"/>
        <v>3881893.8800422614</v>
      </c>
      <c r="BV54" s="37" t="e">
        <f t="shared" ca="1" si="68"/>
        <v>#N/A</v>
      </c>
      <c r="BW54" s="37" t="e">
        <f t="shared" ca="1" si="68"/>
        <v>#N/A</v>
      </c>
      <c r="BX54" s="37" t="e">
        <f t="shared" ca="1" si="68"/>
        <v>#N/A</v>
      </c>
    </row>
    <row r="55" spans="4:76" x14ac:dyDescent="0.25">
      <c r="D55" s="75"/>
      <c r="F55" s="147"/>
      <c r="G55" s="147"/>
      <c r="H55" s="147"/>
      <c r="I55" s="147"/>
      <c r="J55" s="147"/>
      <c r="K55" s="147"/>
      <c r="Q55" s="3"/>
      <c r="R55" s="54" t="s">
        <v>73</v>
      </c>
      <c r="S55" s="56">
        <f t="shared" ref="S55:W56" ca="1" si="72">G43-S43</f>
        <v>0</v>
      </c>
      <c r="T55" s="56">
        <f t="shared" ca="1" si="72"/>
        <v>92300613.462336659</v>
      </c>
      <c r="U55" s="56">
        <f t="shared" ca="1" si="72"/>
        <v>3698103867.4209061</v>
      </c>
      <c r="V55" s="56">
        <f t="shared" ca="1" si="72"/>
        <v>3407825643.4744568</v>
      </c>
      <c r="W55" s="56">
        <f t="shared" ca="1" si="72"/>
        <v>797409390.72667122</v>
      </c>
      <c r="X55" s="57">
        <f ca="1">SUM(S55:W55)</f>
        <v>7995639515.0843706</v>
      </c>
      <c r="AB55" t="str">
        <f t="shared" si="56"/>
        <v>InjectableSM_Nontrad</v>
      </c>
      <c r="AC55" s="1" t="s">
        <v>22</v>
      </c>
      <c r="AD55" s="1" t="s">
        <v>57</v>
      </c>
      <c r="AE55" s="37">
        <f t="shared" ca="1" si="65"/>
        <v>0</v>
      </c>
      <c r="AF55" s="37">
        <f t="shared" ca="1" si="65"/>
        <v>0</v>
      </c>
      <c r="AG55" s="37">
        <f t="shared" ca="1" si="65"/>
        <v>0</v>
      </c>
      <c r="AH55" s="37">
        <f t="shared" ca="1" si="65"/>
        <v>0</v>
      </c>
      <c r="AI55" s="37">
        <f t="shared" ca="1" si="65"/>
        <v>0</v>
      </c>
      <c r="AJ55" s="37">
        <f t="shared" ca="1" si="65"/>
        <v>0</v>
      </c>
      <c r="AK55" s="37">
        <f t="shared" ca="1" si="65"/>
        <v>0</v>
      </c>
      <c r="AL55" s="37">
        <f t="shared" ca="1" si="65"/>
        <v>0</v>
      </c>
      <c r="AM55" s="37">
        <f t="shared" ca="1" si="65"/>
        <v>0</v>
      </c>
      <c r="AN55" s="37">
        <f t="shared" ca="1" si="65"/>
        <v>0</v>
      </c>
      <c r="AO55" s="37">
        <f t="shared" ca="1" si="66"/>
        <v>0</v>
      </c>
      <c r="AP55" s="37">
        <f t="shared" ca="1" si="66"/>
        <v>0</v>
      </c>
      <c r="AQ55" s="37">
        <f t="shared" ca="1" si="66"/>
        <v>0</v>
      </c>
      <c r="AR55" s="37">
        <f t="shared" ca="1" si="66"/>
        <v>0</v>
      </c>
      <c r="AS55" s="37">
        <f t="shared" ca="1" si="66"/>
        <v>0</v>
      </c>
      <c r="AT55" s="37">
        <f t="shared" ca="1" si="66"/>
        <v>0</v>
      </c>
      <c r="AU55" s="37">
        <f t="shared" ca="1" si="66"/>
        <v>0</v>
      </c>
      <c r="AV55" s="37" t="e">
        <f t="shared" ca="1" si="66"/>
        <v>#N/A</v>
      </c>
      <c r="AW55" s="37" t="e">
        <f t="shared" ca="1" si="66"/>
        <v>#N/A</v>
      </c>
      <c r="AX55" s="37" t="e">
        <f t="shared" ca="1" si="66"/>
        <v>#N/A</v>
      </c>
      <c r="BA55" t="str">
        <f t="shared" si="57"/>
        <v>InjectableSM_Nontrad</v>
      </c>
      <c r="BB55" s="1" t="s">
        <v>22</v>
      </c>
      <c r="BC55" s="1" t="s">
        <v>57</v>
      </c>
      <c r="BD55" s="149">
        <f t="shared" ca="1" si="53"/>
        <v>0</v>
      </c>
      <c r="BE55" s="37">
        <f t="shared" ca="1" si="67"/>
        <v>0</v>
      </c>
      <c r="BF55" s="37">
        <f t="shared" ca="1" si="67"/>
        <v>0</v>
      </c>
      <c r="BG55" s="37">
        <f t="shared" ca="1" si="67"/>
        <v>0</v>
      </c>
      <c r="BH55" s="37">
        <f t="shared" ca="1" si="67"/>
        <v>0</v>
      </c>
      <c r="BI55" s="37">
        <f t="shared" ca="1" si="67"/>
        <v>0</v>
      </c>
      <c r="BJ55" s="37">
        <f t="shared" ca="1" si="67"/>
        <v>0</v>
      </c>
      <c r="BK55" s="37">
        <f t="shared" ca="1" si="67"/>
        <v>0</v>
      </c>
      <c r="BL55" s="37">
        <f t="shared" ca="1" si="67"/>
        <v>0</v>
      </c>
      <c r="BM55" s="37">
        <f t="shared" ca="1" si="67"/>
        <v>0</v>
      </c>
      <c r="BN55" s="37">
        <f t="shared" ca="1" si="67"/>
        <v>0</v>
      </c>
      <c r="BO55" s="37">
        <f t="shared" ca="1" si="68"/>
        <v>0</v>
      </c>
      <c r="BP55" s="37">
        <f t="shared" ca="1" si="68"/>
        <v>0</v>
      </c>
      <c r="BQ55" s="37">
        <f t="shared" ca="1" si="68"/>
        <v>0</v>
      </c>
      <c r="BR55" s="37">
        <f t="shared" ca="1" si="68"/>
        <v>0</v>
      </c>
      <c r="BS55" s="37">
        <f t="shared" ca="1" si="68"/>
        <v>0</v>
      </c>
      <c r="BT55" s="37">
        <f t="shared" ca="1" si="68"/>
        <v>0</v>
      </c>
      <c r="BU55" s="37">
        <f t="shared" ca="1" si="68"/>
        <v>0</v>
      </c>
      <c r="BV55" s="37" t="e">
        <f t="shared" ca="1" si="68"/>
        <v>#N/A</v>
      </c>
      <c r="BW55" s="37" t="e">
        <f t="shared" ca="1" si="68"/>
        <v>#N/A</v>
      </c>
      <c r="BX55" s="37" t="e">
        <f t="shared" ca="1" si="68"/>
        <v>#N/A</v>
      </c>
    </row>
    <row r="56" spans="4:76" x14ac:dyDescent="0.25">
      <c r="E56" s="6"/>
      <c r="F56" s="147"/>
      <c r="G56" s="147"/>
      <c r="H56" s="147"/>
      <c r="I56" s="147"/>
      <c r="J56" s="147"/>
      <c r="K56" s="147"/>
      <c r="R56" s="8" t="s">
        <v>55</v>
      </c>
      <c r="S56" s="56">
        <f t="shared" ca="1" si="72"/>
        <v>1004704224.5474834</v>
      </c>
      <c r="T56" s="56">
        <f ca="1">H44-T44</f>
        <v>-47659499.077354282</v>
      </c>
      <c r="U56" s="56">
        <f t="shared" ca="1" si="72"/>
        <v>-82645101.919645548</v>
      </c>
      <c r="V56" s="56">
        <f t="shared" ca="1" si="72"/>
        <v>-702736246.65768433</v>
      </c>
      <c r="W56" s="56">
        <f t="shared" ca="1" si="72"/>
        <v>947039519.31559086</v>
      </c>
      <c r="X56" s="57">
        <f t="shared" ref="X56" ca="1" si="73">SUM(S56:W56)</f>
        <v>1118702896.2083902</v>
      </c>
      <c r="AB56" t="str">
        <f t="shared" si="56"/>
        <v>InjectableCommercial</v>
      </c>
      <c r="AC56" s="1" t="s">
        <v>22</v>
      </c>
      <c r="AD56" s="1" t="s">
        <v>59</v>
      </c>
      <c r="AE56" s="37">
        <f t="shared" ca="1" si="65"/>
        <v>0</v>
      </c>
      <c r="AF56" s="37">
        <f t="shared" ca="1" si="65"/>
        <v>22625.849084866932</v>
      </c>
      <c r="AG56" s="37">
        <f t="shared" ca="1" si="65"/>
        <v>48490.630823571686</v>
      </c>
      <c r="AH56" s="37">
        <f t="shared" ca="1" si="65"/>
        <v>77859.203451756621</v>
      </c>
      <c r="AI56" s="37">
        <f t="shared" ca="1" si="65"/>
        <v>110995.60328458766</v>
      </c>
      <c r="AJ56" s="37">
        <f t="shared" ca="1" si="65"/>
        <v>150057.33916258294</v>
      </c>
      <c r="AK56" s="37">
        <f t="shared" ca="1" si="65"/>
        <v>195432.84871236782</v>
      </c>
      <c r="AL56" s="37">
        <f t="shared" ca="1" si="65"/>
        <v>246676.30985434313</v>
      </c>
      <c r="AM56" s="37">
        <f t="shared" ca="1" si="65"/>
        <v>304337.33711203048</v>
      </c>
      <c r="AN56" s="37">
        <f t="shared" ca="1" si="65"/>
        <v>368863.37253416982</v>
      </c>
      <c r="AO56" s="37">
        <f t="shared" ca="1" si="66"/>
        <v>440739.92412847438</v>
      </c>
      <c r="AP56" s="37">
        <f t="shared" ca="1" si="66"/>
        <v>520466.62176830979</v>
      </c>
      <c r="AQ56" s="37">
        <f t="shared" ca="1" si="66"/>
        <v>608196.76884621591</v>
      </c>
      <c r="AR56" s="37">
        <f t="shared" ca="1" si="66"/>
        <v>704767.79902606923</v>
      </c>
      <c r="AS56" s="37">
        <f t="shared" ca="1" si="66"/>
        <v>810685.73634476075</v>
      </c>
      <c r="AT56" s="37">
        <f t="shared" ca="1" si="66"/>
        <v>926448.47294109245</v>
      </c>
      <c r="AU56" s="37">
        <f t="shared" ca="1" si="66"/>
        <v>1052569.4415927639</v>
      </c>
      <c r="AV56" s="37" t="e">
        <f t="shared" ca="1" si="66"/>
        <v>#N/A</v>
      </c>
      <c r="AW56" s="37" t="e">
        <f t="shared" ca="1" si="66"/>
        <v>#N/A</v>
      </c>
      <c r="AX56" s="37" t="e">
        <f t="shared" ca="1" si="66"/>
        <v>#N/A</v>
      </c>
      <c r="BA56" t="str">
        <f t="shared" si="57"/>
        <v>InjectableCommercial</v>
      </c>
      <c r="BB56" s="1" t="s">
        <v>22</v>
      </c>
      <c r="BC56" s="1" t="s">
        <v>59</v>
      </c>
      <c r="BD56" s="149">
        <f t="shared" ca="1" si="53"/>
        <v>595902.73344078101</v>
      </c>
      <c r="BE56" s="37">
        <f t="shared" ca="1" si="67"/>
        <v>0</v>
      </c>
      <c r="BF56" s="37">
        <f t="shared" ca="1" si="67"/>
        <v>90503.396339467727</v>
      </c>
      <c r="BG56" s="37">
        <f t="shared" ca="1" si="67"/>
        <v>193962.52329428674</v>
      </c>
      <c r="BH56" s="37">
        <f t="shared" ca="1" si="67"/>
        <v>311436.81380702648</v>
      </c>
      <c r="BI56" s="37">
        <f t="shared" ca="1" si="67"/>
        <v>443982.41313835065</v>
      </c>
      <c r="BJ56" s="37">
        <f t="shared" ca="1" si="67"/>
        <v>600229.35665033176</v>
      </c>
      <c r="BK56" s="37">
        <f t="shared" ca="1" si="67"/>
        <v>781731.39484947128</v>
      </c>
      <c r="BL56" s="37">
        <f t="shared" ca="1" si="67"/>
        <v>986705.2394173725</v>
      </c>
      <c r="BM56" s="37">
        <f t="shared" ca="1" si="67"/>
        <v>1217349.3484481219</v>
      </c>
      <c r="BN56" s="37">
        <f t="shared" ca="1" si="67"/>
        <v>1475453.4901366793</v>
      </c>
      <c r="BO56" s="37">
        <f t="shared" ca="1" si="68"/>
        <v>1762959.6965138975</v>
      </c>
      <c r="BP56" s="37">
        <f t="shared" ca="1" si="68"/>
        <v>2081866.4870732392</v>
      </c>
      <c r="BQ56" s="37">
        <f t="shared" ca="1" si="68"/>
        <v>2432787.0753848637</v>
      </c>
      <c r="BR56" s="37">
        <f t="shared" ca="1" si="68"/>
        <v>2819071.1961042769</v>
      </c>
      <c r="BS56" s="37">
        <f t="shared" ca="1" si="68"/>
        <v>3242742.945379043</v>
      </c>
      <c r="BT56" s="37">
        <f t="shared" ca="1" si="68"/>
        <v>3705793.8917643698</v>
      </c>
      <c r="BU56" s="37">
        <f t="shared" ca="1" si="68"/>
        <v>4210277.7663710555</v>
      </c>
      <c r="BV56" s="37" t="e">
        <f t="shared" ca="1" si="68"/>
        <v>#N/A</v>
      </c>
      <c r="BW56" s="37" t="e">
        <f t="shared" ca="1" si="68"/>
        <v>#N/A</v>
      </c>
      <c r="BX56" s="37" t="e">
        <f t="shared" ca="1" si="68"/>
        <v>#N/A</v>
      </c>
    </row>
    <row r="57" spans="4:76" ht="15.75" thickBot="1" x14ac:dyDescent="0.3">
      <c r="R57" s="53" t="s">
        <v>60</v>
      </c>
      <c r="S57" s="58">
        <f ca="1">SUM(S55:S56)</f>
        <v>1004704224.5474834</v>
      </c>
      <c r="T57" s="58">
        <f ca="1">SUM(T55:T56)</f>
        <v>44641114.384982377</v>
      </c>
      <c r="U57" s="58">
        <f ca="1">SUM(U55:U56)</f>
        <v>3615458765.5012608</v>
      </c>
      <c r="V57" s="58">
        <f ca="1">SUM(V55:V56)</f>
        <v>2705089396.8167725</v>
      </c>
      <c r="W57" s="58">
        <f ca="1">SUM(W55:W56)</f>
        <v>1744448910.0422621</v>
      </c>
      <c r="X57" s="59">
        <f ca="1">SUM(S57:W57)</f>
        <v>9114342411.2927608</v>
      </c>
      <c r="AB57" t="str">
        <f t="shared" si="56"/>
        <v>CondomPub_Med</v>
      </c>
      <c r="AC57" s="1" t="s">
        <v>25</v>
      </c>
      <c r="AD57" s="1" t="s">
        <v>52</v>
      </c>
      <c r="AE57" s="37">
        <f t="shared" ca="1" si="65"/>
        <v>163017.57041401308</v>
      </c>
      <c r="AF57" s="37">
        <f t="shared" ca="1" si="65"/>
        <v>174804.05361913738</v>
      </c>
      <c r="AG57" s="37">
        <f t="shared" ca="1" si="65"/>
        <v>186975.65030546283</v>
      </c>
      <c r="AH57" s="37">
        <f t="shared" ca="1" si="65"/>
        <v>199804.37521830545</v>
      </c>
      <c r="AI57" s="37">
        <f t="shared" ca="1" si="65"/>
        <v>213287.44878986682</v>
      </c>
      <c r="AJ57" s="37">
        <f t="shared" ca="1" si="65"/>
        <v>227415.62560701542</v>
      </c>
      <c r="AK57" s="37">
        <f t="shared" ca="1" si="65"/>
        <v>242191.41368615857</v>
      </c>
      <c r="AL57" s="37">
        <f t="shared" ca="1" si="65"/>
        <v>257938.68431682463</v>
      </c>
      <c r="AM57" s="37">
        <f t="shared" ca="1" si="65"/>
        <v>275323.86610689003</v>
      </c>
      <c r="AN57" s="37">
        <f t="shared" ca="1" si="65"/>
        <v>293520.12042534671</v>
      </c>
      <c r="AO57" s="37">
        <f t="shared" ca="1" si="66"/>
        <v>312566.83324711444</v>
      </c>
      <c r="AP57" s="37">
        <f t="shared" ca="1" si="66"/>
        <v>332495.00826446485</v>
      </c>
      <c r="AQ57" s="37">
        <f t="shared" ca="1" si="66"/>
        <v>353121.63487398415</v>
      </c>
      <c r="AR57" s="37">
        <f t="shared" ca="1" si="66"/>
        <v>374687.69400652999</v>
      </c>
      <c r="AS57" s="37">
        <f t="shared" ca="1" si="66"/>
        <v>397195.82180432125</v>
      </c>
      <c r="AT57" s="37">
        <f t="shared" ca="1" si="66"/>
        <v>420642.99687190482</v>
      </c>
      <c r="AU57" s="37">
        <f t="shared" ca="1" si="66"/>
        <v>445032.61870602361</v>
      </c>
      <c r="AV57" s="37" t="e">
        <f t="shared" ca="1" si="66"/>
        <v>#N/A</v>
      </c>
      <c r="AW57" s="37" t="e">
        <f t="shared" ca="1" si="66"/>
        <v>#N/A</v>
      </c>
      <c r="AX57" s="37" t="e">
        <f t="shared" ca="1" si="66"/>
        <v>#N/A</v>
      </c>
      <c r="BA57" t="str">
        <f t="shared" si="57"/>
        <v>CondomPub_Med</v>
      </c>
      <c r="BB57" s="1" t="s">
        <v>25</v>
      </c>
      <c r="BC57" s="1" t="s">
        <v>52</v>
      </c>
      <c r="BD57" s="149">
        <f t="shared" ca="1" si="53"/>
        <v>71010961.656578034</v>
      </c>
      <c r="BE57" s="37">
        <f t="shared" ca="1" si="67"/>
        <v>15975721.900573282</v>
      </c>
      <c r="BF57" s="37">
        <f t="shared" ca="1" si="67"/>
        <v>17130797.254675463</v>
      </c>
      <c r="BG57" s="37">
        <f t="shared" ca="1" si="67"/>
        <v>18323613.729935355</v>
      </c>
      <c r="BH57" s="37">
        <f t="shared" ca="1" si="67"/>
        <v>19580828.771393936</v>
      </c>
      <c r="BI57" s="37">
        <f t="shared" ca="1" si="67"/>
        <v>20902169.981406949</v>
      </c>
      <c r="BJ57" s="37">
        <f t="shared" ca="1" si="67"/>
        <v>22286731.309487514</v>
      </c>
      <c r="BK57" s="37">
        <f t="shared" ca="1" si="67"/>
        <v>23734758.541243542</v>
      </c>
      <c r="BL57" s="37">
        <f t="shared" ca="1" si="67"/>
        <v>25277991.063048813</v>
      </c>
      <c r="BM57" s="37">
        <f t="shared" ca="1" si="67"/>
        <v>26981738.878475223</v>
      </c>
      <c r="BN57" s="37">
        <f t="shared" ca="1" si="67"/>
        <v>28764971.801683977</v>
      </c>
      <c r="BO57" s="37">
        <f t="shared" ca="1" si="68"/>
        <v>30631549.658217214</v>
      </c>
      <c r="BP57" s="37">
        <f t="shared" ca="1" si="68"/>
        <v>32584510.809917554</v>
      </c>
      <c r="BQ57" s="37">
        <f t="shared" ca="1" si="68"/>
        <v>34605920.217650443</v>
      </c>
      <c r="BR57" s="37">
        <f t="shared" ca="1" si="68"/>
        <v>36719394.01263994</v>
      </c>
      <c r="BS57" s="37">
        <f t="shared" ca="1" si="68"/>
        <v>38925190.536823481</v>
      </c>
      <c r="BT57" s="37">
        <f t="shared" ca="1" si="68"/>
        <v>41223013.693446681</v>
      </c>
      <c r="BU57" s="37">
        <f t="shared" ca="1" si="68"/>
        <v>43613196.633190319</v>
      </c>
      <c r="BV57" s="37" t="e">
        <f t="shared" ca="1" si="68"/>
        <v>#N/A</v>
      </c>
      <c r="BW57" s="37" t="e">
        <f t="shared" ca="1" si="68"/>
        <v>#N/A</v>
      </c>
      <c r="BX57" s="37" t="e">
        <f t="shared" ca="1" si="68"/>
        <v>#N/A</v>
      </c>
    </row>
    <row r="58" spans="4:76" x14ac:dyDescent="0.25">
      <c r="AB58" t="str">
        <f t="shared" si="56"/>
        <v>CondomPub_Outreach</v>
      </c>
      <c r="AC58" s="1" t="s">
        <v>25</v>
      </c>
      <c r="AD58" s="1" t="s">
        <v>54</v>
      </c>
      <c r="AE58" s="37">
        <f t="shared" ca="1" si="65"/>
        <v>26758.026241817461</v>
      </c>
      <c r="AF58" s="37">
        <f t="shared" ca="1" si="65"/>
        <v>24830.740987517587</v>
      </c>
      <c r="AG58" s="37">
        <f t="shared" ca="1" si="65"/>
        <v>22683.299573692188</v>
      </c>
      <c r="AH58" s="37">
        <f t="shared" ca="1" si="65"/>
        <v>20344.799294491204</v>
      </c>
      <c r="AI58" s="37">
        <f t="shared" ca="1" si="65"/>
        <v>18401.810849344332</v>
      </c>
      <c r="AJ58" s="37">
        <f t="shared" ca="1" si="65"/>
        <v>16381.643361703724</v>
      </c>
      <c r="AK58" s="37">
        <f t="shared" ca="1" si="65"/>
        <v>14822.918488602743</v>
      </c>
      <c r="AL58" s="37">
        <f t="shared" ca="1" si="65"/>
        <v>13147.735539570094</v>
      </c>
      <c r="AM58" s="37">
        <f t="shared" ca="1" si="65"/>
        <v>11428.981919364294</v>
      </c>
      <c r="AN58" s="37">
        <f t="shared" ca="1" si="65"/>
        <v>10600.365139680669</v>
      </c>
      <c r="AO58" s="37">
        <f t="shared" ca="1" si="66"/>
        <v>10322.178698895221</v>
      </c>
      <c r="AP58" s="37">
        <f t="shared" ca="1" si="66"/>
        <v>10399.817268441177</v>
      </c>
      <c r="AQ58" s="37">
        <f t="shared" ca="1" si="66"/>
        <v>10462.45373295999</v>
      </c>
      <c r="AR58" s="37">
        <f t="shared" ca="1" si="66"/>
        <v>10516.450311111555</v>
      </c>
      <c r="AS58" s="37">
        <f t="shared" ca="1" si="66"/>
        <v>10560.447788793355</v>
      </c>
      <c r="AT58" s="37">
        <f t="shared" ca="1" si="66"/>
        <v>10593.075090162489</v>
      </c>
      <c r="AU58" s="37">
        <f t="shared" ca="1" si="66"/>
        <v>10613.258886103107</v>
      </c>
      <c r="AV58" s="37" t="e">
        <f t="shared" ca="1" si="66"/>
        <v>#N/A</v>
      </c>
      <c r="AW58" s="37" t="e">
        <f t="shared" ca="1" si="66"/>
        <v>#N/A</v>
      </c>
      <c r="AX58" s="37" t="e">
        <f t="shared" ca="1" si="66"/>
        <v>#N/A</v>
      </c>
      <c r="BA58" t="str">
        <f t="shared" si="57"/>
        <v>CondomPub_Outreach</v>
      </c>
      <c r="BB58" s="1" t="s">
        <v>25</v>
      </c>
      <c r="BC58" s="1" t="s">
        <v>54</v>
      </c>
      <c r="BD58" s="149">
        <f t="shared" ca="1" si="53"/>
        <v>9272452.8775568064</v>
      </c>
      <c r="BE58" s="37">
        <f t="shared" ca="1" si="67"/>
        <v>2622286.5716981115</v>
      </c>
      <c r="BF58" s="37">
        <f t="shared" ca="1" si="67"/>
        <v>2433412.6167767234</v>
      </c>
      <c r="BG58" s="37">
        <f t="shared" ca="1" si="67"/>
        <v>2222963.3582218341</v>
      </c>
      <c r="BH58" s="37">
        <f t="shared" ca="1" si="67"/>
        <v>1993790.3308601379</v>
      </c>
      <c r="BI58" s="37">
        <f t="shared" ca="1" si="67"/>
        <v>1803377.4632357445</v>
      </c>
      <c r="BJ58" s="37">
        <f t="shared" ca="1" si="67"/>
        <v>1605401.0494469651</v>
      </c>
      <c r="BK58" s="37">
        <f t="shared" ca="1" si="67"/>
        <v>1452646.0118830688</v>
      </c>
      <c r="BL58" s="37">
        <f t="shared" ca="1" si="67"/>
        <v>1288478.0828778693</v>
      </c>
      <c r="BM58" s="37">
        <f t="shared" ca="1" si="67"/>
        <v>1120040.2280977007</v>
      </c>
      <c r="BN58" s="37">
        <f t="shared" ca="1" si="67"/>
        <v>1038835.7836887056</v>
      </c>
      <c r="BO58" s="37">
        <f t="shared" ca="1" si="68"/>
        <v>1011573.5124917317</v>
      </c>
      <c r="BP58" s="37">
        <f t="shared" ca="1" si="68"/>
        <v>1019182.0923072352</v>
      </c>
      <c r="BQ58" s="37">
        <f t="shared" ca="1" si="68"/>
        <v>1025320.465830079</v>
      </c>
      <c r="BR58" s="37">
        <f t="shared" ca="1" si="68"/>
        <v>1030612.1304889324</v>
      </c>
      <c r="BS58" s="37">
        <f t="shared" ca="1" si="68"/>
        <v>1034923.8833017489</v>
      </c>
      <c r="BT58" s="37">
        <f t="shared" ca="1" si="68"/>
        <v>1038121.3588359237</v>
      </c>
      <c r="BU58" s="37">
        <f t="shared" ca="1" si="68"/>
        <v>1040099.3708381045</v>
      </c>
      <c r="BV58" s="37" t="e">
        <f t="shared" ca="1" si="68"/>
        <v>#N/A</v>
      </c>
      <c r="BW58" s="37" t="e">
        <f t="shared" ca="1" si="68"/>
        <v>#N/A</v>
      </c>
      <c r="BX58" s="37" t="e">
        <f t="shared" ca="1" si="68"/>
        <v>#N/A</v>
      </c>
    </row>
    <row r="59" spans="4:76" ht="15.75" thickBot="1" x14ac:dyDescent="0.3">
      <c r="AB59" t="str">
        <f t="shared" si="56"/>
        <v>CondomSM_Med</v>
      </c>
      <c r="AC59" s="1" t="s">
        <v>25</v>
      </c>
      <c r="AD59" s="1" t="s">
        <v>56</v>
      </c>
      <c r="AE59" s="37">
        <f t="shared" ca="1" si="65"/>
        <v>133020.05579455232</v>
      </c>
      <c r="AF59" s="37">
        <f t="shared" ca="1" si="65"/>
        <v>133302.96839586864</v>
      </c>
      <c r="AG59" s="37">
        <f t="shared" ca="1" si="65"/>
        <v>130667.25124362356</v>
      </c>
      <c r="AH59" s="37">
        <f t="shared" ca="1" si="65"/>
        <v>125016.86877247661</v>
      </c>
      <c r="AI59" s="37">
        <f t="shared" ca="1" si="65"/>
        <v>116018.60358618817</v>
      </c>
      <c r="AJ59" s="37">
        <f t="shared" ca="1" si="65"/>
        <v>103325.51977853916</v>
      </c>
      <c r="AK59" s="37">
        <f t="shared" ca="1" si="65"/>
        <v>86588.422290977251</v>
      </c>
      <c r="AL59" s="37">
        <f t="shared" ca="1" si="65"/>
        <v>65407.424770911261</v>
      </c>
      <c r="AM59" s="37">
        <f t="shared" ca="1" si="65"/>
        <v>39498.228243453123</v>
      </c>
      <c r="AN59" s="37">
        <f t="shared" ca="1" si="65"/>
        <v>8475.7544863182866</v>
      </c>
      <c r="AO59" s="37">
        <f t="shared" ca="1" si="66"/>
        <v>9004.2114253806794</v>
      </c>
      <c r="AP59" s="37">
        <f t="shared" ca="1" si="66"/>
        <v>9556.6726816022565</v>
      </c>
      <c r="AQ59" s="37">
        <f t="shared" ca="1" si="66"/>
        <v>10127.836854153225</v>
      </c>
      <c r="AR59" s="37">
        <f t="shared" ca="1" si="66"/>
        <v>10724.586526718389</v>
      </c>
      <c r="AS59" s="37">
        <f t="shared" ca="1" si="66"/>
        <v>11346.943781995962</v>
      </c>
      <c r="AT59" s="37">
        <f t="shared" ca="1" si="66"/>
        <v>11994.774239983752</v>
      </c>
      <c r="AU59" s="37">
        <f t="shared" ca="1" si="66"/>
        <v>12668.131680860912</v>
      </c>
      <c r="AV59" s="37" t="e">
        <f t="shared" ca="1" si="66"/>
        <v>#N/A</v>
      </c>
      <c r="AW59" s="37" t="e">
        <f t="shared" ca="1" si="66"/>
        <v>#N/A</v>
      </c>
      <c r="AX59" s="37" t="e">
        <f t="shared" ca="1" si="66"/>
        <v>#N/A</v>
      </c>
      <c r="BA59" t="str">
        <f t="shared" si="57"/>
        <v>CondomSM_Med</v>
      </c>
      <c r="BB59" s="1" t="s">
        <v>25</v>
      </c>
      <c r="BC59" s="1" t="s">
        <v>56</v>
      </c>
      <c r="BD59" s="149">
        <f t="shared" ca="1" si="53"/>
        <v>51156700.132239066</v>
      </c>
      <c r="BE59" s="37">
        <f t="shared" ca="1" si="67"/>
        <v>13035965.467866126</v>
      </c>
      <c r="BF59" s="37">
        <f t="shared" ca="1" si="67"/>
        <v>13063690.902795127</v>
      </c>
      <c r="BG59" s="37">
        <f t="shared" ca="1" si="67"/>
        <v>12805390.621875109</v>
      </c>
      <c r="BH59" s="37">
        <f t="shared" ca="1" si="67"/>
        <v>12251653.139702708</v>
      </c>
      <c r="BI59" s="37">
        <f t="shared" ca="1" si="67"/>
        <v>11369823.151446439</v>
      </c>
      <c r="BJ59" s="37">
        <f t="shared" ca="1" si="67"/>
        <v>10125900.938296838</v>
      </c>
      <c r="BK59" s="37">
        <f t="shared" ca="1" si="67"/>
        <v>8485665.3845157698</v>
      </c>
      <c r="BL59" s="37">
        <f t="shared" ca="1" si="67"/>
        <v>6409927.6275493037</v>
      </c>
      <c r="BM59" s="37">
        <f t="shared" ca="1" si="67"/>
        <v>3870826.3678584062</v>
      </c>
      <c r="BN59" s="37">
        <f t="shared" ca="1" si="67"/>
        <v>830623.93965919199</v>
      </c>
      <c r="BO59" s="37">
        <f t="shared" ca="1" si="68"/>
        <v>882412.71968730655</v>
      </c>
      <c r="BP59" s="37">
        <f t="shared" ca="1" si="68"/>
        <v>936553.92279702111</v>
      </c>
      <c r="BQ59" s="37">
        <f t="shared" ca="1" si="68"/>
        <v>992528.01170701603</v>
      </c>
      <c r="BR59" s="37">
        <f t="shared" ca="1" si="68"/>
        <v>1051009.4796184022</v>
      </c>
      <c r="BS59" s="37">
        <f t="shared" ca="1" si="68"/>
        <v>1112000.4906356044</v>
      </c>
      <c r="BT59" s="37">
        <f t="shared" ca="1" si="68"/>
        <v>1175487.8755184077</v>
      </c>
      <c r="BU59" s="37">
        <f t="shared" ca="1" si="68"/>
        <v>1241476.9047243693</v>
      </c>
      <c r="BV59" s="37" t="e">
        <f t="shared" ca="1" si="68"/>
        <v>#N/A</v>
      </c>
      <c r="BW59" s="37" t="e">
        <f t="shared" ca="1" si="68"/>
        <v>#N/A</v>
      </c>
      <c r="BX59" s="37" t="e">
        <f t="shared" ca="1" si="68"/>
        <v>#N/A</v>
      </c>
    </row>
    <row r="60" spans="4:76" ht="15.75" thickBot="1" x14ac:dyDescent="0.3">
      <c r="P60" t="s">
        <v>93</v>
      </c>
      <c r="R60" s="50" t="s">
        <v>90</v>
      </c>
      <c r="S60" s="9" t="s">
        <v>12</v>
      </c>
      <c r="T60" s="9" t="s">
        <v>16</v>
      </c>
      <c r="U60" s="9" t="s">
        <v>23</v>
      </c>
      <c r="V60" s="9" t="s">
        <v>22</v>
      </c>
      <c r="W60" s="9" t="s">
        <v>25</v>
      </c>
      <c r="X60" s="52" t="s">
        <v>60</v>
      </c>
      <c r="AB60" t="str">
        <f t="shared" si="56"/>
        <v>CondomSM_Nontrad</v>
      </c>
      <c r="AC60" s="1" t="s">
        <v>25</v>
      </c>
      <c r="AD60" s="1" t="s">
        <v>57</v>
      </c>
      <c r="AE60" s="37">
        <f t="shared" ca="1" si="65"/>
        <v>4432.1975270107005</v>
      </c>
      <c r="AF60" s="37">
        <f t="shared" ca="1" si="65"/>
        <v>3067.7534749616984</v>
      </c>
      <c r="AG60" s="37">
        <f t="shared" ca="1" si="65"/>
        <v>1590.1507330977304</v>
      </c>
      <c r="AH60" s="37">
        <f t="shared" ca="1" si="65"/>
        <v>3.2249642270142274E-13</v>
      </c>
      <c r="AI60" s="37">
        <f t="shared" ca="1" si="65"/>
        <v>0</v>
      </c>
      <c r="AJ60" s="37">
        <f t="shared" ca="1" si="65"/>
        <v>0</v>
      </c>
      <c r="AK60" s="37">
        <f t="shared" ca="1" si="65"/>
        <v>0</v>
      </c>
      <c r="AL60" s="37">
        <f t="shared" ca="1" si="65"/>
        <v>0</v>
      </c>
      <c r="AM60" s="37">
        <f t="shared" ca="1" si="65"/>
        <v>0</v>
      </c>
      <c r="AN60" s="37">
        <f t="shared" ca="1" si="65"/>
        <v>0</v>
      </c>
      <c r="AO60" s="37">
        <f t="shared" ca="1" si="66"/>
        <v>0</v>
      </c>
      <c r="AP60" s="37">
        <f t="shared" ca="1" si="66"/>
        <v>0</v>
      </c>
      <c r="AQ60" s="37">
        <f t="shared" ca="1" si="66"/>
        <v>0</v>
      </c>
      <c r="AR60" s="37">
        <f t="shared" ca="1" si="66"/>
        <v>0</v>
      </c>
      <c r="AS60" s="37">
        <f t="shared" ca="1" si="66"/>
        <v>0</v>
      </c>
      <c r="AT60" s="37">
        <f t="shared" ca="1" si="66"/>
        <v>0</v>
      </c>
      <c r="AU60" s="37">
        <f t="shared" ca="1" si="66"/>
        <v>0</v>
      </c>
      <c r="AV60" s="37" t="e">
        <f t="shared" ca="1" si="66"/>
        <v>#N/A</v>
      </c>
      <c r="AW60" s="37" t="e">
        <f t="shared" ca="1" si="66"/>
        <v>#N/A</v>
      </c>
      <c r="AX60" s="37" t="e">
        <f t="shared" ca="1" si="66"/>
        <v>#N/A</v>
      </c>
      <c r="BA60" t="str">
        <f t="shared" si="57"/>
        <v>CondomSM_Nontrad</v>
      </c>
      <c r="BB60" s="1" t="s">
        <v>25</v>
      </c>
      <c r="BC60" s="1" t="s">
        <v>57</v>
      </c>
      <c r="BD60" s="149">
        <f t="shared" ca="1" si="53"/>
        <v>890829.97003687266</v>
      </c>
      <c r="BE60" s="37">
        <f t="shared" ca="1" si="67"/>
        <v>434355.35764704866</v>
      </c>
      <c r="BF60" s="37">
        <f t="shared" ca="1" si="67"/>
        <v>300639.84054624644</v>
      </c>
      <c r="BG60" s="37">
        <f t="shared" ca="1" si="67"/>
        <v>155834.77184357756</v>
      </c>
      <c r="BH60" s="37">
        <f t="shared" ca="1" si="67"/>
        <v>3.1604649424739429E-11</v>
      </c>
      <c r="BI60" s="37">
        <f t="shared" ca="1" si="67"/>
        <v>0</v>
      </c>
      <c r="BJ60" s="37">
        <f t="shared" ca="1" si="67"/>
        <v>0</v>
      </c>
      <c r="BK60" s="37">
        <f t="shared" ca="1" si="67"/>
        <v>0</v>
      </c>
      <c r="BL60" s="37">
        <f t="shared" ca="1" si="67"/>
        <v>0</v>
      </c>
      <c r="BM60" s="37">
        <f t="shared" ca="1" si="67"/>
        <v>0</v>
      </c>
      <c r="BN60" s="37">
        <f t="shared" ca="1" si="67"/>
        <v>0</v>
      </c>
      <c r="BO60" s="37">
        <f t="shared" ca="1" si="68"/>
        <v>0</v>
      </c>
      <c r="BP60" s="37">
        <f t="shared" ca="1" si="68"/>
        <v>0</v>
      </c>
      <c r="BQ60" s="37">
        <f t="shared" ca="1" si="68"/>
        <v>0</v>
      </c>
      <c r="BR60" s="37">
        <f t="shared" ca="1" si="68"/>
        <v>0</v>
      </c>
      <c r="BS60" s="37">
        <f t="shared" ca="1" si="68"/>
        <v>0</v>
      </c>
      <c r="BT60" s="37">
        <f t="shared" ca="1" si="68"/>
        <v>0</v>
      </c>
      <c r="BU60" s="37">
        <f t="shared" ca="1" si="68"/>
        <v>0</v>
      </c>
      <c r="BV60" s="37" t="e">
        <f t="shared" ca="1" si="68"/>
        <v>#N/A</v>
      </c>
      <c r="BW60" s="37" t="e">
        <f t="shared" ca="1" si="68"/>
        <v>#N/A</v>
      </c>
      <c r="BX60" s="37" t="e">
        <f t="shared" ca="1" si="68"/>
        <v>#N/A</v>
      </c>
    </row>
    <row r="61" spans="4:76" x14ac:dyDescent="0.25">
      <c r="Q61" s="3"/>
      <c r="R61" s="54" t="s">
        <v>73</v>
      </c>
      <c r="S61" s="60">
        <f t="shared" ref="S61:W62" ca="1" si="74">G49-S49</f>
        <v>0</v>
      </c>
      <c r="T61" s="60">
        <f t="shared" ca="1" si="74"/>
        <v>25639.059295093524</v>
      </c>
      <c r="U61" s="60">
        <f t="shared" ca="1" si="74"/>
        <v>1027251.074283585</v>
      </c>
      <c r="V61" s="60">
        <f t="shared" ca="1" si="74"/>
        <v>946618.23429845646</v>
      </c>
      <c r="W61" s="60">
        <f t="shared" ca="1" si="74"/>
        <v>221502.60853518639</v>
      </c>
      <c r="X61" s="61">
        <f ca="1">SUM(S61:W61)</f>
        <v>2221010.9764123214</v>
      </c>
      <c r="AB61" t="str">
        <f t="shared" si="56"/>
        <v>CondomCommercial</v>
      </c>
      <c r="AC61" s="1" t="s">
        <v>25</v>
      </c>
      <c r="AD61" s="1" t="s">
        <v>59</v>
      </c>
      <c r="AE61" s="37">
        <f t="shared" ca="1" si="65"/>
        <v>14264.48082656006</v>
      </c>
      <c r="AF61" s="37">
        <f t="shared" ca="1" si="65"/>
        <v>32077.333749842379</v>
      </c>
      <c r="AG61" s="37">
        <f t="shared" ca="1" si="65"/>
        <v>53703.170820156731</v>
      </c>
      <c r="AH61" s="37">
        <f t="shared" ca="1" si="65"/>
        <v>79513.777594028681</v>
      </c>
      <c r="AI61" s="37">
        <f t="shared" ca="1" si="65"/>
        <v>109865.93556403098</v>
      </c>
      <c r="AJ61" s="37">
        <f t="shared" ca="1" si="65"/>
        <v>145119.72015011759</v>
      </c>
      <c r="AK61" s="37">
        <f t="shared" ca="1" si="65"/>
        <v>185646.96059463534</v>
      </c>
      <c r="AL61" s="37">
        <f t="shared" ca="1" si="65"/>
        <v>231680.68327598702</v>
      </c>
      <c r="AM61" s="37">
        <f t="shared" ca="1" si="65"/>
        <v>283749.88430251047</v>
      </c>
      <c r="AN61" s="37">
        <f t="shared" ca="1" si="65"/>
        <v>342284.89672091528</v>
      </c>
      <c r="AO61" s="37">
        <f t="shared" ca="1" si="66"/>
        <v>370683.84928851045</v>
      </c>
      <c r="AP61" s="37">
        <f t="shared" ca="1" si="66"/>
        <v>400773.74482661509</v>
      </c>
      <c r="AQ61" s="37">
        <f t="shared" ca="1" si="66"/>
        <v>434120.94437799929</v>
      </c>
      <c r="AR61" s="37">
        <f t="shared" ca="1" si="66"/>
        <v>469154.32786663651</v>
      </c>
      <c r="AS61" s="37">
        <f t="shared" ca="1" si="66"/>
        <v>505898.0715431706</v>
      </c>
      <c r="AT61" s="37">
        <f t="shared" ca="1" si="66"/>
        <v>544367.12761518662</v>
      </c>
      <c r="AU61" s="37">
        <f t="shared" ca="1" si="66"/>
        <v>584582.77612814156</v>
      </c>
      <c r="AV61" s="37" t="e">
        <f t="shared" ca="1" si="66"/>
        <v>#N/A</v>
      </c>
      <c r="AW61" s="37" t="e">
        <f t="shared" ca="1" si="66"/>
        <v>#N/A</v>
      </c>
      <c r="AX61" s="37" t="e">
        <f t="shared" ca="1" si="66"/>
        <v>#N/A</v>
      </c>
      <c r="BA61" t="str">
        <f t="shared" si="57"/>
        <v>CondomCommercial</v>
      </c>
      <c r="BB61" s="1" t="s">
        <v>25</v>
      </c>
      <c r="BC61" s="1" t="s">
        <v>59</v>
      </c>
      <c r="BD61" s="149">
        <f t="shared" ca="1" si="53"/>
        <v>17596758.773077611</v>
      </c>
      <c r="BE61" s="37">
        <f t="shared" ca="1" si="67"/>
        <v>1397919.121002886</v>
      </c>
      <c r="BF61" s="37">
        <f t="shared" ca="1" si="67"/>
        <v>3143578.7074845536</v>
      </c>
      <c r="BG61" s="37">
        <f t="shared" ca="1" si="67"/>
        <v>5262910.7403753595</v>
      </c>
      <c r="BH61" s="37">
        <f t="shared" ca="1" si="67"/>
        <v>7792350.2042148113</v>
      </c>
      <c r="BI61" s="37">
        <f t="shared" ca="1" si="67"/>
        <v>10766861.685275037</v>
      </c>
      <c r="BJ61" s="37">
        <f t="shared" ca="1" si="67"/>
        <v>14221732.574711522</v>
      </c>
      <c r="BK61" s="37">
        <f t="shared" ca="1" si="67"/>
        <v>18193402.13827426</v>
      </c>
      <c r="BL61" s="37">
        <f t="shared" ca="1" si="67"/>
        <v>22704706.961046726</v>
      </c>
      <c r="BM61" s="37">
        <f t="shared" ca="1" si="67"/>
        <v>27807488.661646023</v>
      </c>
      <c r="BN61" s="37">
        <f t="shared" ca="1" si="67"/>
        <v>33543919.878649697</v>
      </c>
      <c r="BO61" s="37">
        <f t="shared" ca="1" si="68"/>
        <v>36327017.230274022</v>
      </c>
      <c r="BP61" s="37">
        <f t="shared" ca="1" si="68"/>
        <v>39275826.993008278</v>
      </c>
      <c r="BQ61" s="37">
        <f t="shared" ca="1" si="68"/>
        <v>42543852.549043931</v>
      </c>
      <c r="BR61" s="37">
        <f t="shared" ca="1" si="68"/>
        <v>45977124.130930379</v>
      </c>
      <c r="BS61" s="37">
        <f t="shared" ca="1" si="68"/>
        <v>49578011.011230722</v>
      </c>
      <c r="BT61" s="37">
        <f t="shared" ca="1" si="68"/>
        <v>53347978.50628829</v>
      </c>
      <c r="BU61" s="37">
        <f t="shared" ca="1" si="68"/>
        <v>57289112.060557872</v>
      </c>
      <c r="BV61" s="37" t="e">
        <f t="shared" ca="1" si="68"/>
        <v>#N/A</v>
      </c>
      <c r="BW61" s="37" t="e">
        <f t="shared" ca="1" si="68"/>
        <v>#N/A</v>
      </c>
      <c r="BX61" s="37" t="e">
        <f t="shared" ca="1" si="68"/>
        <v>#N/A</v>
      </c>
    </row>
    <row r="62" spans="4:76" x14ac:dyDescent="0.25">
      <c r="R62" s="8" t="s">
        <v>55</v>
      </c>
      <c r="S62" s="60">
        <f ca="1">G50-S50</f>
        <v>279084.50681874575</v>
      </c>
      <c r="T62" s="60">
        <f ca="1">H50-T50</f>
        <v>-13238.749743709515</v>
      </c>
      <c r="U62" s="60">
        <f ca="1">I50-U50</f>
        <v>-22956.972755457158</v>
      </c>
      <c r="V62" s="60">
        <f t="shared" ca="1" si="74"/>
        <v>-195204.51296046749</v>
      </c>
      <c r="W62" s="60">
        <f t="shared" ca="1" si="74"/>
        <v>263066.53314321954</v>
      </c>
      <c r="X62" s="61">
        <f t="shared" ref="X62" ca="1" si="75">SUM(S62:W62)</f>
        <v>310750.80450233113</v>
      </c>
      <c r="AB62" t="str">
        <f t="shared" si="56"/>
        <v>TotalPub_Med</v>
      </c>
      <c r="AC62" s="1" t="s">
        <v>60</v>
      </c>
      <c r="AD62" s="1" t="s">
        <v>52</v>
      </c>
      <c r="AE62" s="37">
        <f ca="1">SUMIFS(AE$37:AE$61,$AD$37:$AD$61,$AD62)</f>
        <v>1771040.0393091775</v>
      </c>
      <c r="AF62" s="37">
        <f t="shared" ref="AF62:AX66" ca="1" si="76">SUMIFS(AF$37:AF$61,$AD$37:$AD$61,$AD62)</f>
        <v>1921407.5591323813</v>
      </c>
      <c r="AG62" s="37">
        <f t="shared" ca="1" si="76"/>
        <v>2077596.5670412497</v>
      </c>
      <c r="AH62" s="37">
        <f t="shared" ca="1" si="76"/>
        <v>2242652.1324291201</v>
      </c>
      <c r="AI62" s="37">
        <f t="shared" ca="1" si="76"/>
        <v>2417611.5204452695</v>
      </c>
      <c r="AJ62" s="37">
        <f t="shared" ca="1" si="76"/>
        <v>2601520.9713028539</v>
      </c>
      <c r="AK62" s="37">
        <f t="shared" ca="1" si="76"/>
        <v>2794471.404259997</v>
      </c>
      <c r="AL62" s="37">
        <f t="shared" ca="1" si="76"/>
        <v>2995140.2577331499</v>
      </c>
      <c r="AM62" s="37">
        <f t="shared" ca="1" si="76"/>
        <v>3206398.2343459218</v>
      </c>
      <c r="AN62" s="37">
        <f t="shared" ca="1" si="76"/>
        <v>3433200.348983773</v>
      </c>
      <c r="AO62" s="37">
        <f t="shared" ca="1" si="76"/>
        <v>3674607.9812658592</v>
      </c>
      <c r="AP62" s="37">
        <f t="shared" ca="1" si="76"/>
        <v>3927578.6422319454</v>
      </c>
      <c r="AQ62" s="37">
        <f t="shared" ca="1" si="76"/>
        <v>4189986.2003355622</v>
      </c>
      <c r="AR62" s="37">
        <f t="shared" ca="1" si="76"/>
        <v>4464715.0698155928</v>
      </c>
      <c r="AS62" s="37">
        <f t="shared" ca="1" si="76"/>
        <v>4751842.8100820715</v>
      </c>
      <c r="AT62" s="37">
        <f t="shared" ca="1" si="76"/>
        <v>5051374.8353072749</v>
      </c>
      <c r="AU62" s="37">
        <f t="shared" ca="1" si="76"/>
        <v>5363389.2855892405</v>
      </c>
      <c r="AV62" s="37" t="e">
        <f t="shared" ca="1" si="76"/>
        <v>#N/A</v>
      </c>
      <c r="AW62" s="37" t="e">
        <f t="shared" ca="1" si="76"/>
        <v>#N/A</v>
      </c>
      <c r="AX62" s="37" t="e">
        <f t="shared" ca="1" si="76"/>
        <v>#N/A</v>
      </c>
      <c r="BA62" t="str">
        <f t="shared" si="57"/>
        <v>TotalPub_Med</v>
      </c>
      <c r="BB62" s="1" t="s">
        <v>60</v>
      </c>
      <c r="BC62" s="1" t="s">
        <v>52</v>
      </c>
      <c r="BD62" s="149">
        <f t="shared" ca="1" si="53"/>
        <v>89456033.236791879</v>
      </c>
      <c r="BE62" s="37">
        <f t="shared" ref="BE62:BN66" ca="1" si="77">SUMIF($BC$37:$BC$61,$BC62,BE$37:BE$61)</f>
        <v>20110324.078921448</v>
      </c>
      <c r="BF62" s="37">
        <f t="shared" ca="1" si="77"/>
        <v>21567374.143802363</v>
      </c>
      <c r="BG62" s="37">
        <f t="shared" ca="1" si="77"/>
        <v>23087520.412160784</v>
      </c>
      <c r="BH62" s="37">
        <f t="shared" ca="1" si="77"/>
        <v>24690814.601907279</v>
      </c>
      <c r="BI62" s="37">
        <f t="shared" ca="1" si="77"/>
        <v>26389075.528621607</v>
      </c>
      <c r="BJ62" s="37">
        <f t="shared" ca="1" si="77"/>
        <v>28169266.567882851</v>
      </c>
      <c r="BK62" s="37">
        <f t="shared" ca="1" si="77"/>
        <v>30031814.619990569</v>
      </c>
      <c r="BL62" s="37">
        <f t="shared" ca="1" si="77"/>
        <v>32003872.423540942</v>
      </c>
      <c r="BM62" s="37">
        <f t="shared" ca="1" si="77"/>
        <v>34157231.816705227</v>
      </c>
      <c r="BN62" s="37">
        <f t="shared" ca="1" si="77"/>
        <v>36424377.351880118</v>
      </c>
      <c r="BO62" s="37">
        <f t="shared" ref="BO62:BX66" ca="1" si="78">SUMIF($BC$37:$BC$61,$BC62,BO$37:BO$61)</f>
        <v>38805804.324558146</v>
      </c>
      <c r="BP62" s="37">
        <f t="shared" ca="1" si="78"/>
        <v>41296674.433534272</v>
      </c>
      <c r="BQ62" s="37">
        <f t="shared" ca="1" si="78"/>
        <v>43874682.275536641</v>
      </c>
      <c r="BR62" s="37">
        <f t="shared" ca="1" si="78"/>
        <v>46571135.158587545</v>
      </c>
      <c r="BS62" s="37">
        <f t="shared" ca="1" si="78"/>
        <v>49385625.115847968</v>
      </c>
      <c r="BT62" s="37">
        <f t="shared" ca="1" si="78"/>
        <v>52317794.958413772</v>
      </c>
      <c r="BU62" s="37">
        <f t="shared" ca="1" si="78"/>
        <v>55368121.566763707</v>
      </c>
      <c r="BV62" s="37" t="e">
        <f t="shared" ca="1" si="78"/>
        <v>#N/A</v>
      </c>
      <c r="BW62" s="37" t="e">
        <f t="shared" ca="1" si="78"/>
        <v>#N/A</v>
      </c>
      <c r="BX62" s="37" t="e">
        <f t="shared" ca="1" si="78"/>
        <v>#N/A</v>
      </c>
    </row>
    <row r="63" spans="4:76" ht="15.75" thickBot="1" x14ac:dyDescent="0.3">
      <c r="R63" s="53" t="s">
        <v>60</v>
      </c>
      <c r="S63" s="62">
        <f ca="1">SUM(S61:S62)</f>
        <v>279084.50681874575</v>
      </c>
      <c r="T63" s="62">
        <f ca="1">SUM(T61:T62)</f>
        <v>12400.309551384009</v>
      </c>
      <c r="U63" s="62">
        <f ca="1">SUM(U61:U62)</f>
        <v>1004294.1015281278</v>
      </c>
      <c r="V63" s="62">
        <f ca="1">SUM(V61:V62)</f>
        <v>751413.72133798897</v>
      </c>
      <c r="W63" s="62">
        <f ca="1">SUM(W61:W62)</f>
        <v>484569.14167840593</v>
      </c>
      <c r="X63" s="63">
        <f ca="1">SUM(S63:W63)</f>
        <v>2531761.7809146522</v>
      </c>
      <c r="AB63" t="str">
        <f t="shared" si="56"/>
        <v>TotalPub_Outreach</v>
      </c>
      <c r="AC63" s="1" t="s">
        <v>60</v>
      </c>
      <c r="AD63" s="1" t="s">
        <v>54</v>
      </c>
      <c r="AE63" s="37">
        <f t="shared" ref="AE63:AT65" ca="1" si="79">SUMIFS(AE$37:AE$61,$AD$37:$AD$61,$AD63)</f>
        <v>123046.49310290156</v>
      </c>
      <c r="AF63" s="37">
        <f t="shared" ca="1" si="79"/>
        <v>131820.24812995264</v>
      </c>
      <c r="AG63" s="37">
        <f t="shared" ca="1" si="79"/>
        <v>140875.68255632237</v>
      </c>
      <c r="AH63" s="37">
        <f t="shared" ca="1" si="79"/>
        <v>150417.6202233863</v>
      </c>
      <c r="AI63" s="37">
        <f t="shared" ca="1" si="79"/>
        <v>161115.80210837713</v>
      </c>
      <c r="AJ63" s="37">
        <f t="shared" ca="1" si="79"/>
        <v>172483.93893843167</v>
      </c>
      <c r="AK63" s="37">
        <f t="shared" ca="1" si="79"/>
        <v>185052.80500993755</v>
      </c>
      <c r="AL63" s="37">
        <f t="shared" ca="1" si="79"/>
        <v>198116.01247384917</v>
      </c>
      <c r="AM63" s="37">
        <f t="shared" ca="1" si="79"/>
        <v>211897.96023130411</v>
      </c>
      <c r="AN63" s="37">
        <f t="shared" ca="1" si="79"/>
        <v>227358.50645133137</v>
      </c>
      <c r="AO63" s="37">
        <f t="shared" ca="1" si="79"/>
        <v>244504.80165469382</v>
      </c>
      <c r="AP63" s="37">
        <f t="shared" ca="1" si="79"/>
        <v>263364.79497262015</v>
      </c>
      <c r="AQ63" s="37">
        <f t="shared" ca="1" si="79"/>
        <v>282985.68069383519</v>
      </c>
      <c r="AR63" s="37">
        <f t="shared" ca="1" si="79"/>
        <v>303601.65199018031</v>
      </c>
      <c r="AS63" s="37">
        <f t="shared" ca="1" si="79"/>
        <v>325211.77262852003</v>
      </c>
      <c r="AT63" s="37">
        <f t="shared" ca="1" si="79"/>
        <v>347799.24509223783</v>
      </c>
      <c r="AU63" s="37">
        <f t="shared" ca="1" si="76"/>
        <v>371373.52973559563</v>
      </c>
      <c r="AV63" s="37" t="e">
        <f t="shared" ca="1" si="76"/>
        <v>#N/A</v>
      </c>
      <c r="AW63" s="37" t="e">
        <f t="shared" ca="1" si="76"/>
        <v>#N/A</v>
      </c>
      <c r="AX63" s="37" t="e">
        <f t="shared" ca="1" si="76"/>
        <v>#N/A</v>
      </c>
      <c r="BA63" t="str">
        <f t="shared" si="57"/>
        <v>TotalPub_Outreach</v>
      </c>
      <c r="BB63" s="1" t="s">
        <v>60</v>
      </c>
      <c r="BC63" s="1" t="s">
        <v>54</v>
      </c>
      <c r="BD63" s="149">
        <f t="shared" ca="1" si="53"/>
        <v>10494679.333033763</v>
      </c>
      <c r="BE63" s="37">
        <f t="shared" ca="1" si="77"/>
        <v>2879183.302393666</v>
      </c>
      <c r="BF63" s="37">
        <f t="shared" ca="1" si="77"/>
        <v>2721117.0737746456</v>
      </c>
      <c r="BG63" s="37">
        <f t="shared" ca="1" si="77"/>
        <v>2544037.4159515398</v>
      </c>
      <c r="BH63" s="37">
        <f t="shared" ca="1" si="77"/>
        <v>2350341.540913912</v>
      </c>
      <c r="BI63" s="37">
        <f t="shared" ca="1" si="77"/>
        <v>2197505.1314138509</v>
      </c>
      <c r="BJ63" s="37">
        <f t="shared" ca="1" si="77"/>
        <v>2039433.0005253504</v>
      </c>
      <c r="BK63" s="37">
        <f t="shared" ca="1" si="77"/>
        <v>1928859.0924023017</v>
      </c>
      <c r="BL63" s="37">
        <f t="shared" ca="1" si="77"/>
        <v>1808735.379844116</v>
      </c>
      <c r="BM63" s="37">
        <f t="shared" ca="1" si="77"/>
        <v>1686706.598078429</v>
      </c>
      <c r="BN63" s="37">
        <f t="shared" ca="1" si="77"/>
        <v>1654319.4246536829</v>
      </c>
      <c r="BO63" s="37">
        <f t="shared" ca="1" si="78"/>
        <v>1679136.9556843061</v>
      </c>
      <c r="BP63" s="37">
        <f t="shared" ca="1" si="78"/>
        <v>1742519.1668868666</v>
      </c>
      <c r="BQ63" s="37">
        <f t="shared" ca="1" si="78"/>
        <v>1806559.4842674094</v>
      </c>
      <c r="BR63" s="37">
        <f t="shared" ca="1" si="78"/>
        <v>1872841.2409132626</v>
      </c>
      <c r="BS63" s="37">
        <f t="shared" ca="1" si="78"/>
        <v>1941173.1617669035</v>
      </c>
      <c r="BT63" s="37">
        <f t="shared" ca="1" si="78"/>
        <v>2011355.2824624316</v>
      </c>
      <c r="BU63" s="37">
        <f t="shared" ca="1" si="78"/>
        <v>2083318.1128495312</v>
      </c>
      <c r="BV63" s="37" t="e">
        <f t="shared" ca="1" si="78"/>
        <v>#N/A</v>
      </c>
      <c r="BW63" s="37" t="e">
        <f t="shared" ca="1" si="78"/>
        <v>#N/A</v>
      </c>
      <c r="BX63" s="37" t="e">
        <f t="shared" ca="1" si="78"/>
        <v>#N/A</v>
      </c>
    </row>
    <row r="64" spans="4:76" x14ac:dyDescent="0.25">
      <c r="AB64" t="str">
        <f t="shared" si="56"/>
        <v>TotalSM_Med</v>
      </c>
      <c r="AC64" s="1" t="s">
        <v>60</v>
      </c>
      <c r="AD64" s="1" t="s">
        <v>56</v>
      </c>
      <c r="AE64" s="37">
        <f t="shared" ca="1" si="79"/>
        <v>929624.90942062414</v>
      </c>
      <c r="AF64" s="37">
        <f t="shared" ca="1" si="76"/>
        <v>959190.81948419218</v>
      </c>
      <c r="AG64" s="37">
        <f t="shared" ca="1" si="76"/>
        <v>983738.57853043021</v>
      </c>
      <c r="AH64" s="37">
        <f t="shared" ca="1" si="76"/>
        <v>1004177.8353047421</v>
      </c>
      <c r="AI64" s="37">
        <f t="shared" ca="1" si="76"/>
        <v>1020354.0092809232</v>
      </c>
      <c r="AJ64" s="37">
        <f t="shared" ca="1" si="76"/>
        <v>1040401.8770158464</v>
      </c>
      <c r="AK64" s="37">
        <f t="shared" ca="1" si="76"/>
        <v>1058289.8065793603</v>
      </c>
      <c r="AL64" s="37">
        <f t="shared" ca="1" si="76"/>
        <v>1068105.7223460383</v>
      </c>
      <c r="AM64" s="37">
        <f t="shared" ca="1" si="76"/>
        <v>1069944.4872312972</v>
      </c>
      <c r="AN64" s="37">
        <f t="shared" ca="1" si="76"/>
        <v>1077208.2400036147</v>
      </c>
      <c r="AO64" s="37">
        <f t="shared" ca="1" si="76"/>
        <v>1112837.9539954481</v>
      </c>
      <c r="AP64" s="37">
        <f t="shared" ca="1" si="76"/>
        <v>1144902.026532117</v>
      </c>
      <c r="AQ64" s="37">
        <f t="shared" ca="1" si="76"/>
        <v>1172259.9731733131</v>
      </c>
      <c r="AR64" s="37">
        <f t="shared" ca="1" si="76"/>
        <v>1195208.2897508065</v>
      </c>
      <c r="AS64" s="37">
        <f t="shared" ca="1" si="76"/>
        <v>1213181.9336964842</v>
      </c>
      <c r="AT64" s="37">
        <f t="shared" ca="1" si="76"/>
        <v>1225587.7513580772</v>
      </c>
      <c r="AU64" s="37">
        <f t="shared" ca="1" si="76"/>
        <v>1231843.1600621806</v>
      </c>
      <c r="AV64" s="37" t="e">
        <f t="shared" ca="1" si="76"/>
        <v>#N/A</v>
      </c>
      <c r="AW64" s="37" t="e">
        <f t="shared" ca="1" si="76"/>
        <v>#N/A</v>
      </c>
      <c r="AX64" s="37" t="e">
        <f t="shared" ca="1" si="76"/>
        <v>#N/A</v>
      </c>
      <c r="BA64" t="str">
        <f t="shared" si="57"/>
        <v>TotalSM_Med</v>
      </c>
      <c r="BB64" s="1" t="s">
        <v>60</v>
      </c>
      <c r="BC64" s="1" t="s">
        <v>56</v>
      </c>
      <c r="BD64" s="149">
        <f t="shared" ca="1" si="53"/>
        <v>66172842.285609111</v>
      </c>
      <c r="BE64" s="37">
        <f t="shared" ca="1" si="77"/>
        <v>16820791.668835033</v>
      </c>
      <c r="BF64" s="37">
        <f t="shared" ca="1" si="77"/>
        <v>16838994.834062882</v>
      </c>
      <c r="BG64" s="37">
        <f t="shared" ca="1" si="77"/>
        <v>16552021.598838734</v>
      </c>
      <c r="BH64" s="37">
        <f t="shared" ca="1" si="77"/>
        <v>15961034.183872461</v>
      </c>
      <c r="BI64" s="37">
        <f t="shared" ca="1" si="77"/>
        <v>15038743.436887421</v>
      </c>
      <c r="BJ64" s="37">
        <f t="shared" ca="1" si="77"/>
        <v>13779434.566220762</v>
      </c>
      <c r="BK64" s="37">
        <f t="shared" ca="1" si="77"/>
        <v>12124890.375630785</v>
      </c>
      <c r="BL64" s="37">
        <f t="shared" ca="1" si="77"/>
        <v>10014142.344074285</v>
      </c>
      <c r="BM64" s="37">
        <f t="shared" ca="1" si="77"/>
        <v>7420949.2747903522</v>
      </c>
      <c r="BN64" s="37">
        <f t="shared" ca="1" si="77"/>
        <v>4490346.4712002976</v>
      </c>
      <c r="BO64" s="37">
        <f t="shared" ca="1" si="78"/>
        <v>4640395.4973793505</v>
      </c>
      <c r="BP64" s="37">
        <f t="shared" ca="1" si="78"/>
        <v>4780113.5460102251</v>
      </c>
      <c r="BQ64" s="37">
        <f t="shared" ca="1" si="78"/>
        <v>4905093.3153413078</v>
      </c>
      <c r="BR64" s="37">
        <f t="shared" ca="1" si="78"/>
        <v>5017221.3915379886</v>
      </c>
      <c r="BS64" s="37">
        <f t="shared" ca="1" si="78"/>
        <v>5114521.8592514237</v>
      </c>
      <c r="BT64" s="37">
        <f t="shared" ca="1" si="78"/>
        <v>5195024.4009256959</v>
      </c>
      <c r="BU64" s="37">
        <f t="shared" ca="1" si="78"/>
        <v>5256825.107161033</v>
      </c>
      <c r="BV64" s="37" t="e">
        <f t="shared" ca="1" si="78"/>
        <v>#N/A</v>
      </c>
      <c r="BW64" s="37" t="e">
        <f t="shared" ca="1" si="78"/>
        <v>#N/A</v>
      </c>
      <c r="BX64" s="37" t="e">
        <f t="shared" ca="1" si="78"/>
        <v>#N/A</v>
      </c>
    </row>
    <row r="65" spans="16:76" ht="15.75" thickBot="1" x14ac:dyDescent="0.3">
      <c r="P65" s="3" t="s">
        <v>97</v>
      </c>
      <c r="AB65" t="str">
        <f t="shared" si="56"/>
        <v>TotalSM_Nontrad</v>
      </c>
      <c r="AC65" s="1" t="s">
        <v>60</v>
      </c>
      <c r="AD65" s="1" t="s">
        <v>57</v>
      </c>
      <c r="AE65" s="37">
        <f t="shared" ca="1" si="79"/>
        <v>4432.1975270107005</v>
      </c>
      <c r="AF65" s="37">
        <f t="shared" ca="1" si="76"/>
        <v>3067.7534749616984</v>
      </c>
      <c r="AG65" s="37">
        <f t="shared" ca="1" si="76"/>
        <v>1590.1507330977304</v>
      </c>
      <c r="AH65" s="37">
        <f t="shared" ca="1" si="76"/>
        <v>3.2249642270142274E-13</v>
      </c>
      <c r="AI65" s="37">
        <f t="shared" ca="1" si="76"/>
        <v>0</v>
      </c>
      <c r="AJ65" s="37">
        <f t="shared" ca="1" si="76"/>
        <v>0</v>
      </c>
      <c r="AK65" s="37">
        <f t="shared" ca="1" si="76"/>
        <v>0</v>
      </c>
      <c r="AL65" s="37">
        <f t="shared" ca="1" si="76"/>
        <v>0</v>
      </c>
      <c r="AM65" s="37">
        <f t="shared" ca="1" si="76"/>
        <v>0</v>
      </c>
      <c r="AN65" s="37">
        <f t="shared" ca="1" si="76"/>
        <v>0</v>
      </c>
      <c r="AO65" s="37">
        <f t="shared" ca="1" si="76"/>
        <v>0</v>
      </c>
      <c r="AP65" s="37">
        <f t="shared" ca="1" si="76"/>
        <v>0</v>
      </c>
      <c r="AQ65" s="37">
        <f t="shared" ca="1" si="76"/>
        <v>0</v>
      </c>
      <c r="AR65" s="37">
        <f t="shared" ca="1" si="76"/>
        <v>0</v>
      </c>
      <c r="AS65" s="37">
        <f t="shared" ca="1" si="76"/>
        <v>0</v>
      </c>
      <c r="AT65" s="37">
        <f t="shared" ca="1" si="76"/>
        <v>0</v>
      </c>
      <c r="AU65" s="37">
        <f t="shared" ca="1" si="76"/>
        <v>0</v>
      </c>
      <c r="AV65" s="37" t="e">
        <f t="shared" ca="1" si="76"/>
        <v>#N/A</v>
      </c>
      <c r="AW65" s="37" t="e">
        <f t="shared" ca="1" si="76"/>
        <v>#N/A</v>
      </c>
      <c r="AX65" s="37" t="e">
        <f t="shared" ca="1" si="76"/>
        <v>#N/A</v>
      </c>
      <c r="BA65" t="str">
        <f t="shared" si="57"/>
        <v>TotalSM_Nontrad</v>
      </c>
      <c r="BB65" s="1" t="s">
        <v>60</v>
      </c>
      <c r="BC65" s="1" t="s">
        <v>57</v>
      </c>
      <c r="BD65" s="149">
        <f t="shared" ca="1" si="53"/>
        <v>890829.97003687266</v>
      </c>
      <c r="BE65" s="37">
        <f t="shared" ca="1" si="77"/>
        <v>434355.35764704866</v>
      </c>
      <c r="BF65" s="37">
        <f t="shared" ca="1" si="77"/>
        <v>300639.84054624644</v>
      </c>
      <c r="BG65" s="37">
        <f t="shared" ca="1" si="77"/>
        <v>155834.77184357756</v>
      </c>
      <c r="BH65" s="37">
        <f t="shared" ca="1" si="77"/>
        <v>3.1604649424739429E-11</v>
      </c>
      <c r="BI65" s="37">
        <f t="shared" ca="1" si="77"/>
        <v>0</v>
      </c>
      <c r="BJ65" s="37">
        <f t="shared" ca="1" si="77"/>
        <v>0</v>
      </c>
      <c r="BK65" s="37">
        <f t="shared" ca="1" si="77"/>
        <v>0</v>
      </c>
      <c r="BL65" s="37">
        <f t="shared" ca="1" si="77"/>
        <v>0</v>
      </c>
      <c r="BM65" s="37">
        <f t="shared" ca="1" si="77"/>
        <v>0</v>
      </c>
      <c r="BN65" s="37">
        <f t="shared" ca="1" si="77"/>
        <v>0</v>
      </c>
      <c r="BO65" s="37">
        <f t="shared" ca="1" si="78"/>
        <v>0</v>
      </c>
      <c r="BP65" s="37">
        <f t="shared" ca="1" si="78"/>
        <v>0</v>
      </c>
      <c r="BQ65" s="37">
        <f t="shared" ca="1" si="78"/>
        <v>0</v>
      </c>
      <c r="BR65" s="37">
        <f t="shared" ca="1" si="78"/>
        <v>0</v>
      </c>
      <c r="BS65" s="37">
        <f t="shared" ca="1" si="78"/>
        <v>0</v>
      </c>
      <c r="BT65" s="37">
        <f t="shared" ca="1" si="78"/>
        <v>0</v>
      </c>
      <c r="BU65" s="37">
        <f t="shared" ca="1" si="78"/>
        <v>0</v>
      </c>
      <c r="BV65" s="37" t="e">
        <f t="shared" ca="1" si="78"/>
        <v>#N/A</v>
      </c>
      <c r="BW65" s="37" t="e">
        <f t="shared" ca="1" si="78"/>
        <v>#N/A</v>
      </c>
      <c r="BX65" s="37" t="e">
        <f t="shared" ca="1" si="78"/>
        <v>#N/A</v>
      </c>
    </row>
    <row r="66" spans="16:76" ht="15.75" thickBot="1" x14ac:dyDescent="0.3">
      <c r="P66" t="s">
        <v>89</v>
      </c>
      <c r="R66" s="50" t="s">
        <v>90</v>
      </c>
      <c r="S66" s="9" t="s">
        <v>12</v>
      </c>
      <c r="T66" s="9" t="s">
        <v>16</v>
      </c>
      <c r="U66" s="9" t="s">
        <v>23</v>
      </c>
      <c r="V66" s="9" t="s">
        <v>22</v>
      </c>
      <c r="W66" s="9" t="s">
        <v>25</v>
      </c>
      <c r="X66" s="52" t="s">
        <v>60</v>
      </c>
      <c r="AB66" t="str">
        <f t="shared" si="56"/>
        <v>TotalCommercial</v>
      </c>
      <c r="AC66" s="1" t="s">
        <v>60</v>
      </c>
      <c r="AD66" s="1" t="s">
        <v>59</v>
      </c>
      <c r="AE66" s="37">
        <f ca="1">SUMIFS(AE$37:AE$61,$AD$37:$AD$61,$AD66)</f>
        <v>140003.32638940171</v>
      </c>
      <c r="AF66" s="37">
        <f t="shared" ca="1" si="76"/>
        <v>225824.3653450245</v>
      </c>
      <c r="AG66" s="37">
        <f t="shared" ca="1" si="76"/>
        <v>321982.42041130667</v>
      </c>
      <c r="AH66" s="37">
        <f t="shared" ca="1" si="76"/>
        <v>429505.87586879893</v>
      </c>
      <c r="AI66" s="37">
        <f t="shared" ca="1" si="76"/>
        <v>549949.90409653727</v>
      </c>
      <c r="AJ66" s="37">
        <f t="shared" ca="1" si="76"/>
        <v>685736.30416157562</v>
      </c>
      <c r="AK66" s="37">
        <f t="shared" ca="1" si="76"/>
        <v>837662.22179251199</v>
      </c>
      <c r="AL66" s="37">
        <f t="shared" ca="1" si="76"/>
        <v>1005356.3571353044</v>
      </c>
      <c r="AM66" s="37">
        <f t="shared" ca="1" si="76"/>
        <v>1190436.2816865426</v>
      </c>
      <c r="AN66" s="37">
        <f t="shared" ca="1" si="76"/>
        <v>1379826.8779007511</v>
      </c>
      <c r="AO66" s="37">
        <f t="shared" ca="1" si="76"/>
        <v>1551034.2441025439</v>
      </c>
      <c r="AP66" s="37">
        <f t="shared" ca="1" si="76"/>
        <v>1736621.12372675</v>
      </c>
      <c r="AQ66" s="37">
        <f t="shared" ca="1" si="76"/>
        <v>1939099.4867352589</v>
      </c>
      <c r="AR66" s="37">
        <f t="shared" ca="1" si="76"/>
        <v>2158663.9525468391</v>
      </c>
      <c r="AS66" s="37">
        <f t="shared" ca="1" si="76"/>
        <v>2394905.719762404</v>
      </c>
      <c r="AT66" s="37">
        <f t="shared" ca="1" si="76"/>
        <v>2648506.3240546053</v>
      </c>
      <c r="AU66" s="37">
        <f t="shared" ca="1" si="76"/>
        <v>2920183.6574167907</v>
      </c>
      <c r="AV66" s="37" t="e">
        <f t="shared" ca="1" si="76"/>
        <v>#N/A</v>
      </c>
      <c r="AW66" s="37" t="e">
        <f t="shared" ca="1" si="76"/>
        <v>#N/A</v>
      </c>
      <c r="AX66" s="37" t="e">
        <f t="shared" ca="1" si="76"/>
        <v>#N/A</v>
      </c>
      <c r="BA66" t="str">
        <f t="shared" si="57"/>
        <v>TotalCommercial</v>
      </c>
      <c r="BB66" s="1" t="s">
        <v>60</v>
      </c>
      <c r="BC66" s="1" t="s">
        <v>59</v>
      </c>
      <c r="BD66" s="149">
        <f t="shared" ca="1" si="53"/>
        <v>20582463.5897673</v>
      </c>
      <c r="BE66" s="37">
        <f t="shared" ca="1" si="77"/>
        <v>1729788.5731559228</v>
      </c>
      <c r="BF66" s="37">
        <f t="shared" ca="1" si="77"/>
        <v>3744705.9670813074</v>
      </c>
      <c r="BG66" s="37">
        <f t="shared" ca="1" si="77"/>
        <v>6140510.3146031592</v>
      </c>
      <c r="BH66" s="37">
        <f t="shared" ca="1" si="77"/>
        <v>8967458.7349269092</v>
      </c>
      <c r="BI66" s="37">
        <f t="shared" ca="1" si="77"/>
        <v>12271386.122174682</v>
      </c>
      <c r="BJ66" s="37">
        <f t="shared" ca="1" si="77"/>
        <v>16092951.14738627</v>
      </c>
      <c r="BK66" s="37">
        <f t="shared" ca="1" si="77"/>
        <v>20468536.44162713</v>
      </c>
      <c r="BL66" s="37">
        <f t="shared" ca="1" si="77"/>
        <v>25418158.848319821</v>
      </c>
      <c r="BM66" s="37">
        <f t="shared" ca="1" si="77"/>
        <v>30997593.065211937</v>
      </c>
      <c r="BN66" s="37">
        <f t="shared" ca="1" si="77"/>
        <v>37066610.413561888</v>
      </c>
      <c r="BO66" s="37">
        <f t="shared" ca="1" si="78"/>
        <v>40214233.705633357</v>
      </c>
      <c r="BP66" s="37">
        <f t="shared" ca="1" si="78"/>
        <v>43561588.333109692</v>
      </c>
      <c r="BQ66" s="37">
        <f t="shared" ca="1" si="78"/>
        <v>47275401.750039823</v>
      </c>
      <c r="BR66" s="37">
        <f t="shared" ca="1" si="78"/>
        <v>51209468.319760948</v>
      </c>
      <c r="BS66" s="37">
        <f t="shared" ca="1" si="78"/>
        <v>55353197.831213921</v>
      </c>
      <c r="BT66" s="37">
        <f t="shared" ca="1" si="78"/>
        <v>59709981.333331421</v>
      </c>
      <c r="BU66" s="37">
        <f t="shared" ca="1" si="78"/>
        <v>64283958.205416143</v>
      </c>
      <c r="BV66" s="37" t="e">
        <f t="shared" ca="1" si="78"/>
        <v>#N/A</v>
      </c>
      <c r="BW66" s="37" t="e">
        <f t="shared" ca="1" si="78"/>
        <v>#N/A</v>
      </c>
      <c r="BX66" s="37" t="e">
        <f t="shared" ca="1" si="78"/>
        <v>#N/A</v>
      </c>
    </row>
    <row r="67" spans="16:76" x14ac:dyDescent="0.25">
      <c r="Q67" s="3"/>
      <c r="R67" s="54" t="s">
        <v>59</v>
      </c>
      <c r="S67" s="56">
        <f ca="1">(S38-G38)*INDEX(Tbl_Price,MATCH(S66,Tbl_Product,0),MATCH($Y67,Tbl_PriceType,0))</f>
        <v>2742791363.4989505</v>
      </c>
      <c r="T67" s="56">
        <f ca="1">(T38-H38)*INDEX(Tbl_Price,MATCH(T66,Tbl_Product,0),MATCH($Y67,Tbl_PriceType,0))</f>
        <v>94105819.000585616</v>
      </c>
      <c r="U67" s="56">
        <f ca="1">(U38-I38)*INDEX(Tbl_Price,MATCH(U66,Tbl_Product,0),MATCH($Y67,Tbl_PriceType,0))</f>
        <v>729671069.30161655</v>
      </c>
      <c r="V67" s="56">
        <f ca="1">(V38-J38)*INDEX(Tbl_Price,MATCH(V66,Tbl_Product,0),MATCH($Y67,Tbl_PriceType,0))</f>
        <v>1191805466.881562</v>
      </c>
      <c r="W67" s="56">
        <f ca="1">(W38-K38)*INDEX(Tbl_Price,MATCH(W66,Tbl_Product,0),MATCH($Y67,Tbl_PriceType,0))</f>
        <v>34182346271.068977</v>
      </c>
      <c r="X67" s="57">
        <f ca="1">SUM(S67:W67)</f>
        <v>38940719989.751694</v>
      </c>
      <c r="Y67" t="s">
        <v>98</v>
      </c>
      <c r="AC67" s="6"/>
    </row>
    <row r="68" spans="16:76" ht="15.75" thickBot="1" x14ac:dyDescent="0.3">
      <c r="AD68" t="s">
        <v>99</v>
      </c>
      <c r="BC68" t="s">
        <v>42</v>
      </c>
    </row>
    <row r="69" spans="16:76" ht="15.75" thickBot="1" x14ac:dyDescent="0.3">
      <c r="P69" t="s">
        <v>93</v>
      </c>
      <c r="R69" s="50" t="s">
        <v>90</v>
      </c>
      <c r="S69" s="9" t="s">
        <v>12</v>
      </c>
      <c r="T69" s="9" t="s">
        <v>16</v>
      </c>
      <c r="U69" s="9" t="s">
        <v>23</v>
      </c>
      <c r="V69" s="9" t="s">
        <v>22</v>
      </c>
      <c r="W69" s="9" t="s">
        <v>25</v>
      </c>
      <c r="X69" s="52" t="s">
        <v>60</v>
      </c>
      <c r="AD69" s="49" t="s">
        <v>50</v>
      </c>
      <c r="AE69" s="9">
        <f>Yr_Start</f>
        <v>2019</v>
      </c>
      <c r="AF69" s="9" t="s">
        <v>34</v>
      </c>
      <c r="AG69" s="10" t="s">
        <v>35</v>
      </c>
      <c r="AK69" s="50" t="s">
        <v>50</v>
      </c>
      <c r="AL69" s="51">
        <f>Yr_Start</f>
        <v>2019</v>
      </c>
      <c r="AM69" s="51" t="s">
        <v>34</v>
      </c>
      <c r="AN69" s="52" t="s">
        <v>35</v>
      </c>
      <c r="BC69" s="49" t="s">
        <v>50</v>
      </c>
      <c r="BE69" s="9">
        <f>Yr_Start</f>
        <v>2019</v>
      </c>
      <c r="BF69" s="9" t="s">
        <v>34</v>
      </c>
      <c r="BG69" s="10" t="s">
        <v>35</v>
      </c>
      <c r="BI69" s="9" t="s">
        <v>50</v>
      </c>
      <c r="BJ69" s="9">
        <f>Yr_Start</f>
        <v>2019</v>
      </c>
      <c r="BK69" s="9" t="s">
        <v>34</v>
      </c>
      <c r="BL69" s="9" t="s">
        <v>35</v>
      </c>
    </row>
    <row r="70" spans="16:76" x14ac:dyDescent="0.25">
      <c r="Q70" s="3"/>
      <c r="R70" s="54" t="s">
        <v>59</v>
      </c>
      <c r="S70" s="60">
        <f ca="1">(S38-G38)*INDEX(Tbl_Price,MATCH(S69,Tbl_Product,0),MATCH($Y70,Tbl_PriceType,0))</f>
        <v>761886.48986081965</v>
      </c>
      <c r="T70" s="60">
        <f ca="1">(T38-H38)*INDEX(Tbl_Price,MATCH(T69,Tbl_Product,0),MATCH($Y70,Tbl_PriceType,0))</f>
        <v>26140.505277940447</v>
      </c>
      <c r="U70" s="60">
        <f ca="1">(U38-I38)*INDEX(Tbl_Price,MATCH(U69,Tbl_Product,0),MATCH($Y70,Tbl_PriceType,0))</f>
        <v>202686.4081393379</v>
      </c>
      <c r="V70" s="60">
        <f ca="1">(V38-J38)*INDEX(Tbl_Price,MATCH(V69,Tbl_Product,0),MATCH($Y70,Tbl_PriceType,0))</f>
        <v>331057.07413376722</v>
      </c>
      <c r="W70" s="60">
        <f ca="1">(W38-K38)*INDEX(Tbl_Price,MATCH(W69,Tbl_Product,0),MATCH($Y70,Tbl_PriceType,0))</f>
        <v>9495096.1864080504</v>
      </c>
      <c r="X70" s="61">
        <f ca="1">SUM(S70:W70)</f>
        <v>10816866.663819917</v>
      </c>
      <c r="Y70" t="s">
        <v>100</v>
      </c>
      <c r="AC70" t="s">
        <v>52</v>
      </c>
      <c r="AD70" s="54" t="s">
        <v>51</v>
      </c>
      <c r="AE70" s="37">
        <f t="shared" ref="AE70:AF74" ca="1" si="80">INDEX($AB$3:$AX$33,MATCH("Total"&amp;$AC70,$AB$3:$AB$33,0),MATCH(AE$77,$AB$3:$AX$3,0))</f>
        <v>1771040.0393091775</v>
      </c>
      <c r="AF70" s="37">
        <f t="shared" ca="1" si="80"/>
        <v>2429313.7171857511</v>
      </c>
      <c r="AG70" s="37">
        <f ca="1">INDEX($AB$36:$AX$66,MATCH("Total"&amp;$AC70,$AB$36:$AB$66,0),MATCH(AG$77,$AB$36:$AX$36,0))</f>
        <v>2242652.1324291201</v>
      </c>
      <c r="AK70" s="8" t="s">
        <v>51</v>
      </c>
      <c r="AL70" s="14">
        <f t="shared" ref="AL70:AM74" ca="1" si="81">AE70/AE$76</f>
        <v>0.5966996387005451</v>
      </c>
      <c r="AM70" s="14">
        <f t="shared" ca="1" si="81"/>
        <v>0.63512009950861192</v>
      </c>
      <c r="AN70" s="14">
        <f ca="1">AG70/AF$76</f>
        <v>0.58631927010301166</v>
      </c>
      <c r="BB70" t="s">
        <v>52</v>
      </c>
      <c r="BC70" s="54" t="s">
        <v>51</v>
      </c>
      <c r="BE70" s="37">
        <f t="shared" ref="BE70:BF74" ca="1" si="82">INDEX($BA$3:$BX$33,MATCH("Total"&amp;$BB70,$BA$3:$BA$33,0),MATCH(BE$77,$BA$3:$BX$3,0))</f>
        <v>20110324.078921448</v>
      </c>
      <c r="BF70" s="37">
        <f t="shared" ca="1" si="82"/>
        <v>26936945.070681028</v>
      </c>
      <c r="BG70" s="46">
        <f ca="1">INDEX($BA$36:$BX$66,MATCH("Total"&amp;$BB70,$BA$36:$BA$66,0),MATCH(BG$77,$BA$36:$BX$36,0))</f>
        <v>24690814.601907279</v>
      </c>
      <c r="BI70" s="47" t="s">
        <v>51</v>
      </c>
      <c r="BJ70" s="14">
        <f t="shared" ref="BJ70:BK74" ca="1" si="83">BE70/BE$76</f>
        <v>0.4791127707430588</v>
      </c>
      <c r="BK70" s="14">
        <f t="shared" ca="1" si="83"/>
        <v>0.51839196427611678</v>
      </c>
      <c r="BL70" s="14">
        <f ca="1">BG70/BF$76</f>
        <v>0.47516597919604175</v>
      </c>
    </row>
    <row r="71" spans="16:76" x14ac:dyDescent="0.25">
      <c r="AC71" t="s">
        <v>54</v>
      </c>
      <c r="AD71" s="81" t="s">
        <v>53</v>
      </c>
      <c r="AE71" s="37">
        <f t="shared" ca="1" si="80"/>
        <v>122959.04079012171</v>
      </c>
      <c r="AF71" s="37">
        <f t="shared" ca="1" si="80"/>
        <v>167884.57832093042</v>
      </c>
      <c r="AG71" s="37">
        <f ca="1">INDEX($AB$36:$AX$66,MATCH("Total"&amp;$AC71,$AB$36:$AB$66,0),MATCH(AG$77,$AB$36:$AX$36,0))</f>
        <v>150417.6202233863</v>
      </c>
      <c r="AK71" s="8" t="s">
        <v>53</v>
      </c>
      <c r="AL71" s="14">
        <f t="shared" ca="1" si="81"/>
        <v>4.1427417554630898E-2</v>
      </c>
      <c r="AM71" s="14">
        <f t="shared" ca="1" si="81"/>
        <v>4.3891766359707977E-2</v>
      </c>
      <c r="AN71" s="14">
        <f t="shared" ref="AN71:AN75" ca="1" si="84">AG71/AF$76</f>
        <v>3.9325202524602962E-2</v>
      </c>
      <c r="BB71" t="s">
        <v>54</v>
      </c>
      <c r="BC71" s="81" t="s">
        <v>53</v>
      </c>
      <c r="BE71" s="37">
        <f t="shared" ca="1" si="82"/>
        <v>2878833.4931425466</v>
      </c>
      <c r="BF71" s="37">
        <f t="shared" ca="1" si="82"/>
        <v>2896681.8251890838</v>
      </c>
      <c r="BG71" s="46">
        <f ca="1">INDEX($BA$36:$BX$66,MATCH("Total"&amp;$BB71,$BA$36:$BA$66,0),MATCH(BG$77,$BA$36:$BX$36,0))</f>
        <v>2350341.540913912</v>
      </c>
      <c r="BI71" s="74" t="s">
        <v>53</v>
      </c>
      <c r="BJ71" s="14">
        <f t="shared" ca="1" si="83"/>
        <v>6.8585960424831574E-2</v>
      </c>
      <c r="BK71" s="14">
        <f t="shared" ca="1" si="83"/>
        <v>5.5745615447577251E-2</v>
      </c>
      <c r="BL71" s="14">
        <f t="shared" ref="BL71:BL75" ca="1" si="85">BG71/BF$76</f>
        <v>4.523149024201184E-2</v>
      </c>
    </row>
    <row r="72" spans="16:76" ht="15.75" thickBot="1" x14ac:dyDescent="0.3">
      <c r="P72" s="3" t="s">
        <v>101</v>
      </c>
      <c r="AC72" t="s">
        <v>56</v>
      </c>
      <c r="AD72" s="81" t="s">
        <v>55</v>
      </c>
      <c r="AE72" s="37">
        <f t="shared" ca="1" si="80"/>
        <v>929624.90942062414</v>
      </c>
      <c r="AF72" s="37">
        <f t="shared" ca="1" si="80"/>
        <v>1038091.1062086012</v>
      </c>
      <c r="AG72" s="37">
        <f ca="1">INDEX($AB$36:$AX$66,MATCH("Total"&amp;$AC72,$AB$36:$AB$66,0),MATCH(AG$77,$AB$36:$AX$36,0))</f>
        <v>1004177.8353047421</v>
      </c>
      <c r="AK72" s="8" t="s">
        <v>55</v>
      </c>
      <c r="AL72" s="14">
        <f t="shared" ca="1" si="81"/>
        <v>0.31320965944659596</v>
      </c>
      <c r="AM72" s="14">
        <f t="shared" ca="1" si="81"/>
        <v>0.27139867609935336</v>
      </c>
      <c r="AN72" s="14">
        <f t="shared" ca="1" si="84"/>
        <v>0.2625323860690672</v>
      </c>
      <c r="BB72" t="s">
        <v>56</v>
      </c>
      <c r="BC72" s="81" t="s">
        <v>55</v>
      </c>
      <c r="BE72" s="37">
        <f t="shared" ca="1" si="82"/>
        <v>16820791.668835033</v>
      </c>
      <c r="BF72" s="37">
        <f t="shared" ca="1" si="82"/>
        <v>20056345.695618346</v>
      </c>
      <c r="BG72" s="46">
        <f ca="1">INDEX($BA$36:$BX$66,MATCH("Total"&amp;$BB72,$BA$36:$BA$66,0),MATCH(BG$77,$BA$36:$BX$36,0))</f>
        <v>15961034.183872461</v>
      </c>
      <c r="BI72" s="74" t="s">
        <v>55</v>
      </c>
      <c r="BJ72" s="14">
        <f t="shared" ca="1" si="83"/>
        <v>0.40074222926095848</v>
      </c>
      <c r="BK72" s="14">
        <f t="shared" ca="1" si="83"/>
        <v>0.38597726706095159</v>
      </c>
      <c r="BL72" s="14">
        <f t="shared" ca="1" si="85"/>
        <v>0.30716444796338976</v>
      </c>
    </row>
    <row r="73" spans="16:76" ht="15.75" thickBot="1" x14ac:dyDescent="0.3">
      <c r="R73" s="50" t="s">
        <v>102</v>
      </c>
      <c r="S73" s="9" t="s">
        <v>103</v>
      </c>
      <c r="T73" s="9" t="s">
        <v>104</v>
      </c>
      <c r="AC73" t="s">
        <v>57</v>
      </c>
      <c r="AD73" s="81" t="s">
        <v>288</v>
      </c>
      <c r="AE73" s="37">
        <f t="shared" ca="1" si="80"/>
        <v>4432.1975270107005</v>
      </c>
      <c r="AF73" s="37">
        <f t="shared" ca="1" si="80"/>
        <v>3.2249642270142274E-13</v>
      </c>
      <c r="AG73" s="37">
        <f ca="1">INDEX($AB$36:$AX$66,MATCH("Total"&amp;$AC73,$AB$36:$AB$66,0),MATCH(AG$77,$AB$36:$AX$36,0))</f>
        <v>3.2249642270142274E-13</v>
      </c>
      <c r="AK73" s="81" t="s">
        <v>288</v>
      </c>
      <c r="AL73" s="14">
        <f t="shared" ca="1" si="81"/>
        <v>1.4932980645927906E-3</v>
      </c>
      <c r="AM73" s="14">
        <f t="shared" ca="1" si="81"/>
        <v>8.4313507402649585E-20</v>
      </c>
      <c r="AN73" s="14">
        <f t="shared" ca="1" si="84"/>
        <v>8.4313507402649585E-20</v>
      </c>
      <c r="BB73" t="s">
        <v>57</v>
      </c>
      <c r="BC73" s="81" t="s">
        <v>288</v>
      </c>
      <c r="BE73" s="37">
        <f t="shared" ca="1" si="82"/>
        <v>434355.35764704866</v>
      </c>
      <c r="BF73" s="37">
        <f t="shared" ca="1" si="82"/>
        <v>3.1604649424739429E-11</v>
      </c>
      <c r="BG73" s="46">
        <f ca="1">INDEX($BA$36:$BX$66,MATCH("Total"&amp;$BB73,$BA$36:$BA$66,0),MATCH(BG$77,$BA$36:$BX$36,0))</f>
        <v>3.1604649424739429E-11</v>
      </c>
      <c r="BI73" s="81" t="s">
        <v>288</v>
      </c>
      <c r="BJ73" s="14">
        <f t="shared" ca="1" si="83"/>
        <v>1.0348177288077338E-2</v>
      </c>
      <c r="BK73" s="14">
        <f t="shared" ca="1" si="83"/>
        <v>6.0822028082839692E-19</v>
      </c>
      <c r="BL73" s="14">
        <f t="shared" ca="1" si="85"/>
        <v>6.0822028082839692E-19</v>
      </c>
    </row>
    <row r="74" spans="16:76" x14ac:dyDescent="0.25">
      <c r="R74" s="153">
        <f ca="1">X57</f>
        <v>9114342411.2927608</v>
      </c>
      <c r="S74" s="153">
        <f>'Financial Settings'!T3</f>
        <v>113590.8</v>
      </c>
      <c r="T74" s="80">
        <f ca="1">R74/S74</f>
        <v>80238.385602467461</v>
      </c>
      <c r="AC74" t="s">
        <v>59</v>
      </c>
      <c r="AD74" s="8" t="s">
        <v>58</v>
      </c>
      <c r="AE74" s="37">
        <f t="shared" ca="1" si="80"/>
        <v>140003.32638940171</v>
      </c>
      <c r="AF74" s="37">
        <f t="shared" ca="1" si="80"/>
        <v>189678.06359607261</v>
      </c>
      <c r="AG74" s="37">
        <f ca="1">INDEX($AB$36:$AX$66,MATCH("Total"&amp;$AC74,$AB$36:$AB$66,0),MATCH(AG$77,$AB$36:$AX$36,0))</f>
        <v>429505.87586879893</v>
      </c>
      <c r="AK74" s="8" t="s">
        <v>58</v>
      </c>
      <c r="AL74" s="14">
        <f t="shared" ca="1" si="81"/>
        <v>4.7169986233635115E-2</v>
      </c>
      <c r="AM74" s="14">
        <f t="shared" ca="1" si="81"/>
        <v>4.9589458032326734E-2</v>
      </c>
      <c r="AN74" s="14">
        <f t="shared" ca="1" si="84"/>
        <v>0.11229007299120565</v>
      </c>
      <c r="BB74" t="s">
        <v>59</v>
      </c>
      <c r="BC74" s="8" t="s">
        <v>58</v>
      </c>
      <c r="BE74" s="37">
        <f t="shared" ca="1" si="82"/>
        <v>1729788.5731559228</v>
      </c>
      <c r="BF74" s="37">
        <f t="shared" ca="1" si="82"/>
        <v>2072532.4760733303</v>
      </c>
      <c r="BG74" s="46">
        <f ca="1">INDEX($BA$36:$BX$66,MATCH("Total"&amp;$BB74,$BA$36:$BA$66,0),MATCH(BG$77,$BA$36:$BX$36,0))</f>
        <v>8967458.7349269092</v>
      </c>
      <c r="BI74" s="8" t="s">
        <v>58</v>
      </c>
      <c r="BJ74" s="14">
        <f t="shared" ca="1" si="83"/>
        <v>4.1210862283073885E-2</v>
      </c>
      <c r="BK74" s="14">
        <f t="shared" ca="1" si="83"/>
        <v>3.988515321535438E-2</v>
      </c>
      <c r="BL74" s="14">
        <f t="shared" ca="1" si="85"/>
        <v>0.17257556623314052</v>
      </c>
    </row>
    <row r="75" spans="16:76" x14ac:dyDescent="0.25">
      <c r="AD75" s="150" t="s">
        <v>104</v>
      </c>
      <c r="AE75" s="151">
        <v>0</v>
      </c>
      <c r="AF75" s="151">
        <v>0</v>
      </c>
      <c r="AG75" s="151">
        <f ca="1">T74</f>
        <v>80238.385602467461</v>
      </c>
      <c r="AK75" s="150" t="s">
        <v>104</v>
      </c>
      <c r="AL75" s="151">
        <v>0</v>
      </c>
      <c r="AM75" s="151">
        <v>0</v>
      </c>
      <c r="AN75" s="14">
        <f t="shared" ca="1" si="84"/>
        <v>2.0977534143793299E-2</v>
      </c>
      <c r="BC75" s="150" t="s">
        <v>104</v>
      </c>
      <c r="BE75" s="151">
        <v>0</v>
      </c>
      <c r="BF75" s="151">
        <v>0</v>
      </c>
      <c r="BG75" s="152">
        <f ca="1">AG75*(Results!$G$31*13+Results!$H$31*1+Results!$I$31*1+Results!$J$31*1+Results!$K$31*98)</f>
        <v>1253036.5892932517</v>
      </c>
      <c r="BI75" s="150" t="s">
        <v>104</v>
      </c>
      <c r="BJ75" s="151">
        <v>0</v>
      </c>
      <c r="BK75" s="151">
        <v>0</v>
      </c>
      <c r="BL75" s="14">
        <f t="shared" ca="1" si="85"/>
        <v>2.4114245217085863E-2</v>
      </c>
    </row>
    <row r="76" spans="16:76" ht="15.75" thickBot="1" x14ac:dyDescent="0.3">
      <c r="AD76" s="53" t="s">
        <v>60</v>
      </c>
      <c r="AE76" s="82">
        <f t="shared" ref="AE76:AF76" ca="1" si="86">SUM(AE70:AE74)</f>
        <v>2968059.5134363361</v>
      </c>
      <c r="AF76" s="82">
        <f t="shared" ca="1" si="86"/>
        <v>3824967.465311355</v>
      </c>
      <c r="AG76" s="82">
        <f ca="1">SUM(AG70:AG75)</f>
        <v>3906991.8494285149</v>
      </c>
      <c r="AK76" s="53" t="s">
        <v>60</v>
      </c>
      <c r="AL76" s="83">
        <f ca="1">SUM(AL70:AL75)</f>
        <v>0.99999999999999978</v>
      </c>
      <c r="AM76" s="83">
        <f ca="1">SUM(AM70:AM75)</f>
        <v>0.99999999999999989</v>
      </c>
      <c r="AN76" s="84">
        <f ca="1">SUM(AN70:AN75)</f>
        <v>1.0214444658316808</v>
      </c>
      <c r="BC76" s="53" t="s">
        <v>60</v>
      </c>
      <c r="BE76" s="82">
        <f t="shared" ref="BE76" ca="1" si="87">SUM(BE70:BE74)</f>
        <v>41974093.171701998</v>
      </c>
      <c r="BF76" s="82">
        <f ca="1">SUM(BF70:BF75)</f>
        <v>51962505.06756179</v>
      </c>
      <c r="BG76" s="82">
        <f ca="1">SUM(BG70:BG75)</f>
        <v>53222685.650913812</v>
      </c>
      <c r="BI76" s="48" t="s">
        <v>60</v>
      </c>
      <c r="BJ76" s="100">
        <f ca="1">SUM(BJ70:BJ74)</f>
        <v>1</v>
      </c>
      <c r="BK76" s="100">
        <f ca="1">SUM(BK69:BK74)</f>
        <v>1</v>
      </c>
      <c r="BL76" s="100">
        <f ca="1">SUM(BL70:BL75)</f>
        <v>1.0242517288516697</v>
      </c>
    </row>
    <row r="77" spans="16:76" x14ac:dyDescent="0.25">
      <c r="AE77">
        <f>Yr_Start</f>
        <v>2019</v>
      </c>
      <c r="AF77">
        <f>Yr_End</f>
        <v>2022</v>
      </c>
      <c r="AG77">
        <f>Yr_End</f>
        <v>2022</v>
      </c>
      <c r="BE77">
        <f>Yr_Start</f>
        <v>2019</v>
      </c>
      <c r="BF77">
        <f>Yr_End</f>
        <v>2022</v>
      </c>
      <c r="BG77">
        <f>Yr_End</f>
        <v>2022</v>
      </c>
    </row>
    <row r="84" spans="30:40" x14ac:dyDescent="0.25">
      <c r="AD84" s="90"/>
      <c r="AE84" s="90"/>
      <c r="AF84" s="90"/>
      <c r="AG84" s="90"/>
      <c r="AK84" s="90"/>
      <c r="AL84" s="90"/>
      <c r="AM84" s="90"/>
      <c r="AN84" s="90"/>
    </row>
    <row r="85" spans="30:40" x14ac:dyDescent="0.25">
      <c r="AE85" s="40"/>
      <c r="AF85" s="40"/>
      <c r="AG85" s="40"/>
      <c r="AL85" s="132"/>
      <c r="AM85" s="132"/>
      <c r="AN85" s="132"/>
    </row>
    <row r="86" spans="30:40" x14ac:dyDescent="0.25">
      <c r="AE86" s="40"/>
      <c r="AF86" s="40"/>
      <c r="AG86" s="40"/>
      <c r="AL86" s="132"/>
      <c r="AM86" s="132"/>
      <c r="AN86" s="132"/>
    </row>
    <row r="87" spans="30:40" x14ac:dyDescent="0.25">
      <c r="AE87" s="40"/>
      <c r="AF87" s="40"/>
      <c r="AG87" s="40"/>
      <c r="AL87" s="132"/>
      <c r="AM87" s="132"/>
      <c r="AN87" s="132"/>
    </row>
    <row r="88" spans="30:40" x14ac:dyDescent="0.25">
      <c r="AE88" s="40"/>
      <c r="AF88" s="40"/>
      <c r="AG88" s="40"/>
      <c r="AL88" s="132"/>
      <c r="AM88" s="132"/>
      <c r="AN88" s="132"/>
    </row>
    <row r="89" spans="30:40" x14ac:dyDescent="0.25">
      <c r="AE89" s="40"/>
      <c r="AF89" s="40"/>
      <c r="AG89" s="40"/>
      <c r="AL89" s="132"/>
      <c r="AM89" s="132"/>
      <c r="AN89" s="132"/>
    </row>
    <row r="90" spans="30:40" x14ac:dyDescent="0.25">
      <c r="AG90" s="147"/>
      <c r="AN90" s="132"/>
    </row>
    <row r="91" spans="30:40" x14ac:dyDescent="0.25">
      <c r="AD91" s="6"/>
      <c r="AE91" s="40"/>
      <c r="AF91" s="40"/>
      <c r="AG91" s="40"/>
      <c r="AK91" s="6"/>
      <c r="AL91" s="75"/>
      <c r="AM91" s="75"/>
      <c r="AN91" s="75"/>
    </row>
  </sheetData>
  <pageMargins left="0.7" right="0.7" top="0.75" bottom="0.75" header="0.3" footer="0.3"/>
  <pageSetup orientation="portrait" r:id="rId1"/>
  <ignoredErrors>
    <ignoredError sqref="G9:K9 S9:W9 G24:K24 S24:W2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5:G25"/>
  <sheetViews>
    <sheetView workbookViewId="0">
      <selection activeCell="D33" sqref="D33"/>
    </sheetView>
  </sheetViews>
  <sheetFormatPr defaultRowHeight="15" x14ac:dyDescent="0.25"/>
  <cols>
    <col min="2" max="2" width="30.42578125" customWidth="1"/>
    <col min="5" max="5" width="11.5703125" bestFit="1" customWidth="1"/>
    <col min="8" max="8" width="28.28515625" customWidth="1"/>
  </cols>
  <sheetData>
    <row r="5" spans="2:7" x14ac:dyDescent="0.25">
      <c r="E5" s="3"/>
    </row>
    <row r="6" spans="2:7" x14ac:dyDescent="0.25">
      <c r="E6" s="26"/>
    </row>
    <row r="7" spans="2:7" x14ac:dyDescent="0.25">
      <c r="E7" s="26"/>
    </row>
    <row r="8" spans="2:7" ht="15.75" thickBot="1" x14ac:dyDescent="0.3"/>
    <row r="9" spans="2:7" x14ac:dyDescent="0.25">
      <c r="B9" s="461" t="s">
        <v>105</v>
      </c>
      <c r="C9" s="462"/>
      <c r="D9" s="462"/>
      <c r="E9" s="462"/>
      <c r="F9" s="462"/>
      <c r="G9" s="463"/>
    </row>
    <row r="10" spans="2:7" x14ac:dyDescent="0.25">
      <c r="B10" s="8"/>
      <c r="C10" s="13">
        <f>Yr_DHS1</f>
        <v>2011</v>
      </c>
      <c r="D10" s="13">
        <f>Yr_DHS2</f>
        <v>2016</v>
      </c>
      <c r="E10" s="13" t="s">
        <v>106</v>
      </c>
      <c r="F10" s="13">
        <f>Yr_Start</f>
        <v>2019</v>
      </c>
      <c r="G10" s="18">
        <f>Yr_End</f>
        <v>2022</v>
      </c>
    </row>
    <row r="11" spans="2:7" x14ac:dyDescent="0.25">
      <c r="B11" s="16" t="s">
        <v>12</v>
      </c>
      <c r="C11" s="14">
        <f t="array" ref="C11">IFERROR(INDEX(#REF!,MATCH(Parameters!$B11&amp;Parameters!C$10,#REF!&amp;#REF!,0),MATCH("National",#REF!,0)),0)</f>
        <v>0</v>
      </c>
      <c r="D11" s="14">
        <f t="array" ref="D11">IFERROR(INDEX(#REF!,MATCH(Parameters!$B11&amp;Parameters!D$10,#REF!&amp;#REF!,0),MATCH("National",#REF!,0)),0)</f>
        <v>0</v>
      </c>
      <c r="E11" s="27">
        <f>(D11-C11)/($D$10-$C$10)</f>
        <v>0</v>
      </c>
      <c r="F11" s="14">
        <f>$D11+$E11*(F$10-$D$10)</f>
        <v>0</v>
      </c>
      <c r="G11" s="24">
        <f t="shared" ref="G11:G23" si="0">$D11+$E11*(G$10-$D$10)</f>
        <v>0</v>
      </c>
    </row>
    <row r="12" spans="2:7" x14ac:dyDescent="0.25">
      <c r="B12" s="16" t="s">
        <v>16</v>
      </c>
      <c r="C12" s="14">
        <f t="array" ref="C12">IFERROR(INDEX(#REF!,MATCH(Parameters!$B12&amp;Parameters!C$10,#REF!&amp;#REF!,0),MATCH("National",#REF!,0)),0)</f>
        <v>0</v>
      </c>
      <c r="D12" s="14">
        <f t="array" ref="D12">IFERROR(INDEX(#REF!,MATCH(Parameters!$B12&amp;Parameters!D$10,#REF!&amp;#REF!,0),MATCH("National",#REF!,0)),0)</f>
        <v>0</v>
      </c>
      <c r="E12" s="27">
        <f t="shared" ref="E12:E23" si="1">(D12-C12)/($D$10-$C$10)</f>
        <v>0</v>
      </c>
      <c r="F12" s="14">
        <f t="shared" ref="F12:F23" si="2">$D12+$E12*(F$10-$D$10)</f>
        <v>0</v>
      </c>
      <c r="G12" s="24">
        <f t="shared" si="0"/>
        <v>0</v>
      </c>
    </row>
    <row r="13" spans="2:7" x14ac:dyDescent="0.25">
      <c r="B13" s="16" t="s">
        <v>107</v>
      </c>
      <c r="C13" s="14">
        <f t="array" ref="C13">IFERROR(INDEX(#REF!,MATCH(Parameters!$B13&amp;Parameters!C$10,#REF!&amp;#REF!,0),MATCH("National",#REF!,0)),0)</f>
        <v>0</v>
      </c>
      <c r="D13" s="14">
        <f t="array" ref="D13">IFERROR(INDEX(#REF!,MATCH(Parameters!$B13&amp;Parameters!D$10,#REF!&amp;#REF!,0),MATCH("National",#REF!,0)),0)</f>
        <v>0</v>
      </c>
      <c r="E13" s="27">
        <f t="shared" si="1"/>
        <v>0</v>
      </c>
      <c r="F13" s="14">
        <f t="shared" si="2"/>
        <v>0</v>
      </c>
      <c r="G13" s="24">
        <f t="shared" si="0"/>
        <v>0</v>
      </c>
    </row>
    <row r="14" spans="2:7" x14ac:dyDescent="0.25">
      <c r="B14" s="16" t="s">
        <v>25</v>
      </c>
      <c r="C14" s="14">
        <f t="array" ref="C14">IFERROR(INDEX(#REF!,MATCH(Parameters!$B14&amp;Parameters!C$10,#REF!&amp;#REF!,0),MATCH("National",#REF!,0)),0)</f>
        <v>0</v>
      </c>
      <c r="D14" s="14">
        <f t="array" ref="D14">IFERROR(INDEX(#REF!,MATCH(Parameters!$B14&amp;Parameters!D$10,#REF!&amp;#REF!,0),MATCH("National",#REF!,0)),0)</f>
        <v>0</v>
      </c>
      <c r="E14" s="27">
        <f t="shared" si="1"/>
        <v>0</v>
      </c>
      <c r="F14" s="14">
        <f t="shared" si="2"/>
        <v>0</v>
      </c>
      <c r="G14" s="24">
        <f t="shared" si="0"/>
        <v>0</v>
      </c>
    </row>
    <row r="15" spans="2:7" x14ac:dyDescent="0.25">
      <c r="B15" s="16" t="s">
        <v>108</v>
      </c>
      <c r="C15" s="14">
        <f t="array" ref="C15">IFERROR(INDEX(#REF!,MATCH(Parameters!$B15&amp;Parameters!C$10,#REF!&amp;#REF!,0),MATCH("National",#REF!,0)),0)</f>
        <v>0</v>
      </c>
      <c r="D15" s="14">
        <f t="array" ref="D15">IFERROR(INDEX(#REF!,MATCH(Parameters!$B15&amp;Parameters!D$10,#REF!&amp;#REF!,0),MATCH("National",#REF!,0)),0)</f>
        <v>0</v>
      </c>
      <c r="E15" s="27">
        <f t="shared" si="1"/>
        <v>0</v>
      </c>
      <c r="F15" s="14">
        <f t="shared" si="2"/>
        <v>0</v>
      </c>
      <c r="G15" s="24">
        <f>$D15+$E15*(G$10-$D$10)</f>
        <v>0</v>
      </c>
    </row>
    <row r="16" spans="2:7" x14ac:dyDescent="0.25">
      <c r="B16" s="16" t="s">
        <v>109</v>
      </c>
      <c r="C16" s="14">
        <f t="array" ref="C16">IFERROR(INDEX(#REF!,MATCH(Parameters!$B16&amp;Parameters!C$10,#REF!&amp;#REF!,0),MATCH("National",#REF!,0)),0)</f>
        <v>0</v>
      </c>
      <c r="D16" s="14">
        <f t="array" ref="D16">IFERROR(INDEX(#REF!,MATCH(Parameters!$B16&amp;Parameters!D$10,#REF!&amp;#REF!,0),MATCH("National",#REF!,0)),0)</f>
        <v>0</v>
      </c>
      <c r="E16" s="27">
        <f t="shared" si="1"/>
        <v>0</v>
      </c>
      <c r="F16" s="14">
        <f t="shared" si="2"/>
        <v>0</v>
      </c>
      <c r="G16" s="24">
        <f t="shared" si="0"/>
        <v>0</v>
      </c>
    </row>
    <row r="17" spans="2:7" x14ac:dyDescent="0.25">
      <c r="B17" s="16" t="s">
        <v>110</v>
      </c>
      <c r="C17" s="14">
        <f t="array" ref="C17">IFERROR(INDEX(#REF!,MATCH(Parameters!$B17&amp;Parameters!C$10,#REF!&amp;#REF!,0),MATCH("National",#REF!,0)),0)</f>
        <v>0</v>
      </c>
      <c r="D17" s="14">
        <f t="array" ref="D17">IFERROR(INDEX(#REF!,MATCH(Parameters!$B17&amp;Parameters!D$10,#REF!&amp;#REF!,0),MATCH("National",#REF!,0)),0)</f>
        <v>0</v>
      </c>
      <c r="E17" s="27">
        <f t="shared" si="1"/>
        <v>0</v>
      </c>
      <c r="F17" s="14">
        <f t="shared" si="2"/>
        <v>0</v>
      </c>
      <c r="G17" s="24">
        <f t="shared" si="0"/>
        <v>0</v>
      </c>
    </row>
    <row r="18" spans="2:7" x14ac:dyDescent="0.25">
      <c r="B18" s="16" t="s">
        <v>111</v>
      </c>
      <c r="C18" s="14">
        <f t="array" ref="C18">IFERROR(INDEX(#REF!,MATCH(Parameters!$B18&amp;Parameters!C$10,#REF!&amp;#REF!,0),MATCH("National",#REF!,0)),0)</f>
        <v>0</v>
      </c>
      <c r="D18" s="14">
        <f t="array" ref="D18">IFERROR(INDEX(#REF!,MATCH(Parameters!$B18&amp;Parameters!D$10,#REF!&amp;#REF!,0),MATCH("National",#REF!,0)),0)</f>
        <v>0</v>
      </c>
      <c r="E18" s="27">
        <f t="shared" si="1"/>
        <v>0</v>
      </c>
      <c r="F18" s="14">
        <f t="shared" si="2"/>
        <v>0</v>
      </c>
      <c r="G18" s="24">
        <f t="shared" si="0"/>
        <v>0</v>
      </c>
    </row>
    <row r="19" spans="2:7" x14ac:dyDescent="0.25">
      <c r="B19" s="16" t="s">
        <v>112</v>
      </c>
      <c r="C19" s="14">
        <f t="array" ref="C19">IFERROR(INDEX(#REF!,MATCH(Parameters!$B19&amp;Parameters!C$10,#REF!&amp;#REF!,0),MATCH("National",#REF!,0)),0)</f>
        <v>0</v>
      </c>
      <c r="D19" s="14">
        <f t="array" ref="D19">IFERROR(INDEX(#REF!,MATCH(Parameters!$B19&amp;Parameters!D$10,#REF!&amp;#REF!,0),MATCH("National",#REF!,0)),0)</f>
        <v>0</v>
      </c>
      <c r="E19" s="27">
        <f t="shared" si="1"/>
        <v>0</v>
      </c>
      <c r="F19" s="14">
        <f t="shared" si="2"/>
        <v>0</v>
      </c>
      <c r="G19" s="24">
        <f t="shared" si="0"/>
        <v>0</v>
      </c>
    </row>
    <row r="20" spans="2:7" x14ac:dyDescent="0.25">
      <c r="B20" s="16" t="s">
        <v>113</v>
      </c>
      <c r="C20" s="14">
        <f t="array" ref="C20">IFERROR(INDEX(#REF!,MATCH(Parameters!$B20&amp;Parameters!C$10,#REF!&amp;#REF!,0),MATCH("National",#REF!,0)),0)</f>
        <v>0</v>
      </c>
      <c r="D20" s="14">
        <f t="array" ref="D20">IFERROR(INDEX(#REF!,MATCH(Parameters!$B20&amp;Parameters!D$10,#REF!&amp;#REF!,0),MATCH("National",#REF!,0)),0)</f>
        <v>0</v>
      </c>
      <c r="E20" s="27">
        <f t="shared" si="1"/>
        <v>0</v>
      </c>
      <c r="F20" s="14">
        <f t="shared" si="2"/>
        <v>0</v>
      </c>
      <c r="G20" s="24">
        <f t="shared" si="0"/>
        <v>0</v>
      </c>
    </row>
    <row r="21" spans="2:7" x14ac:dyDescent="0.25">
      <c r="B21" s="16" t="s">
        <v>114</v>
      </c>
      <c r="C21" s="14">
        <f t="array" ref="C21">IFERROR(INDEX(#REF!,MATCH(Parameters!$B21&amp;Parameters!C$10,#REF!&amp;#REF!,0),MATCH("National",#REF!,0)),0)</f>
        <v>0</v>
      </c>
      <c r="D21" s="14">
        <f t="array" ref="D21">IFERROR(INDEX(#REF!,MATCH(Parameters!$B21&amp;Parameters!D$10,#REF!&amp;#REF!,0),MATCH("National",#REF!,0)),0)</f>
        <v>0</v>
      </c>
      <c r="E21" s="27">
        <f t="shared" si="1"/>
        <v>0</v>
      </c>
      <c r="F21" s="14">
        <f t="shared" si="2"/>
        <v>0</v>
      </c>
      <c r="G21" s="24">
        <f t="shared" si="0"/>
        <v>0</v>
      </c>
    </row>
    <row r="22" spans="2:7" x14ac:dyDescent="0.25">
      <c r="B22" s="16" t="s">
        <v>115</v>
      </c>
      <c r="C22" s="14">
        <f t="array" ref="C22">IFERROR(INDEX(#REF!,MATCH(Parameters!$B22&amp;Parameters!C$10,#REF!&amp;#REF!,0),MATCH("National",#REF!,0)),0)</f>
        <v>0</v>
      </c>
      <c r="D22" s="14">
        <f t="array" ref="D22">IFERROR(INDEX(#REF!,MATCH(Parameters!$B22&amp;Parameters!D$10,#REF!&amp;#REF!,0),MATCH("National",#REF!,0)),0)</f>
        <v>0</v>
      </c>
      <c r="E22" s="27">
        <f t="shared" si="1"/>
        <v>0</v>
      </c>
      <c r="F22" s="14">
        <f t="shared" si="2"/>
        <v>0</v>
      </c>
      <c r="G22" s="24">
        <f t="shared" si="0"/>
        <v>0</v>
      </c>
    </row>
    <row r="23" spans="2:7" ht="15.75" thickBot="1" x14ac:dyDescent="0.3">
      <c r="B23" s="17" t="s">
        <v>116</v>
      </c>
      <c r="C23" s="19">
        <f t="array" ref="C23">IFERROR(INDEX(#REF!,MATCH(Parameters!$B23&amp;Parameters!C$10,#REF!&amp;#REF!,0),MATCH("National",#REF!,0)),0)</f>
        <v>0</v>
      </c>
      <c r="D23" s="19">
        <f t="array" ref="D23">IFERROR(INDEX(#REF!,MATCH(Parameters!$B23&amp;Parameters!D$10,#REF!&amp;#REF!,0),MATCH("National",#REF!,0)),0)</f>
        <v>0</v>
      </c>
      <c r="E23" s="28">
        <f t="shared" si="1"/>
        <v>0</v>
      </c>
      <c r="F23" s="19">
        <f t="shared" si="2"/>
        <v>0</v>
      </c>
      <c r="G23" s="25">
        <f t="shared" si="0"/>
        <v>0</v>
      </c>
    </row>
    <row r="24" spans="2:7" x14ac:dyDescent="0.25">
      <c r="B24" s="20" t="s">
        <v>117</v>
      </c>
      <c r="C24" s="21">
        <f>SUM(C11:C23)</f>
        <v>0</v>
      </c>
      <c r="D24" s="21">
        <f>SUM(D11:D23)</f>
        <v>0</v>
      </c>
      <c r="E24" s="29">
        <f>(D24-C24)/($D$10-$C$10)</f>
        <v>0</v>
      </c>
      <c r="F24" s="31">
        <f t="shared" ref="F24:G24" si="3">SUM(F11:F23)</f>
        <v>0</v>
      </c>
      <c r="G24" s="32">
        <f t="shared" si="3"/>
        <v>0</v>
      </c>
    </row>
    <row r="25" spans="2:7" ht="15.75" thickBot="1" x14ac:dyDescent="0.3">
      <c r="B25" s="22" t="s">
        <v>118</v>
      </c>
      <c r="C25" s="23">
        <f>SUM(C11:C20)</f>
        <v>0</v>
      </c>
      <c r="D25" s="23">
        <f>SUM(D11:D20)</f>
        <v>0</v>
      </c>
      <c r="E25" s="30">
        <f>(D25-C25)/($D$10-$C$10)</f>
        <v>0</v>
      </c>
      <c r="F25" s="33">
        <f t="shared" ref="F25:G25" si="4">SUM(F11:F20)</f>
        <v>0</v>
      </c>
      <c r="G25" s="34">
        <f t="shared" si="4"/>
        <v>0</v>
      </c>
    </row>
  </sheetData>
  <mergeCells count="1">
    <mergeCell ref="B9:G9"/>
  </mergeCells>
  <pageMargins left="0.7" right="0.7" top="0.75" bottom="0.75" header="0.3" footer="0.3"/>
  <pageSetup orientation="portrait" horizont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E35"/>
  <sheetViews>
    <sheetView workbookViewId="0">
      <selection activeCell="G25" sqref="G25"/>
    </sheetView>
  </sheetViews>
  <sheetFormatPr defaultRowHeight="15" outlineLevelCol="1" x14ac:dyDescent="0.25"/>
  <cols>
    <col min="1" max="1" width="13" customWidth="1"/>
    <col min="2" max="2" width="11.42578125" customWidth="1"/>
    <col min="3" max="3" width="11.28515625" customWidth="1"/>
    <col min="4" max="4" width="18.42578125" hidden="1" customWidth="1" outlineLevel="1"/>
    <col min="5" max="5" width="16.28515625" customWidth="1" collapsed="1"/>
    <col min="6" max="6" width="17.28515625" customWidth="1"/>
    <col min="7" max="7" width="12.28515625" customWidth="1"/>
    <col min="8" max="8" width="13.5703125" customWidth="1"/>
    <col min="9" max="9" width="16.140625" customWidth="1"/>
    <col min="10" max="10" width="12.7109375" customWidth="1"/>
    <col min="11" max="11" width="12.28515625" customWidth="1"/>
    <col min="12" max="12" width="3.28515625" customWidth="1"/>
    <col min="13" max="13" width="13.5703125" customWidth="1"/>
    <col min="14" max="14" width="10.42578125" customWidth="1"/>
    <col min="15" max="15" width="2.85546875" customWidth="1"/>
    <col min="16" max="17" width="9.140625" customWidth="1"/>
  </cols>
  <sheetData>
    <row r="1" spans="1:31" x14ac:dyDescent="0.25">
      <c r="A1" s="6" t="s">
        <v>119</v>
      </c>
    </row>
    <row r="2" spans="1:31" s="204" customFormat="1" x14ac:dyDescent="0.25">
      <c r="A2" s="203" t="s">
        <v>120</v>
      </c>
    </row>
    <row r="3" spans="1:31" x14ac:dyDescent="0.25">
      <c r="A3" s="138" t="s">
        <v>18</v>
      </c>
      <c r="B3" s="137"/>
      <c r="C3" s="136"/>
      <c r="D3" s="136"/>
      <c r="E3" s="136"/>
      <c r="F3" s="136"/>
      <c r="G3" s="136"/>
      <c r="H3" s="136"/>
    </row>
    <row r="4" spans="1:31" ht="15.75" thickBot="1" x14ac:dyDescent="0.3">
      <c r="A4" s="138"/>
      <c r="B4" s="137"/>
      <c r="C4" s="136"/>
      <c r="D4" s="136"/>
      <c r="E4" s="138">
        <f>Yr_End</f>
        <v>2022</v>
      </c>
      <c r="F4" s="136"/>
      <c r="G4" s="136"/>
    </row>
    <row r="5" spans="1:31" ht="30.75" customHeight="1" thickBot="1" x14ac:dyDescent="0.3">
      <c r="A5" s="1"/>
      <c r="B5" s="198">
        <f>Yr_DHS1</f>
        <v>2011</v>
      </c>
      <c r="C5" s="198">
        <f>Yr_DHS2</f>
        <v>2016</v>
      </c>
      <c r="D5" s="199" t="s">
        <v>121</v>
      </c>
      <c r="E5" s="200" t="s">
        <v>122</v>
      </c>
      <c r="F5" s="201" t="s">
        <v>123</v>
      </c>
      <c r="G5" s="201" t="s">
        <v>124</v>
      </c>
      <c r="I5" s="240" t="s">
        <v>125</v>
      </c>
      <c r="J5" s="241"/>
      <c r="T5" s="125"/>
      <c r="U5" s="125"/>
      <c r="V5" s="125"/>
      <c r="W5" s="125"/>
      <c r="X5" s="125"/>
      <c r="Y5" s="125"/>
      <c r="Z5" s="125"/>
      <c r="AA5" s="125"/>
      <c r="AB5" s="125"/>
      <c r="AC5" s="125"/>
      <c r="AD5" s="125"/>
      <c r="AE5" s="125"/>
    </row>
    <row r="6" spans="1:31" ht="15.75" thickBot="1" x14ac:dyDescent="0.3">
      <c r="A6" s="202" t="s">
        <v>12</v>
      </c>
      <c r="B6" s="133">
        <f>INDEX(mcpr_breakdown_raw!$1:$1048576,MATCH(Dashboard!$D$4&amp;B$5&amp;$A6,mcpr_breakdown_raw!$A:$A,0),5)</f>
        <v>2.14734E-2</v>
      </c>
      <c r="C6" s="133">
        <f>INDEX(mcpr_breakdown_raw!$1:$1048576,MATCH(Dashboard!$D$4&amp;C$5&amp;$A6,mcpr_breakdown_raw!$A:$A,0),5)</f>
        <v>1.52281E-2</v>
      </c>
      <c r="D6" s="167">
        <f t="shared" ref="D6:D11" si="0">($C6-$B6)/($C$5-$B$5)</f>
        <v>-1.2490600000000002E-3</v>
      </c>
      <c r="E6" s="166">
        <f>IF('User Settings'!$N$7="On",$C6+$D6*($E$4-$C$5),$C6)</f>
        <v>7.7337399999999985E-3</v>
      </c>
      <c r="F6" s="133">
        <f>IF(Dashboard!$I$7="Input Method Mix",INDEX(Dashboard!$H$13:$I$17,MATCH($A6,Dashboard!$H$13:$H$17,0),2),$E6/$E$11*$F$11)</f>
        <v>0.08</v>
      </c>
      <c r="G6" s="135">
        <f>IF(Dashboard!$I$4="Yes",F6/E6,1)</f>
        <v>1</v>
      </c>
      <c r="I6" s="239" t="s">
        <v>126</v>
      </c>
      <c r="J6" s="85">
        <f>INDEX(DHS_Years!$1:$1048576,MATCH(Dashboard!$D$4,DHS_Years!$A:$A,0),MATCH($I6,DHS_Years!$3:$3,0))</f>
        <v>2016</v>
      </c>
      <c r="L6" s="164"/>
      <c r="M6" s="88"/>
      <c r="N6" s="88"/>
      <c r="O6" s="162"/>
      <c r="T6" s="26"/>
      <c r="U6" s="26"/>
      <c r="V6" s="26"/>
      <c r="W6" s="26"/>
      <c r="X6" s="26"/>
      <c r="Y6" s="26"/>
      <c r="Z6" s="26"/>
      <c r="AA6" s="26"/>
      <c r="AB6" s="26"/>
      <c r="AC6" s="26"/>
      <c r="AD6" s="26"/>
      <c r="AE6" s="26"/>
    </row>
    <row r="7" spans="1:31" ht="15.75" thickBot="1" x14ac:dyDescent="0.3">
      <c r="A7" s="202" t="s">
        <v>16</v>
      </c>
      <c r="B7" s="133">
        <f>INDEX(mcpr_breakdown_raw!$1:$1048576,MATCH(Dashboard!$D$4&amp;B$5&amp;$A7,mcpr_breakdown_raw!$A:$A,0),5)</f>
        <v>3.5544999999999999E-3</v>
      </c>
      <c r="C7" s="133">
        <f>INDEX(mcpr_breakdown_raw!$1:$1048576,MATCH(Dashboard!$D$4&amp;C$5&amp;$A7,mcpr_breakdown_raw!$A:$A,0),5)</f>
        <v>1.1222599999999999E-2</v>
      </c>
      <c r="D7" s="167">
        <f t="shared" si="0"/>
        <v>1.5336199999999999E-3</v>
      </c>
      <c r="E7" s="166">
        <f>IF('User Settings'!$N$7="On",$C7+$D7*($E$4-$C$5),$C7)</f>
        <v>2.0424319999999999E-2</v>
      </c>
      <c r="F7" s="133">
        <f>IF(Dashboard!$I$7="Input Method Mix",INDEX(Dashboard!$H$13:$I$17,MATCH($A7,Dashboard!$H$13:$H$17,0),2),$E7/$E$11*$F$11)</f>
        <v>0.04</v>
      </c>
      <c r="G7" s="135">
        <f>IF(Dashboard!$I$4="Yes",F7/E7,1)</f>
        <v>1</v>
      </c>
      <c r="I7" s="197" t="s">
        <v>127</v>
      </c>
      <c r="J7" s="211">
        <f>INDEX(DHS_Years!$1:$1048576,MATCH(Dashboard!$D$4,DHS_Years!$A:$A,0),MATCH($I7,DHS_Years!$3:$3,0))</f>
        <v>2011</v>
      </c>
      <c r="L7" s="120"/>
      <c r="M7" s="242" t="s">
        <v>128</v>
      </c>
      <c r="N7" s="243" t="s">
        <v>129</v>
      </c>
      <c r="O7" s="195"/>
      <c r="T7" s="26"/>
      <c r="U7" s="26"/>
      <c r="V7" s="26"/>
      <c r="W7" s="26"/>
      <c r="X7" s="26"/>
      <c r="Y7" s="26"/>
      <c r="Z7" s="26"/>
      <c r="AA7" s="26"/>
      <c r="AB7" s="26"/>
      <c r="AC7" s="26"/>
      <c r="AD7" s="26"/>
      <c r="AE7" s="26"/>
    </row>
    <row r="8" spans="1:31" ht="15.75" thickBot="1" x14ac:dyDescent="0.3">
      <c r="A8" s="202" t="s">
        <v>22</v>
      </c>
      <c r="B8" s="133">
        <f>INDEX(mcpr_breakdown_raw!$1:$1048576,MATCH(Dashboard!$D$4&amp;B$5&amp;$A8,mcpr_breakdown_raw!$A:$A,0),5)</f>
        <v>0.1071018</v>
      </c>
      <c r="C8" s="133">
        <f>INDEX(mcpr_breakdown_raw!$1:$1048576,MATCH(Dashboard!$D$4&amp;C$5&amp;$A8,mcpr_breakdown_raw!$A:$A,0),5)</f>
        <v>0.13909340000000001</v>
      </c>
      <c r="D8" s="167">
        <f t="shared" si="0"/>
        <v>6.3983200000000016E-3</v>
      </c>
      <c r="E8" s="166">
        <f>IF('User Settings'!$N$7="On",$C8+$D8*($E$4-$C$5),$C8)</f>
        <v>0.17748332</v>
      </c>
      <c r="F8" s="133">
        <f>IF(Dashboard!$I$7="Input Method Mix",INDEX(Dashboard!$H$13:$I$17,MATCH($A8,Dashboard!$H$13:$H$17,0),2),$E8/$E$11*$F$11)</f>
        <v>0.1</v>
      </c>
      <c r="G8" s="135">
        <f>IF(Dashboard!$I$4="Yes",F8/E8,1)</f>
        <v>1</v>
      </c>
      <c r="L8" s="163"/>
      <c r="M8" s="193"/>
      <c r="N8" s="193"/>
      <c r="O8" s="196"/>
      <c r="T8" s="26"/>
      <c r="U8" s="26"/>
      <c r="V8" s="26"/>
      <c r="W8" s="26"/>
      <c r="X8" s="26"/>
      <c r="Y8" s="26"/>
      <c r="Z8" s="26"/>
      <c r="AA8" s="26"/>
      <c r="AB8" s="26"/>
      <c r="AC8" s="26"/>
      <c r="AD8" s="26"/>
      <c r="AE8" s="26"/>
    </row>
    <row r="9" spans="1:31" x14ac:dyDescent="0.25">
      <c r="A9" s="202" t="s">
        <v>23</v>
      </c>
      <c r="B9" s="133">
        <f>INDEX(mcpr_breakdown_raw!$1:$1048576,MATCH(Dashboard!$D$4&amp;B$5&amp;$A9,mcpr_breakdown_raw!$A:$A,0),5)</f>
        <v>1.8937099999999998E-2</v>
      </c>
      <c r="C9" s="133">
        <f>INDEX(mcpr_breakdown_raw!$1:$1048576,MATCH(Dashboard!$D$4&amp;C$5&amp;$A9,mcpr_breakdown_raw!$A:$A,0),5)</f>
        <v>4.7221100000000002E-2</v>
      </c>
      <c r="D9" s="167">
        <f t="shared" si="0"/>
        <v>5.6568000000000009E-3</v>
      </c>
      <c r="E9" s="166">
        <f>IF('User Settings'!$N$7="On",$C9+$D9*($E$4-$C$5),$C9)</f>
        <v>8.1161900000000009E-2</v>
      </c>
      <c r="F9" s="133">
        <f>IF(Dashboard!$I$7="Input Method Mix",INDEX(Dashboard!$H$13:$I$17,MATCH($A9,Dashboard!$H$13:$H$17,0),2),$E9/$E$11*$F$11)</f>
        <v>0.08</v>
      </c>
      <c r="G9" s="135">
        <f>IF(Dashboard!$I$4="Yes",F9/E9,1)</f>
        <v>1</v>
      </c>
      <c r="T9" s="26"/>
      <c r="U9" s="26"/>
      <c r="V9" s="26"/>
      <c r="W9" s="26"/>
      <c r="X9" s="26"/>
      <c r="Y9" s="26"/>
      <c r="Z9" s="26"/>
      <c r="AA9" s="26"/>
      <c r="AB9" s="26"/>
      <c r="AC9" s="26"/>
      <c r="AD9" s="26"/>
      <c r="AE9" s="26"/>
    </row>
    <row r="10" spans="1:31" x14ac:dyDescent="0.25">
      <c r="A10" s="202" t="s">
        <v>25</v>
      </c>
      <c r="B10" s="133">
        <f>INDEX(mcpr_breakdown_raw!$1:$1048576,MATCH(Dashboard!$D$4&amp;B$5&amp;$A10,mcpr_breakdown_raw!$A:$A,0),5)</f>
        <v>3.2261600000000001E-2</v>
      </c>
      <c r="C10" s="133">
        <f>INDEX(mcpr_breakdown_raw!$1:$1048576,MATCH(Dashboard!$D$4&amp;C$5&amp;$A10,mcpr_breakdown_raw!$A:$A,0),5)</f>
        <v>3.12407E-2</v>
      </c>
      <c r="D10" s="167">
        <f t="shared" si="0"/>
        <v>-2.0418000000000034E-4</v>
      </c>
      <c r="E10" s="166">
        <f>IF('User Settings'!$N$7="On",$C10+$D10*($E$4-$C$5),$C10)</f>
        <v>3.0015619999999996E-2</v>
      </c>
      <c r="F10" s="133">
        <f>IF(Dashboard!$I$7="Input Method Mix",INDEX(Dashboard!$H$13:$I$17,MATCH($A10,Dashboard!$H$13:$H$17,0),2),$E10/$E$11*$F$11)</f>
        <v>0.02</v>
      </c>
      <c r="G10" s="135">
        <f>IF(Dashboard!$I$4="Yes",F10/E10,1)</f>
        <v>1</v>
      </c>
      <c r="T10" s="26"/>
      <c r="U10" s="26"/>
      <c r="V10" s="26"/>
      <c r="W10" s="26"/>
      <c r="X10" s="26"/>
      <c r="Y10" s="26"/>
      <c r="Z10" s="26"/>
      <c r="AA10" s="26"/>
      <c r="AB10" s="26"/>
      <c r="AC10" s="26"/>
      <c r="AD10" s="26"/>
      <c r="AE10" s="26"/>
    </row>
    <row r="11" spans="1:31" x14ac:dyDescent="0.25">
      <c r="A11" s="202" t="s">
        <v>130</v>
      </c>
      <c r="B11" s="133">
        <f>SUMIFS(mcpr_breakdown_raw!$E:$E,mcpr_breakdown_raw!$B:$B,Dashboard!$D$4,mcpr_breakdown_raw!$C:$C,B$5)</f>
        <v>0.20681140000000001</v>
      </c>
      <c r="C11" s="133">
        <f>SUMIFS(mcpr_breakdown_raw!$E:$E,mcpr_breakdown_raw!$B:$B,Dashboard!$D$4,mcpr_breakdown_raw!$C:$C,C$5)</f>
        <v>0.27288370000000001</v>
      </c>
      <c r="D11" s="167">
        <f t="shared" si="0"/>
        <v>1.3214460000000001E-2</v>
      </c>
      <c r="E11" s="166">
        <f>IF('User Settings'!$N$7="On",$C11+$D11*($E$4-$C$5),$C11)</f>
        <v>0.35217046000000002</v>
      </c>
      <c r="F11" s="133" t="str">
        <f>IF(Dashboard!$I$7="Input Total mCPR",Dashboard!$I$10,"")</f>
        <v/>
      </c>
      <c r="G11" s="135"/>
      <c r="T11" s="26"/>
      <c r="U11" s="26"/>
      <c r="V11" s="26"/>
      <c r="W11" s="26"/>
      <c r="X11" s="26"/>
      <c r="Y11" s="26"/>
      <c r="Z11" s="26"/>
      <c r="AA11" s="26"/>
      <c r="AB11" s="26"/>
      <c r="AC11" s="26"/>
      <c r="AD11" s="26"/>
      <c r="AE11" s="26"/>
    </row>
    <row r="12" spans="1:31" x14ac:dyDescent="0.25">
      <c r="B12" s="121"/>
      <c r="C12" s="26"/>
      <c r="D12" s="26"/>
      <c r="E12" s="26"/>
      <c r="F12" s="26"/>
      <c r="G12" s="139"/>
      <c r="H12" s="26"/>
      <c r="I12" s="26"/>
      <c r="J12" s="26"/>
      <c r="K12" s="26"/>
      <c r="L12" s="26"/>
      <c r="M12" s="26"/>
      <c r="N12" s="26"/>
      <c r="O12" s="26"/>
      <c r="P12" s="26"/>
      <c r="Q12" s="26"/>
      <c r="R12" s="26"/>
      <c r="S12" s="26"/>
      <c r="T12" s="26"/>
      <c r="U12" s="26"/>
      <c r="V12" s="26"/>
      <c r="W12" s="26"/>
      <c r="X12" s="26"/>
      <c r="Y12" s="26"/>
      <c r="Z12" s="26"/>
    </row>
    <row r="13" spans="1:31" s="204" customFormat="1" x14ac:dyDescent="0.25">
      <c r="A13" s="203" t="s">
        <v>131</v>
      </c>
    </row>
    <row r="14" spans="1:31" x14ac:dyDescent="0.25">
      <c r="A14" s="138"/>
      <c r="B14" s="137"/>
      <c r="C14" s="136"/>
      <c r="D14" s="136"/>
      <c r="E14" s="136"/>
      <c r="F14" s="136"/>
      <c r="G14" s="136"/>
      <c r="H14" s="136"/>
    </row>
    <row r="15" spans="1:31" ht="45" x14ac:dyDescent="0.25">
      <c r="A15" s="168" t="s">
        <v>132</v>
      </c>
      <c r="B15" s="171" t="s">
        <v>13</v>
      </c>
      <c r="C15" s="171" t="s">
        <v>17</v>
      </c>
      <c r="D15" s="169" t="str">
        <f>"Adjust Method Mix in "&amp;Yr_End&amp;"?"</f>
        <v>Adjust Method Mix in 2022?</v>
      </c>
      <c r="E15" s="170" t="s">
        <v>8</v>
      </c>
      <c r="F15" s="169" t="s">
        <v>10</v>
      </c>
      <c r="G15" s="169" t="s">
        <v>18</v>
      </c>
      <c r="H15" s="194" t="s">
        <v>128</v>
      </c>
      <c r="I15" s="224" t="s">
        <v>133</v>
      </c>
      <c r="J15" s="224" t="s">
        <v>134</v>
      </c>
      <c r="K15" s="224" t="s">
        <v>135</v>
      </c>
    </row>
    <row r="16" spans="1:31" x14ac:dyDescent="0.25">
      <c r="A16" s="216" t="s">
        <v>6</v>
      </c>
      <c r="B16">
        <f>ROUNDUP(Yr_DHS2,0)</f>
        <v>2016</v>
      </c>
      <c r="C16">
        <f>Yr_Start+1</f>
        <v>2020</v>
      </c>
      <c r="D16" t="s">
        <v>7</v>
      </c>
      <c r="E16" t="s">
        <v>9</v>
      </c>
      <c r="F16" t="s">
        <v>19</v>
      </c>
      <c r="G16" t="s">
        <v>136</v>
      </c>
      <c r="H16" t="s">
        <v>129</v>
      </c>
      <c r="I16" t="s">
        <v>60</v>
      </c>
      <c r="J16">
        <v>28.69</v>
      </c>
      <c r="K16" t="s">
        <v>137</v>
      </c>
      <c r="T16" s="125"/>
      <c r="U16" s="125"/>
      <c r="V16" s="125"/>
      <c r="W16" s="125"/>
      <c r="X16" s="125"/>
      <c r="Y16" s="125"/>
      <c r="Z16" s="125"/>
      <c r="AA16" s="125"/>
      <c r="AB16" s="125"/>
      <c r="AC16" s="125"/>
      <c r="AD16" s="125"/>
      <c r="AE16" s="125"/>
    </row>
    <row r="17" spans="1:31" x14ac:dyDescent="0.25">
      <c r="A17" s="216" t="s">
        <v>138</v>
      </c>
      <c r="B17">
        <f>IF(AND(B16&lt;2035,B16&gt;0),B16+1,"-")</f>
        <v>2017</v>
      </c>
      <c r="C17">
        <f>IF(AND(C16&lt;2035,C16&gt;0),C16+1,"-")</f>
        <v>2021</v>
      </c>
      <c r="D17" t="s">
        <v>136</v>
      </c>
      <c r="E17" t="str">
        <f>IF(Dashboard!D4="Philippines","","Poverty Lines")</f>
        <v>Poverty Lines</v>
      </c>
      <c r="F17" t="s">
        <v>139</v>
      </c>
      <c r="G17" t="s">
        <v>11</v>
      </c>
      <c r="H17" t="s">
        <v>140</v>
      </c>
      <c r="I17" t="s">
        <v>12</v>
      </c>
      <c r="J17">
        <v>93.62</v>
      </c>
      <c r="K17" t="s">
        <v>141</v>
      </c>
      <c r="T17" s="26"/>
      <c r="U17" s="26"/>
      <c r="V17" s="26"/>
      <c r="W17" s="26"/>
      <c r="X17" s="26"/>
      <c r="Y17" s="26"/>
      <c r="Z17" s="26"/>
      <c r="AA17" s="26"/>
      <c r="AB17" s="26"/>
      <c r="AC17" s="26"/>
      <c r="AD17" s="26"/>
      <c r="AE17" s="26"/>
    </row>
    <row r="18" spans="1:31" x14ac:dyDescent="0.25">
      <c r="A18" s="216" t="s">
        <v>142</v>
      </c>
      <c r="B18">
        <f t="shared" ref="B18:B35" si="1">IF(AND(B17&lt;2035,B17&gt;0),B17+1,"-")</f>
        <v>2018</v>
      </c>
      <c r="C18">
        <f t="shared" ref="C18:C35" si="2">IF(AND(C17&lt;2035,C17&gt;0),C17+1,"-")</f>
        <v>2022</v>
      </c>
      <c r="D18" s="134"/>
      <c r="E18" s="134"/>
      <c r="F18" s="134"/>
      <c r="G18" s="134"/>
      <c r="H18" s="165"/>
      <c r="I18" t="s">
        <v>16</v>
      </c>
      <c r="J18">
        <v>778.36</v>
      </c>
      <c r="K18" t="s">
        <v>143</v>
      </c>
      <c r="T18" s="26"/>
      <c r="U18" s="26"/>
      <c r="V18" s="26"/>
      <c r="W18" s="26"/>
      <c r="X18" s="26"/>
      <c r="Y18" s="26"/>
      <c r="Z18" s="26"/>
      <c r="AA18" s="26"/>
      <c r="AB18" s="26"/>
      <c r="AC18" s="26"/>
      <c r="AD18" s="26"/>
      <c r="AE18" s="26"/>
    </row>
    <row r="19" spans="1:31" x14ac:dyDescent="0.25">
      <c r="A19" s="219" t="s">
        <v>144</v>
      </c>
      <c r="B19">
        <f t="shared" si="1"/>
        <v>2019</v>
      </c>
      <c r="C19">
        <f t="shared" si="2"/>
        <v>2023</v>
      </c>
      <c r="D19" s="134"/>
      <c r="E19" s="134"/>
      <c r="F19" s="134"/>
      <c r="G19" s="134"/>
      <c r="H19" s="165"/>
      <c r="I19" t="s">
        <v>22</v>
      </c>
      <c r="J19">
        <v>111.19</v>
      </c>
      <c r="K19" t="s">
        <v>145</v>
      </c>
      <c r="T19" s="26"/>
      <c r="U19" s="26"/>
      <c r="V19" s="26"/>
      <c r="W19" s="26"/>
      <c r="X19" s="26"/>
      <c r="Y19" s="26"/>
      <c r="Z19" s="26"/>
      <c r="AA19" s="26"/>
      <c r="AB19" s="26"/>
      <c r="AC19" s="26"/>
      <c r="AD19" s="26"/>
      <c r="AE19" s="26"/>
    </row>
    <row r="20" spans="1:31" x14ac:dyDescent="0.25">
      <c r="A20" s="219" t="s">
        <v>146</v>
      </c>
      <c r="B20">
        <f t="shared" si="1"/>
        <v>2020</v>
      </c>
      <c r="C20">
        <f t="shared" si="2"/>
        <v>2024</v>
      </c>
      <c r="D20" s="134"/>
      <c r="E20" s="134"/>
      <c r="F20" s="134"/>
      <c r="G20" s="134"/>
      <c r="H20" s="165"/>
      <c r="I20" t="s">
        <v>23</v>
      </c>
      <c r="J20">
        <v>157.59</v>
      </c>
      <c r="K20" t="s">
        <v>147</v>
      </c>
      <c r="T20" s="26"/>
      <c r="U20" s="26"/>
      <c r="V20" s="26"/>
      <c r="W20" s="26"/>
      <c r="X20" s="26"/>
      <c r="Y20" s="26"/>
      <c r="Z20" s="26"/>
      <c r="AA20" s="26"/>
      <c r="AB20" s="26"/>
      <c r="AC20" s="26"/>
      <c r="AD20" s="26"/>
      <c r="AE20" s="26"/>
    </row>
    <row r="21" spans="1:31" x14ac:dyDescent="0.25">
      <c r="A21" s="219" t="s">
        <v>148</v>
      </c>
      <c r="B21">
        <f t="shared" si="1"/>
        <v>2021</v>
      </c>
      <c r="C21">
        <f t="shared" si="2"/>
        <v>2025</v>
      </c>
      <c r="D21" s="134"/>
      <c r="E21" s="134"/>
      <c r="F21" s="134"/>
      <c r="G21" s="134"/>
      <c r="H21" s="165"/>
      <c r="I21" t="s">
        <v>25</v>
      </c>
      <c r="J21">
        <v>51.51</v>
      </c>
      <c r="K21" t="s">
        <v>149</v>
      </c>
      <c r="T21" s="26"/>
      <c r="U21" s="26"/>
      <c r="V21" s="26"/>
      <c r="W21" s="26"/>
      <c r="X21" s="26"/>
      <c r="Y21" s="26"/>
      <c r="Z21" s="26"/>
      <c r="AA21" s="26"/>
      <c r="AB21" s="26"/>
      <c r="AC21" s="26"/>
      <c r="AD21" s="26"/>
      <c r="AE21" s="26"/>
    </row>
    <row r="22" spans="1:31" x14ac:dyDescent="0.25">
      <c r="A22" t="s">
        <v>150</v>
      </c>
      <c r="B22">
        <f t="shared" si="1"/>
        <v>2022</v>
      </c>
      <c r="C22">
        <f t="shared" si="2"/>
        <v>2026</v>
      </c>
      <c r="D22" s="134"/>
      <c r="E22" s="134"/>
      <c r="F22" s="134"/>
      <c r="G22" s="134"/>
      <c r="H22" s="165"/>
      <c r="J22">
        <v>577.03</v>
      </c>
      <c r="K22" t="s">
        <v>151</v>
      </c>
      <c r="T22" s="26"/>
      <c r="U22" s="26"/>
      <c r="V22" s="26"/>
      <c r="W22" s="26"/>
      <c r="X22" s="26"/>
      <c r="Y22" s="26"/>
      <c r="Z22" s="26"/>
      <c r="AA22" s="26"/>
      <c r="AB22" s="26"/>
      <c r="AC22" s="26"/>
      <c r="AD22" s="26"/>
      <c r="AE22" s="26"/>
    </row>
    <row r="23" spans="1:31" x14ac:dyDescent="0.25">
      <c r="A23" s="219" t="s">
        <v>152</v>
      </c>
      <c r="B23">
        <f t="shared" si="1"/>
        <v>2023</v>
      </c>
      <c r="C23">
        <f t="shared" si="2"/>
        <v>2027</v>
      </c>
      <c r="J23">
        <v>2298.6</v>
      </c>
      <c r="K23" t="s">
        <v>153</v>
      </c>
    </row>
    <row r="24" spans="1:31" x14ac:dyDescent="0.25">
      <c r="A24" t="s">
        <v>154</v>
      </c>
      <c r="B24">
        <f t="shared" si="1"/>
        <v>2024</v>
      </c>
      <c r="C24">
        <f t="shared" si="2"/>
        <v>2028</v>
      </c>
      <c r="J24">
        <v>3715.5</v>
      </c>
      <c r="K24" t="s">
        <v>63</v>
      </c>
    </row>
    <row r="25" spans="1:31" x14ac:dyDescent="0.25">
      <c r="B25">
        <f t="shared" si="1"/>
        <v>2025</v>
      </c>
      <c r="C25">
        <f t="shared" si="2"/>
        <v>2029</v>
      </c>
    </row>
    <row r="26" spans="1:31" x14ac:dyDescent="0.25">
      <c r="B26">
        <f t="shared" si="1"/>
        <v>2026</v>
      </c>
      <c r="C26">
        <f t="shared" si="2"/>
        <v>2030</v>
      </c>
    </row>
    <row r="27" spans="1:31" x14ac:dyDescent="0.25">
      <c r="B27">
        <f t="shared" si="1"/>
        <v>2027</v>
      </c>
      <c r="C27">
        <f t="shared" si="2"/>
        <v>2031</v>
      </c>
    </row>
    <row r="28" spans="1:31" x14ac:dyDescent="0.25">
      <c r="B28">
        <f t="shared" si="1"/>
        <v>2028</v>
      </c>
      <c r="C28">
        <f t="shared" si="2"/>
        <v>2032</v>
      </c>
    </row>
    <row r="29" spans="1:31" x14ac:dyDescent="0.25">
      <c r="B29">
        <f t="shared" si="1"/>
        <v>2029</v>
      </c>
      <c r="C29">
        <f t="shared" si="2"/>
        <v>2033</v>
      </c>
    </row>
    <row r="30" spans="1:31" x14ac:dyDescent="0.25">
      <c r="B30">
        <f t="shared" si="1"/>
        <v>2030</v>
      </c>
      <c r="C30">
        <f t="shared" si="2"/>
        <v>2034</v>
      </c>
    </row>
    <row r="31" spans="1:31" x14ac:dyDescent="0.25">
      <c r="B31">
        <f t="shared" si="1"/>
        <v>2031</v>
      </c>
      <c r="C31">
        <f t="shared" si="2"/>
        <v>2035</v>
      </c>
    </row>
    <row r="32" spans="1:31" x14ac:dyDescent="0.25">
      <c r="B32">
        <f t="shared" si="1"/>
        <v>2032</v>
      </c>
      <c r="C32" t="str">
        <f t="shared" si="2"/>
        <v>-</v>
      </c>
    </row>
    <row r="33" spans="2:3" x14ac:dyDescent="0.25">
      <c r="B33">
        <f t="shared" si="1"/>
        <v>2033</v>
      </c>
      <c r="C33" t="str">
        <f t="shared" si="2"/>
        <v>-</v>
      </c>
    </row>
    <row r="34" spans="2:3" x14ac:dyDescent="0.25">
      <c r="B34">
        <f t="shared" si="1"/>
        <v>2034</v>
      </c>
      <c r="C34" t="str">
        <f t="shared" si="2"/>
        <v>-</v>
      </c>
    </row>
    <row r="35" spans="2:3" x14ac:dyDescent="0.25">
      <c r="B35">
        <f t="shared" si="1"/>
        <v>2035</v>
      </c>
      <c r="C35" t="str">
        <f t="shared" si="2"/>
        <v>-</v>
      </c>
    </row>
  </sheetData>
  <dataValidations count="1">
    <dataValidation type="list" allowBlank="1" showInputMessage="1" showErrorMessage="1" sqref="N7">
      <formula1>$H$16:$H$17</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BO25"/>
  <sheetViews>
    <sheetView workbookViewId="0">
      <selection activeCell="N13" sqref="N13"/>
    </sheetView>
  </sheetViews>
  <sheetFormatPr defaultRowHeight="15" outlineLevelRow="1" outlineLevelCol="1" x14ac:dyDescent="0.25"/>
  <cols>
    <col min="1" max="1" width="2.7109375" style="78" customWidth="1"/>
    <col min="2" max="2" width="14.140625" customWidth="1"/>
    <col min="3" max="4" width="10.7109375" customWidth="1"/>
    <col min="5" max="5" width="2.7109375" style="78" customWidth="1"/>
    <col min="6" max="6" width="20.42578125" customWidth="1"/>
    <col min="7" max="7" width="11.140625" customWidth="1"/>
    <col min="8" max="8" width="11.7109375" hidden="1" customWidth="1" outlineLevel="1"/>
    <col min="9" max="9" width="14.7109375" customWidth="1" collapsed="1"/>
    <col min="10" max="10" width="13.42578125" customWidth="1"/>
    <col min="11" max="11" width="13.7109375" hidden="1" customWidth="1" outlineLevel="1"/>
    <col min="12" max="12" width="14.7109375" customWidth="1" collapsed="1"/>
    <col min="13" max="13" width="2.7109375" style="78" customWidth="1"/>
    <col min="14" max="14" width="16.85546875" customWidth="1"/>
    <col min="15" max="15" width="10.7109375" customWidth="1"/>
    <col min="16" max="16" width="10.7109375" hidden="1" customWidth="1" outlineLevel="1"/>
    <col min="17" max="17" width="14.7109375" customWidth="1" collapsed="1"/>
    <col min="18" max="18" width="3.140625" style="78" customWidth="1"/>
    <col min="19" max="19" width="14.5703125" customWidth="1"/>
    <col min="20" max="20" width="9" hidden="1" customWidth="1" outlineLevel="1"/>
    <col min="21" max="21" width="16.85546875" customWidth="1" collapsed="1"/>
    <col min="22" max="23" width="2.140625" style="78" customWidth="1"/>
    <col min="24" max="24" width="23.5703125" hidden="1" customWidth="1" outlineLevel="1"/>
    <col min="25" max="25" width="3.5703125" hidden="1" customWidth="1" outlineLevel="1"/>
    <col min="26" max="26" width="5.5703125" style="78" bestFit="1" customWidth="1" collapsed="1"/>
    <col min="27" max="67" width="9.140625" style="78"/>
  </cols>
  <sheetData>
    <row r="1" spans="1:67" s="427" customFormat="1" ht="30" customHeight="1" thickBot="1" x14ac:dyDescent="0.35">
      <c r="A1" s="289" t="s">
        <v>155</v>
      </c>
      <c r="B1" s="425" t="str">
        <f>"Country of Application: "&amp;Dashboard!D4</f>
        <v>Country of Application: Uganda</v>
      </c>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426"/>
      <c r="AD1" s="426"/>
    </row>
    <row r="2" spans="1:67" s="78" customFormat="1" ht="61.5" customHeight="1" x14ac:dyDescent="0.3">
      <c r="B2" s="418" t="s">
        <v>156</v>
      </c>
      <c r="C2" s="419"/>
      <c r="D2" s="416"/>
      <c r="E2" s="290"/>
      <c r="F2" s="414" t="s">
        <v>278</v>
      </c>
      <c r="G2" s="415"/>
      <c r="H2" s="415"/>
      <c r="I2" s="416"/>
      <c r="J2" s="417"/>
      <c r="K2" s="413"/>
      <c r="L2" s="413"/>
      <c r="M2" s="290"/>
      <c r="N2" s="408" t="s">
        <v>279</v>
      </c>
      <c r="O2" s="409"/>
      <c r="P2" s="410"/>
      <c r="Q2" s="411"/>
      <c r="R2" s="378"/>
      <c r="S2" s="412" t="s">
        <v>157</v>
      </c>
      <c r="T2" s="413"/>
      <c r="U2" s="413"/>
      <c r="V2" s="290"/>
      <c r="W2" s="290"/>
      <c r="X2" s="290"/>
      <c r="Y2" s="290"/>
      <c r="Z2" s="290"/>
      <c r="AA2" s="290"/>
      <c r="AB2" s="290"/>
      <c r="AC2" s="290"/>
      <c r="AD2" s="290"/>
    </row>
    <row r="3" spans="1:67" s="2" customFormat="1" ht="16.5" thickBot="1" x14ac:dyDescent="0.35">
      <c r="A3" s="87"/>
      <c r="B3" s="379" t="s">
        <v>158</v>
      </c>
      <c r="C3" s="380">
        <v>3600</v>
      </c>
      <c r="D3" s="381" t="str">
        <f>VLOOKUP(Dashboard!$D$4,'User Settings'!$A$15:$K$24,11,FALSE)</f>
        <v>UGX</v>
      </c>
      <c r="E3" s="378"/>
      <c r="F3" s="382"/>
      <c r="G3" s="383" t="s">
        <v>159</v>
      </c>
      <c r="H3" s="384"/>
      <c r="I3" s="385"/>
      <c r="J3" s="386" t="s">
        <v>55</v>
      </c>
      <c r="K3" s="387"/>
      <c r="L3" s="388"/>
      <c r="M3" s="290"/>
      <c r="N3" s="389"/>
      <c r="O3" s="386" t="s">
        <v>59</v>
      </c>
      <c r="P3" s="387"/>
      <c r="Q3" s="388"/>
      <c r="R3" s="290"/>
      <c r="S3" s="390">
        <v>31.553000000000001</v>
      </c>
      <c r="T3" s="391">
        <f>S3*ExchRate</f>
        <v>113590.8</v>
      </c>
      <c r="U3" s="392" t="str">
        <f>ROUND(T3,2)&amp;" "&amp;$D$3</f>
        <v>113590.8 UGX</v>
      </c>
      <c r="V3" s="378"/>
      <c r="W3" s="378"/>
      <c r="X3" s="393"/>
      <c r="Y3" s="393"/>
      <c r="Z3" s="290"/>
      <c r="AA3" s="378"/>
      <c r="AB3" s="378"/>
      <c r="AC3" s="378"/>
      <c r="AD3" s="378"/>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row>
    <row r="4" spans="1:67" ht="15.75" x14ac:dyDescent="0.3">
      <c r="B4" s="290"/>
      <c r="C4" s="290"/>
      <c r="D4" s="394"/>
      <c r="E4" s="290"/>
      <c r="F4" s="395" t="s">
        <v>12</v>
      </c>
      <c r="G4" s="396">
        <v>0.38157000000000002</v>
      </c>
      <c r="H4" s="397">
        <f t="shared" ref="H4:H9" si="0">G4*ExchRate</f>
        <v>1373.652</v>
      </c>
      <c r="I4" s="392" t="str">
        <f t="shared" ref="I4:I9" si="1">ROUND(H4,2)&amp;" "&amp;$D$3</f>
        <v>1373.65 UGX</v>
      </c>
      <c r="J4" s="398">
        <v>0.30525600000000003</v>
      </c>
      <c r="K4" s="397">
        <f t="shared" ref="K4:K9" si="2">J4*ExchRate</f>
        <v>1098.9216000000001</v>
      </c>
      <c r="L4" s="392" t="str">
        <f t="shared" ref="L4:L9" si="3">ROUND(K4,2)&amp;" "&amp;$D$3</f>
        <v>1098.92 UGX</v>
      </c>
      <c r="M4" s="290"/>
      <c r="N4" s="399" t="s">
        <v>12</v>
      </c>
      <c r="O4" s="398">
        <v>0.83333333333333337</v>
      </c>
      <c r="P4" s="397">
        <f t="shared" ref="P4:P9" si="4">O4*ExchRate</f>
        <v>3000</v>
      </c>
      <c r="Q4" s="392" t="str">
        <f t="shared" ref="Q4:Q9" si="5">ROUND(P4,2)&amp;" "&amp;$D$3</f>
        <v>3000 UGX</v>
      </c>
      <c r="R4" s="290"/>
      <c r="S4" s="290"/>
      <c r="T4" s="290"/>
      <c r="U4" s="290"/>
      <c r="V4" s="290"/>
      <c r="W4" s="290"/>
      <c r="X4" s="373"/>
      <c r="Y4" s="373"/>
      <c r="Z4" s="290"/>
      <c r="AA4" s="290"/>
      <c r="AB4" s="290"/>
      <c r="AC4" s="290"/>
      <c r="AD4" s="290"/>
    </row>
    <row r="5" spans="1:67" ht="15.75" x14ac:dyDescent="0.3">
      <c r="B5" s="290"/>
      <c r="C5" s="290"/>
      <c r="D5" s="394"/>
      <c r="E5" s="290"/>
      <c r="F5" s="400" t="s">
        <v>16</v>
      </c>
      <c r="G5" s="396">
        <v>0.96599999999999997</v>
      </c>
      <c r="H5" s="397">
        <f t="shared" si="0"/>
        <v>3477.6</v>
      </c>
      <c r="I5" s="392" t="str">
        <f t="shared" si="1"/>
        <v>3477.6 UGX</v>
      </c>
      <c r="J5" s="398">
        <v>0.77280000000000004</v>
      </c>
      <c r="K5" s="397">
        <f t="shared" si="2"/>
        <v>2782.08</v>
      </c>
      <c r="L5" s="392" t="str">
        <f t="shared" si="3"/>
        <v>2782.08 UGX</v>
      </c>
      <c r="M5" s="290"/>
      <c r="N5" s="399" t="s">
        <v>16</v>
      </c>
      <c r="O5" s="398">
        <v>2.7777777777777777</v>
      </c>
      <c r="P5" s="397">
        <f t="shared" si="4"/>
        <v>10000</v>
      </c>
      <c r="Q5" s="392" t="str">
        <f t="shared" si="5"/>
        <v>10000 UGX</v>
      </c>
      <c r="R5" s="290"/>
      <c r="S5" s="290"/>
      <c r="T5" s="290"/>
      <c r="U5" s="290"/>
      <c r="V5" s="290"/>
      <c r="W5" s="290"/>
      <c r="X5" s="290"/>
      <c r="Y5" s="290"/>
      <c r="Z5" s="290"/>
      <c r="AA5" s="290"/>
      <c r="AB5" s="290"/>
      <c r="AC5" s="290"/>
      <c r="AD5" s="290"/>
    </row>
    <row r="6" spans="1:67" ht="15.75" x14ac:dyDescent="0.3">
      <c r="B6" s="290"/>
      <c r="C6" s="290"/>
      <c r="D6" s="290"/>
      <c r="E6" s="290"/>
      <c r="F6" s="400" t="s">
        <v>22</v>
      </c>
      <c r="G6" s="396">
        <v>1.2075</v>
      </c>
      <c r="H6" s="397">
        <f t="shared" si="0"/>
        <v>4347</v>
      </c>
      <c r="I6" s="392" t="str">
        <f t="shared" si="1"/>
        <v>4347 UGX</v>
      </c>
      <c r="J6" s="398">
        <v>0.96600000000000008</v>
      </c>
      <c r="K6" s="397">
        <f t="shared" si="2"/>
        <v>3477.6000000000004</v>
      </c>
      <c r="L6" s="392" t="str">
        <f t="shared" si="3"/>
        <v>3477.6 UGX</v>
      </c>
      <c r="M6" s="290"/>
      <c r="N6" s="399" t="s">
        <v>22</v>
      </c>
      <c r="O6" s="398">
        <v>0.55555555555555558</v>
      </c>
      <c r="P6" s="397">
        <f t="shared" si="4"/>
        <v>2000</v>
      </c>
      <c r="Q6" s="392" t="str">
        <f t="shared" si="5"/>
        <v>2000 UGX</v>
      </c>
      <c r="R6" s="290"/>
      <c r="S6" s="290"/>
      <c r="T6" s="290"/>
      <c r="U6" s="290"/>
      <c r="V6" s="290"/>
      <c r="W6" s="290"/>
      <c r="X6" s="290"/>
      <c r="Y6" s="290"/>
      <c r="Z6" s="290"/>
      <c r="AA6" s="290"/>
      <c r="AB6" s="290"/>
      <c r="AC6" s="290"/>
      <c r="AD6" s="290"/>
    </row>
    <row r="7" spans="1:67" ht="15" customHeight="1" x14ac:dyDescent="0.3">
      <c r="B7" s="290"/>
      <c r="C7" s="290"/>
      <c r="D7" s="290"/>
      <c r="E7" s="290"/>
      <c r="F7" s="400" t="s">
        <v>23</v>
      </c>
      <c r="G7" s="396">
        <v>13.685</v>
      </c>
      <c r="H7" s="397">
        <f t="shared" si="0"/>
        <v>49266</v>
      </c>
      <c r="I7" s="392" t="str">
        <f t="shared" si="1"/>
        <v>49266 UGX</v>
      </c>
      <c r="J7" s="398">
        <v>10.948</v>
      </c>
      <c r="K7" s="397">
        <f t="shared" si="2"/>
        <v>39412.800000000003</v>
      </c>
      <c r="L7" s="392" t="str">
        <f t="shared" si="3"/>
        <v>39412.8 UGX</v>
      </c>
      <c r="M7" s="290"/>
      <c r="N7" s="399" t="s">
        <v>23</v>
      </c>
      <c r="O7" s="398">
        <v>2.7777777777777777</v>
      </c>
      <c r="P7" s="397">
        <f t="shared" si="4"/>
        <v>10000</v>
      </c>
      <c r="Q7" s="392" t="str">
        <f t="shared" si="5"/>
        <v>10000 UGX</v>
      </c>
      <c r="R7" s="290"/>
      <c r="S7" s="290"/>
      <c r="T7" s="290"/>
      <c r="U7" s="290"/>
      <c r="V7" s="290"/>
      <c r="W7" s="290"/>
      <c r="X7" s="290"/>
      <c r="Y7" s="290"/>
      <c r="Z7" s="290"/>
      <c r="AA7" s="290"/>
      <c r="AB7" s="290"/>
      <c r="AC7" s="290"/>
      <c r="AD7" s="290"/>
    </row>
    <row r="8" spans="1:67" ht="15.75" x14ac:dyDescent="0.3">
      <c r="B8" s="290"/>
      <c r="C8" s="290"/>
      <c r="D8" s="290"/>
      <c r="E8" s="378"/>
      <c r="F8" s="400" t="s">
        <v>25</v>
      </c>
      <c r="G8" s="396">
        <v>4.8300000000000003E-2</v>
      </c>
      <c r="H8" s="397">
        <f t="shared" si="0"/>
        <v>173.88</v>
      </c>
      <c r="I8" s="392" t="str">
        <f t="shared" si="1"/>
        <v>173.88 UGX</v>
      </c>
      <c r="J8" s="398">
        <v>3.8640000000000008E-2</v>
      </c>
      <c r="K8" s="397">
        <f t="shared" si="2"/>
        <v>139.10400000000004</v>
      </c>
      <c r="L8" s="392" t="str">
        <f t="shared" si="3"/>
        <v>139.1 UGX</v>
      </c>
      <c r="M8" s="290"/>
      <c r="N8" s="399" t="s">
        <v>25</v>
      </c>
      <c r="O8" s="398">
        <v>0.83333333333333337</v>
      </c>
      <c r="P8" s="397">
        <f t="shared" si="4"/>
        <v>3000</v>
      </c>
      <c r="Q8" s="392" t="str">
        <f t="shared" si="5"/>
        <v>3000 UGX</v>
      </c>
      <c r="R8" s="290"/>
      <c r="S8" s="290"/>
      <c r="T8" s="290"/>
      <c r="U8" s="290"/>
      <c r="V8" s="290"/>
      <c r="W8" s="290"/>
      <c r="X8" s="290"/>
      <c r="Y8" s="290"/>
      <c r="Z8" s="290"/>
      <c r="AA8" s="290"/>
      <c r="AB8" s="290"/>
      <c r="AC8" s="290"/>
      <c r="AD8" s="290"/>
    </row>
    <row r="9" spans="1:67" ht="16.5" thickBot="1" x14ac:dyDescent="0.35">
      <c r="B9" s="290"/>
      <c r="C9" s="290"/>
      <c r="D9" s="290"/>
      <c r="E9" s="290"/>
      <c r="F9" s="379" t="s">
        <v>160</v>
      </c>
      <c r="G9" s="401">
        <v>0.96599999999999997</v>
      </c>
      <c r="H9" s="402">
        <f t="shared" si="0"/>
        <v>3477.6</v>
      </c>
      <c r="I9" s="392" t="str">
        <f t="shared" si="1"/>
        <v>3477.6 UGX</v>
      </c>
      <c r="J9" s="403">
        <v>0.77280000000000004</v>
      </c>
      <c r="K9" s="402">
        <f t="shared" si="2"/>
        <v>2782.08</v>
      </c>
      <c r="L9" s="392" t="str">
        <f t="shared" si="3"/>
        <v>2782.08 UGX</v>
      </c>
      <c r="M9" s="290"/>
      <c r="N9" s="404" t="s">
        <v>160</v>
      </c>
      <c r="O9" s="403">
        <v>0.27777777777777779</v>
      </c>
      <c r="P9" s="402">
        <f t="shared" si="4"/>
        <v>1000</v>
      </c>
      <c r="Q9" s="392" t="str">
        <f t="shared" si="5"/>
        <v>1000 UGX</v>
      </c>
      <c r="R9" s="290"/>
      <c r="S9" s="290"/>
      <c r="T9" s="290"/>
      <c r="U9" s="290"/>
      <c r="V9" s="290"/>
      <c r="W9" s="290"/>
      <c r="X9" s="290"/>
      <c r="Y9" s="290"/>
      <c r="Z9" s="290"/>
      <c r="AA9" s="290"/>
      <c r="AB9" s="290"/>
      <c r="AC9" s="290"/>
      <c r="AD9" s="290"/>
    </row>
    <row r="10" spans="1:67" ht="15.75" x14ac:dyDescent="0.3">
      <c r="B10" s="290"/>
      <c r="C10" s="290"/>
      <c r="D10" s="290"/>
      <c r="E10" s="290"/>
      <c r="F10" s="290"/>
      <c r="G10" s="290"/>
      <c r="H10" s="290"/>
      <c r="I10" s="290"/>
      <c r="J10" s="290"/>
      <c r="K10" s="290"/>
      <c r="L10" s="290"/>
      <c r="M10" s="290"/>
      <c r="N10" s="290"/>
      <c r="O10" s="290"/>
      <c r="P10" s="290"/>
      <c r="Q10" s="290"/>
      <c r="R10" s="290"/>
      <c r="S10" s="290"/>
      <c r="T10" s="290"/>
      <c r="U10" s="290"/>
      <c r="V10" s="290"/>
      <c r="W10" s="290"/>
      <c r="X10" s="290"/>
      <c r="Y10" s="290"/>
      <c r="Z10" s="290"/>
      <c r="AA10" s="290"/>
      <c r="AB10" s="290"/>
      <c r="AC10" s="290"/>
      <c r="AD10" s="290"/>
    </row>
    <row r="11" spans="1:67" s="87" customFormat="1" ht="15.75" hidden="1" outlineLevel="1" x14ac:dyDescent="0.3">
      <c r="B11" s="378"/>
      <c r="C11" s="378"/>
      <c r="D11" s="378"/>
      <c r="E11" s="378"/>
      <c r="F11" s="405"/>
      <c r="G11" s="405" t="s">
        <v>94</v>
      </c>
      <c r="H11" s="405" t="s">
        <v>91</v>
      </c>
      <c r="I11" s="405"/>
      <c r="J11" s="405" t="s">
        <v>95</v>
      </c>
      <c r="K11" s="405" t="s">
        <v>92</v>
      </c>
      <c r="L11" s="405"/>
      <c r="M11" s="290"/>
      <c r="N11" s="290"/>
      <c r="O11" s="290" t="s">
        <v>100</v>
      </c>
      <c r="P11" s="290" t="s">
        <v>98</v>
      </c>
      <c r="Q11" s="290"/>
      <c r="R11" s="290"/>
      <c r="S11" s="290"/>
      <c r="T11" s="290"/>
      <c r="U11" s="290"/>
      <c r="V11" s="290"/>
      <c r="W11" s="290"/>
      <c r="X11" s="290"/>
      <c r="Y11" s="290"/>
      <c r="Z11" s="378"/>
      <c r="AA11" s="378"/>
      <c r="AB11" s="378"/>
      <c r="AC11" s="378"/>
      <c r="AD11" s="378"/>
    </row>
    <row r="12" spans="1:67" s="78" customFormat="1" ht="16.5" collapsed="1" thickBot="1" x14ac:dyDescent="0.35">
      <c r="B12" s="290"/>
      <c r="C12" s="290"/>
      <c r="D12" s="290"/>
      <c r="E12" s="290"/>
      <c r="F12" s="290"/>
      <c r="G12" s="290"/>
      <c r="H12" s="290"/>
      <c r="I12" s="290"/>
      <c r="J12" s="290"/>
      <c r="K12" s="290"/>
      <c r="L12" s="290"/>
      <c r="M12" s="406"/>
      <c r="N12" s="290"/>
      <c r="O12" s="290"/>
      <c r="P12" s="290"/>
      <c r="Q12" s="290"/>
      <c r="R12" s="290"/>
      <c r="S12" s="290"/>
      <c r="T12" s="290"/>
      <c r="U12" s="290"/>
      <c r="V12" s="290"/>
      <c r="W12" s="290"/>
      <c r="X12" s="290"/>
      <c r="Y12" s="290"/>
      <c r="Z12" s="290"/>
      <c r="AA12" s="290"/>
      <c r="AB12" s="290"/>
      <c r="AC12" s="290"/>
      <c r="AD12" s="290"/>
    </row>
    <row r="13" spans="1:67" s="78" customFormat="1" ht="15.75" x14ac:dyDescent="0.3">
      <c r="B13" s="290"/>
      <c r="C13" s="290"/>
      <c r="D13" s="290"/>
      <c r="E13" s="290"/>
      <c r="F13" s="290"/>
      <c r="G13" s="290"/>
      <c r="H13" s="290"/>
      <c r="I13" s="290"/>
      <c r="J13" s="290"/>
      <c r="K13" s="290"/>
      <c r="L13" s="290"/>
      <c r="M13" s="407"/>
      <c r="N13" s="290"/>
      <c r="O13" s="290"/>
      <c r="P13" s="290"/>
      <c r="Q13" s="290"/>
      <c r="R13" s="290"/>
      <c r="S13" s="290"/>
      <c r="T13" s="290"/>
      <c r="U13" s="290"/>
      <c r="V13" s="290"/>
      <c r="W13" s="290"/>
      <c r="X13" s="376" t="s">
        <v>161</v>
      </c>
      <c r="Y13" s="377"/>
      <c r="Z13" s="290"/>
      <c r="AA13" s="290"/>
      <c r="AB13" s="290"/>
      <c r="AC13" s="290"/>
      <c r="AD13" s="290"/>
    </row>
    <row r="14" spans="1:67" s="78" customFormat="1" ht="15.75" x14ac:dyDescent="0.3">
      <c r="B14" s="290"/>
      <c r="C14" s="290"/>
      <c r="D14" s="290"/>
      <c r="E14" s="290"/>
      <c r="F14" s="290"/>
      <c r="G14" s="290"/>
      <c r="H14" s="290"/>
      <c r="I14" s="290"/>
      <c r="J14" s="290"/>
      <c r="K14" s="290"/>
      <c r="L14" s="290"/>
      <c r="M14" s="290"/>
      <c r="N14" s="290"/>
      <c r="O14" s="290"/>
      <c r="P14" s="358"/>
      <c r="Q14" s="358"/>
      <c r="R14" s="358"/>
      <c r="S14" s="290"/>
      <c r="T14" s="290"/>
      <c r="U14" s="290"/>
      <c r="V14" s="290"/>
      <c r="W14" s="290"/>
      <c r="X14" s="290"/>
      <c r="Y14" s="290"/>
      <c r="Z14" s="290"/>
      <c r="AA14" s="290"/>
      <c r="AB14" s="290"/>
      <c r="AC14" s="290"/>
      <c r="AD14" s="290"/>
    </row>
    <row r="15" spans="1:67" s="78" customFormat="1" ht="15.75" x14ac:dyDescent="0.3">
      <c r="B15" s="290"/>
      <c r="C15" s="290"/>
      <c r="D15" s="290"/>
      <c r="E15" s="290"/>
      <c r="F15" s="290"/>
      <c r="G15" s="290"/>
      <c r="H15" s="290"/>
      <c r="I15" s="290"/>
      <c r="J15" s="290"/>
      <c r="K15" s="290"/>
      <c r="L15" s="290"/>
      <c r="M15" s="290"/>
      <c r="N15" s="290"/>
      <c r="O15" s="290"/>
      <c r="P15" s="358"/>
      <c r="Q15" s="358"/>
      <c r="R15" s="358"/>
      <c r="S15" s="290"/>
      <c r="T15" s="378"/>
      <c r="U15" s="378"/>
      <c r="V15" s="290"/>
      <c r="W15" s="290"/>
      <c r="X15" s="290"/>
      <c r="Y15" s="290"/>
      <c r="Z15" s="290"/>
      <c r="AA15" s="290"/>
      <c r="AB15" s="290"/>
      <c r="AC15" s="290"/>
      <c r="AD15" s="290"/>
    </row>
    <row r="16" spans="1:67" s="78" customFormat="1" ht="15.75" x14ac:dyDescent="0.3">
      <c r="B16" s="290"/>
      <c r="C16" s="290"/>
      <c r="D16" s="290"/>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row>
    <row r="17" s="78" customFormat="1" x14ac:dyDescent="0.25"/>
    <row r="18" s="78" customFormat="1" x14ac:dyDescent="0.25"/>
    <row r="19" s="78" customFormat="1" x14ac:dyDescent="0.25"/>
    <row r="20" s="78" customFormat="1" x14ac:dyDescent="0.25"/>
    <row r="21" s="78" customFormat="1" x14ac:dyDescent="0.25"/>
    <row r="22" s="78" customFormat="1" x14ac:dyDescent="0.25"/>
    <row r="23" s="78" customFormat="1" x14ac:dyDescent="0.25"/>
    <row r="24" s="78" customFormat="1" x14ac:dyDescent="0.25"/>
    <row r="25" s="78" customFormat="1" x14ac:dyDescent="0.25"/>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B123"/>
  <sheetViews>
    <sheetView topLeftCell="A55" zoomScale="70" zoomScaleNormal="70" workbookViewId="0">
      <pane xSplit="1" topLeftCell="T1" activePane="topRight" state="frozen"/>
      <selection activeCell="AG75" sqref="AG75"/>
      <selection pane="topRight" activeCell="AG75" sqref="AG75"/>
    </sheetView>
  </sheetViews>
  <sheetFormatPr defaultColWidth="19.5703125" defaultRowHeight="15" outlineLevelCol="1" x14ac:dyDescent="0.25"/>
  <cols>
    <col min="1" max="1" width="9.42578125" style="6" customWidth="1"/>
    <col min="2" max="2" width="12.42578125" customWidth="1"/>
    <col min="3" max="3" width="12.28515625" customWidth="1"/>
    <col min="4" max="4" width="12.42578125" customWidth="1"/>
    <col min="5" max="5" width="22.5703125" customWidth="1"/>
    <col min="6" max="6" width="12.42578125" customWidth="1"/>
    <col min="7" max="7" width="15.28515625" customWidth="1" outlineLevel="1"/>
    <col min="8" max="8" width="12.42578125" customWidth="1"/>
    <col min="9" max="10" width="21.140625" customWidth="1"/>
    <col min="11" max="11" width="17.85546875" customWidth="1"/>
    <col min="12" max="30" width="12.42578125" customWidth="1"/>
    <col min="31" max="31" width="13.7109375" customWidth="1"/>
    <col min="32" max="32" width="13.7109375" style="6" customWidth="1"/>
  </cols>
  <sheetData>
    <row r="1" spans="1:54" x14ac:dyDescent="0.25">
      <c r="A1" s="6" t="s">
        <v>12</v>
      </c>
      <c r="H1">
        <f>INDEX('User Settings'!$A$5:$G$10,MATCH($A$1,'User Settings'!A5:$A$10,0),MATCH("Yr_End Adjustment",'User Settings'!$A$5:$G$5,0))</f>
        <v>1</v>
      </c>
      <c r="AF1"/>
      <c r="AI1" s="140"/>
      <c r="AJ1" s="140"/>
      <c r="AK1" s="140"/>
      <c r="AL1" s="140"/>
      <c r="AM1" s="140"/>
      <c r="AN1" s="140"/>
      <c r="AO1" s="140"/>
      <c r="AP1" s="140"/>
      <c r="AQ1" s="140"/>
      <c r="AR1" s="140"/>
      <c r="AS1" s="140"/>
      <c r="AT1" s="140"/>
      <c r="AU1" s="140"/>
      <c r="AV1" s="140"/>
      <c r="AW1" s="140"/>
      <c r="AX1" s="140"/>
      <c r="AY1" s="140"/>
      <c r="AZ1" s="140"/>
      <c r="BA1" s="140"/>
    </row>
    <row r="2" spans="1:54" x14ac:dyDescent="0.25">
      <c r="AF2"/>
      <c r="AG2" s="129"/>
      <c r="AH2" s="129"/>
      <c r="AI2" s="129"/>
      <c r="AJ2" s="129"/>
      <c r="AK2" s="129"/>
      <c r="AL2" s="129"/>
      <c r="AM2" s="129"/>
      <c r="AN2" s="129"/>
      <c r="AO2" s="129"/>
      <c r="AP2" s="129"/>
      <c r="AQ2" s="129"/>
      <c r="AR2" s="129"/>
      <c r="AS2" s="129"/>
      <c r="AT2" s="129"/>
      <c r="AU2" s="129"/>
      <c r="AV2" s="129"/>
      <c r="AW2" s="129"/>
      <c r="AX2" s="129"/>
      <c r="AY2" s="129"/>
      <c r="AZ2" s="129"/>
      <c r="BA2" s="129"/>
    </row>
    <row r="3" spans="1:54" x14ac:dyDescent="0.25">
      <c r="A3" s="6" t="s">
        <v>162</v>
      </c>
      <c r="C3" s="4" t="s">
        <v>163</v>
      </c>
      <c r="D3" s="4" t="s">
        <v>164</v>
      </c>
      <c r="F3" s="4" t="s">
        <v>165</v>
      </c>
      <c r="G3" s="4" t="s">
        <v>166</v>
      </c>
      <c r="H3" s="4" t="s">
        <v>167</v>
      </c>
      <c r="K3" s="205" t="str">
        <f t="shared" ref="K3:AD3" si="0">IF(K4=Yr_Start,"Start Year",IF(K4=Yr_End,"End Year",""))</f>
        <v>Start Year</v>
      </c>
      <c r="L3" s="205" t="str">
        <f t="shared" si="0"/>
        <v/>
      </c>
      <c r="M3" s="205" t="str">
        <f t="shared" si="0"/>
        <v/>
      </c>
      <c r="N3" s="205" t="str">
        <f t="shared" si="0"/>
        <v>End Year</v>
      </c>
      <c r="O3" s="205" t="str">
        <f t="shared" si="0"/>
        <v/>
      </c>
      <c r="P3" s="205" t="str">
        <f t="shared" si="0"/>
        <v/>
      </c>
      <c r="Q3" s="205" t="str">
        <f t="shared" si="0"/>
        <v/>
      </c>
      <c r="R3" s="205" t="str">
        <f t="shared" si="0"/>
        <v/>
      </c>
      <c r="S3" s="205" t="str">
        <f t="shared" si="0"/>
        <v/>
      </c>
      <c r="T3" s="205" t="str">
        <f t="shared" si="0"/>
        <v/>
      </c>
      <c r="U3" s="205" t="str">
        <f t="shared" si="0"/>
        <v/>
      </c>
      <c r="V3" s="205" t="str">
        <f t="shared" si="0"/>
        <v/>
      </c>
      <c r="W3" s="205" t="str">
        <f t="shared" si="0"/>
        <v/>
      </c>
      <c r="X3" s="205" t="str">
        <f t="shared" si="0"/>
        <v/>
      </c>
      <c r="Y3" s="205" t="str">
        <f t="shared" si="0"/>
        <v/>
      </c>
      <c r="Z3" s="205" t="str">
        <f t="shared" si="0"/>
        <v/>
      </c>
      <c r="AA3" s="205" t="str">
        <f t="shared" si="0"/>
        <v/>
      </c>
      <c r="AB3" s="205" t="str">
        <f t="shared" si="0"/>
        <v/>
      </c>
      <c r="AC3" s="205" t="str">
        <f t="shared" si="0"/>
        <v/>
      </c>
      <c r="AD3" s="205" t="str">
        <f t="shared" si="0"/>
        <v/>
      </c>
      <c r="AF3" s="6" t="str">
        <f>A3</f>
        <v>Richest</v>
      </c>
      <c r="AI3" s="205" t="str">
        <f t="shared" ref="AI3:BB3" si="1">IF(AI4=Yr_Start,"Start Year",IF(AI4=Yr_End,"End Year",""))</f>
        <v>Start Year</v>
      </c>
      <c r="AJ3" s="205" t="str">
        <f t="shared" si="1"/>
        <v/>
      </c>
      <c r="AK3" s="205" t="str">
        <f t="shared" si="1"/>
        <v/>
      </c>
      <c r="AL3" s="205" t="str">
        <f t="shared" si="1"/>
        <v>End Year</v>
      </c>
      <c r="AM3" s="205" t="str">
        <f t="shared" si="1"/>
        <v/>
      </c>
      <c r="AN3" s="205" t="str">
        <f t="shared" si="1"/>
        <v/>
      </c>
      <c r="AO3" s="205" t="str">
        <f t="shared" si="1"/>
        <v/>
      </c>
      <c r="AP3" s="205" t="str">
        <f t="shared" si="1"/>
        <v/>
      </c>
      <c r="AQ3" s="205" t="str">
        <f t="shared" si="1"/>
        <v/>
      </c>
      <c r="AR3" s="205" t="str">
        <f t="shared" si="1"/>
        <v/>
      </c>
      <c r="AS3" s="205" t="str">
        <f t="shared" si="1"/>
        <v/>
      </c>
      <c r="AT3" s="205" t="str">
        <f t="shared" si="1"/>
        <v/>
      </c>
      <c r="AU3" s="205" t="str">
        <f t="shared" si="1"/>
        <v/>
      </c>
      <c r="AV3" s="205" t="str">
        <f t="shared" si="1"/>
        <v/>
      </c>
      <c r="AW3" s="205" t="str">
        <f t="shared" si="1"/>
        <v/>
      </c>
      <c r="AX3" s="205" t="str">
        <f t="shared" si="1"/>
        <v/>
      </c>
      <c r="AY3" s="205" t="str">
        <f t="shared" si="1"/>
        <v/>
      </c>
      <c r="AZ3" s="205" t="str">
        <f t="shared" si="1"/>
        <v/>
      </c>
      <c r="BA3" s="205" t="str">
        <f t="shared" si="1"/>
        <v/>
      </c>
      <c r="BB3" s="205" t="str">
        <f t="shared" si="1"/>
        <v/>
      </c>
    </row>
    <row r="4" spans="1:54" x14ac:dyDescent="0.25">
      <c r="A4" s="6" t="s">
        <v>20</v>
      </c>
      <c r="B4" s="36"/>
      <c r="C4" s="36">
        <f>Yr_DHS1</f>
        <v>2011</v>
      </c>
      <c r="D4" s="36">
        <f>Yr_DHS2</f>
        <v>2016</v>
      </c>
      <c r="E4" s="36" t="s">
        <v>168</v>
      </c>
      <c r="F4" s="36">
        <f>Yr_Start</f>
        <v>2019</v>
      </c>
      <c r="G4" s="36"/>
      <c r="H4" s="36">
        <f>Yr_End</f>
        <v>2022</v>
      </c>
      <c r="I4" s="36" t="s">
        <v>169</v>
      </c>
      <c r="J4" s="130">
        <f>K4-1</f>
        <v>2018</v>
      </c>
      <c r="K4" s="130">
        <f>Yr_Start</f>
        <v>2019</v>
      </c>
      <c r="L4" s="130">
        <f>K4+1</f>
        <v>2020</v>
      </c>
      <c r="M4" s="130">
        <f t="shared" ref="M4:AD4" si="2">L4+1</f>
        <v>2021</v>
      </c>
      <c r="N4" s="130">
        <f t="shared" si="2"/>
        <v>2022</v>
      </c>
      <c r="O4" s="130">
        <f t="shared" si="2"/>
        <v>2023</v>
      </c>
      <c r="P4" s="130">
        <f t="shared" si="2"/>
        <v>2024</v>
      </c>
      <c r="Q4" s="130">
        <f t="shared" si="2"/>
        <v>2025</v>
      </c>
      <c r="R4" s="130">
        <f t="shared" si="2"/>
        <v>2026</v>
      </c>
      <c r="S4" s="130">
        <f t="shared" si="2"/>
        <v>2027</v>
      </c>
      <c r="T4" s="130">
        <f t="shared" si="2"/>
        <v>2028</v>
      </c>
      <c r="U4" s="130">
        <f t="shared" si="2"/>
        <v>2029</v>
      </c>
      <c r="V4" s="130">
        <f t="shared" si="2"/>
        <v>2030</v>
      </c>
      <c r="W4" s="130">
        <f t="shared" si="2"/>
        <v>2031</v>
      </c>
      <c r="X4" s="130">
        <f t="shared" si="2"/>
        <v>2032</v>
      </c>
      <c r="Y4" s="130">
        <f t="shared" si="2"/>
        <v>2033</v>
      </c>
      <c r="Z4" s="130">
        <f t="shared" si="2"/>
        <v>2034</v>
      </c>
      <c r="AA4" s="130">
        <f t="shared" si="2"/>
        <v>2035</v>
      </c>
      <c r="AB4" s="130">
        <f t="shared" si="2"/>
        <v>2036</v>
      </c>
      <c r="AC4" s="130">
        <f t="shared" si="2"/>
        <v>2037</v>
      </c>
      <c r="AD4" s="130">
        <f t="shared" si="2"/>
        <v>2038</v>
      </c>
      <c r="AF4" s="6" t="str">
        <f>A4</f>
        <v>Urban</v>
      </c>
      <c r="AG4" s="38"/>
      <c r="AH4" s="161">
        <f>AI4-1</f>
        <v>2018</v>
      </c>
      <c r="AI4" s="36">
        <f>Yr_Start</f>
        <v>2019</v>
      </c>
      <c r="AJ4" s="36">
        <f>AI4+1</f>
        <v>2020</v>
      </c>
      <c r="AK4" s="36">
        <f t="shared" ref="AK4" si="3">AJ4+1</f>
        <v>2021</v>
      </c>
      <c r="AL4" s="36">
        <f t="shared" ref="AL4" si="4">AK4+1</f>
        <v>2022</v>
      </c>
      <c r="AM4" s="36">
        <f t="shared" ref="AM4" si="5">AL4+1</f>
        <v>2023</v>
      </c>
      <c r="AN4" s="36">
        <f t="shared" ref="AN4" si="6">AM4+1</f>
        <v>2024</v>
      </c>
      <c r="AO4" s="36">
        <f t="shared" ref="AO4" si="7">AN4+1</f>
        <v>2025</v>
      </c>
      <c r="AP4" s="36">
        <f t="shared" ref="AP4" si="8">AO4+1</f>
        <v>2026</v>
      </c>
      <c r="AQ4" s="36">
        <f t="shared" ref="AQ4" si="9">AP4+1</f>
        <v>2027</v>
      </c>
      <c r="AR4" s="36">
        <f t="shared" ref="AR4" si="10">AQ4+1</f>
        <v>2028</v>
      </c>
      <c r="AS4" s="36">
        <f t="shared" ref="AS4" si="11">AR4+1</f>
        <v>2029</v>
      </c>
      <c r="AT4" s="36">
        <f t="shared" ref="AT4" si="12">AS4+1</f>
        <v>2030</v>
      </c>
      <c r="AU4" s="36">
        <f t="shared" ref="AU4" si="13">AT4+1</f>
        <v>2031</v>
      </c>
      <c r="AV4" s="36">
        <f t="shared" ref="AV4" si="14">AU4+1</f>
        <v>2032</v>
      </c>
      <c r="AW4" s="36">
        <f t="shared" ref="AW4" si="15">AV4+1</f>
        <v>2033</v>
      </c>
      <c r="AX4" s="36">
        <f t="shared" ref="AX4" si="16">AW4+1</f>
        <v>2034</v>
      </c>
      <c r="AY4" s="36">
        <f t="shared" ref="AY4" si="17">AX4+1</f>
        <v>2035</v>
      </c>
      <c r="AZ4" s="36">
        <f t="shared" ref="AZ4" si="18">AY4+1</f>
        <v>2036</v>
      </c>
      <c r="BA4" s="36">
        <f t="shared" ref="BA4" si="19">AZ4+1</f>
        <v>2037</v>
      </c>
      <c r="BB4" s="36">
        <f t="shared" ref="BB4" si="20">BA4+1</f>
        <v>2038</v>
      </c>
    </row>
    <row r="5" spans="1:54" x14ac:dyDescent="0.25">
      <c r="B5" s="1" t="s">
        <v>52</v>
      </c>
      <c r="C5" s="14">
        <f ca="1">INDEX(Data_FP!$2:$1048576,MATCH(C$4&amp;$A$4&amp;$B5&amp;$A$1,Data_FP!$A$2:$A$1048576,0),MATCH($A$3,Data_FP!$2:$2,0))</f>
        <v>7.6603000000000001E-3</v>
      </c>
      <c r="D5" s="14">
        <f ca="1">INDEX(Data_FP!$2:$1048576,MATCH(D$4&amp;$A$4&amp;$B5&amp;$A$1,Data_FP!$A$2:$A$1048576,0),MATCH($A$3,Data_FP!$2:$2,0))</f>
        <v>4.0756000000000004E-3</v>
      </c>
      <c r="E5" s="14">
        <f ca="1">IF('User Settings'!$N$7="On",($D5-$C5)/($D$4-$C$4),0)</f>
        <v>-7.169399999999999E-4</v>
      </c>
      <c r="F5" s="14">
        <f ca="1">MAX(0,MIN(1,($D5+$E5*(F$4-$D$4))))</f>
        <v>1.9247800000000009E-3</v>
      </c>
      <c r="G5" s="14"/>
      <c r="H5" s="14">
        <f ca="1">MAX(0,MIN(1,($D5+$E5*(H$4-$D$4))*$H$1))</f>
        <v>0</v>
      </c>
      <c r="I5" s="14">
        <f t="shared" ref="I5:I10" ca="1" si="21">($H5-$F5)/($H$4-$F$4)</f>
        <v>-6.4159333333333368E-4</v>
      </c>
      <c r="J5" s="14">
        <f ca="1">K5-E5</f>
        <v>2.641720000000001E-3</v>
      </c>
      <c r="K5" s="14">
        <f ca="1">MAX(0,MIN(1,D5+(K$4-D$4)*E5))</f>
        <v>1.9247800000000009E-3</v>
      </c>
      <c r="L5" s="15">
        <f ca="1">MAX(0,MIN(1,K5+$I5))</f>
        <v>1.2831866666666671E-3</v>
      </c>
      <c r="M5" s="15">
        <f t="shared" ref="M5:AD5" ca="1" si="22">MAX(0,MIN(1,L5+$I5))</f>
        <v>6.4159333333333346E-4</v>
      </c>
      <c r="N5" s="15">
        <f ca="1">MAX(0,MIN(1,M5+$I5))</f>
        <v>0</v>
      </c>
      <c r="O5" s="15">
        <f t="shared" ca="1" si="22"/>
        <v>0</v>
      </c>
      <c r="P5" s="15">
        <f t="shared" ca="1" si="22"/>
        <v>0</v>
      </c>
      <c r="Q5" s="15">
        <f t="shared" ca="1" si="22"/>
        <v>0</v>
      </c>
      <c r="R5" s="15">
        <f t="shared" ca="1" si="22"/>
        <v>0</v>
      </c>
      <c r="S5" s="15">
        <f t="shared" ca="1" si="22"/>
        <v>0</v>
      </c>
      <c r="T5" s="15">
        <f t="shared" ca="1" si="22"/>
        <v>0</v>
      </c>
      <c r="U5" s="15">
        <f t="shared" ca="1" si="22"/>
        <v>0</v>
      </c>
      <c r="V5" s="15">
        <f t="shared" ca="1" si="22"/>
        <v>0</v>
      </c>
      <c r="W5" s="15">
        <f t="shared" ca="1" si="22"/>
        <v>0</v>
      </c>
      <c r="X5" s="15">
        <f t="shared" ca="1" si="22"/>
        <v>0</v>
      </c>
      <c r="Y5" s="15">
        <f t="shared" ca="1" si="22"/>
        <v>0</v>
      </c>
      <c r="Z5" s="15">
        <f t="shared" ca="1" si="22"/>
        <v>0</v>
      </c>
      <c r="AA5" s="15">
        <f t="shared" ca="1" si="22"/>
        <v>0</v>
      </c>
      <c r="AB5" s="15">
        <f t="shared" ca="1" si="22"/>
        <v>0</v>
      </c>
      <c r="AC5" s="15">
        <f t="shared" ca="1" si="22"/>
        <v>0</v>
      </c>
      <c r="AD5" s="15">
        <f t="shared" ca="1" si="22"/>
        <v>0</v>
      </c>
      <c r="AG5" s="1" t="s">
        <v>52</v>
      </c>
      <c r="AH5" s="37">
        <f ca="1">J5*AH$11</f>
        <v>1695.3788902978843</v>
      </c>
      <c r="AI5" s="37">
        <f t="shared" ref="AI5:BB5" ca="1" si="23">K5*AI$11</f>
        <v>1282.7704271611879</v>
      </c>
      <c r="AJ5" s="37">
        <f t="shared" ca="1" si="23"/>
        <v>887.87185397758014</v>
      </c>
      <c r="AK5" s="37">
        <f t="shared" ca="1" si="23"/>
        <v>460.22279528732895</v>
      </c>
      <c r="AL5" s="37">
        <f t="shared" ca="1" si="23"/>
        <v>0</v>
      </c>
      <c r="AM5" s="37">
        <f t="shared" ca="1" si="23"/>
        <v>0</v>
      </c>
      <c r="AN5" s="37">
        <f t="shared" ca="1" si="23"/>
        <v>0</v>
      </c>
      <c r="AO5" s="37">
        <f t="shared" ca="1" si="23"/>
        <v>0</v>
      </c>
      <c r="AP5" s="37">
        <f t="shared" ca="1" si="23"/>
        <v>0</v>
      </c>
      <c r="AQ5" s="37">
        <f t="shared" ca="1" si="23"/>
        <v>0</v>
      </c>
      <c r="AR5" s="37">
        <f t="shared" ca="1" si="23"/>
        <v>0</v>
      </c>
      <c r="AS5" s="37">
        <f t="shared" ca="1" si="23"/>
        <v>0</v>
      </c>
      <c r="AT5" s="37">
        <f t="shared" ca="1" si="23"/>
        <v>0</v>
      </c>
      <c r="AU5" s="37">
        <f t="shared" ca="1" si="23"/>
        <v>0</v>
      </c>
      <c r="AV5" s="37">
        <f t="shared" ca="1" si="23"/>
        <v>0</v>
      </c>
      <c r="AW5" s="37">
        <f t="shared" ca="1" si="23"/>
        <v>0</v>
      </c>
      <c r="AX5" s="37">
        <f t="shared" ca="1" si="23"/>
        <v>0</v>
      </c>
      <c r="AY5" s="37">
        <f t="shared" ca="1" si="23"/>
        <v>0</v>
      </c>
      <c r="AZ5" s="37" t="e">
        <f t="shared" ca="1" si="23"/>
        <v>#N/A</v>
      </c>
      <c r="BA5" s="37" t="e">
        <f t="shared" ca="1" si="23"/>
        <v>#N/A</v>
      </c>
      <c r="BB5" s="37" t="e">
        <f t="shared" ca="1" si="23"/>
        <v>#N/A</v>
      </c>
    </row>
    <row r="6" spans="1:54" x14ac:dyDescent="0.25">
      <c r="B6" s="1" t="s">
        <v>54</v>
      </c>
      <c r="C6" s="14">
        <f ca="1">INDEX(Data_FP!$2:$1048576,MATCH(C$4&amp;$A$4&amp;$B6&amp;$A$1,Data_FP!$A$2:$A$1048576,0),MATCH($A$3,Data_FP!$2:$2,0))</f>
        <v>0</v>
      </c>
      <c r="D6" s="14">
        <f ca="1">INDEX(Data_FP!$2:$1048576,MATCH(D$4&amp;$A$4&amp;$B6&amp;$A$1,Data_FP!$A$2:$A$1048576,0),MATCH($A$3,Data_FP!$2:$2,0))</f>
        <v>0</v>
      </c>
      <c r="E6" s="14">
        <f ca="1">IF('User Settings'!$N$7="On",($D6-$C6)/($D$4-$C$4),0)</f>
        <v>0</v>
      </c>
      <c r="F6" s="14">
        <f t="shared" ref="F6:F10" ca="1" si="24">MAX(0,MIN(1,($D6+$E6*(F$4-$D$4))))</f>
        <v>0</v>
      </c>
      <c r="G6" s="14"/>
      <c r="H6" s="14">
        <f t="shared" ref="H6:H10" ca="1" si="25">MAX(0,MIN(1,($D6+$E6*(H$4-$D$4))*$H$1))</f>
        <v>0</v>
      </c>
      <c r="I6" s="14">
        <f t="shared" ca="1" si="21"/>
        <v>0</v>
      </c>
      <c r="J6" s="14">
        <f t="shared" ref="J6:J10" ca="1" si="26">K6-E6</f>
        <v>0</v>
      </c>
      <c r="K6" s="14">
        <f t="shared" ref="K6:K10" ca="1" si="27">MAX(0,MIN(1,D6+(K$4-D$4)*E6))</f>
        <v>0</v>
      </c>
      <c r="L6" s="15">
        <f t="shared" ref="L6:AD6" ca="1" si="28">MAX(0,MIN(1,K6+$I6))</f>
        <v>0</v>
      </c>
      <c r="M6" s="15">
        <f t="shared" ca="1" si="28"/>
        <v>0</v>
      </c>
      <c r="N6" s="15">
        <f t="shared" ca="1" si="28"/>
        <v>0</v>
      </c>
      <c r="O6" s="15">
        <f t="shared" ca="1" si="28"/>
        <v>0</v>
      </c>
      <c r="P6" s="15">
        <f t="shared" ca="1" si="28"/>
        <v>0</v>
      </c>
      <c r="Q6" s="15">
        <f t="shared" ca="1" si="28"/>
        <v>0</v>
      </c>
      <c r="R6" s="15">
        <f t="shared" ca="1" si="28"/>
        <v>0</v>
      </c>
      <c r="S6" s="15">
        <f t="shared" ca="1" si="28"/>
        <v>0</v>
      </c>
      <c r="T6" s="15">
        <f t="shared" ca="1" si="28"/>
        <v>0</v>
      </c>
      <c r="U6" s="15">
        <f t="shared" ca="1" si="28"/>
        <v>0</v>
      </c>
      <c r="V6" s="15">
        <f t="shared" ca="1" si="28"/>
        <v>0</v>
      </c>
      <c r="W6" s="15">
        <f t="shared" ca="1" si="28"/>
        <v>0</v>
      </c>
      <c r="X6" s="15">
        <f t="shared" ca="1" si="28"/>
        <v>0</v>
      </c>
      <c r="Y6" s="15">
        <f t="shared" ca="1" si="28"/>
        <v>0</v>
      </c>
      <c r="Z6" s="15">
        <f t="shared" ca="1" si="28"/>
        <v>0</v>
      </c>
      <c r="AA6" s="15">
        <f t="shared" ca="1" si="28"/>
        <v>0</v>
      </c>
      <c r="AB6" s="15">
        <f t="shared" ca="1" si="28"/>
        <v>0</v>
      </c>
      <c r="AC6" s="15">
        <f t="shared" ca="1" si="28"/>
        <v>0</v>
      </c>
      <c r="AD6" s="15">
        <f t="shared" ca="1" si="28"/>
        <v>0</v>
      </c>
      <c r="AG6" s="1" t="s">
        <v>54</v>
      </c>
      <c r="AH6" s="37">
        <f t="shared" ref="AH6:AI10" ca="1" si="29">J6*AH$11</f>
        <v>0</v>
      </c>
      <c r="AI6" s="37">
        <f t="shared" ca="1" si="29"/>
        <v>0</v>
      </c>
      <c r="AJ6" s="37">
        <f t="shared" ref="AJ6:AS10" ca="1" si="30">L6*AJ$11</f>
        <v>0</v>
      </c>
      <c r="AK6" s="37">
        <f t="shared" ca="1" si="30"/>
        <v>0</v>
      </c>
      <c r="AL6" s="37">
        <f t="shared" ca="1" si="30"/>
        <v>0</v>
      </c>
      <c r="AM6" s="37">
        <f t="shared" ca="1" si="30"/>
        <v>0</v>
      </c>
      <c r="AN6" s="37">
        <f t="shared" ca="1" si="30"/>
        <v>0</v>
      </c>
      <c r="AO6" s="37">
        <f t="shared" ca="1" si="30"/>
        <v>0</v>
      </c>
      <c r="AP6" s="37">
        <f t="shared" ca="1" si="30"/>
        <v>0</v>
      </c>
      <c r="AQ6" s="37">
        <f t="shared" ca="1" si="30"/>
        <v>0</v>
      </c>
      <c r="AR6" s="37">
        <f t="shared" ca="1" si="30"/>
        <v>0</v>
      </c>
      <c r="AS6" s="37">
        <f t="shared" ca="1" si="30"/>
        <v>0</v>
      </c>
      <c r="AT6" s="37">
        <f t="shared" ref="AT6:BB10" ca="1" si="31">V6*AT$11</f>
        <v>0</v>
      </c>
      <c r="AU6" s="37">
        <f t="shared" ca="1" si="31"/>
        <v>0</v>
      </c>
      <c r="AV6" s="37">
        <f t="shared" ca="1" si="31"/>
        <v>0</v>
      </c>
      <c r="AW6" s="37">
        <f t="shared" ca="1" si="31"/>
        <v>0</v>
      </c>
      <c r="AX6" s="37">
        <f t="shared" ca="1" si="31"/>
        <v>0</v>
      </c>
      <c r="AY6" s="37">
        <f t="shared" ca="1" si="31"/>
        <v>0</v>
      </c>
      <c r="AZ6" s="37" t="e">
        <f t="shared" ca="1" si="31"/>
        <v>#N/A</v>
      </c>
      <c r="BA6" s="37" t="e">
        <f t="shared" ca="1" si="31"/>
        <v>#N/A</v>
      </c>
      <c r="BB6" s="37" t="e">
        <f t="shared" ca="1" si="31"/>
        <v>#N/A</v>
      </c>
    </row>
    <row r="7" spans="1:54" x14ac:dyDescent="0.25">
      <c r="B7" s="1" t="s">
        <v>170</v>
      </c>
      <c r="C7" s="14">
        <f ca="1">INDEX(Data_FP!$2:$1048576,MATCH(C$4&amp;$A$4&amp;$B7&amp;$A$1,Data_FP!$A$2:$A$1048576,0),MATCH($A$3,Data_FP!$2:$2,0))</f>
        <v>0</v>
      </c>
      <c r="D7" s="14">
        <f ca="1">INDEX(Data_FP!$2:$1048576,MATCH(D$4&amp;$A$4&amp;$B7&amp;$A$1,Data_FP!$A$2:$A$1048576,0),MATCH($A$3,Data_FP!$2:$2,0))</f>
        <v>0</v>
      </c>
      <c r="E7" s="14">
        <f ca="1">IF('User Settings'!$N$7="On",($D7-$C7)/($D$4-$C$4),0)</f>
        <v>0</v>
      </c>
      <c r="F7" s="14">
        <f t="shared" ca="1" si="24"/>
        <v>0</v>
      </c>
      <c r="G7" s="14"/>
      <c r="H7" s="14">
        <f t="shared" ca="1" si="25"/>
        <v>0</v>
      </c>
      <c r="I7" s="14">
        <f t="shared" ca="1" si="21"/>
        <v>0</v>
      </c>
      <c r="J7" s="14">
        <f t="shared" ca="1" si="26"/>
        <v>0</v>
      </c>
      <c r="K7" s="14">
        <f t="shared" ca="1" si="27"/>
        <v>0</v>
      </c>
      <c r="L7" s="15">
        <f t="shared" ref="L7:AD7" ca="1" si="32">MAX(0,MIN(1,K7+$I7))</f>
        <v>0</v>
      </c>
      <c r="M7" s="15">
        <f t="shared" ca="1" si="32"/>
        <v>0</v>
      </c>
      <c r="N7" s="15">
        <f t="shared" ca="1" si="32"/>
        <v>0</v>
      </c>
      <c r="O7" s="15">
        <f t="shared" ca="1" si="32"/>
        <v>0</v>
      </c>
      <c r="P7" s="15">
        <f t="shared" ca="1" si="32"/>
        <v>0</v>
      </c>
      <c r="Q7" s="15">
        <f t="shared" ca="1" si="32"/>
        <v>0</v>
      </c>
      <c r="R7" s="15">
        <f t="shared" ca="1" si="32"/>
        <v>0</v>
      </c>
      <c r="S7" s="15">
        <f t="shared" ca="1" si="32"/>
        <v>0</v>
      </c>
      <c r="T7" s="15">
        <f t="shared" ca="1" si="32"/>
        <v>0</v>
      </c>
      <c r="U7" s="15">
        <f t="shared" ca="1" si="32"/>
        <v>0</v>
      </c>
      <c r="V7" s="15">
        <f t="shared" ca="1" si="32"/>
        <v>0</v>
      </c>
      <c r="W7" s="15">
        <f t="shared" ca="1" si="32"/>
        <v>0</v>
      </c>
      <c r="X7" s="15">
        <f t="shared" ca="1" si="32"/>
        <v>0</v>
      </c>
      <c r="Y7" s="15">
        <f t="shared" ca="1" si="32"/>
        <v>0</v>
      </c>
      <c r="Z7" s="15">
        <f t="shared" ca="1" si="32"/>
        <v>0</v>
      </c>
      <c r="AA7" s="15">
        <f t="shared" ca="1" si="32"/>
        <v>0</v>
      </c>
      <c r="AB7" s="15">
        <f t="shared" ca="1" si="32"/>
        <v>0</v>
      </c>
      <c r="AC7" s="15">
        <f t="shared" ca="1" si="32"/>
        <v>0</v>
      </c>
      <c r="AD7" s="15">
        <f t="shared" ca="1" si="32"/>
        <v>0</v>
      </c>
      <c r="AG7" s="1" t="s">
        <v>170</v>
      </c>
      <c r="AH7" s="37">
        <f t="shared" ca="1" si="29"/>
        <v>0</v>
      </c>
      <c r="AI7" s="37">
        <f t="shared" ca="1" si="29"/>
        <v>0</v>
      </c>
      <c r="AJ7" s="37">
        <f t="shared" ca="1" si="30"/>
        <v>0</v>
      </c>
      <c r="AK7" s="37">
        <f t="shared" ca="1" si="30"/>
        <v>0</v>
      </c>
      <c r="AL7" s="37">
        <f t="shared" ca="1" si="30"/>
        <v>0</v>
      </c>
      <c r="AM7" s="37">
        <f t="shared" ca="1" si="30"/>
        <v>0</v>
      </c>
      <c r="AN7" s="37">
        <f t="shared" ca="1" si="30"/>
        <v>0</v>
      </c>
      <c r="AO7" s="37">
        <f t="shared" ca="1" si="30"/>
        <v>0</v>
      </c>
      <c r="AP7" s="37">
        <f t="shared" ca="1" si="30"/>
        <v>0</v>
      </c>
      <c r="AQ7" s="37">
        <f t="shared" ca="1" si="30"/>
        <v>0</v>
      </c>
      <c r="AR7" s="37">
        <f t="shared" ca="1" si="30"/>
        <v>0</v>
      </c>
      <c r="AS7" s="37">
        <f t="shared" ca="1" si="30"/>
        <v>0</v>
      </c>
      <c r="AT7" s="37">
        <f t="shared" ca="1" si="31"/>
        <v>0</v>
      </c>
      <c r="AU7" s="37">
        <f t="shared" ca="1" si="31"/>
        <v>0</v>
      </c>
      <c r="AV7" s="37">
        <f t="shared" ca="1" si="31"/>
        <v>0</v>
      </c>
      <c r="AW7" s="37">
        <f t="shared" ca="1" si="31"/>
        <v>0</v>
      </c>
      <c r="AX7" s="37">
        <f t="shared" ca="1" si="31"/>
        <v>0</v>
      </c>
      <c r="AY7" s="37">
        <f t="shared" ca="1" si="31"/>
        <v>0</v>
      </c>
      <c r="AZ7" s="37" t="e">
        <f t="shared" ca="1" si="31"/>
        <v>#N/A</v>
      </c>
      <c r="BA7" s="37" t="e">
        <f t="shared" ca="1" si="31"/>
        <v>#N/A</v>
      </c>
      <c r="BB7" s="37" t="e">
        <f t="shared" ca="1" si="31"/>
        <v>#N/A</v>
      </c>
    </row>
    <row r="8" spans="1:54" x14ac:dyDescent="0.25">
      <c r="B8" s="1" t="s">
        <v>59</v>
      </c>
      <c r="C8" s="14">
        <f ca="1">INDEX(Data_FP!$2:$1048576,MATCH(C$4&amp;$A$4&amp;$B8&amp;$A$1,Data_FP!$A$2:$A$1048576,0),MATCH($A$3,Data_FP!$2:$2,0))</f>
        <v>4.3547599999999999E-2</v>
      </c>
      <c r="D8" s="14">
        <f ca="1">INDEX(Data_FP!$2:$1048576,MATCH(D$4&amp;$A$4&amp;$B8&amp;$A$1,Data_FP!$A$2:$A$1048576,0),MATCH($A$3,Data_FP!$2:$2,0))</f>
        <v>3.2390599999999999E-2</v>
      </c>
      <c r="E8" s="14">
        <f ca="1">IF('User Settings'!$N$7="On",($D8-$C8)/($D$4-$C$4),0)</f>
        <v>-2.2314000000000001E-3</v>
      </c>
      <c r="F8" s="14">
        <f t="shared" ca="1" si="24"/>
        <v>2.5696399999999998E-2</v>
      </c>
      <c r="G8" s="14"/>
      <c r="H8" s="14">
        <f t="shared" ca="1" si="25"/>
        <v>1.9002199999999997E-2</v>
      </c>
      <c r="I8" s="14">
        <f t="shared" ca="1" si="21"/>
        <v>-2.2314000000000001E-3</v>
      </c>
      <c r="J8" s="14">
        <f t="shared" ca="1" si="26"/>
        <v>2.7927799999999999E-2</v>
      </c>
      <c r="K8" s="14">
        <f t="shared" ca="1" si="27"/>
        <v>2.5696399999999998E-2</v>
      </c>
      <c r="L8" s="15">
        <f t="shared" ref="L8:AD8" ca="1" si="33">MAX(0,MIN(1,K8+$I8))</f>
        <v>2.3464999999999996E-2</v>
      </c>
      <c r="M8" s="15">
        <f t="shared" ca="1" si="33"/>
        <v>2.1233599999999995E-2</v>
      </c>
      <c r="N8" s="15">
        <f t="shared" ca="1" si="33"/>
        <v>1.9002199999999993E-2</v>
      </c>
      <c r="O8" s="15">
        <f t="shared" ca="1" si="33"/>
        <v>1.6770799999999992E-2</v>
      </c>
      <c r="P8" s="15">
        <f t="shared" ca="1" si="33"/>
        <v>1.4539399999999992E-2</v>
      </c>
      <c r="Q8" s="15">
        <f t="shared" ca="1" si="33"/>
        <v>1.2307999999999993E-2</v>
      </c>
      <c r="R8" s="15">
        <f t="shared" ca="1" si="33"/>
        <v>1.0076599999999993E-2</v>
      </c>
      <c r="S8" s="15">
        <f t="shared" ca="1" si="33"/>
        <v>7.8451999999999932E-3</v>
      </c>
      <c r="T8" s="15">
        <f t="shared" ca="1" si="33"/>
        <v>5.6137999999999934E-3</v>
      </c>
      <c r="U8" s="15">
        <f t="shared" ca="1" si="33"/>
        <v>3.3823999999999933E-3</v>
      </c>
      <c r="V8" s="15">
        <f t="shared" ca="1" si="33"/>
        <v>1.1509999999999932E-3</v>
      </c>
      <c r="W8" s="15">
        <f t="shared" ca="1" si="33"/>
        <v>0</v>
      </c>
      <c r="X8" s="15">
        <f t="shared" ca="1" si="33"/>
        <v>0</v>
      </c>
      <c r="Y8" s="15">
        <f t="shared" ca="1" si="33"/>
        <v>0</v>
      </c>
      <c r="Z8" s="15">
        <f t="shared" ca="1" si="33"/>
        <v>0</v>
      </c>
      <c r="AA8" s="15">
        <f t="shared" ca="1" si="33"/>
        <v>0</v>
      </c>
      <c r="AB8" s="15">
        <f t="shared" ca="1" si="33"/>
        <v>0</v>
      </c>
      <c r="AC8" s="15">
        <f t="shared" ca="1" si="33"/>
        <v>0</v>
      </c>
      <c r="AD8" s="15">
        <f t="shared" ca="1" si="33"/>
        <v>0</v>
      </c>
      <c r="AG8" s="1" t="s">
        <v>59</v>
      </c>
      <c r="AH8" s="37">
        <f t="shared" ca="1" si="29"/>
        <v>17923.247949238084</v>
      </c>
      <c r="AI8" s="37">
        <f t="shared" ca="1" si="29"/>
        <v>17125.376408994653</v>
      </c>
      <c r="AJ8" s="37">
        <f ca="1">L8*AJ$11</f>
        <v>16236.073515090484</v>
      </c>
      <c r="AK8" s="37">
        <f t="shared" ca="1" si="30"/>
        <v>15231.122641568943</v>
      </c>
      <c r="AL8" s="37">
        <f t="shared" ca="1" si="30"/>
        <v>14130.532291335418</v>
      </c>
      <c r="AM8" s="37">
        <f t="shared" ca="1" si="30"/>
        <v>12926.560908174257</v>
      </c>
      <c r="AN8" s="37">
        <f t="shared" ca="1" si="30"/>
        <v>11612.096946612684</v>
      </c>
      <c r="AO8" s="37">
        <f t="shared" ca="1" si="30"/>
        <v>10181.584825411142</v>
      </c>
      <c r="AP8" s="37">
        <f t="shared" ca="1" si="30"/>
        <v>8624.5392612261621</v>
      </c>
      <c r="AQ8" s="37">
        <f t="shared" ca="1" si="30"/>
        <v>6945.4662780719736</v>
      </c>
      <c r="AR8" s="37">
        <f t="shared" ca="1" si="30"/>
        <v>5139.4016543047237</v>
      </c>
      <c r="AS8" s="37">
        <f t="shared" ca="1" si="30"/>
        <v>3201.4100425293213</v>
      </c>
      <c r="AT8" s="37">
        <f t="shared" ca="1" si="31"/>
        <v>1126.0523478416656</v>
      </c>
      <c r="AU8" s="37">
        <f t="shared" ca="1" si="31"/>
        <v>0</v>
      </c>
      <c r="AV8" s="37">
        <f t="shared" ca="1" si="31"/>
        <v>0</v>
      </c>
      <c r="AW8" s="37">
        <f t="shared" ca="1" si="31"/>
        <v>0</v>
      </c>
      <c r="AX8" s="37">
        <f t="shared" ca="1" si="31"/>
        <v>0</v>
      </c>
      <c r="AY8" s="37">
        <f t="shared" ca="1" si="31"/>
        <v>0</v>
      </c>
      <c r="AZ8" s="37" t="e">
        <f t="shared" ca="1" si="31"/>
        <v>#N/A</v>
      </c>
      <c r="BA8" s="37" t="e">
        <f t="shared" ca="1" si="31"/>
        <v>#N/A</v>
      </c>
      <c r="BB8" s="37" t="e">
        <f t="shared" ca="1" si="31"/>
        <v>#N/A</v>
      </c>
    </row>
    <row r="9" spans="1:54" x14ac:dyDescent="0.25">
      <c r="B9" s="1" t="s">
        <v>171</v>
      </c>
      <c r="C9" s="14">
        <f ca="1">INDEX(Data_FP!$2:$1048576,MATCH(C$4&amp;$A$4&amp;$B9&amp;$A$1,Data_FP!$A$2:$A$1048576,0),MATCH($A$3,Data_FP!$2:$2,0))</f>
        <v>1.5491000000000001E-3</v>
      </c>
      <c r="D9" s="14">
        <f ca="1">INDEX(Data_FP!$2:$1048576,MATCH(D$4&amp;$A$4&amp;$B9&amp;$A$1,Data_FP!$A$2:$A$1048576,0),MATCH($A$3,Data_FP!$2:$2,0))</f>
        <v>0</v>
      </c>
      <c r="E9" s="14">
        <f ca="1">IF('User Settings'!$N$7="On",($D9-$C9)/($D$4-$C$4),0)</f>
        <v>-3.0982000000000004E-4</v>
      </c>
      <c r="F9" s="14">
        <f t="shared" ca="1" si="24"/>
        <v>0</v>
      </c>
      <c r="G9" s="14"/>
      <c r="H9" s="14">
        <f t="shared" ca="1" si="25"/>
        <v>0</v>
      </c>
      <c r="I9" s="14">
        <f t="shared" ca="1" si="21"/>
        <v>0</v>
      </c>
      <c r="J9" s="14">
        <f t="shared" ca="1" si="26"/>
        <v>3.0982000000000004E-4</v>
      </c>
      <c r="K9" s="14">
        <f t="shared" ca="1" si="27"/>
        <v>0</v>
      </c>
      <c r="L9" s="15">
        <f t="shared" ref="L9:AD9" ca="1" si="34">MAX(0,MIN(1,K9+$I9))</f>
        <v>0</v>
      </c>
      <c r="M9" s="15">
        <f t="shared" ca="1" si="34"/>
        <v>0</v>
      </c>
      <c r="N9" s="15">
        <f t="shared" ca="1" si="34"/>
        <v>0</v>
      </c>
      <c r="O9" s="15">
        <f t="shared" ca="1" si="34"/>
        <v>0</v>
      </c>
      <c r="P9" s="15">
        <f t="shared" ca="1" si="34"/>
        <v>0</v>
      </c>
      <c r="Q9" s="15">
        <f t="shared" ca="1" si="34"/>
        <v>0</v>
      </c>
      <c r="R9" s="15">
        <f t="shared" ca="1" si="34"/>
        <v>0</v>
      </c>
      <c r="S9" s="15">
        <f t="shared" ca="1" si="34"/>
        <v>0</v>
      </c>
      <c r="T9" s="15">
        <f t="shared" ca="1" si="34"/>
        <v>0</v>
      </c>
      <c r="U9" s="15">
        <f t="shared" ca="1" si="34"/>
        <v>0</v>
      </c>
      <c r="V9" s="15">
        <f t="shared" ca="1" si="34"/>
        <v>0</v>
      </c>
      <c r="W9" s="15">
        <f t="shared" ca="1" si="34"/>
        <v>0</v>
      </c>
      <c r="X9" s="15">
        <f t="shared" ca="1" si="34"/>
        <v>0</v>
      </c>
      <c r="Y9" s="15">
        <f t="shared" ca="1" si="34"/>
        <v>0</v>
      </c>
      <c r="Z9" s="15">
        <f t="shared" ca="1" si="34"/>
        <v>0</v>
      </c>
      <c r="AA9" s="15">
        <f t="shared" ca="1" si="34"/>
        <v>0</v>
      </c>
      <c r="AB9" s="15">
        <f t="shared" ca="1" si="34"/>
        <v>0</v>
      </c>
      <c r="AC9" s="15">
        <f t="shared" ca="1" si="34"/>
        <v>0</v>
      </c>
      <c r="AD9" s="15">
        <f t="shared" ca="1" si="34"/>
        <v>0</v>
      </c>
      <c r="AG9" s="1" t="s">
        <v>171</v>
      </c>
      <c r="AH9" s="37">
        <f t="shared" ca="1" si="29"/>
        <v>198.8334447981203</v>
      </c>
      <c r="AI9" s="37">
        <f t="shared" ca="1" si="29"/>
        <v>0</v>
      </c>
      <c r="AJ9" s="37">
        <f t="shared" ca="1" si="30"/>
        <v>0</v>
      </c>
      <c r="AK9" s="37">
        <f t="shared" ca="1" si="30"/>
        <v>0</v>
      </c>
      <c r="AL9" s="37">
        <f t="shared" ca="1" si="30"/>
        <v>0</v>
      </c>
      <c r="AM9" s="37">
        <f t="shared" ca="1" si="30"/>
        <v>0</v>
      </c>
      <c r="AN9" s="37">
        <f t="shared" ca="1" si="30"/>
        <v>0</v>
      </c>
      <c r="AO9" s="37">
        <f t="shared" ca="1" si="30"/>
        <v>0</v>
      </c>
      <c r="AP9" s="37">
        <f t="shared" ca="1" si="30"/>
        <v>0</v>
      </c>
      <c r="AQ9" s="37">
        <f t="shared" ca="1" si="30"/>
        <v>0</v>
      </c>
      <c r="AR9" s="37">
        <f t="shared" ca="1" si="30"/>
        <v>0</v>
      </c>
      <c r="AS9" s="37">
        <f t="shared" ca="1" si="30"/>
        <v>0</v>
      </c>
      <c r="AT9" s="37">
        <f t="shared" ca="1" si="31"/>
        <v>0</v>
      </c>
      <c r="AU9" s="37">
        <f t="shared" ca="1" si="31"/>
        <v>0</v>
      </c>
      <c r="AV9" s="37">
        <f t="shared" ca="1" si="31"/>
        <v>0</v>
      </c>
      <c r="AW9" s="37">
        <f t="shared" ca="1" si="31"/>
        <v>0</v>
      </c>
      <c r="AX9" s="37">
        <f t="shared" ca="1" si="31"/>
        <v>0</v>
      </c>
      <c r="AY9" s="37">
        <f t="shared" ca="1" si="31"/>
        <v>0</v>
      </c>
      <c r="AZ9" s="37" t="e">
        <f t="shared" ca="1" si="31"/>
        <v>#N/A</v>
      </c>
      <c r="BA9" s="37" t="e">
        <f t="shared" ca="1" si="31"/>
        <v>#N/A</v>
      </c>
      <c r="BB9" s="37" t="e">
        <f t="shared" ca="1" si="31"/>
        <v>#N/A</v>
      </c>
    </row>
    <row r="10" spans="1:54" x14ac:dyDescent="0.25">
      <c r="B10" s="1" t="s">
        <v>116</v>
      </c>
      <c r="C10" s="14">
        <f ca="1">INDEX(Data_FP!$2:$1048576,MATCH(C$4&amp;$A$4&amp;$B10&amp;$A$1,Data_FP!$A$2:$A$1048576,0),MATCH($A$3,Data_FP!$2:$2,0))</f>
        <v>6.9340000000000005E-4</v>
      </c>
      <c r="D10" s="14">
        <f ca="1">INDEX(Data_FP!$2:$1048576,MATCH(D$4&amp;$A$4&amp;$B10&amp;$A$1,Data_FP!$A$2:$A$1048576,0),MATCH($A$3,Data_FP!$2:$2,0))</f>
        <v>0</v>
      </c>
      <c r="E10" s="14">
        <f ca="1">IF('User Settings'!$N$7="On",($D10-$C10)/($D$4-$C$4),0)</f>
        <v>-1.3868000000000002E-4</v>
      </c>
      <c r="F10" s="14">
        <f t="shared" ca="1" si="24"/>
        <v>0</v>
      </c>
      <c r="G10" s="14"/>
      <c r="H10" s="14">
        <f t="shared" ca="1" si="25"/>
        <v>0</v>
      </c>
      <c r="I10" s="14">
        <f t="shared" ca="1" si="21"/>
        <v>0</v>
      </c>
      <c r="J10" s="14">
        <f t="shared" ca="1" si="26"/>
        <v>1.3868000000000002E-4</v>
      </c>
      <c r="K10" s="14">
        <f t="shared" ca="1" si="27"/>
        <v>0</v>
      </c>
      <c r="L10" s="15">
        <f t="shared" ref="L10:AD10" ca="1" si="35">MAX(0,MIN(1,K10+$I10))</f>
        <v>0</v>
      </c>
      <c r="M10" s="15">
        <f t="shared" ca="1" si="35"/>
        <v>0</v>
      </c>
      <c r="N10" s="15">
        <f t="shared" ca="1" si="35"/>
        <v>0</v>
      </c>
      <c r="O10" s="15">
        <f t="shared" ca="1" si="35"/>
        <v>0</v>
      </c>
      <c r="P10" s="15">
        <f t="shared" ca="1" si="35"/>
        <v>0</v>
      </c>
      <c r="Q10" s="15">
        <f t="shared" ca="1" si="35"/>
        <v>0</v>
      </c>
      <c r="R10" s="15">
        <f t="shared" ca="1" si="35"/>
        <v>0</v>
      </c>
      <c r="S10" s="15">
        <f t="shared" ca="1" si="35"/>
        <v>0</v>
      </c>
      <c r="T10" s="15">
        <f t="shared" ca="1" si="35"/>
        <v>0</v>
      </c>
      <c r="U10" s="15">
        <f t="shared" ca="1" si="35"/>
        <v>0</v>
      </c>
      <c r="V10" s="15">
        <f t="shared" ca="1" si="35"/>
        <v>0</v>
      </c>
      <c r="W10" s="15">
        <f t="shared" ca="1" si="35"/>
        <v>0</v>
      </c>
      <c r="X10" s="15">
        <f t="shared" ca="1" si="35"/>
        <v>0</v>
      </c>
      <c r="Y10" s="15">
        <f t="shared" ca="1" si="35"/>
        <v>0</v>
      </c>
      <c r="Z10" s="15">
        <f t="shared" ca="1" si="35"/>
        <v>0</v>
      </c>
      <c r="AA10" s="15">
        <f t="shared" ca="1" si="35"/>
        <v>0</v>
      </c>
      <c r="AB10" s="15">
        <f t="shared" ca="1" si="35"/>
        <v>0</v>
      </c>
      <c r="AC10" s="15">
        <f t="shared" ca="1" si="35"/>
        <v>0</v>
      </c>
      <c r="AD10" s="15">
        <f t="shared" ca="1" si="35"/>
        <v>0</v>
      </c>
      <c r="AG10" s="1" t="s">
        <v>116</v>
      </c>
      <c r="AH10" s="37">
        <f t="shared" ca="1" si="29"/>
        <v>89.000781500882212</v>
      </c>
      <c r="AI10" s="37">
        <f t="shared" ca="1" si="29"/>
        <v>0</v>
      </c>
      <c r="AJ10" s="37">
        <f t="shared" ca="1" si="30"/>
        <v>0</v>
      </c>
      <c r="AK10" s="37">
        <f t="shared" ca="1" si="30"/>
        <v>0</v>
      </c>
      <c r="AL10" s="37">
        <f t="shared" ca="1" si="30"/>
        <v>0</v>
      </c>
      <c r="AM10" s="37">
        <f t="shared" ca="1" si="30"/>
        <v>0</v>
      </c>
      <c r="AN10" s="37">
        <f t="shared" ca="1" si="30"/>
        <v>0</v>
      </c>
      <c r="AO10" s="37">
        <f t="shared" ca="1" si="30"/>
        <v>0</v>
      </c>
      <c r="AP10" s="37">
        <f t="shared" ca="1" si="30"/>
        <v>0</v>
      </c>
      <c r="AQ10" s="37">
        <f t="shared" ca="1" si="30"/>
        <v>0</v>
      </c>
      <c r="AR10" s="37">
        <f t="shared" ca="1" si="30"/>
        <v>0</v>
      </c>
      <c r="AS10" s="37">
        <f t="shared" ca="1" si="30"/>
        <v>0</v>
      </c>
      <c r="AT10" s="37">
        <f t="shared" ca="1" si="31"/>
        <v>0</v>
      </c>
      <c r="AU10" s="37">
        <f t="shared" ca="1" si="31"/>
        <v>0</v>
      </c>
      <c r="AV10" s="37">
        <f t="shared" ca="1" si="31"/>
        <v>0</v>
      </c>
      <c r="AW10" s="37">
        <f t="shared" ca="1" si="31"/>
        <v>0</v>
      </c>
      <c r="AX10" s="37">
        <f t="shared" ca="1" si="31"/>
        <v>0</v>
      </c>
      <c r="AY10" s="37">
        <f t="shared" ca="1" si="31"/>
        <v>0</v>
      </c>
      <c r="AZ10" s="37" t="e">
        <f t="shared" ca="1" si="31"/>
        <v>#N/A</v>
      </c>
      <c r="BA10" s="37" t="e">
        <f t="shared" ca="1" si="31"/>
        <v>#N/A</v>
      </c>
      <c r="BB10" s="37" t="e">
        <f t="shared" ca="1" si="31"/>
        <v>#N/A</v>
      </c>
    </row>
    <row r="11" spans="1:54" x14ac:dyDescent="0.25">
      <c r="C11" s="5">
        <f ca="1">SUM(C5:C10)</f>
        <v>5.3450399999999995E-2</v>
      </c>
      <c r="D11" s="5">
        <f ca="1">SUM(D5:D10)</f>
        <v>3.6466199999999997E-2</v>
      </c>
      <c r="E11" s="143"/>
      <c r="F11" s="132">
        <f ca="1">SUM(F5:F10)</f>
        <v>2.7621179999999999E-2</v>
      </c>
      <c r="G11" s="132"/>
      <c r="H11" s="132">
        <f ca="1">SUM(H5:H10)</f>
        <v>1.9002199999999997E-2</v>
      </c>
      <c r="I11" s="132"/>
      <c r="J11" s="132">
        <f ca="1">SUM(J5:J10)</f>
        <v>3.1018019999999997E-2</v>
      </c>
      <c r="K11" s="132">
        <f ca="1">SUM(K5:K10)</f>
        <v>2.7621179999999999E-2</v>
      </c>
      <c r="L11" s="5">
        <f t="shared" ref="L11:AD11" ca="1" si="36">SUM(L5:L10)</f>
        <v>2.4748186666666665E-2</v>
      </c>
      <c r="M11" s="5">
        <f t="shared" ca="1" si="36"/>
        <v>2.1875193333333327E-2</v>
      </c>
      <c r="N11" s="5">
        <f t="shared" ca="1" si="36"/>
        <v>1.9002199999999993E-2</v>
      </c>
      <c r="O11" s="5">
        <f t="shared" ca="1" si="36"/>
        <v>1.6770799999999992E-2</v>
      </c>
      <c r="P11" s="5">
        <f t="shared" ca="1" si="36"/>
        <v>1.4539399999999992E-2</v>
      </c>
      <c r="Q11" s="5">
        <f t="shared" ca="1" si="36"/>
        <v>1.2307999999999993E-2</v>
      </c>
      <c r="R11" s="5">
        <f t="shared" ca="1" si="36"/>
        <v>1.0076599999999993E-2</v>
      </c>
      <c r="S11" s="5">
        <f t="shared" ca="1" si="36"/>
        <v>7.8451999999999932E-3</v>
      </c>
      <c r="T11" s="5">
        <f t="shared" ca="1" si="36"/>
        <v>5.6137999999999934E-3</v>
      </c>
      <c r="U11" s="5">
        <f t="shared" ca="1" si="36"/>
        <v>3.3823999999999933E-3</v>
      </c>
      <c r="V11" s="5">
        <f t="shared" ca="1" si="36"/>
        <v>1.1509999999999932E-3</v>
      </c>
      <c r="W11" s="5">
        <f t="shared" ca="1" si="36"/>
        <v>0</v>
      </c>
      <c r="X11" s="5">
        <f t="shared" ca="1" si="36"/>
        <v>0</v>
      </c>
      <c r="Y11" s="5">
        <f t="shared" ca="1" si="36"/>
        <v>0</v>
      </c>
      <c r="Z11" s="5">
        <f t="shared" ca="1" si="36"/>
        <v>0</v>
      </c>
      <c r="AA11" s="5">
        <f t="shared" ca="1" si="36"/>
        <v>0</v>
      </c>
      <c r="AB11" s="5">
        <f t="shared" ca="1" si="36"/>
        <v>0</v>
      </c>
      <c r="AC11" s="5">
        <f t="shared" ca="1" si="36"/>
        <v>0</v>
      </c>
      <c r="AD11" s="5">
        <f t="shared" ca="1" si="36"/>
        <v>0</v>
      </c>
      <c r="AG11" s="38" t="s">
        <v>172</v>
      </c>
      <c r="AH11" s="141">
        <f ca="1">INDEX(Data_WRA!$4:$1048576,MATCH(AH$4,Data_WRA!$A$4:$A$1048576,0),MATCH($A$4&amp;$A$3,Data_WRA!$4:$4,0))</f>
        <v>641770.85016499995</v>
      </c>
      <c r="AI11" s="141">
        <f ca="1">INDEX(Data_WRA!$4:$1048576,MATCH(AI$4,Data_WRA!$A$4:$A$1048576,0),MATCH($A$4&amp;$A$3,Data_WRA!$4:$4,0))</f>
        <v>666450.41363750002</v>
      </c>
      <c r="AJ11" s="141">
        <f ca="1">INDEX(Data_WRA!$4:$1048576,MATCH(AJ$4,Data_WRA!$A$4:$A$1048576,0),MATCH($A$4&amp;$A$3,Data_WRA!$4:$4,0))</f>
        <v>691927.27530749992</v>
      </c>
      <c r="AK11" s="141">
        <f ca="1">INDEX(Data_WRA!$4:$1048576,MATCH(AK$4,Data_WRA!$A$4:$A$1048576,0),MATCH($A$4&amp;$A$3,Data_WRA!$4:$4,0))</f>
        <v>717312.30886749993</v>
      </c>
      <c r="AL11" s="141">
        <f ca="1">INDEX(Data_WRA!$4:$1048576,MATCH(AL$4,Data_WRA!$A$4:$A$1048576,0),MATCH($A$4&amp;$A$3,Data_WRA!$4:$4,0))</f>
        <v>743626.12178250006</v>
      </c>
      <c r="AM11" s="141">
        <f ca="1">INDEX(Data_WRA!$4:$1048576,MATCH(AM$4,Data_WRA!$A$4:$A$1048576,0),MATCH($A$4&amp;$A$3,Data_WRA!$4:$4,0))</f>
        <v>770777.83457999991</v>
      </c>
      <c r="AN11" s="141">
        <f ca="1">INDEX(Data_WRA!$4:$1048576,MATCH(AN$4,Data_WRA!$A$4:$A$1048576,0),MATCH($A$4&amp;$A$3,Data_WRA!$4:$4,0))</f>
        <v>798664.10901499994</v>
      </c>
      <c r="AO11" s="141">
        <f ca="1">INDEX(Data_WRA!$4:$1048576,MATCH(AO$4,Data_WRA!$A$4:$A$1048576,0),MATCH($A$4&amp;$A$3,Data_WRA!$4:$4,0))</f>
        <v>827233.08623749996</v>
      </c>
      <c r="AP11" s="141">
        <f ca="1">INDEX(Data_WRA!$4:$1048576,MATCH(AP$4,Data_WRA!$A$4:$A$1048576,0),MATCH($A$4&amp;$A$3,Data_WRA!$4:$4,0))</f>
        <v>855897.74936250004</v>
      </c>
      <c r="AQ11" s="141">
        <f ca="1">INDEX(Data_WRA!$4:$1048576,MATCH(AQ$4,Data_WRA!$A$4:$A$1048576,0),MATCH($A$4&amp;$A$3,Data_WRA!$4:$4,0))</f>
        <v>885314.11284249986</v>
      </c>
      <c r="AR11" s="141">
        <f ca="1">INDEX(Data_WRA!$4:$1048576,MATCH(AR$4,Data_WRA!$A$4:$A$1048576,0),MATCH($A$4&amp;$A$3,Data_WRA!$4:$4,0))</f>
        <v>915494.25599499978</v>
      </c>
      <c r="AS11" s="141">
        <f ca="1">INDEX(Data_WRA!$4:$1048576,MATCH(AS$4,Data_WRA!$A$4:$A$1048576,0),MATCH($A$4&amp;$A$3,Data_WRA!$4:$4,0))</f>
        <v>946490.67009499995</v>
      </c>
      <c r="AT11" s="141">
        <f ca="1">INDEX(Data_WRA!$4:$1048576,MATCH(AT$4,Data_WRA!$A$4:$A$1048576,0),MATCH($A$4&amp;$A$3,Data_WRA!$4:$4,0))</f>
        <v>978325.23704749986</v>
      </c>
      <c r="AU11" s="141">
        <f ca="1">INDEX(Data_WRA!$4:$1048576,MATCH(AU$4,Data_WRA!$A$4:$A$1048576,0),MATCH($A$4&amp;$A$3,Data_WRA!$4:$4,0))</f>
        <v>1010405.0584149999</v>
      </c>
      <c r="AV11" s="141">
        <f ca="1">INDEX(Data_WRA!$4:$1048576,MATCH(AV$4,Data_WRA!$A$4:$A$1048576,0),MATCH($A$4&amp;$A$3,Data_WRA!$4:$4,0))</f>
        <v>1043381.4687049999</v>
      </c>
      <c r="AW11" s="141">
        <f ca="1">INDEX(Data_WRA!$4:$1048576,MATCH(AW$4,Data_WRA!$A$4:$A$1048576,0),MATCH($A$4&amp;$A$3,Data_WRA!$4:$4,0))</f>
        <v>1077191.4151450002</v>
      </c>
      <c r="AX11" s="141">
        <f ca="1">INDEX(Data_WRA!$4:$1048576,MATCH(AX$4,Data_WRA!$A$4:$A$1048576,0),MATCH($A$4&amp;$A$3,Data_WRA!$4:$4,0))</f>
        <v>1111763.3072249999</v>
      </c>
      <c r="AY11" s="141">
        <f ca="1">INDEX(Data_WRA!$4:$1048576,MATCH(AY$4,Data_WRA!$A$4:$A$1048576,0),MATCH($A$4&amp;$A$3,Data_WRA!$4:$4,0))</f>
        <v>1147049.2071299995</v>
      </c>
      <c r="AZ11" s="141" t="e">
        <f>INDEX(Data_WRA!$4:$1048576,MATCH(AZ$4,Data_WRA!$A$4:$A$1048576,0),MATCH($A$4&amp;$A$3,Data_WRA!$4:$4,0))</f>
        <v>#N/A</v>
      </c>
      <c r="BA11" s="141" t="e">
        <f>INDEX(Data_WRA!$4:$1048576,MATCH(BA$4,Data_WRA!$A$4:$A$1048576,0),MATCH($A$4&amp;$A$3,Data_WRA!$4:$4,0))</f>
        <v>#N/A</v>
      </c>
      <c r="BB11" s="141" t="e">
        <f>INDEX(Data_WRA!$4:$1048576,MATCH(BB$4,Data_WRA!$A$4:$A$1048576,0),MATCH($A$4&amp;$A$3,Data_WRA!$4:$4,0))</f>
        <v>#N/A</v>
      </c>
    </row>
    <row r="12" spans="1:54" x14ac:dyDescent="0.25">
      <c r="D12" s="5"/>
      <c r="AI12" s="7"/>
      <c r="AJ12" s="7"/>
      <c r="AK12" s="7"/>
      <c r="AL12" s="7"/>
      <c r="AM12" s="7"/>
      <c r="AN12" s="7"/>
      <c r="AO12" s="7"/>
      <c r="AP12" s="7"/>
      <c r="AQ12" s="7"/>
      <c r="AR12" s="7"/>
      <c r="AS12" s="7"/>
      <c r="AT12" s="7"/>
    </row>
    <row r="13" spans="1:54" x14ac:dyDescent="0.25">
      <c r="A13" s="6" t="s">
        <v>162</v>
      </c>
      <c r="C13" s="4" t="s">
        <v>163</v>
      </c>
      <c r="D13" s="4" t="s">
        <v>164</v>
      </c>
      <c r="F13" s="4" t="s">
        <v>165</v>
      </c>
      <c r="G13" s="4"/>
      <c r="H13" s="4" t="s">
        <v>167</v>
      </c>
      <c r="K13" s="205" t="str">
        <f t="shared" ref="K13:AD13" si="37">IF(K14=Yr_Start,"Start Year",IF(K14=Yr_End,"End Year",""))</f>
        <v>Start Year</v>
      </c>
      <c r="L13" s="205" t="str">
        <f t="shared" si="37"/>
        <v/>
      </c>
      <c r="M13" s="205" t="str">
        <f t="shared" si="37"/>
        <v/>
      </c>
      <c r="N13" s="205" t="str">
        <f t="shared" si="37"/>
        <v>End Year</v>
      </c>
      <c r="O13" s="205" t="str">
        <f t="shared" si="37"/>
        <v/>
      </c>
      <c r="P13" s="205" t="str">
        <f t="shared" si="37"/>
        <v/>
      </c>
      <c r="Q13" s="205" t="str">
        <f t="shared" si="37"/>
        <v/>
      </c>
      <c r="R13" s="205" t="str">
        <f t="shared" si="37"/>
        <v/>
      </c>
      <c r="S13" s="205" t="str">
        <f t="shared" si="37"/>
        <v/>
      </c>
      <c r="T13" s="205" t="str">
        <f t="shared" si="37"/>
        <v/>
      </c>
      <c r="U13" s="205" t="str">
        <f t="shared" si="37"/>
        <v/>
      </c>
      <c r="V13" s="205" t="str">
        <f t="shared" si="37"/>
        <v/>
      </c>
      <c r="W13" s="205" t="str">
        <f t="shared" si="37"/>
        <v/>
      </c>
      <c r="X13" s="205" t="str">
        <f t="shared" si="37"/>
        <v/>
      </c>
      <c r="Y13" s="205" t="str">
        <f t="shared" si="37"/>
        <v/>
      </c>
      <c r="Z13" s="205" t="str">
        <f t="shared" si="37"/>
        <v/>
      </c>
      <c r="AA13" s="205" t="str">
        <f t="shared" si="37"/>
        <v/>
      </c>
      <c r="AB13" s="205" t="str">
        <f t="shared" si="37"/>
        <v/>
      </c>
      <c r="AC13" s="205" t="str">
        <f t="shared" si="37"/>
        <v/>
      </c>
      <c r="AD13" s="205" t="str">
        <f t="shared" si="37"/>
        <v/>
      </c>
      <c r="AF13" s="6" t="str">
        <f>A13</f>
        <v>Richest</v>
      </c>
      <c r="AI13" s="205" t="str">
        <f t="shared" ref="AI13:BB13" si="38">IF(AI14=Yr_Start,"Start Year",IF(AI14=Yr_End,"End Year",""))</f>
        <v>Start Year</v>
      </c>
      <c r="AJ13" s="205" t="str">
        <f t="shared" si="38"/>
        <v/>
      </c>
      <c r="AK13" s="205" t="str">
        <f t="shared" si="38"/>
        <v/>
      </c>
      <c r="AL13" s="205" t="str">
        <f t="shared" si="38"/>
        <v>End Year</v>
      </c>
      <c r="AM13" s="205" t="str">
        <f t="shared" si="38"/>
        <v/>
      </c>
      <c r="AN13" s="205" t="str">
        <f t="shared" si="38"/>
        <v/>
      </c>
      <c r="AO13" s="205" t="str">
        <f t="shared" si="38"/>
        <v/>
      </c>
      <c r="AP13" s="205" t="str">
        <f t="shared" si="38"/>
        <v/>
      </c>
      <c r="AQ13" s="205" t="str">
        <f t="shared" si="38"/>
        <v/>
      </c>
      <c r="AR13" s="205" t="str">
        <f t="shared" si="38"/>
        <v/>
      </c>
      <c r="AS13" s="205" t="str">
        <f t="shared" si="38"/>
        <v/>
      </c>
      <c r="AT13" s="205" t="str">
        <f t="shared" si="38"/>
        <v/>
      </c>
      <c r="AU13" s="205" t="str">
        <f t="shared" si="38"/>
        <v/>
      </c>
      <c r="AV13" s="205" t="str">
        <f t="shared" si="38"/>
        <v/>
      </c>
      <c r="AW13" s="205" t="str">
        <f t="shared" si="38"/>
        <v/>
      </c>
      <c r="AX13" s="205" t="str">
        <f t="shared" si="38"/>
        <v/>
      </c>
      <c r="AY13" s="205" t="str">
        <f t="shared" si="38"/>
        <v/>
      </c>
      <c r="AZ13" s="205" t="str">
        <f t="shared" si="38"/>
        <v/>
      </c>
      <c r="BA13" s="205" t="str">
        <f t="shared" si="38"/>
        <v/>
      </c>
      <c r="BB13" s="205" t="str">
        <f t="shared" si="38"/>
        <v/>
      </c>
    </row>
    <row r="14" spans="1:54" x14ac:dyDescent="0.25">
      <c r="A14" s="6" t="s">
        <v>21</v>
      </c>
      <c r="B14" s="36"/>
      <c r="C14" s="36">
        <f>Yr_DHS1</f>
        <v>2011</v>
      </c>
      <c r="D14" s="36">
        <f>Yr_DHS2</f>
        <v>2016</v>
      </c>
      <c r="E14" s="36" t="s">
        <v>168</v>
      </c>
      <c r="F14" s="36">
        <f>Yr_Start</f>
        <v>2019</v>
      </c>
      <c r="G14" s="36"/>
      <c r="H14" s="36">
        <f>Yr_End</f>
        <v>2022</v>
      </c>
      <c r="I14" s="36" t="s">
        <v>169</v>
      </c>
      <c r="J14" s="130">
        <f>K14-1</f>
        <v>2018</v>
      </c>
      <c r="K14" s="130">
        <f>Yr_Start</f>
        <v>2019</v>
      </c>
      <c r="L14" s="130">
        <f>K14+1</f>
        <v>2020</v>
      </c>
      <c r="M14" s="130">
        <f t="shared" ref="M14:AD14" si="39">L14+1</f>
        <v>2021</v>
      </c>
      <c r="N14" s="130">
        <f t="shared" si="39"/>
        <v>2022</v>
      </c>
      <c r="O14" s="130">
        <f t="shared" si="39"/>
        <v>2023</v>
      </c>
      <c r="P14" s="130">
        <f t="shared" si="39"/>
        <v>2024</v>
      </c>
      <c r="Q14" s="130">
        <f t="shared" si="39"/>
        <v>2025</v>
      </c>
      <c r="R14" s="130">
        <f t="shared" si="39"/>
        <v>2026</v>
      </c>
      <c r="S14" s="130">
        <f t="shared" si="39"/>
        <v>2027</v>
      </c>
      <c r="T14" s="130">
        <f t="shared" si="39"/>
        <v>2028</v>
      </c>
      <c r="U14" s="130">
        <f t="shared" si="39"/>
        <v>2029</v>
      </c>
      <c r="V14" s="130">
        <f t="shared" si="39"/>
        <v>2030</v>
      </c>
      <c r="W14" s="130">
        <f t="shared" si="39"/>
        <v>2031</v>
      </c>
      <c r="X14" s="130">
        <f t="shared" si="39"/>
        <v>2032</v>
      </c>
      <c r="Y14" s="130">
        <f t="shared" si="39"/>
        <v>2033</v>
      </c>
      <c r="Z14" s="130">
        <f t="shared" si="39"/>
        <v>2034</v>
      </c>
      <c r="AA14" s="130">
        <f t="shared" si="39"/>
        <v>2035</v>
      </c>
      <c r="AB14" s="130">
        <f t="shared" si="39"/>
        <v>2036</v>
      </c>
      <c r="AC14" s="130">
        <f t="shared" si="39"/>
        <v>2037</v>
      </c>
      <c r="AD14" s="130">
        <f t="shared" si="39"/>
        <v>2038</v>
      </c>
      <c r="AF14" s="6" t="str">
        <f>A14</f>
        <v>Rural</v>
      </c>
      <c r="AG14" s="38"/>
      <c r="AH14" s="161">
        <f>AI14-1</f>
        <v>2018</v>
      </c>
      <c r="AI14" s="36">
        <f>Yr_Start</f>
        <v>2019</v>
      </c>
      <c r="AJ14" s="36">
        <f>AI14+1</f>
        <v>2020</v>
      </c>
      <c r="AK14" s="36">
        <f t="shared" ref="AK14" si="40">AJ14+1</f>
        <v>2021</v>
      </c>
      <c r="AL14" s="36">
        <f t="shared" ref="AL14" si="41">AK14+1</f>
        <v>2022</v>
      </c>
      <c r="AM14" s="36">
        <f t="shared" ref="AM14" si="42">AL14+1</f>
        <v>2023</v>
      </c>
      <c r="AN14" s="36">
        <f t="shared" ref="AN14" si="43">AM14+1</f>
        <v>2024</v>
      </c>
      <c r="AO14" s="36">
        <f t="shared" ref="AO14" si="44">AN14+1</f>
        <v>2025</v>
      </c>
      <c r="AP14" s="36">
        <f t="shared" ref="AP14" si="45">AO14+1</f>
        <v>2026</v>
      </c>
      <c r="AQ14" s="36">
        <f t="shared" ref="AQ14" si="46">AP14+1</f>
        <v>2027</v>
      </c>
      <c r="AR14" s="36">
        <f t="shared" ref="AR14" si="47">AQ14+1</f>
        <v>2028</v>
      </c>
      <c r="AS14" s="36">
        <f t="shared" ref="AS14" si="48">AR14+1</f>
        <v>2029</v>
      </c>
      <c r="AT14" s="36">
        <f t="shared" ref="AT14" si="49">AS14+1</f>
        <v>2030</v>
      </c>
      <c r="AU14" s="36">
        <f t="shared" ref="AU14" si="50">AT14+1</f>
        <v>2031</v>
      </c>
      <c r="AV14" s="36">
        <f t="shared" ref="AV14" si="51">AU14+1</f>
        <v>2032</v>
      </c>
      <c r="AW14" s="36">
        <f t="shared" ref="AW14" si="52">AV14+1</f>
        <v>2033</v>
      </c>
      <c r="AX14" s="36">
        <f t="shared" ref="AX14" si="53">AW14+1</f>
        <v>2034</v>
      </c>
      <c r="AY14" s="36">
        <f t="shared" ref="AY14" si="54">AX14+1</f>
        <v>2035</v>
      </c>
      <c r="AZ14" s="36">
        <f t="shared" ref="AZ14" si="55">AY14+1</f>
        <v>2036</v>
      </c>
      <c r="BA14" s="36">
        <f t="shared" ref="BA14" si="56">AZ14+1</f>
        <v>2037</v>
      </c>
      <c r="BB14" s="36">
        <f t="shared" ref="BB14" si="57">BA14+1</f>
        <v>2038</v>
      </c>
    </row>
    <row r="15" spans="1:54" x14ac:dyDescent="0.25">
      <c r="B15" s="1" t="s">
        <v>52</v>
      </c>
      <c r="C15" s="14">
        <f ca="1">INDEX(Data_FP!$2:$1048576,MATCH(C$4&amp;$A$14&amp;$B15&amp;$A$1,Data_FP!$A$2:$A$1048576,0),MATCH($A$13,Data_FP!$2:$2,0))</f>
        <v>1.1599399999999999E-2</v>
      </c>
      <c r="D15" s="14">
        <f ca="1">INDEX(Data_FP!$2:$1048576,MATCH(D$4&amp;$A$14&amp;$B15&amp;$A$1,Data_FP!$A$2:$A$1048576,0),MATCH($A$13,Data_FP!$2:$2,0))</f>
        <v>3.4723000000000002E-3</v>
      </c>
      <c r="E15" s="14">
        <f ca="1">IF('User Settings'!$N$7="On",($D15-$C15)/($D$4-$C$4),0)</f>
        <v>-1.6254199999999996E-3</v>
      </c>
      <c r="F15" s="14">
        <f ca="1">MAX(0,MIN(1,($D15+$E15*(F$4-$D$4))))</f>
        <v>0</v>
      </c>
      <c r="G15" s="14"/>
      <c r="H15" s="14">
        <f ca="1">MAX(0,MIN(1,($D15+$E15*(H$4-$D$4))*$H$1))</f>
        <v>0</v>
      </c>
      <c r="I15" s="14">
        <f ca="1">($H15-$F15)/($H$4-$F$4)</f>
        <v>0</v>
      </c>
      <c r="J15" s="14">
        <f ca="1">K15-E15</f>
        <v>1.6254199999999996E-3</v>
      </c>
      <c r="K15" s="14">
        <f ca="1">MAX(0,MIN(1,D15+(K$4-D$4)*E15))</f>
        <v>0</v>
      </c>
      <c r="L15" s="15">
        <f ca="1">MAX(0,MIN(1,K15+$I15))</f>
        <v>0</v>
      </c>
      <c r="M15" s="15">
        <f t="shared" ref="M15" ca="1" si="58">MAX(0,MIN(1,L15+$I15))</f>
        <v>0</v>
      </c>
      <c r="N15" s="15">
        <f ca="1">MAX(0,MIN(1,M15+$I15))</f>
        <v>0</v>
      </c>
      <c r="O15" s="15">
        <f t="shared" ref="O15:AD15" ca="1" si="59">MAX(0,MIN(1,N15+$I15))</f>
        <v>0</v>
      </c>
      <c r="P15" s="15">
        <f t="shared" ca="1" si="59"/>
        <v>0</v>
      </c>
      <c r="Q15" s="15">
        <f t="shared" ca="1" si="59"/>
        <v>0</v>
      </c>
      <c r="R15" s="15">
        <f t="shared" ca="1" si="59"/>
        <v>0</v>
      </c>
      <c r="S15" s="15">
        <f t="shared" ca="1" si="59"/>
        <v>0</v>
      </c>
      <c r="T15" s="15">
        <f t="shared" ca="1" si="59"/>
        <v>0</v>
      </c>
      <c r="U15" s="15">
        <f t="shared" ca="1" si="59"/>
        <v>0</v>
      </c>
      <c r="V15" s="15">
        <f t="shared" ca="1" si="59"/>
        <v>0</v>
      </c>
      <c r="W15" s="15">
        <f t="shared" ca="1" si="59"/>
        <v>0</v>
      </c>
      <c r="X15" s="15">
        <f t="shared" ca="1" si="59"/>
        <v>0</v>
      </c>
      <c r="Y15" s="15">
        <f t="shared" ca="1" si="59"/>
        <v>0</v>
      </c>
      <c r="Z15" s="15">
        <f t="shared" ca="1" si="59"/>
        <v>0</v>
      </c>
      <c r="AA15" s="15">
        <f t="shared" ca="1" si="59"/>
        <v>0</v>
      </c>
      <c r="AB15" s="15">
        <f t="shared" ca="1" si="59"/>
        <v>0</v>
      </c>
      <c r="AC15" s="15">
        <f t="shared" ca="1" si="59"/>
        <v>0</v>
      </c>
      <c r="AD15" s="15">
        <f t="shared" ca="1" si="59"/>
        <v>0</v>
      </c>
      <c r="AG15" s="1" t="s">
        <v>52</v>
      </c>
      <c r="AH15" s="37">
        <f t="shared" ref="AH15:BB15" ca="1" si="60">J15*AH$21</f>
        <v>2692.4603000610546</v>
      </c>
      <c r="AI15" s="37">
        <f t="shared" ca="1" si="60"/>
        <v>0</v>
      </c>
      <c r="AJ15" s="37">
        <f t="shared" ca="1" si="60"/>
        <v>0</v>
      </c>
      <c r="AK15" s="37">
        <f t="shared" ca="1" si="60"/>
        <v>0</v>
      </c>
      <c r="AL15" s="37">
        <f t="shared" ca="1" si="60"/>
        <v>0</v>
      </c>
      <c r="AM15" s="37">
        <f t="shared" ca="1" si="60"/>
        <v>0</v>
      </c>
      <c r="AN15" s="37">
        <f t="shared" ca="1" si="60"/>
        <v>0</v>
      </c>
      <c r="AO15" s="37">
        <f t="shared" ca="1" si="60"/>
        <v>0</v>
      </c>
      <c r="AP15" s="37">
        <f t="shared" ca="1" si="60"/>
        <v>0</v>
      </c>
      <c r="AQ15" s="37">
        <f t="shared" ca="1" si="60"/>
        <v>0</v>
      </c>
      <c r="AR15" s="37">
        <f t="shared" ca="1" si="60"/>
        <v>0</v>
      </c>
      <c r="AS15" s="37">
        <f t="shared" ca="1" si="60"/>
        <v>0</v>
      </c>
      <c r="AT15" s="37">
        <f t="shared" ca="1" si="60"/>
        <v>0</v>
      </c>
      <c r="AU15" s="37">
        <f t="shared" ca="1" si="60"/>
        <v>0</v>
      </c>
      <c r="AV15" s="37">
        <f t="shared" ca="1" si="60"/>
        <v>0</v>
      </c>
      <c r="AW15" s="37">
        <f t="shared" ca="1" si="60"/>
        <v>0</v>
      </c>
      <c r="AX15" s="37">
        <f t="shared" ca="1" si="60"/>
        <v>0</v>
      </c>
      <c r="AY15" s="37">
        <f t="shared" ca="1" si="60"/>
        <v>0</v>
      </c>
      <c r="AZ15" s="37" t="e">
        <f t="shared" ca="1" si="60"/>
        <v>#N/A</v>
      </c>
      <c r="BA15" s="37" t="e">
        <f t="shared" ca="1" si="60"/>
        <v>#N/A</v>
      </c>
      <c r="BB15" s="37" t="e">
        <f t="shared" ca="1" si="60"/>
        <v>#N/A</v>
      </c>
    </row>
    <row r="16" spans="1:54" x14ac:dyDescent="0.25">
      <c r="B16" s="1" t="s">
        <v>54</v>
      </c>
      <c r="C16" s="14">
        <f ca="1">INDEX(Data_FP!$2:$1048576,MATCH(C$4&amp;$A$14&amp;$B16&amp;$A$1,Data_FP!$A$2:$A$1048576,0),MATCH($A$13,Data_FP!$2:$2,0))</f>
        <v>8.9959999999999997E-4</v>
      </c>
      <c r="D16" s="14">
        <f ca="1">INDEX(Data_FP!$2:$1048576,MATCH(D$4&amp;$A$14&amp;$B16&amp;$A$1,Data_FP!$A$2:$A$1048576,0),MATCH($A$13,Data_FP!$2:$2,0))</f>
        <v>6.5400000000000004E-5</v>
      </c>
      <c r="E16" s="14">
        <f ca="1">IF('User Settings'!$N$7="On",($D16-$C16)/($D$4-$C$4),0)</f>
        <v>-1.6684E-4</v>
      </c>
      <c r="F16" s="14">
        <f t="shared" ref="F16:F20" ca="1" si="61">MAX(0,MIN(1,($D16+$E16*(F$4-$D$4))))</f>
        <v>0</v>
      </c>
      <c r="G16" s="14"/>
      <c r="H16" s="14">
        <f t="shared" ref="H16:H20" ca="1" si="62">MAX(0,MIN(1,($D16+$E16*(H$4-$D$4))*$H$1))</f>
        <v>0</v>
      </c>
      <c r="I16" s="14">
        <f ca="1">($H16-$F16)/($H$4-$F$4)</f>
        <v>0</v>
      </c>
      <c r="J16" s="14">
        <f t="shared" ref="J16:J20" ca="1" si="63">K16-E16</f>
        <v>1.6684E-4</v>
      </c>
      <c r="K16" s="14">
        <f t="shared" ref="K16:K20" ca="1" si="64">MAX(0,MIN(1,D16+(K$4-D$4)*E16))</f>
        <v>0</v>
      </c>
      <c r="L16" s="15">
        <f t="shared" ref="L16:AD16" ca="1" si="65">MAX(0,MIN(1,K16+$I16))</f>
        <v>0</v>
      </c>
      <c r="M16" s="15">
        <f t="shared" ca="1" si="65"/>
        <v>0</v>
      </c>
      <c r="N16" s="15">
        <f t="shared" ca="1" si="65"/>
        <v>0</v>
      </c>
      <c r="O16" s="15">
        <f t="shared" ca="1" si="65"/>
        <v>0</v>
      </c>
      <c r="P16" s="15">
        <f t="shared" ca="1" si="65"/>
        <v>0</v>
      </c>
      <c r="Q16" s="15">
        <f t="shared" ca="1" si="65"/>
        <v>0</v>
      </c>
      <c r="R16" s="15">
        <f t="shared" ca="1" si="65"/>
        <v>0</v>
      </c>
      <c r="S16" s="15">
        <f t="shared" ca="1" si="65"/>
        <v>0</v>
      </c>
      <c r="T16" s="15">
        <f t="shared" ca="1" si="65"/>
        <v>0</v>
      </c>
      <c r="U16" s="15">
        <f t="shared" ca="1" si="65"/>
        <v>0</v>
      </c>
      <c r="V16" s="15">
        <f t="shared" ca="1" si="65"/>
        <v>0</v>
      </c>
      <c r="W16" s="15">
        <f t="shared" ca="1" si="65"/>
        <v>0</v>
      </c>
      <c r="X16" s="15">
        <f t="shared" ca="1" si="65"/>
        <v>0</v>
      </c>
      <c r="Y16" s="15">
        <f t="shared" ca="1" si="65"/>
        <v>0</v>
      </c>
      <c r="Z16" s="15">
        <f t="shared" ca="1" si="65"/>
        <v>0</v>
      </c>
      <c r="AA16" s="15">
        <f t="shared" ca="1" si="65"/>
        <v>0</v>
      </c>
      <c r="AB16" s="15">
        <f t="shared" ca="1" si="65"/>
        <v>0</v>
      </c>
      <c r="AC16" s="15">
        <f t="shared" ca="1" si="65"/>
        <v>0</v>
      </c>
      <c r="AD16" s="15">
        <f t="shared" ca="1" si="65"/>
        <v>0</v>
      </c>
      <c r="AG16" s="1" t="s">
        <v>54</v>
      </c>
      <c r="AH16" s="37">
        <f t="shared" ref="AH16:AI20" ca="1" si="66">J16*AH$21</f>
        <v>276.36554026786092</v>
      </c>
      <c r="AI16" s="37">
        <f t="shared" ca="1" si="66"/>
        <v>0</v>
      </c>
      <c r="AJ16" s="37">
        <f t="shared" ref="AJ16:AS20" ca="1" si="67">L16*AJ$21</f>
        <v>0</v>
      </c>
      <c r="AK16" s="37">
        <f t="shared" ca="1" si="67"/>
        <v>0</v>
      </c>
      <c r="AL16" s="37">
        <f t="shared" ca="1" si="67"/>
        <v>0</v>
      </c>
      <c r="AM16" s="37">
        <f t="shared" ca="1" si="67"/>
        <v>0</v>
      </c>
      <c r="AN16" s="37">
        <f t="shared" ca="1" si="67"/>
        <v>0</v>
      </c>
      <c r="AO16" s="37">
        <f t="shared" ca="1" si="67"/>
        <v>0</v>
      </c>
      <c r="AP16" s="37">
        <f t="shared" ca="1" si="67"/>
        <v>0</v>
      </c>
      <c r="AQ16" s="37">
        <f t="shared" ca="1" si="67"/>
        <v>0</v>
      </c>
      <c r="AR16" s="37">
        <f t="shared" ca="1" si="67"/>
        <v>0</v>
      </c>
      <c r="AS16" s="37">
        <f t="shared" ca="1" si="67"/>
        <v>0</v>
      </c>
      <c r="AT16" s="37">
        <f t="shared" ref="AT16:BB20" ca="1" si="68">V16*AT$21</f>
        <v>0</v>
      </c>
      <c r="AU16" s="37">
        <f t="shared" ca="1" si="68"/>
        <v>0</v>
      </c>
      <c r="AV16" s="37">
        <f t="shared" ca="1" si="68"/>
        <v>0</v>
      </c>
      <c r="AW16" s="37">
        <f t="shared" ca="1" si="68"/>
        <v>0</v>
      </c>
      <c r="AX16" s="37">
        <f t="shared" ca="1" si="68"/>
        <v>0</v>
      </c>
      <c r="AY16" s="37">
        <f t="shared" ca="1" si="68"/>
        <v>0</v>
      </c>
      <c r="AZ16" s="37" t="e">
        <f t="shared" ca="1" si="68"/>
        <v>#N/A</v>
      </c>
      <c r="BA16" s="37" t="e">
        <f t="shared" ca="1" si="68"/>
        <v>#N/A</v>
      </c>
      <c r="BB16" s="37" t="e">
        <f t="shared" ca="1" si="68"/>
        <v>#N/A</v>
      </c>
    </row>
    <row r="17" spans="1:54" x14ac:dyDescent="0.25">
      <c r="B17" s="1" t="s">
        <v>170</v>
      </c>
      <c r="C17" s="14">
        <f ca="1">INDEX(Data_FP!$2:$1048576,MATCH(C$4&amp;$A$14&amp;$B17&amp;$A$1,Data_FP!$A$2:$A$1048576,0),MATCH($A$13,Data_FP!$2:$2,0))</f>
        <v>0</v>
      </c>
      <c r="D17" s="14">
        <f ca="1">INDEX(Data_FP!$2:$1048576,MATCH(D$4&amp;$A$14&amp;$B17&amp;$A$1,Data_FP!$A$2:$A$1048576,0),MATCH($A$13,Data_FP!$2:$2,0))</f>
        <v>0</v>
      </c>
      <c r="E17" s="14">
        <f ca="1">IF('User Settings'!$N$7="On",($D17-$C17)/($D$4-$C$4),0)</f>
        <v>0</v>
      </c>
      <c r="F17" s="14">
        <f t="shared" ca="1" si="61"/>
        <v>0</v>
      </c>
      <c r="G17" s="14"/>
      <c r="H17" s="14">
        <f t="shared" ca="1" si="62"/>
        <v>0</v>
      </c>
      <c r="I17" s="14">
        <f t="shared" ref="I17:I20" ca="1" si="69">($H17-$F17)/($H$4-$F$4)</f>
        <v>0</v>
      </c>
      <c r="J17" s="14">
        <f t="shared" ca="1" si="63"/>
        <v>0</v>
      </c>
      <c r="K17" s="14">
        <f t="shared" ca="1" si="64"/>
        <v>0</v>
      </c>
      <c r="L17" s="15">
        <f t="shared" ref="L17:AD17" ca="1" si="70">MAX(0,MIN(1,K17+$I17))</f>
        <v>0</v>
      </c>
      <c r="M17" s="15">
        <f t="shared" ca="1" si="70"/>
        <v>0</v>
      </c>
      <c r="N17" s="15">
        <f t="shared" ca="1" si="70"/>
        <v>0</v>
      </c>
      <c r="O17" s="15">
        <f t="shared" ca="1" si="70"/>
        <v>0</v>
      </c>
      <c r="P17" s="15">
        <f t="shared" ca="1" si="70"/>
        <v>0</v>
      </c>
      <c r="Q17" s="15">
        <f t="shared" ca="1" si="70"/>
        <v>0</v>
      </c>
      <c r="R17" s="15">
        <f t="shared" ca="1" si="70"/>
        <v>0</v>
      </c>
      <c r="S17" s="15">
        <f t="shared" ca="1" si="70"/>
        <v>0</v>
      </c>
      <c r="T17" s="15">
        <f t="shared" ca="1" si="70"/>
        <v>0</v>
      </c>
      <c r="U17" s="15">
        <f t="shared" ca="1" si="70"/>
        <v>0</v>
      </c>
      <c r="V17" s="15">
        <f t="shared" ca="1" si="70"/>
        <v>0</v>
      </c>
      <c r="W17" s="15">
        <f t="shared" ca="1" si="70"/>
        <v>0</v>
      </c>
      <c r="X17" s="15">
        <f t="shared" ca="1" si="70"/>
        <v>0</v>
      </c>
      <c r="Y17" s="15">
        <f t="shared" ca="1" si="70"/>
        <v>0</v>
      </c>
      <c r="Z17" s="15">
        <f t="shared" ca="1" si="70"/>
        <v>0</v>
      </c>
      <c r="AA17" s="15">
        <f t="shared" ca="1" si="70"/>
        <v>0</v>
      </c>
      <c r="AB17" s="15">
        <f t="shared" ca="1" si="70"/>
        <v>0</v>
      </c>
      <c r="AC17" s="15">
        <f t="shared" ca="1" si="70"/>
        <v>0</v>
      </c>
      <c r="AD17" s="15">
        <f t="shared" ca="1" si="70"/>
        <v>0</v>
      </c>
      <c r="AG17" s="1" t="s">
        <v>170</v>
      </c>
      <c r="AH17" s="37">
        <f t="shared" ca="1" si="66"/>
        <v>0</v>
      </c>
      <c r="AI17" s="37">
        <f t="shared" ca="1" si="66"/>
        <v>0</v>
      </c>
      <c r="AJ17" s="37">
        <f t="shared" ca="1" si="67"/>
        <v>0</v>
      </c>
      <c r="AK17" s="37">
        <f t="shared" ca="1" si="67"/>
        <v>0</v>
      </c>
      <c r="AL17" s="37">
        <f t="shared" ca="1" si="67"/>
        <v>0</v>
      </c>
      <c r="AM17" s="37">
        <f t="shared" ca="1" si="67"/>
        <v>0</v>
      </c>
      <c r="AN17" s="37">
        <f t="shared" ca="1" si="67"/>
        <v>0</v>
      </c>
      <c r="AO17" s="37">
        <f t="shared" ca="1" si="67"/>
        <v>0</v>
      </c>
      <c r="AP17" s="37">
        <f t="shared" ca="1" si="67"/>
        <v>0</v>
      </c>
      <c r="AQ17" s="37">
        <f t="shared" ca="1" si="67"/>
        <v>0</v>
      </c>
      <c r="AR17" s="37">
        <f t="shared" ca="1" si="67"/>
        <v>0</v>
      </c>
      <c r="AS17" s="37">
        <f t="shared" ca="1" si="67"/>
        <v>0</v>
      </c>
      <c r="AT17" s="37">
        <f t="shared" ca="1" si="68"/>
        <v>0</v>
      </c>
      <c r="AU17" s="37">
        <f t="shared" ca="1" si="68"/>
        <v>0</v>
      </c>
      <c r="AV17" s="37">
        <f t="shared" ca="1" si="68"/>
        <v>0</v>
      </c>
      <c r="AW17" s="37">
        <f t="shared" ca="1" si="68"/>
        <v>0</v>
      </c>
      <c r="AX17" s="37">
        <f t="shared" ca="1" si="68"/>
        <v>0</v>
      </c>
      <c r="AY17" s="37">
        <f t="shared" ca="1" si="68"/>
        <v>0</v>
      </c>
      <c r="AZ17" s="37" t="e">
        <f t="shared" ca="1" si="68"/>
        <v>#N/A</v>
      </c>
      <c r="BA17" s="37" t="e">
        <f t="shared" ca="1" si="68"/>
        <v>#N/A</v>
      </c>
      <c r="BB17" s="37" t="e">
        <f t="shared" ca="1" si="68"/>
        <v>#N/A</v>
      </c>
    </row>
    <row r="18" spans="1:54" x14ac:dyDescent="0.25">
      <c r="B18" s="1" t="s">
        <v>59</v>
      </c>
      <c r="C18" s="14">
        <f ca="1">INDEX(Data_FP!$2:$1048576,MATCH(C$4&amp;$A$14&amp;$B18&amp;$A$1,Data_FP!$A$2:$A$1048576,0),MATCH($A$13,Data_FP!$2:$2,0))</f>
        <v>1.3059299999999999E-2</v>
      </c>
      <c r="D18" s="14">
        <f ca="1">INDEX(Data_FP!$2:$1048576,MATCH(D$4&amp;$A$14&amp;$B18&amp;$A$1,Data_FP!$A$2:$A$1048576,0),MATCH($A$13,Data_FP!$2:$2,0))</f>
        <v>1.383E-2</v>
      </c>
      <c r="E18" s="14">
        <f ca="1">IF('User Settings'!$N$7="On",($D18-$C18)/($D$4-$C$4),0)</f>
        <v>1.5414000000000017E-4</v>
      </c>
      <c r="F18" s="14">
        <f t="shared" ca="1" si="61"/>
        <v>1.429242E-2</v>
      </c>
      <c r="G18" s="14"/>
      <c r="H18" s="14">
        <f t="shared" ca="1" si="62"/>
        <v>1.4754840000000002E-2</v>
      </c>
      <c r="I18" s="14">
        <f t="shared" ca="1" si="69"/>
        <v>1.5414000000000053E-4</v>
      </c>
      <c r="J18" s="14">
        <f t="shared" ca="1" si="63"/>
        <v>1.413828E-2</v>
      </c>
      <c r="K18" s="14">
        <f t="shared" ca="1" si="64"/>
        <v>1.429242E-2</v>
      </c>
      <c r="L18" s="15">
        <f t="shared" ref="L18:AD18" ca="1" si="71">MAX(0,MIN(1,K18+$I18))</f>
        <v>1.4446560000000001E-2</v>
      </c>
      <c r="M18" s="15">
        <f t="shared" ca="1" si="71"/>
        <v>1.4600700000000001E-2</v>
      </c>
      <c r="N18" s="15">
        <f t="shared" ca="1" si="71"/>
        <v>1.4754840000000002E-2</v>
      </c>
      <c r="O18" s="15">
        <f t="shared" ca="1" si="71"/>
        <v>1.4908980000000002E-2</v>
      </c>
      <c r="P18" s="15">
        <f t="shared" ca="1" si="71"/>
        <v>1.5063120000000003E-2</v>
      </c>
      <c r="Q18" s="15">
        <f t="shared" ca="1" si="71"/>
        <v>1.5217260000000003E-2</v>
      </c>
      <c r="R18" s="15">
        <f t="shared" ca="1" si="71"/>
        <v>1.5371400000000004E-2</v>
      </c>
      <c r="S18" s="15">
        <f t="shared" ca="1" si="71"/>
        <v>1.5525540000000004E-2</v>
      </c>
      <c r="T18" s="15">
        <f t="shared" ca="1" si="71"/>
        <v>1.5679680000000005E-2</v>
      </c>
      <c r="U18" s="15">
        <f t="shared" ca="1" si="71"/>
        <v>1.5833820000000005E-2</v>
      </c>
      <c r="V18" s="15">
        <f t="shared" ca="1" si="71"/>
        <v>1.5987960000000006E-2</v>
      </c>
      <c r="W18" s="15">
        <f t="shared" ca="1" si="71"/>
        <v>1.6142100000000006E-2</v>
      </c>
      <c r="X18" s="15">
        <f t="shared" ca="1" si="71"/>
        <v>1.6296240000000007E-2</v>
      </c>
      <c r="Y18" s="15">
        <f t="shared" ca="1" si="71"/>
        <v>1.6450380000000007E-2</v>
      </c>
      <c r="Z18" s="15">
        <f t="shared" ca="1" si="71"/>
        <v>1.6604520000000008E-2</v>
      </c>
      <c r="AA18" s="15">
        <f t="shared" ca="1" si="71"/>
        <v>1.6758660000000009E-2</v>
      </c>
      <c r="AB18" s="15">
        <f t="shared" ca="1" si="71"/>
        <v>1.6912800000000009E-2</v>
      </c>
      <c r="AC18" s="15">
        <f t="shared" ca="1" si="71"/>
        <v>1.706694000000001E-2</v>
      </c>
      <c r="AD18" s="15">
        <f t="shared" ca="1" si="71"/>
        <v>1.722108000000001E-2</v>
      </c>
      <c r="AG18" s="1" t="s">
        <v>59</v>
      </c>
      <c r="AH18" s="37">
        <f t="shared" ca="1" si="66"/>
        <v>23419.643914278906</v>
      </c>
      <c r="AI18" s="37">
        <f t="shared" ca="1" si="66"/>
        <v>24585.403129741018</v>
      </c>
      <c r="AJ18" s="37">
        <f t="shared" ca="1" si="67"/>
        <v>25800.529452995157</v>
      </c>
      <c r="AK18" s="37">
        <f t="shared" ca="1" si="67"/>
        <v>27032.46708865956</v>
      </c>
      <c r="AL18" s="37">
        <f t="shared" ca="1" si="67"/>
        <v>28319.97486253173</v>
      </c>
      <c r="AM18" s="37">
        <f t="shared" ca="1" si="67"/>
        <v>29660.664142783993</v>
      </c>
      <c r="AN18" s="37">
        <f t="shared" ca="1" si="67"/>
        <v>31051.517283491321</v>
      </c>
      <c r="AO18" s="37">
        <f t="shared" ca="1" si="67"/>
        <v>32491.374151277385</v>
      </c>
      <c r="AP18" s="37">
        <f t="shared" ca="1" si="67"/>
        <v>33957.759679307543</v>
      </c>
      <c r="AQ18" s="37">
        <f t="shared" ca="1" si="67"/>
        <v>35477.07645462294</v>
      </c>
      <c r="AR18" s="37">
        <f t="shared" ca="1" si="67"/>
        <v>37050.710527252973</v>
      </c>
      <c r="AS18" s="37">
        <f t="shared" ca="1" si="67"/>
        <v>38681.718749092004</v>
      </c>
      <c r="AT18" s="37">
        <f t="shared" ca="1" si="68"/>
        <v>40371.978367531206</v>
      </c>
      <c r="AU18" s="37">
        <f t="shared" ca="1" si="68"/>
        <v>42097.787079889429</v>
      </c>
      <c r="AV18" s="37">
        <f t="shared" ca="1" si="68"/>
        <v>43886.834118082297</v>
      </c>
      <c r="AW18" s="37">
        <f t="shared" ca="1" si="68"/>
        <v>45737.512386448507</v>
      </c>
      <c r="AX18" s="37">
        <f t="shared" ca="1" si="68"/>
        <v>47647.748538417887</v>
      </c>
      <c r="AY18" s="37">
        <f t="shared" ca="1" si="68"/>
        <v>49616.378411453661</v>
      </c>
      <c r="AZ18" s="37" t="e">
        <f t="shared" ca="1" si="68"/>
        <v>#N/A</v>
      </c>
      <c r="BA18" s="37" t="e">
        <f t="shared" ca="1" si="68"/>
        <v>#N/A</v>
      </c>
      <c r="BB18" s="37" t="e">
        <f t="shared" ca="1" si="68"/>
        <v>#N/A</v>
      </c>
    </row>
    <row r="19" spans="1:54" x14ac:dyDescent="0.25">
      <c r="B19" s="1" t="s">
        <v>171</v>
      </c>
      <c r="C19" s="14">
        <f ca="1">INDEX(Data_FP!$2:$1048576,MATCH(C$4&amp;$A$14&amp;$B19&amp;$A$1,Data_FP!$A$2:$A$1048576,0),MATCH($A$13,Data_FP!$2:$2,0))</f>
        <v>0</v>
      </c>
      <c r="D19" s="14">
        <f ca="1">INDEX(Data_FP!$2:$1048576,MATCH(D$4&amp;$A$14&amp;$B19&amp;$A$1,Data_FP!$A$2:$A$1048576,0),MATCH($A$13,Data_FP!$2:$2,0))</f>
        <v>0</v>
      </c>
      <c r="E19" s="14">
        <f ca="1">IF('User Settings'!$N$7="On",($D19-$C19)/($D$4-$C$4),0)</f>
        <v>0</v>
      </c>
      <c r="F19" s="14">
        <f t="shared" ca="1" si="61"/>
        <v>0</v>
      </c>
      <c r="G19" s="14"/>
      <c r="H19" s="14">
        <f t="shared" ca="1" si="62"/>
        <v>0</v>
      </c>
      <c r="I19" s="14">
        <f t="shared" ca="1" si="69"/>
        <v>0</v>
      </c>
      <c r="J19" s="14">
        <f t="shared" ca="1" si="63"/>
        <v>0</v>
      </c>
      <c r="K19" s="14">
        <f t="shared" ca="1" si="64"/>
        <v>0</v>
      </c>
      <c r="L19" s="15">
        <f t="shared" ref="L19:AD19" ca="1" si="72">MAX(0,MIN(1,K19+$I19))</f>
        <v>0</v>
      </c>
      <c r="M19" s="15">
        <f t="shared" ca="1" si="72"/>
        <v>0</v>
      </c>
      <c r="N19" s="15">
        <f t="shared" ca="1" si="72"/>
        <v>0</v>
      </c>
      <c r="O19" s="15">
        <f t="shared" ca="1" si="72"/>
        <v>0</v>
      </c>
      <c r="P19" s="15">
        <f t="shared" ca="1" si="72"/>
        <v>0</v>
      </c>
      <c r="Q19" s="15">
        <f t="shared" ca="1" si="72"/>
        <v>0</v>
      </c>
      <c r="R19" s="15">
        <f t="shared" ca="1" si="72"/>
        <v>0</v>
      </c>
      <c r="S19" s="15">
        <f t="shared" ca="1" si="72"/>
        <v>0</v>
      </c>
      <c r="T19" s="15">
        <f t="shared" ca="1" si="72"/>
        <v>0</v>
      </c>
      <c r="U19" s="15">
        <f t="shared" ca="1" si="72"/>
        <v>0</v>
      </c>
      <c r="V19" s="15">
        <f t="shared" ca="1" si="72"/>
        <v>0</v>
      </c>
      <c r="W19" s="15">
        <f t="shared" ca="1" si="72"/>
        <v>0</v>
      </c>
      <c r="X19" s="15">
        <f t="shared" ca="1" si="72"/>
        <v>0</v>
      </c>
      <c r="Y19" s="15">
        <f t="shared" ca="1" si="72"/>
        <v>0</v>
      </c>
      <c r="Z19" s="15">
        <f t="shared" ca="1" si="72"/>
        <v>0</v>
      </c>
      <c r="AA19" s="15">
        <f t="shared" ca="1" si="72"/>
        <v>0</v>
      </c>
      <c r="AB19" s="15">
        <f t="shared" ca="1" si="72"/>
        <v>0</v>
      </c>
      <c r="AC19" s="15">
        <f t="shared" ca="1" si="72"/>
        <v>0</v>
      </c>
      <c r="AD19" s="15">
        <f t="shared" ca="1" si="72"/>
        <v>0</v>
      </c>
      <c r="AG19" s="1" t="s">
        <v>171</v>
      </c>
      <c r="AH19" s="37">
        <f t="shared" ca="1" si="66"/>
        <v>0</v>
      </c>
      <c r="AI19" s="37">
        <f t="shared" ca="1" si="66"/>
        <v>0</v>
      </c>
      <c r="AJ19" s="37">
        <f t="shared" ca="1" si="67"/>
        <v>0</v>
      </c>
      <c r="AK19" s="37">
        <f t="shared" ca="1" si="67"/>
        <v>0</v>
      </c>
      <c r="AL19" s="37">
        <f t="shared" ca="1" si="67"/>
        <v>0</v>
      </c>
      <c r="AM19" s="37">
        <f t="shared" ca="1" si="67"/>
        <v>0</v>
      </c>
      <c r="AN19" s="37">
        <f t="shared" ca="1" si="67"/>
        <v>0</v>
      </c>
      <c r="AO19" s="37">
        <f t="shared" ca="1" si="67"/>
        <v>0</v>
      </c>
      <c r="AP19" s="37">
        <f t="shared" ca="1" si="67"/>
        <v>0</v>
      </c>
      <c r="AQ19" s="37">
        <f t="shared" ca="1" si="67"/>
        <v>0</v>
      </c>
      <c r="AR19" s="37">
        <f t="shared" ca="1" si="67"/>
        <v>0</v>
      </c>
      <c r="AS19" s="37">
        <f t="shared" ca="1" si="67"/>
        <v>0</v>
      </c>
      <c r="AT19" s="37">
        <f t="shared" ca="1" si="68"/>
        <v>0</v>
      </c>
      <c r="AU19" s="37">
        <f t="shared" ca="1" si="68"/>
        <v>0</v>
      </c>
      <c r="AV19" s="37">
        <f t="shared" ca="1" si="68"/>
        <v>0</v>
      </c>
      <c r="AW19" s="37">
        <f t="shared" ca="1" si="68"/>
        <v>0</v>
      </c>
      <c r="AX19" s="37">
        <f t="shared" ca="1" si="68"/>
        <v>0</v>
      </c>
      <c r="AY19" s="37">
        <f t="shared" ca="1" si="68"/>
        <v>0</v>
      </c>
      <c r="AZ19" s="37" t="e">
        <f t="shared" ca="1" si="68"/>
        <v>#N/A</v>
      </c>
      <c r="BA19" s="37" t="e">
        <f t="shared" ca="1" si="68"/>
        <v>#N/A</v>
      </c>
      <c r="BB19" s="37" t="e">
        <f t="shared" ca="1" si="68"/>
        <v>#N/A</v>
      </c>
    </row>
    <row r="20" spans="1:54" x14ac:dyDescent="0.25">
      <c r="B20" s="1" t="s">
        <v>116</v>
      </c>
      <c r="C20" s="14">
        <f ca="1">INDEX(Data_FP!$2:$1048576,MATCH(C$4&amp;$A$14&amp;$B20&amp;$A$1,Data_FP!$A$2:$A$1048576,0),MATCH($A$13,Data_FP!$2:$2,0))</f>
        <v>1.6922E-3</v>
      </c>
      <c r="D20" s="14">
        <f ca="1">INDEX(Data_FP!$2:$1048576,MATCH(D$4&amp;$A$14&amp;$B20&amp;$A$1,Data_FP!$A$2:$A$1048576,0),MATCH($A$13,Data_FP!$2:$2,0))</f>
        <v>0</v>
      </c>
      <c r="E20" s="14">
        <f ca="1">IF('User Settings'!$N$7="On",($D20-$C20)/($D$4-$C$4),0)</f>
        <v>-3.3844000000000002E-4</v>
      </c>
      <c r="F20" s="14">
        <f t="shared" ca="1" si="61"/>
        <v>0</v>
      </c>
      <c r="G20" s="14"/>
      <c r="H20" s="14">
        <f t="shared" ca="1" si="62"/>
        <v>0</v>
      </c>
      <c r="I20" s="14">
        <f t="shared" ca="1" si="69"/>
        <v>0</v>
      </c>
      <c r="J20" s="14">
        <f t="shared" ca="1" si="63"/>
        <v>3.3844000000000002E-4</v>
      </c>
      <c r="K20" s="14">
        <f t="shared" ca="1" si="64"/>
        <v>0</v>
      </c>
      <c r="L20" s="15">
        <f t="shared" ref="L20:AD20" ca="1" si="73">MAX(0,MIN(1,K20+$I20))</f>
        <v>0</v>
      </c>
      <c r="M20" s="15">
        <f t="shared" ca="1" si="73"/>
        <v>0</v>
      </c>
      <c r="N20" s="15">
        <f t="shared" ca="1" si="73"/>
        <v>0</v>
      </c>
      <c r="O20" s="15">
        <f t="shared" ca="1" si="73"/>
        <v>0</v>
      </c>
      <c r="P20" s="15">
        <f t="shared" ca="1" si="73"/>
        <v>0</v>
      </c>
      <c r="Q20" s="15">
        <f t="shared" ca="1" si="73"/>
        <v>0</v>
      </c>
      <c r="R20" s="15">
        <f t="shared" ca="1" si="73"/>
        <v>0</v>
      </c>
      <c r="S20" s="15">
        <f t="shared" ca="1" si="73"/>
        <v>0</v>
      </c>
      <c r="T20" s="15">
        <f t="shared" ca="1" si="73"/>
        <v>0</v>
      </c>
      <c r="U20" s="15">
        <f t="shared" ca="1" si="73"/>
        <v>0</v>
      </c>
      <c r="V20" s="15">
        <f t="shared" ca="1" si="73"/>
        <v>0</v>
      </c>
      <c r="W20" s="15">
        <f t="shared" ca="1" si="73"/>
        <v>0</v>
      </c>
      <c r="X20" s="15">
        <f t="shared" ca="1" si="73"/>
        <v>0</v>
      </c>
      <c r="Y20" s="15">
        <f t="shared" ca="1" si="73"/>
        <v>0</v>
      </c>
      <c r="Z20" s="15">
        <f t="shared" ca="1" si="73"/>
        <v>0</v>
      </c>
      <c r="AA20" s="15">
        <f t="shared" ca="1" si="73"/>
        <v>0</v>
      </c>
      <c r="AB20" s="15">
        <f t="shared" ca="1" si="73"/>
        <v>0</v>
      </c>
      <c r="AC20" s="15">
        <f t="shared" ca="1" si="73"/>
        <v>0</v>
      </c>
      <c r="AD20" s="15">
        <f t="shared" ca="1" si="73"/>
        <v>0</v>
      </c>
      <c r="AG20" s="1" t="s">
        <v>116</v>
      </c>
      <c r="AH20" s="37">
        <f t="shared" ca="1" si="66"/>
        <v>560.61588017414795</v>
      </c>
      <c r="AI20" s="37">
        <f t="shared" ca="1" si="66"/>
        <v>0</v>
      </c>
      <c r="AJ20" s="37">
        <f t="shared" ca="1" si="67"/>
        <v>0</v>
      </c>
      <c r="AK20" s="37">
        <f t="shared" ca="1" si="67"/>
        <v>0</v>
      </c>
      <c r="AL20" s="37">
        <f t="shared" ca="1" si="67"/>
        <v>0</v>
      </c>
      <c r="AM20" s="37">
        <f t="shared" ca="1" si="67"/>
        <v>0</v>
      </c>
      <c r="AN20" s="37">
        <f t="shared" ca="1" si="67"/>
        <v>0</v>
      </c>
      <c r="AO20" s="37">
        <f t="shared" ca="1" si="67"/>
        <v>0</v>
      </c>
      <c r="AP20" s="37">
        <f t="shared" ca="1" si="67"/>
        <v>0</v>
      </c>
      <c r="AQ20" s="37">
        <f t="shared" ca="1" si="67"/>
        <v>0</v>
      </c>
      <c r="AR20" s="37">
        <f t="shared" ca="1" si="67"/>
        <v>0</v>
      </c>
      <c r="AS20" s="37">
        <f t="shared" ca="1" si="67"/>
        <v>0</v>
      </c>
      <c r="AT20" s="37">
        <f t="shared" ca="1" si="68"/>
        <v>0</v>
      </c>
      <c r="AU20" s="37">
        <f t="shared" ca="1" si="68"/>
        <v>0</v>
      </c>
      <c r="AV20" s="37">
        <f t="shared" ca="1" si="68"/>
        <v>0</v>
      </c>
      <c r="AW20" s="37">
        <f t="shared" ca="1" si="68"/>
        <v>0</v>
      </c>
      <c r="AX20" s="37">
        <f t="shared" ca="1" si="68"/>
        <v>0</v>
      </c>
      <c r="AY20" s="37">
        <f t="shared" ca="1" si="68"/>
        <v>0</v>
      </c>
      <c r="AZ20" s="37" t="e">
        <f t="shared" ca="1" si="68"/>
        <v>#N/A</v>
      </c>
      <c r="BA20" s="37" t="e">
        <f t="shared" ca="1" si="68"/>
        <v>#N/A</v>
      </c>
      <c r="BB20" s="37" t="e">
        <f t="shared" ca="1" si="68"/>
        <v>#N/A</v>
      </c>
    </row>
    <row r="21" spans="1:54" x14ac:dyDescent="0.25">
      <c r="C21" s="5">
        <f ca="1">SUM(C15:C20)</f>
        <v>2.72505E-2</v>
      </c>
      <c r="D21" s="5">
        <f ca="1">SUM(D15:D20)</f>
        <v>1.73677E-2</v>
      </c>
      <c r="E21" s="131"/>
      <c r="F21" s="132">
        <f ca="1">SUM(F15:F20)</f>
        <v>1.429242E-2</v>
      </c>
      <c r="G21" s="132"/>
      <c r="H21" s="132">
        <f ca="1">SUM(H15:H20)</f>
        <v>1.4754840000000002E-2</v>
      </c>
      <c r="I21" s="132"/>
      <c r="J21" s="132">
        <f ca="1">SUM(J15:J20)</f>
        <v>1.6268979999999999E-2</v>
      </c>
      <c r="K21" s="132">
        <f ca="1">SUM(K15:K20)</f>
        <v>1.429242E-2</v>
      </c>
      <c r="L21" s="5">
        <f t="shared" ref="L21:AD21" ca="1" si="74">SUM(L15:L20)</f>
        <v>1.4446560000000001E-2</v>
      </c>
      <c r="M21" s="5">
        <f t="shared" ca="1" si="74"/>
        <v>1.4600700000000001E-2</v>
      </c>
      <c r="N21" s="5">
        <f t="shared" ca="1" si="74"/>
        <v>1.4754840000000002E-2</v>
      </c>
      <c r="O21" s="5">
        <f t="shared" ca="1" si="74"/>
        <v>1.4908980000000002E-2</v>
      </c>
      <c r="P21" s="5">
        <f t="shared" ca="1" si="74"/>
        <v>1.5063120000000003E-2</v>
      </c>
      <c r="Q21" s="5">
        <f t="shared" ca="1" si="74"/>
        <v>1.5217260000000003E-2</v>
      </c>
      <c r="R21" s="5">
        <f t="shared" ca="1" si="74"/>
        <v>1.5371400000000004E-2</v>
      </c>
      <c r="S21" s="5">
        <f t="shared" ca="1" si="74"/>
        <v>1.5525540000000004E-2</v>
      </c>
      <c r="T21" s="5">
        <f t="shared" ca="1" si="74"/>
        <v>1.5679680000000005E-2</v>
      </c>
      <c r="U21" s="5">
        <f t="shared" ca="1" si="74"/>
        <v>1.5833820000000005E-2</v>
      </c>
      <c r="V21" s="5">
        <f t="shared" ca="1" si="74"/>
        <v>1.5987960000000006E-2</v>
      </c>
      <c r="W21" s="5">
        <f t="shared" ca="1" si="74"/>
        <v>1.6142100000000006E-2</v>
      </c>
      <c r="X21" s="5">
        <f t="shared" ca="1" si="74"/>
        <v>1.6296240000000007E-2</v>
      </c>
      <c r="Y21" s="5">
        <f t="shared" ca="1" si="74"/>
        <v>1.6450380000000007E-2</v>
      </c>
      <c r="Z21" s="5">
        <f t="shared" ca="1" si="74"/>
        <v>1.6604520000000008E-2</v>
      </c>
      <c r="AA21" s="5">
        <f t="shared" ca="1" si="74"/>
        <v>1.6758660000000009E-2</v>
      </c>
      <c r="AB21" s="5">
        <f t="shared" ca="1" si="74"/>
        <v>1.6912800000000009E-2</v>
      </c>
      <c r="AC21" s="5">
        <f t="shared" ca="1" si="74"/>
        <v>1.706694000000001E-2</v>
      </c>
      <c r="AD21" s="5">
        <f t="shared" ca="1" si="74"/>
        <v>1.722108000000001E-2</v>
      </c>
      <c r="AG21" s="38" t="s">
        <v>172</v>
      </c>
      <c r="AH21" s="141">
        <f ca="1">INDEX(Data_WRA!$4:$1048576,MATCH(AH$4,Data_WRA!$A$4:$A$1048576,0),MATCH($A$14&amp;$A$13,Data_WRA!$4:$4,0))</f>
        <v>1656470.5122744001</v>
      </c>
      <c r="AI21" s="141">
        <f ca="1">INDEX(Data_WRA!$4:$1048576,MATCH(AI$4,Data_WRA!$A$4:$A$1048576,0),MATCH($A$14&amp;$A$13,Data_WRA!$4:$4,0))</f>
        <v>1720170.7709220005</v>
      </c>
      <c r="AJ21" s="141">
        <f ca="1">INDEX(Data_WRA!$4:$1048576,MATCH(AJ$4,Data_WRA!$A$4:$A$1048576,0),MATCH($A$14&amp;$A$13,Data_WRA!$4:$4,0))</f>
        <v>1785928.9306932001</v>
      </c>
      <c r="AK21" s="141">
        <f ca="1">INDEX(Data_WRA!$4:$1048576,MATCH(AK$4,Data_WRA!$A$4:$A$1048576,0),MATCH($A$14&amp;$A$13,Data_WRA!$4:$4,0))</f>
        <v>1851450.0735348002</v>
      </c>
      <c r="AL21" s="141">
        <f ca="1">INDEX(Data_WRA!$4:$1048576,MATCH(AL$4,Data_WRA!$A$4:$A$1048576,0),MATCH($A$14&amp;$A$13,Data_WRA!$4:$4,0))</f>
        <v>1919368.4826492004</v>
      </c>
      <c r="AM21" s="141">
        <f ca="1">INDEX(Data_WRA!$4:$1048576,MATCH(AM$4,Data_WRA!$A$4:$A$1048576,0),MATCH($A$14&amp;$A$13,Data_WRA!$4:$4,0))</f>
        <v>1989449.5896288001</v>
      </c>
      <c r="AN21" s="141">
        <f ca="1">INDEX(Data_WRA!$4:$1048576,MATCH(AN$4,Data_WRA!$A$4:$A$1048576,0),MATCH($A$14&amp;$A$13,Data_WRA!$4:$4,0))</f>
        <v>2061426.6688104002</v>
      </c>
      <c r="AO21" s="141">
        <f ca="1">INDEX(Data_WRA!$4:$1048576,MATCH(AO$4,Data_WRA!$A$4:$A$1048576,0),MATCH($A$14&amp;$A$13,Data_WRA!$4:$4,0))</f>
        <v>2135165.867658</v>
      </c>
      <c r="AP21" s="141">
        <f ca="1">INDEX(Data_WRA!$4:$1048576,MATCH(AP$4,Data_WRA!$A$4:$A$1048576,0),MATCH($A$14&amp;$A$13,Data_WRA!$4:$4,0))</f>
        <v>2209152.0407580007</v>
      </c>
      <c r="AQ21" s="141">
        <f ca="1">INDEX(Data_WRA!$4:$1048576,MATCH(AQ$4,Data_WRA!$A$4:$A$1048576,0),MATCH($A$14&amp;$A$13,Data_WRA!$4:$4,0))</f>
        <v>2285078.4226908004</v>
      </c>
      <c r="AR21" s="141">
        <f ca="1">INDEX(Data_WRA!$4:$1048576,MATCH(AR$4,Data_WRA!$A$4:$A$1048576,0),MATCH($A$14&amp;$A$13,Data_WRA!$4:$4,0))</f>
        <v>2362976.1913032001</v>
      </c>
      <c r="AS21" s="141">
        <f ca="1">INDEX(Data_WRA!$4:$1048576,MATCH(AS$4,Data_WRA!$A$4:$A$1048576,0),MATCH($A$14&amp;$A$13,Data_WRA!$4:$4,0))</f>
        <v>2442980.8314792002</v>
      </c>
      <c r="AT21" s="141">
        <f ca="1">INDEX(Data_WRA!$4:$1048576,MATCH(AT$4,Data_WRA!$A$4:$A$1048576,0),MATCH($A$14&amp;$A$13,Data_WRA!$4:$4,0))</f>
        <v>2525148.8224596004</v>
      </c>
      <c r="AU21" s="141">
        <f ca="1">INDEX(Data_WRA!$4:$1048576,MATCH(AU$4,Data_WRA!$A$4:$A$1048576,0),MATCH($A$14&amp;$A$13,Data_WRA!$4:$4,0))</f>
        <v>2607949.8379944004</v>
      </c>
      <c r="AV21" s="141">
        <f ca="1">INDEX(Data_WRA!$4:$1048576,MATCH(AV$4,Data_WRA!$A$4:$A$1048576,0),MATCH($A$14&amp;$A$13,Data_WRA!$4:$4,0))</f>
        <v>2693065.0332888002</v>
      </c>
      <c r="AW21" s="141">
        <f ca="1">INDEX(Data_WRA!$4:$1048576,MATCH(AW$4,Data_WRA!$A$4:$A$1048576,0),MATCH($A$14&amp;$A$13,Data_WRA!$4:$4,0))</f>
        <v>2780331.6632472007</v>
      </c>
      <c r="AX21" s="141">
        <f ca="1">INDEX(Data_WRA!$4:$1048576,MATCH(AX$4,Data_WRA!$A$4:$A$1048576,0),MATCH($A$14&amp;$A$13,Data_WRA!$4:$4,0))</f>
        <v>2869564.9460760001</v>
      </c>
      <c r="AY21" s="141">
        <f ca="1">INDEX(Data_WRA!$4:$1048576,MATCH(AY$4,Data_WRA!$A$4:$A$1048576,0),MATCH($A$14&amp;$A$13,Data_WRA!$4:$4,0))</f>
        <v>2960641.1497967998</v>
      </c>
      <c r="AZ21" s="141" t="e">
        <f>INDEX(Data_WRA!$4:$1048576,MATCH(AZ$4,Data_WRA!$A$4:$A$1048576,0),MATCH($A$14&amp;$A$13,Data_WRA!$4:$4,0))</f>
        <v>#N/A</v>
      </c>
      <c r="BA21" s="141" t="e">
        <f>INDEX(Data_WRA!$4:$1048576,MATCH(BA$4,Data_WRA!$A$4:$A$1048576,0),MATCH($A$14&amp;$A$13,Data_WRA!$4:$4,0))</f>
        <v>#N/A</v>
      </c>
      <c r="BB21" s="141" t="e">
        <f>INDEX(Data_WRA!$4:$1048576,MATCH(BB$4,Data_WRA!$A$4:$A$1048576,0),MATCH($A$14&amp;$A$13,Data_WRA!$4:$4,0))</f>
        <v>#N/A</v>
      </c>
    </row>
    <row r="22" spans="1:54" x14ac:dyDescent="0.25">
      <c r="D22" s="5"/>
      <c r="AI22" s="7"/>
      <c r="AJ22" s="7"/>
      <c r="AK22" s="7"/>
      <c r="AL22" s="7"/>
      <c r="AM22" s="7"/>
      <c r="AN22" s="7"/>
      <c r="AO22" s="7"/>
      <c r="AP22" s="7"/>
      <c r="AQ22" s="7"/>
      <c r="AR22" s="7"/>
      <c r="AS22" s="7"/>
      <c r="AT22" s="7"/>
    </row>
    <row r="23" spans="1:54" x14ac:dyDescent="0.25">
      <c r="A23" s="6" t="s">
        <v>173</v>
      </c>
      <c r="C23" s="4" t="s">
        <v>163</v>
      </c>
      <c r="D23" s="4" t="s">
        <v>164</v>
      </c>
      <c r="F23" s="4" t="s">
        <v>165</v>
      </c>
      <c r="G23" s="4"/>
      <c r="H23" s="4" t="s">
        <v>167</v>
      </c>
      <c r="K23" s="205" t="str">
        <f t="shared" ref="K23:AD23" si="75">IF(K24=Yr_Start,"Start Year",IF(K24=Yr_End,"End Year",""))</f>
        <v>Start Year</v>
      </c>
      <c r="L23" s="205" t="str">
        <f t="shared" si="75"/>
        <v/>
      </c>
      <c r="M23" s="205" t="str">
        <f t="shared" si="75"/>
        <v/>
      </c>
      <c r="N23" s="205" t="str">
        <f t="shared" si="75"/>
        <v>End Year</v>
      </c>
      <c r="O23" s="205" t="str">
        <f t="shared" si="75"/>
        <v/>
      </c>
      <c r="P23" s="205" t="str">
        <f t="shared" si="75"/>
        <v/>
      </c>
      <c r="Q23" s="205" t="str">
        <f t="shared" si="75"/>
        <v/>
      </c>
      <c r="R23" s="205" t="str">
        <f t="shared" si="75"/>
        <v/>
      </c>
      <c r="S23" s="205" t="str">
        <f t="shared" si="75"/>
        <v/>
      </c>
      <c r="T23" s="205" t="str">
        <f t="shared" si="75"/>
        <v/>
      </c>
      <c r="U23" s="205" t="str">
        <f t="shared" si="75"/>
        <v/>
      </c>
      <c r="V23" s="205" t="str">
        <f t="shared" si="75"/>
        <v/>
      </c>
      <c r="W23" s="205" t="str">
        <f t="shared" si="75"/>
        <v/>
      </c>
      <c r="X23" s="205" t="str">
        <f t="shared" si="75"/>
        <v/>
      </c>
      <c r="Y23" s="205" t="str">
        <f t="shared" si="75"/>
        <v/>
      </c>
      <c r="Z23" s="205" t="str">
        <f t="shared" si="75"/>
        <v/>
      </c>
      <c r="AA23" s="205" t="str">
        <f t="shared" si="75"/>
        <v/>
      </c>
      <c r="AB23" s="205" t="str">
        <f t="shared" si="75"/>
        <v/>
      </c>
      <c r="AC23" s="205" t="str">
        <f t="shared" si="75"/>
        <v/>
      </c>
      <c r="AD23" s="205" t="str">
        <f t="shared" si="75"/>
        <v/>
      </c>
      <c r="AF23" s="6" t="str">
        <f>A23</f>
        <v>Richer</v>
      </c>
      <c r="AI23" s="205" t="str">
        <f t="shared" ref="AI23:BB23" si="76">IF(AI24=Yr_Start,"Start Year",IF(AI24=Yr_End,"End Year",""))</f>
        <v>Start Year</v>
      </c>
      <c r="AJ23" s="205" t="str">
        <f t="shared" si="76"/>
        <v/>
      </c>
      <c r="AK23" s="205" t="str">
        <f t="shared" si="76"/>
        <v/>
      </c>
      <c r="AL23" s="205" t="str">
        <f t="shared" si="76"/>
        <v>End Year</v>
      </c>
      <c r="AM23" s="205" t="str">
        <f t="shared" si="76"/>
        <v/>
      </c>
      <c r="AN23" s="205" t="str">
        <f t="shared" si="76"/>
        <v/>
      </c>
      <c r="AO23" s="205" t="str">
        <f t="shared" si="76"/>
        <v/>
      </c>
      <c r="AP23" s="205" t="str">
        <f t="shared" si="76"/>
        <v/>
      </c>
      <c r="AQ23" s="205" t="str">
        <f t="shared" si="76"/>
        <v/>
      </c>
      <c r="AR23" s="205" t="str">
        <f t="shared" si="76"/>
        <v/>
      </c>
      <c r="AS23" s="205" t="str">
        <f t="shared" si="76"/>
        <v/>
      </c>
      <c r="AT23" s="205" t="str">
        <f t="shared" si="76"/>
        <v/>
      </c>
      <c r="AU23" s="205" t="str">
        <f t="shared" si="76"/>
        <v/>
      </c>
      <c r="AV23" s="205" t="str">
        <f t="shared" si="76"/>
        <v/>
      </c>
      <c r="AW23" s="205" t="str">
        <f t="shared" si="76"/>
        <v/>
      </c>
      <c r="AX23" s="205" t="str">
        <f t="shared" si="76"/>
        <v/>
      </c>
      <c r="AY23" s="205" t="str">
        <f t="shared" si="76"/>
        <v/>
      </c>
      <c r="AZ23" s="205" t="str">
        <f t="shared" si="76"/>
        <v/>
      </c>
      <c r="BA23" s="205" t="str">
        <f t="shared" si="76"/>
        <v/>
      </c>
      <c r="BB23" s="205" t="str">
        <f t="shared" si="76"/>
        <v/>
      </c>
    </row>
    <row r="24" spans="1:54" x14ac:dyDescent="0.25">
      <c r="A24" s="6" t="s">
        <v>20</v>
      </c>
      <c r="B24" s="36"/>
      <c r="C24" s="36">
        <f>Yr_DHS1</f>
        <v>2011</v>
      </c>
      <c r="D24" s="36">
        <f>Yr_DHS2</f>
        <v>2016</v>
      </c>
      <c r="E24" s="36" t="s">
        <v>168</v>
      </c>
      <c r="F24" s="36">
        <f>Yr_Start</f>
        <v>2019</v>
      </c>
      <c r="G24" s="36"/>
      <c r="H24" s="36">
        <f>Yr_End</f>
        <v>2022</v>
      </c>
      <c r="I24" s="36" t="s">
        <v>169</v>
      </c>
      <c r="J24" s="130">
        <f>K24-1</f>
        <v>2018</v>
      </c>
      <c r="K24" s="130">
        <f>Yr_Start</f>
        <v>2019</v>
      </c>
      <c r="L24" s="130">
        <f>K24+1</f>
        <v>2020</v>
      </c>
      <c r="M24" s="130">
        <f t="shared" ref="M24:AD24" si="77">L24+1</f>
        <v>2021</v>
      </c>
      <c r="N24" s="130">
        <f t="shared" si="77"/>
        <v>2022</v>
      </c>
      <c r="O24" s="130">
        <f t="shared" si="77"/>
        <v>2023</v>
      </c>
      <c r="P24" s="130">
        <f t="shared" si="77"/>
        <v>2024</v>
      </c>
      <c r="Q24" s="130">
        <f t="shared" si="77"/>
        <v>2025</v>
      </c>
      <c r="R24" s="130">
        <f t="shared" si="77"/>
        <v>2026</v>
      </c>
      <c r="S24" s="130">
        <f t="shared" si="77"/>
        <v>2027</v>
      </c>
      <c r="T24" s="130">
        <f t="shared" si="77"/>
        <v>2028</v>
      </c>
      <c r="U24" s="130">
        <f t="shared" si="77"/>
        <v>2029</v>
      </c>
      <c r="V24" s="130">
        <f t="shared" si="77"/>
        <v>2030</v>
      </c>
      <c r="W24" s="130">
        <f t="shared" si="77"/>
        <v>2031</v>
      </c>
      <c r="X24" s="130">
        <f t="shared" si="77"/>
        <v>2032</v>
      </c>
      <c r="Y24" s="130">
        <f t="shared" si="77"/>
        <v>2033</v>
      </c>
      <c r="Z24" s="130">
        <f t="shared" si="77"/>
        <v>2034</v>
      </c>
      <c r="AA24" s="130">
        <f t="shared" si="77"/>
        <v>2035</v>
      </c>
      <c r="AB24" s="130">
        <f t="shared" si="77"/>
        <v>2036</v>
      </c>
      <c r="AC24" s="130">
        <f t="shared" si="77"/>
        <v>2037</v>
      </c>
      <c r="AD24" s="130">
        <f t="shared" si="77"/>
        <v>2038</v>
      </c>
      <c r="AF24" s="6" t="str">
        <f>A24</f>
        <v>Urban</v>
      </c>
      <c r="AG24" s="38"/>
      <c r="AH24" s="161">
        <f>AI24-1</f>
        <v>2018</v>
      </c>
      <c r="AI24" s="36">
        <f>Yr_Start</f>
        <v>2019</v>
      </c>
      <c r="AJ24" s="36">
        <f>AI24+1</f>
        <v>2020</v>
      </c>
      <c r="AK24" s="36">
        <f t="shared" ref="AK24" si="78">AJ24+1</f>
        <v>2021</v>
      </c>
      <c r="AL24" s="36">
        <f t="shared" ref="AL24" si="79">AK24+1</f>
        <v>2022</v>
      </c>
      <c r="AM24" s="36">
        <f t="shared" ref="AM24" si="80">AL24+1</f>
        <v>2023</v>
      </c>
      <c r="AN24" s="36">
        <f t="shared" ref="AN24" si="81">AM24+1</f>
        <v>2024</v>
      </c>
      <c r="AO24" s="36">
        <f t="shared" ref="AO24" si="82">AN24+1</f>
        <v>2025</v>
      </c>
      <c r="AP24" s="36">
        <f t="shared" ref="AP24" si="83">AO24+1</f>
        <v>2026</v>
      </c>
      <c r="AQ24" s="36">
        <f t="shared" ref="AQ24" si="84">AP24+1</f>
        <v>2027</v>
      </c>
      <c r="AR24" s="36">
        <f t="shared" ref="AR24" si="85">AQ24+1</f>
        <v>2028</v>
      </c>
      <c r="AS24" s="36">
        <f t="shared" ref="AS24" si="86">AR24+1</f>
        <v>2029</v>
      </c>
      <c r="AT24" s="36">
        <f t="shared" ref="AT24" si="87">AS24+1</f>
        <v>2030</v>
      </c>
      <c r="AU24" s="36">
        <f t="shared" ref="AU24" si="88">AT24+1</f>
        <v>2031</v>
      </c>
      <c r="AV24" s="36">
        <f t="shared" ref="AV24" si="89">AU24+1</f>
        <v>2032</v>
      </c>
      <c r="AW24" s="36">
        <f t="shared" ref="AW24" si="90">AV24+1</f>
        <v>2033</v>
      </c>
      <c r="AX24" s="36">
        <f t="shared" ref="AX24" si="91">AW24+1</f>
        <v>2034</v>
      </c>
      <c r="AY24" s="36">
        <f t="shared" ref="AY24" si="92">AX24+1</f>
        <v>2035</v>
      </c>
      <c r="AZ24" s="36">
        <f t="shared" ref="AZ24" si="93">AY24+1</f>
        <v>2036</v>
      </c>
      <c r="BA24" s="36">
        <f t="shared" ref="BA24" si="94">AZ24+1</f>
        <v>2037</v>
      </c>
      <c r="BB24" s="36">
        <f t="shared" ref="BB24" si="95">BA24+1</f>
        <v>2038</v>
      </c>
    </row>
    <row r="25" spans="1:54" x14ac:dyDescent="0.25">
      <c r="B25" s="1" t="s">
        <v>52</v>
      </c>
      <c r="C25" s="14">
        <f ca="1">INDEX(Data_FP!$2:$1048576,MATCH(C$4&amp;$A$24&amp;$B25&amp;$A$1,Data_FP!$A$2:$A$1048576,0),MATCH($A$23,Data_FP!$2:$2,0))</f>
        <v>1.5339500000000001E-2</v>
      </c>
      <c r="D25" s="14">
        <f ca="1">INDEX(Data_FP!$2:$1048576,MATCH(D$4&amp;$A$24&amp;$B25&amp;$A$1,Data_FP!$A$2:$A$1048576,0),MATCH($A$23,Data_FP!$2:$2,0))</f>
        <v>3.9496000000000002E-3</v>
      </c>
      <c r="E25" s="14">
        <f ca="1">IF('User Settings'!$N$7="On",($D25-$C25)/($D$4-$C$4),0)</f>
        <v>-2.2779800000000002E-3</v>
      </c>
      <c r="F25" s="14">
        <f ca="1">MAX(0,MIN(1,($D25+$E25*(F$4-$D$4))))</f>
        <v>0</v>
      </c>
      <c r="G25" s="14"/>
      <c r="H25" s="14">
        <f ca="1">MAX(0,MIN(1,($D25+$E25*(H$4-$D$4))*$H$1))</f>
        <v>0</v>
      </c>
      <c r="I25" s="14">
        <f ca="1">($H25-$F25)/($H$4-$F$4)</f>
        <v>0</v>
      </c>
      <c r="J25" s="14">
        <f ca="1">K25-E25</f>
        <v>2.2779800000000002E-3</v>
      </c>
      <c r="K25" s="14">
        <f ca="1">MAX(0,MIN(1,D25+(K$4-D$4)*E25))</f>
        <v>0</v>
      </c>
      <c r="L25" s="15">
        <f ca="1">MAX(0,MIN(1,K25+$I25))</f>
        <v>0</v>
      </c>
      <c r="M25" s="15">
        <f t="shared" ref="M25" ca="1" si="96">MAX(0,MIN(1,L25+$I25))</f>
        <v>0</v>
      </c>
      <c r="N25" s="15">
        <f ca="1">MAX(0,MIN(1,M25+$I25))</f>
        <v>0</v>
      </c>
      <c r="O25" s="15">
        <f t="shared" ref="O25:AD25" ca="1" si="97">MAX(0,MIN(1,N25+$I25))</f>
        <v>0</v>
      </c>
      <c r="P25" s="15">
        <f t="shared" ca="1" si="97"/>
        <v>0</v>
      </c>
      <c r="Q25" s="15">
        <f t="shared" ca="1" si="97"/>
        <v>0</v>
      </c>
      <c r="R25" s="15">
        <f t="shared" ca="1" si="97"/>
        <v>0</v>
      </c>
      <c r="S25" s="15">
        <f t="shared" ca="1" si="97"/>
        <v>0</v>
      </c>
      <c r="T25" s="15">
        <f t="shared" ca="1" si="97"/>
        <v>0</v>
      </c>
      <c r="U25" s="15">
        <f t="shared" ca="1" si="97"/>
        <v>0</v>
      </c>
      <c r="V25" s="15">
        <f t="shared" ca="1" si="97"/>
        <v>0</v>
      </c>
      <c r="W25" s="15">
        <f t="shared" ca="1" si="97"/>
        <v>0</v>
      </c>
      <c r="X25" s="15">
        <f t="shared" ca="1" si="97"/>
        <v>0</v>
      </c>
      <c r="Y25" s="15">
        <f t="shared" ca="1" si="97"/>
        <v>0</v>
      </c>
      <c r="Z25" s="15">
        <f t="shared" ca="1" si="97"/>
        <v>0</v>
      </c>
      <c r="AA25" s="15">
        <f t="shared" ca="1" si="97"/>
        <v>0</v>
      </c>
      <c r="AB25" s="15">
        <f t="shared" ca="1" si="97"/>
        <v>0</v>
      </c>
      <c r="AC25" s="15">
        <f t="shared" ca="1" si="97"/>
        <v>0</v>
      </c>
      <c r="AD25" s="15">
        <f t="shared" ca="1" si="97"/>
        <v>0</v>
      </c>
      <c r="AG25" s="1" t="s">
        <v>52</v>
      </c>
      <c r="AH25" s="37">
        <f t="shared" ref="AH25:BB25" ca="1" si="98">J25*AH$31</f>
        <v>1373.0838954998765</v>
      </c>
      <c r="AI25" s="37">
        <f t="shared" ca="1" si="98"/>
        <v>0</v>
      </c>
      <c r="AJ25" s="37">
        <f t="shared" ca="1" si="98"/>
        <v>0</v>
      </c>
      <c r="AK25" s="37">
        <f t="shared" ca="1" si="98"/>
        <v>0</v>
      </c>
      <c r="AL25" s="37">
        <f t="shared" ca="1" si="98"/>
        <v>0</v>
      </c>
      <c r="AM25" s="37">
        <f t="shared" ca="1" si="98"/>
        <v>0</v>
      </c>
      <c r="AN25" s="37">
        <f t="shared" ca="1" si="98"/>
        <v>0</v>
      </c>
      <c r="AO25" s="37">
        <f t="shared" ca="1" si="98"/>
        <v>0</v>
      </c>
      <c r="AP25" s="37">
        <f t="shared" ca="1" si="98"/>
        <v>0</v>
      </c>
      <c r="AQ25" s="37">
        <f t="shared" ca="1" si="98"/>
        <v>0</v>
      </c>
      <c r="AR25" s="37">
        <f t="shared" ca="1" si="98"/>
        <v>0</v>
      </c>
      <c r="AS25" s="37">
        <f t="shared" ca="1" si="98"/>
        <v>0</v>
      </c>
      <c r="AT25" s="37">
        <f t="shared" ca="1" si="98"/>
        <v>0</v>
      </c>
      <c r="AU25" s="37">
        <f t="shared" ca="1" si="98"/>
        <v>0</v>
      </c>
      <c r="AV25" s="37">
        <f t="shared" ca="1" si="98"/>
        <v>0</v>
      </c>
      <c r="AW25" s="37">
        <f t="shared" ca="1" si="98"/>
        <v>0</v>
      </c>
      <c r="AX25" s="37">
        <f t="shared" ca="1" si="98"/>
        <v>0</v>
      </c>
      <c r="AY25" s="37">
        <f t="shared" ca="1" si="98"/>
        <v>0</v>
      </c>
      <c r="AZ25" s="37" t="e">
        <f t="shared" ca="1" si="98"/>
        <v>#N/A</v>
      </c>
      <c r="BA25" s="37" t="e">
        <f t="shared" ca="1" si="98"/>
        <v>#N/A</v>
      </c>
      <c r="BB25" s="37" t="e">
        <f t="shared" ca="1" si="98"/>
        <v>#N/A</v>
      </c>
    </row>
    <row r="26" spans="1:54" x14ac:dyDescent="0.25">
      <c r="B26" s="1" t="s">
        <v>54</v>
      </c>
      <c r="C26" s="14">
        <f ca="1">INDEX(Data_FP!$2:$1048576,MATCH(C$4&amp;$A$24&amp;$B26&amp;$A$1,Data_FP!$A$2:$A$1048576,0),MATCH($A$23,Data_FP!$2:$2,0))</f>
        <v>0</v>
      </c>
      <c r="D26" s="14">
        <f ca="1">INDEX(Data_FP!$2:$1048576,MATCH(D$4&amp;$A$24&amp;$B26&amp;$A$1,Data_FP!$A$2:$A$1048576,0),MATCH($A$23,Data_FP!$2:$2,0))</f>
        <v>0</v>
      </c>
      <c r="E26" s="14">
        <f ca="1">IF('User Settings'!$N$7="On",($D26-$C26)/($D$4-$C$4),0)</f>
        <v>0</v>
      </c>
      <c r="F26" s="14">
        <f t="shared" ref="F26:F30" ca="1" si="99">MAX(0,MIN(1,($D26+$E26*(F$4-$D$4))))</f>
        <v>0</v>
      </c>
      <c r="G26" s="14"/>
      <c r="H26" s="14">
        <f t="shared" ref="H26:H30" ca="1" si="100">MAX(0,MIN(1,($D26+$E26*(H$4-$D$4))*$H$1))</f>
        <v>0</v>
      </c>
      <c r="I26" s="14">
        <f ca="1">($H26-$F26)/($H$4-$F$4)</f>
        <v>0</v>
      </c>
      <c r="J26" s="14">
        <f t="shared" ref="J26:J30" ca="1" si="101">K26-E26</f>
        <v>0</v>
      </c>
      <c r="K26" s="14">
        <f t="shared" ref="K26:K30" ca="1" si="102">MAX(0,MIN(1,D26+(K$4-D$4)*E26))</f>
        <v>0</v>
      </c>
      <c r="L26" s="15">
        <f t="shared" ref="L26:AD26" ca="1" si="103">MAX(0,MIN(1,K26+$I26))</f>
        <v>0</v>
      </c>
      <c r="M26" s="15">
        <f t="shared" ca="1" si="103"/>
        <v>0</v>
      </c>
      <c r="N26" s="15">
        <f t="shared" ca="1" si="103"/>
        <v>0</v>
      </c>
      <c r="O26" s="15">
        <f t="shared" ca="1" si="103"/>
        <v>0</v>
      </c>
      <c r="P26" s="15">
        <f t="shared" ca="1" si="103"/>
        <v>0</v>
      </c>
      <c r="Q26" s="15">
        <f t="shared" ca="1" si="103"/>
        <v>0</v>
      </c>
      <c r="R26" s="15">
        <f t="shared" ca="1" si="103"/>
        <v>0</v>
      </c>
      <c r="S26" s="15">
        <f t="shared" ca="1" si="103"/>
        <v>0</v>
      </c>
      <c r="T26" s="15">
        <f t="shared" ca="1" si="103"/>
        <v>0</v>
      </c>
      <c r="U26" s="15">
        <f t="shared" ca="1" si="103"/>
        <v>0</v>
      </c>
      <c r="V26" s="15">
        <f t="shared" ca="1" si="103"/>
        <v>0</v>
      </c>
      <c r="W26" s="15">
        <f t="shared" ca="1" si="103"/>
        <v>0</v>
      </c>
      <c r="X26" s="15">
        <f t="shared" ca="1" si="103"/>
        <v>0</v>
      </c>
      <c r="Y26" s="15">
        <f t="shared" ca="1" si="103"/>
        <v>0</v>
      </c>
      <c r="Z26" s="15">
        <f t="shared" ca="1" si="103"/>
        <v>0</v>
      </c>
      <c r="AA26" s="15">
        <f t="shared" ca="1" si="103"/>
        <v>0</v>
      </c>
      <c r="AB26" s="15">
        <f t="shared" ca="1" si="103"/>
        <v>0</v>
      </c>
      <c r="AC26" s="15">
        <f t="shared" ca="1" si="103"/>
        <v>0</v>
      </c>
      <c r="AD26" s="15">
        <f t="shared" ca="1" si="103"/>
        <v>0</v>
      </c>
      <c r="AG26" s="1" t="s">
        <v>54</v>
      </c>
      <c r="AH26" s="37">
        <f t="shared" ref="AH26:AI30" ca="1" si="104">J26*AH$31</f>
        <v>0</v>
      </c>
      <c r="AI26" s="37">
        <f t="shared" ca="1" si="104"/>
        <v>0</v>
      </c>
      <c r="AJ26" s="37">
        <f t="shared" ref="AJ26:AJ30" ca="1" si="105">L26*AJ$31</f>
        <v>0</v>
      </c>
      <c r="AK26" s="37">
        <f t="shared" ref="AK26:AT30" ca="1" si="106">M26*AK$31</f>
        <v>0</v>
      </c>
      <c r="AL26" s="37">
        <f t="shared" ca="1" si="106"/>
        <v>0</v>
      </c>
      <c r="AM26" s="37">
        <f t="shared" ca="1" si="106"/>
        <v>0</v>
      </c>
      <c r="AN26" s="37">
        <f t="shared" ca="1" si="106"/>
        <v>0</v>
      </c>
      <c r="AO26" s="37">
        <f t="shared" ca="1" si="106"/>
        <v>0</v>
      </c>
      <c r="AP26" s="37">
        <f t="shared" ca="1" si="106"/>
        <v>0</v>
      </c>
      <c r="AQ26" s="37">
        <f t="shared" ca="1" si="106"/>
        <v>0</v>
      </c>
      <c r="AR26" s="37">
        <f t="shared" ca="1" si="106"/>
        <v>0</v>
      </c>
      <c r="AS26" s="37">
        <f t="shared" ca="1" si="106"/>
        <v>0</v>
      </c>
      <c r="AT26" s="37">
        <f t="shared" ca="1" si="106"/>
        <v>0</v>
      </c>
      <c r="AU26" s="37">
        <f t="shared" ref="AU26:BB30" ca="1" si="107">W26*AU$31</f>
        <v>0</v>
      </c>
      <c r="AV26" s="37">
        <f t="shared" ca="1" si="107"/>
        <v>0</v>
      </c>
      <c r="AW26" s="37">
        <f t="shared" ca="1" si="107"/>
        <v>0</v>
      </c>
      <c r="AX26" s="37">
        <f t="shared" ca="1" si="107"/>
        <v>0</v>
      </c>
      <c r="AY26" s="37">
        <f t="shared" ca="1" si="107"/>
        <v>0</v>
      </c>
      <c r="AZ26" s="37" t="e">
        <f t="shared" ca="1" si="107"/>
        <v>#N/A</v>
      </c>
      <c r="BA26" s="37" t="e">
        <f t="shared" ca="1" si="107"/>
        <v>#N/A</v>
      </c>
      <c r="BB26" s="37" t="e">
        <f t="shared" ca="1" si="107"/>
        <v>#N/A</v>
      </c>
    </row>
    <row r="27" spans="1:54" x14ac:dyDescent="0.25">
      <c r="B27" s="1" t="s">
        <v>170</v>
      </c>
      <c r="C27" s="14">
        <f ca="1">INDEX(Data_FP!$2:$1048576,MATCH(C$4&amp;$A$24&amp;$B27&amp;$A$1,Data_FP!$A$2:$A$1048576,0),MATCH($A$23,Data_FP!$2:$2,0))</f>
        <v>0</v>
      </c>
      <c r="D27" s="14">
        <f ca="1">INDEX(Data_FP!$2:$1048576,MATCH(D$4&amp;$A$24&amp;$B27&amp;$A$1,Data_FP!$A$2:$A$1048576,0),MATCH($A$23,Data_FP!$2:$2,0))</f>
        <v>7.4739999999999995E-4</v>
      </c>
      <c r="E27" s="14">
        <f ca="1">IF('User Settings'!$N$7="On",($D27-$C27)/($D$4-$C$4),0)</f>
        <v>1.4947999999999999E-4</v>
      </c>
      <c r="F27" s="14">
        <f t="shared" ca="1" si="99"/>
        <v>1.1958399999999999E-3</v>
      </c>
      <c r="G27" s="14"/>
      <c r="H27" s="14">
        <f t="shared" ca="1" si="100"/>
        <v>1.6442799999999997E-3</v>
      </c>
      <c r="I27" s="14">
        <f t="shared" ref="I27:I30" ca="1" si="108">($H27-$F27)/($H$4-$F$4)</f>
        <v>1.4947999999999993E-4</v>
      </c>
      <c r="J27" s="14">
        <f t="shared" ca="1" si="101"/>
        <v>1.0463599999999999E-3</v>
      </c>
      <c r="K27" s="14">
        <f t="shared" ca="1" si="102"/>
        <v>1.1958399999999999E-3</v>
      </c>
      <c r="L27" s="15">
        <f t="shared" ref="L27:AD27" ca="1" si="109">MAX(0,MIN(1,K27+$I27))</f>
        <v>1.3453199999999999E-3</v>
      </c>
      <c r="M27" s="15">
        <f t="shared" ca="1" si="109"/>
        <v>1.4947999999999999E-3</v>
      </c>
      <c r="N27" s="15">
        <f t="shared" ca="1" si="109"/>
        <v>1.6442799999999999E-3</v>
      </c>
      <c r="O27" s="15">
        <f t="shared" ca="1" si="109"/>
        <v>1.7937599999999999E-3</v>
      </c>
      <c r="P27" s="15">
        <f t="shared" ca="1" si="109"/>
        <v>1.9432399999999999E-3</v>
      </c>
      <c r="Q27" s="15">
        <f t="shared" ca="1" si="109"/>
        <v>2.0927199999999997E-3</v>
      </c>
      <c r="R27" s="15">
        <f t="shared" ca="1" si="109"/>
        <v>2.2421999999999997E-3</v>
      </c>
      <c r="S27" s="15">
        <f t="shared" ca="1" si="109"/>
        <v>2.3916799999999998E-3</v>
      </c>
      <c r="T27" s="15">
        <f t="shared" ca="1" si="109"/>
        <v>2.5411599999999998E-3</v>
      </c>
      <c r="U27" s="15">
        <f t="shared" ca="1" si="109"/>
        <v>2.6906399999999998E-3</v>
      </c>
      <c r="V27" s="15">
        <f t="shared" ca="1" si="109"/>
        <v>2.8401199999999998E-3</v>
      </c>
      <c r="W27" s="15">
        <f t="shared" ca="1" si="109"/>
        <v>2.9895999999999998E-3</v>
      </c>
      <c r="X27" s="15">
        <f t="shared" ca="1" si="109"/>
        <v>3.1390799999999998E-3</v>
      </c>
      <c r="Y27" s="15">
        <f t="shared" ca="1" si="109"/>
        <v>3.2885599999999998E-3</v>
      </c>
      <c r="Z27" s="15">
        <f t="shared" ca="1" si="109"/>
        <v>3.4380399999999998E-3</v>
      </c>
      <c r="AA27" s="15">
        <f t="shared" ca="1" si="109"/>
        <v>3.5875199999999999E-3</v>
      </c>
      <c r="AB27" s="15">
        <f t="shared" ca="1" si="109"/>
        <v>3.7369999999999999E-3</v>
      </c>
      <c r="AC27" s="15">
        <f t="shared" ca="1" si="109"/>
        <v>3.8864799999999999E-3</v>
      </c>
      <c r="AD27" s="15">
        <f t="shared" ca="1" si="109"/>
        <v>4.0359599999999999E-3</v>
      </c>
      <c r="AG27" s="1" t="s">
        <v>170</v>
      </c>
      <c r="AH27" s="37">
        <f t="shared" ca="1" si="104"/>
        <v>630.70793637136865</v>
      </c>
      <c r="AI27" s="37">
        <f t="shared" ca="1" si="104"/>
        <v>748.52808104963947</v>
      </c>
      <c r="AJ27" s="37">
        <f t="shared" ca="1" si="105"/>
        <v>874.28540539587016</v>
      </c>
      <c r="AK27" s="37">
        <f t="shared" ca="1" si="106"/>
        <v>1007.0674334556072</v>
      </c>
      <c r="AL27" s="37">
        <f t="shared" ca="1" si="106"/>
        <v>1148.4116537830369</v>
      </c>
      <c r="AM27" s="37">
        <f t="shared" ca="1" si="106"/>
        <v>1298.5561452759068</v>
      </c>
      <c r="AN27" s="37">
        <f t="shared" ca="1" si="106"/>
        <v>1457.6652120291994</v>
      </c>
      <c r="AO27" s="37">
        <f t="shared" ca="1" si="106"/>
        <v>1625.9463096051541</v>
      </c>
      <c r="AP27" s="37">
        <f t="shared" ca="1" si="106"/>
        <v>1802.4507716417984</v>
      </c>
      <c r="AQ27" s="37">
        <f t="shared" ca="1" si="106"/>
        <v>1988.6925132065742</v>
      </c>
      <c r="AR27" s="37">
        <f t="shared" ca="1" si="106"/>
        <v>2185.0169680101149</v>
      </c>
      <c r="AS27" s="37">
        <f t="shared" ca="1" si="106"/>
        <v>2391.8784783839155</v>
      </c>
      <c r="AT27" s="37">
        <f t="shared" ca="1" si="106"/>
        <v>2609.6792142270401</v>
      </c>
      <c r="AU27" s="37">
        <f t="shared" ca="1" si="107"/>
        <v>2837.1073975715517</v>
      </c>
      <c r="AV27" s="37">
        <f t="shared" ca="1" si="107"/>
        <v>3076.1866457748965</v>
      </c>
      <c r="AW27" s="37">
        <f t="shared" ca="1" si="107"/>
        <v>3327.0998375965642</v>
      </c>
      <c r="AX27" s="37">
        <f t="shared" ca="1" si="107"/>
        <v>3589.9668737389916</v>
      </c>
      <c r="AY27" s="37">
        <f t="shared" ca="1" si="107"/>
        <v>3864.9471482639524</v>
      </c>
      <c r="AZ27" s="37" t="e">
        <f t="shared" ca="1" si="107"/>
        <v>#N/A</v>
      </c>
      <c r="BA27" s="37" t="e">
        <f t="shared" ca="1" si="107"/>
        <v>#N/A</v>
      </c>
      <c r="BB27" s="37" t="e">
        <f t="shared" ca="1" si="107"/>
        <v>#N/A</v>
      </c>
    </row>
    <row r="28" spans="1:54" x14ac:dyDescent="0.25">
      <c r="B28" s="1" t="s">
        <v>59</v>
      </c>
      <c r="C28" s="14">
        <f ca="1">INDEX(Data_FP!$2:$1048576,MATCH(C$4&amp;$A$24&amp;$B28&amp;$A$1,Data_FP!$A$2:$A$1048576,0),MATCH($A$23,Data_FP!$2:$2,0))</f>
        <v>4.1239199999999997E-2</v>
      </c>
      <c r="D28" s="14">
        <f ca="1">INDEX(Data_FP!$2:$1048576,MATCH(D$4&amp;$A$24&amp;$B28&amp;$A$1,Data_FP!$A$2:$A$1048576,0),MATCH($A$23,Data_FP!$2:$2,0))</f>
        <v>1.9822099999999999E-2</v>
      </c>
      <c r="E28" s="14">
        <f ca="1">IF('User Settings'!$N$7="On",($D28-$C28)/($D$4-$C$4),0)</f>
        <v>-4.2834199999999996E-3</v>
      </c>
      <c r="F28" s="14">
        <f t="shared" ca="1" si="99"/>
        <v>6.97184E-3</v>
      </c>
      <c r="G28" s="14"/>
      <c r="H28" s="14">
        <f t="shared" ca="1" si="100"/>
        <v>0</v>
      </c>
      <c r="I28" s="14">
        <f t="shared" ca="1" si="108"/>
        <v>-2.3239466666666667E-3</v>
      </c>
      <c r="J28" s="14">
        <f t="shared" ca="1" si="101"/>
        <v>1.125526E-2</v>
      </c>
      <c r="K28" s="14">
        <f t="shared" ca="1" si="102"/>
        <v>6.97184E-3</v>
      </c>
      <c r="L28" s="15">
        <f t="shared" ref="L28:AD28" ca="1" si="110">MAX(0,MIN(1,K28+$I28))</f>
        <v>4.6478933333333333E-3</v>
      </c>
      <c r="M28" s="15">
        <f t="shared" ca="1" si="110"/>
        <v>2.3239466666666667E-3</v>
      </c>
      <c r="N28" s="15">
        <f t="shared" ca="1" si="110"/>
        <v>0</v>
      </c>
      <c r="O28" s="15">
        <f t="shared" ca="1" si="110"/>
        <v>0</v>
      </c>
      <c r="P28" s="15">
        <f t="shared" ca="1" si="110"/>
        <v>0</v>
      </c>
      <c r="Q28" s="15">
        <f t="shared" ca="1" si="110"/>
        <v>0</v>
      </c>
      <c r="R28" s="15">
        <f t="shared" ca="1" si="110"/>
        <v>0</v>
      </c>
      <c r="S28" s="15">
        <f t="shared" ca="1" si="110"/>
        <v>0</v>
      </c>
      <c r="T28" s="15">
        <f t="shared" ca="1" si="110"/>
        <v>0</v>
      </c>
      <c r="U28" s="15">
        <f t="shared" ca="1" si="110"/>
        <v>0</v>
      </c>
      <c r="V28" s="15">
        <f t="shared" ca="1" si="110"/>
        <v>0</v>
      </c>
      <c r="W28" s="15">
        <f t="shared" ca="1" si="110"/>
        <v>0</v>
      </c>
      <c r="X28" s="15">
        <f t="shared" ca="1" si="110"/>
        <v>0</v>
      </c>
      <c r="Y28" s="15">
        <f t="shared" ca="1" si="110"/>
        <v>0</v>
      </c>
      <c r="Z28" s="15">
        <f t="shared" ca="1" si="110"/>
        <v>0</v>
      </c>
      <c r="AA28" s="15">
        <f t="shared" ca="1" si="110"/>
        <v>0</v>
      </c>
      <c r="AB28" s="15">
        <f t="shared" ca="1" si="110"/>
        <v>0</v>
      </c>
      <c r="AC28" s="15">
        <f t="shared" ca="1" si="110"/>
        <v>0</v>
      </c>
      <c r="AD28" s="15">
        <f t="shared" ca="1" si="110"/>
        <v>0</v>
      </c>
      <c r="AG28" s="1" t="s">
        <v>59</v>
      </c>
      <c r="AH28" s="37">
        <f t="shared" ca="1" si="104"/>
        <v>6784.2633586176944</v>
      </c>
      <c r="AI28" s="37">
        <f t="shared" ca="1" si="104"/>
        <v>4363.9768000611448</v>
      </c>
      <c r="AJ28" s="37">
        <f t="shared" ca="1" si="105"/>
        <v>3020.5343763343262</v>
      </c>
      <c r="AK28" s="37">
        <f t="shared" ca="1" si="106"/>
        <v>1565.6750100934664</v>
      </c>
      <c r="AL28" s="37">
        <f t="shared" ca="1" si="106"/>
        <v>0</v>
      </c>
      <c r="AM28" s="37">
        <f t="shared" ca="1" si="106"/>
        <v>0</v>
      </c>
      <c r="AN28" s="37">
        <f t="shared" ca="1" si="106"/>
        <v>0</v>
      </c>
      <c r="AO28" s="37">
        <f t="shared" ca="1" si="106"/>
        <v>0</v>
      </c>
      <c r="AP28" s="37">
        <f t="shared" ca="1" si="106"/>
        <v>0</v>
      </c>
      <c r="AQ28" s="37">
        <f t="shared" ca="1" si="106"/>
        <v>0</v>
      </c>
      <c r="AR28" s="37">
        <f t="shared" ca="1" si="106"/>
        <v>0</v>
      </c>
      <c r="AS28" s="37">
        <f t="shared" ca="1" si="106"/>
        <v>0</v>
      </c>
      <c r="AT28" s="37">
        <f t="shared" ca="1" si="106"/>
        <v>0</v>
      </c>
      <c r="AU28" s="37">
        <f t="shared" ca="1" si="107"/>
        <v>0</v>
      </c>
      <c r="AV28" s="37">
        <f t="shared" ca="1" si="107"/>
        <v>0</v>
      </c>
      <c r="AW28" s="37">
        <f t="shared" ca="1" si="107"/>
        <v>0</v>
      </c>
      <c r="AX28" s="37">
        <f t="shared" ca="1" si="107"/>
        <v>0</v>
      </c>
      <c r="AY28" s="37">
        <f t="shared" ca="1" si="107"/>
        <v>0</v>
      </c>
      <c r="AZ28" s="37" t="e">
        <f t="shared" ca="1" si="107"/>
        <v>#N/A</v>
      </c>
      <c r="BA28" s="37" t="e">
        <f t="shared" ca="1" si="107"/>
        <v>#N/A</v>
      </c>
      <c r="BB28" s="37" t="e">
        <f t="shared" ca="1" si="107"/>
        <v>#N/A</v>
      </c>
    </row>
    <row r="29" spans="1:54" x14ac:dyDescent="0.25">
      <c r="B29" s="1" t="s">
        <v>171</v>
      </c>
      <c r="C29" s="14">
        <f ca="1">INDEX(Data_FP!$2:$1048576,MATCH(C$4&amp;$A$24&amp;$B29&amp;$A$1,Data_FP!$A$2:$A$1048576,0),MATCH($A$23,Data_FP!$2:$2,0))</f>
        <v>4.1330999999999998E-3</v>
      </c>
      <c r="D29" s="14">
        <f ca="1">INDEX(Data_FP!$2:$1048576,MATCH(D$4&amp;$A$24&amp;$B29&amp;$A$1,Data_FP!$A$2:$A$1048576,0),MATCH($A$23,Data_FP!$2:$2,0))</f>
        <v>0</v>
      </c>
      <c r="E29" s="14">
        <f ca="1">IF('User Settings'!$N$7="On",($D29-$C29)/($D$4-$C$4),0)</f>
        <v>-8.2661999999999992E-4</v>
      </c>
      <c r="F29" s="14">
        <f t="shared" ca="1" si="99"/>
        <v>0</v>
      </c>
      <c r="G29" s="14"/>
      <c r="H29" s="14">
        <f t="shared" ca="1" si="100"/>
        <v>0</v>
      </c>
      <c r="I29" s="14">
        <f t="shared" ca="1" si="108"/>
        <v>0</v>
      </c>
      <c r="J29" s="14">
        <f t="shared" ca="1" si="101"/>
        <v>8.2661999999999992E-4</v>
      </c>
      <c r="K29" s="14">
        <f t="shared" ca="1" si="102"/>
        <v>0</v>
      </c>
      <c r="L29" s="15">
        <f t="shared" ref="L29:AD29" ca="1" si="111">MAX(0,MIN(1,K29+$I29))</f>
        <v>0</v>
      </c>
      <c r="M29" s="15">
        <f t="shared" ca="1" si="111"/>
        <v>0</v>
      </c>
      <c r="N29" s="15">
        <f t="shared" ca="1" si="111"/>
        <v>0</v>
      </c>
      <c r="O29" s="15">
        <f t="shared" ca="1" si="111"/>
        <v>0</v>
      </c>
      <c r="P29" s="15">
        <f t="shared" ca="1" si="111"/>
        <v>0</v>
      </c>
      <c r="Q29" s="15">
        <f t="shared" ca="1" si="111"/>
        <v>0</v>
      </c>
      <c r="R29" s="15">
        <f t="shared" ca="1" si="111"/>
        <v>0</v>
      </c>
      <c r="S29" s="15">
        <f t="shared" ca="1" si="111"/>
        <v>0</v>
      </c>
      <c r="T29" s="15">
        <f t="shared" ca="1" si="111"/>
        <v>0</v>
      </c>
      <c r="U29" s="15">
        <f t="shared" ca="1" si="111"/>
        <v>0</v>
      </c>
      <c r="V29" s="15">
        <f t="shared" ca="1" si="111"/>
        <v>0</v>
      </c>
      <c r="W29" s="15">
        <f t="shared" ca="1" si="111"/>
        <v>0</v>
      </c>
      <c r="X29" s="15">
        <f t="shared" ca="1" si="111"/>
        <v>0</v>
      </c>
      <c r="Y29" s="15">
        <f t="shared" ca="1" si="111"/>
        <v>0</v>
      </c>
      <c r="Z29" s="15">
        <f t="shared" ca="1" si="111"/>
        <v>0</v>
      </c>
      <c r="AA29" s="15">
        <f t="shared" ca="1" si="111"/>
        <v>0</v>
      </c>
      <c r="AB29" s="15">
        <f t="shared" ca="1" si="111"/>
        <v>0</v>
      </c>
      <c r="AC29" s="15">
        <f t="shared" ca="1" si="111"/>
        <v>0</v>
      </c>
      <c r="AD29" s="15">
        <f t="shared" ca="1" si="111"/>
        <v>0</v>
      </c>
      <c r="AG29" s="1" t="s">
        <v>171</v>
      </c>
      <c r="AH29" s="37">
        <f t="shared" ca="1" si="104"/>
        <v>498.25661757263344</v>
      </c>
      <c r="AI29" s="37">
        <f t="shared" ca="1" si="104"/>
        <v>0</v>
      </c>
      <c r="AJ29" s="37">
        <f t="shared" ca="1" si="105"/>
        <v>0</v>
      </c>
      <c r="AK29" s="37">
        <f t="shared" ca="1" si="106"/>
        <v>0</v>
      </c>
      <c r="AL29" s="37">
        <f t="shared" ca="1" si="106"/>
        <v>0</v>
      </c>
      <c r="AM29" s="37">
        <f t="shared" ca="1" si="106"/>
        <v>0</v>
      </c>
      <c r="AN29" s="37">
        <f t="shared" ca="1" si="106"/>
        <v>0</v>
      </c>
      <c r="AO29" s="37">
        <f t="shared" ca="1" si="106"/>
        <v>0</v>
      </c>
      <c r="AP29" s="37">
        <f t="shared" ca="1" si="106"/>
        <v>0</v>
      </c>
      <c r="AQ29" s="37">
        <f t="shared" ca="1" si="106"/>
        <v>0</v>
      </c>
      <c r="AR29" s="37">
        <f t="shared" ca="1" si="106"/>
        <v>0</v>
      </c>
      <c r="AS29" s="37">
        <f t="shared" ca="1" si="106"/>
        <v>0</v>
      </c>
      <c r="AT29" s="37">
        <f t="shared" ca="1" si="106"/>
        <v>0</v>
      </c>
      <c r="AU29" s="37">
        <f t="shared" ca="1" si="107"/>
        <v>0</v>
      </c>
      <c r="AV29" s="37">
        <f t="shared" ca="1" si="107"/>
        <v>0</v>
      </c>
      <c r="AW29" s="37">
        <f t="shared" ca="1" si="107"/>
        <v>0</v>
      </c>
      <c r="AX29" s="37">
        <f t="shared" ca="1" si="107"/>
        <v>0</v>
      </c>
      <c r="AY29" s="37">
        <f t="shared" ca="1" si="107"/>
        <v>0</v>
      </c>
      <c r="AZ29" s="37" t="e">
        <f t="shared" ca="1" si="107"/>
        <v>#N/A</v>
      </c>
      <c r="BA29" s="37" t="e">
        <f t="shared" ca="1" si="107"/>
        <v>#N/A</v>
      </c>
      <c r="BB29" s="37" t="e">
        <f t="shared" ca="1" si="107"/>
        <v>#N/A</v>
      </c>
    </row>
    <row r="30" spans="1:54" ht="15.75" customHeight="1" x14ac:dyDescent="0.25">
      <c r="B30" s="1" t="s">
        <v>116</v>
      </c>
      <c r="C30" s="14">
        <f ca="1">INDEX(Data_FP!$2:$1048576,MATCH(C$4&amp;$A$24&amp;$B30&amp;$A$1,Data_FP!$A$2:$A$1048576,0),MATCH($A$23,Data_FP!$2:$2,0))</f>
        <v>0</v>
      </c>
      <c r="D30" s="14">
        <f ca="1">INDEX(Data_FP!$2:$1048576,MATCH(D$4&amp;$A$24&amp;$B30&amp;$A$1,Data_FP!$A$2:$A$1048576,0),MATCH($A$23,Data_FP!$2:$2,0))</f>
        <v>0</v>
      </c>
      <c r="E30" s="14">
        <f ca="1">IF('User Settings'!$N$7="On",($D30-$C30)/($D$4-$C$4),0)</f>
        <v>0</v>
      </c>
      <c r="F30" s="14">
        <f t="shared" ca="1" si="99"/>
        <v>0</v>
      </c>
      <c r="G30" s="14"/>
      <c r="H30" s="14">
        <f t="shared" ca="1" si="100"/>
        <v>0</v>
      </c>
      <c r="I30" s="14">
        <f t="shared" ca="1" si="108"/>
        <v>0</v>
      </c>
      <c r="J30" s="14">
        <f t="shared" ca="1" si="101"/>
        <v>0</v>
      </c>
      <c r="K30" s="14">
        <f t="shared" ca="1" si="102"/>
        <v>0</v>
      </c>
      <c r="L30" s="15">
        <f t="shared" ref="L30:AD30" ca="1" si="112">MAX(0,MIN(1,K30+$I30))</f>
        <v>0</v>
      </c>
      <c r="M30" s="15">
        <f t="shared" ca="1" si="112"/>
        <v>0</v>
      </c>
      <c r="N30" s="15">
        <f t="shared" ca="1" si="112"/>
        <v>0</v>
      </c>
      <c r="O30" s="15">
        <f t="shared" ca="1" si="112"/>
        <v>0</v>
      </c>
      <c r="P30" s="15">
        <f t="shared" ca="1" si="112"/>
        <v>0</v>
      </c>
      <c r="Q30" s="15">
        <f t="shared" ca="1" si="112"/>
        <v>0</v>
      </c>
      <c r="R30" s="15">
        <f t="shared" ca="1" si="112"/>
        <v>0</v>
      </c>
      <c r="S30" s="15">
        <f t="shared" ca="1" si="112"/>
        <v>0</v>
      </c>
      <c r="T30" s="15">
        <f t="shared" ca="1" si="112"/>
        <v>0</v>
      </c>
      <c r="U30" s="15">
        <f t="shared" ca="1" si="112"/>
        <v>0</v>
      </c>
      <c r="V30" s="15">
        <f t="shared" ca="1" si="112"/>
        <v>0</v>
      </c>
      <c r="W30" s="15">
        <f t="shared" ca="1" si="112"/>
        <v>0</v>
      </c>
      <c r="X30" s="15">
        <f t="shared" ca="1" si="112"/>
        <v>0</v>
      </c>
      <c r="Y30" s="15">
        <f t="shared" ca="1" si="112"/>
        <v>0</v>
      </c>
      <c r="Z30" s="15">
        <f t="shared" ca="1" si="112"/>
        <v>0</v>
      </c>
      <c r="AA30" s="15">
        <f t="shared" ca="1" si="112"/>
        <v>0</v>
      </c>
      <c r="AB30" s="15">
        <f t="shared" ca="1" si="112"/>
        <v>0</v>
      </c>
      <c r="AC30" s="15">
        <f t="shared" ca="1" si="112"/>
        <v>0</v>
      </c>
      <c r="AD30" s="15">
        <f t="shared" ca="1" si="112"/>
        <v>0</v>
      </c>
      <c r="AG30" s="1" t="s">
        <v>116</v>
      </c>
      <c r="AH30" s="37">
        <f t="shared" ca="1" si="104"/>
        <v>0</v>
      </c>
      <c r="AI30" s="37">
        <f t="shared" ca="1" si="104"/>
        <v>0</v>
      </c>
      <c r="AJ30" s="37">
        <f t="shared" ca="1" si="105"/>
        <v>0</v>
      </c>
      <c r="AK30" s="37">
        <f t="shared" ca="1" si="106"/>
        <v>0</v>
      </c>
      <c r="AL30" s="37">
        <f t="shared" ca="1" si="106"/>
        <v>0</v>
      </c>
      <c r="AM30" s="37">
        <f t="shared" ca="1" si="106"/>
        <v>0</v>
      </c>
      <c r="AN30" s="37">
        <f t="shared" ca="1" si="106"/>
        <v>0</v>
      </c>
      <c r="AO30" s="37">
        <f t="shared" ca="1" si="106"/>
        <v>0</v>
      </c>
      <c r="AP30" s="37">
        <f t="shared" ca="1" si="106"/>
        <v>0</v>
      </c>
      <c r="AQ30" s="37">
        <f t="shared" ca="1" si="106"/>
        <v>0</v>
      </c>
      <c r="AR30" s="37">
        <f t="shared" ca="1" si="106"/>
        <v>0</v>
      </c>
      <c r="AS30" s="37">
        <f t="shared" ca="1" si="106"/>
        <v>0</v>
      </c>
      <c r="AT30" s="37">
        <f t="shared" ca="1" si="106"/>
        <v>0</v>
      </c>
      <c r="AU30" s="37">
        <f t="shared" ca="1" si="107"/>
        <v>0</v>
      </c>
      <c r="AV30" s="37">
        <f t="shared" ca="1" si="107"/>
        <v>0</v>
      </c>
      <c r="AW30" s="37">
        <f t="shared" ca="1" si="107"/>
        <v>0</v>
      </c>
      <c r="AX30" s="37">
        <f t="shared" ca="1" si="107"/>
        <v>0</v>
      </c>
      <c r="AY30" s="37">
        <f t="shared" ca="1" si="107"/>
        <v>0</v>
      </c>
      <c r="AZ30" s="37" t="e">
        <f t="shared" ca="1" si="107"/>
        <v>#N/A</v>
      </c>
      <c r="BA30" s="37" t="e">
        <f t="shared" ca="1" si="107"/>
        <v>#N/A</v>
      </c>
      <c r="BB30" s="37" t="e">
        <f t="shared" ca="1" si="107"/>
        <v>#N/A</v>
      </c>
    </row>
    <row r="31" spans="1:54" x14ac:dyDescent="0.25">
      <c r="C31" s="5">
        <f ca="1">SUM(C25:C30)</f>
        <v>6.0711799999999996E-2</v>
      </c>
      <c r="D31" s="5">
        <f ca="1">SUM(D25:D30)</f>
        <v>2.4519099999999999E-2</v>
      </c>
      <c r="E31" s="131"/>
      <c r="F31" s="132">
        <f ca="1">SUM(F25:F30)</f>
        <v>8.1676800000000001E-3</v>
      </c>
      <c r="G31" s="132"/>
      <c r="H31" s="132">
        <f ca="1">SUM(H25:H30)</f>
        <v>1.6442799999999997E-3</v>
      </c>
      <c r="I31" s="132"/>
      <c r="J31" s="132">
        <f ca="1">SUM(J25:J30)</f>
        <v>1.540622E-2</v>
      </c>
      <c r="K31" s="132">
        <f ca="1">SUM(K25:K30)</f>
        <v>8.1676800000000001E-3</v>
      </c>
      <c r="L31" s="5">
        <f t="shared" ref="L31:AD31" ca="1" si="113">SUM(L25:L30)</f>
        <v>5.993213333333333E-3</v>
      </c>
      <c r="M31" s="5">
        <f t="shared" ca="1" si="113"/>
        <v>3.8187466666666668E-3</v>
      </c>
      <c r="N31" s="5">
        <f t="shared" ca="1" si="113"/>
        <v>1.6442799999999999E-3</v>
      </c>
      <c r="O31" s="5">
        <f t="shared" ca="1" si="113"/>
        <v>1.7937599999999999E-3</v>
      </c>
      <c r="P31" s="5">
        <f t="shared" ca="1" si="113"/>
        <v>1.9432399999999999E-3</v>
      </c>
      <c r="Q31" s="5">
        <f t="shared" ca="1" si="113"/>
        <v>2.0927199999999997E-3</v>
      </c>
      <c r="R31" s="5">
        <f t="shared" ca="1" si="113"/>
        <v>2.2421999999999997E-3</v>
      </c>
      <c r="S31" s="5">
        <f t="shared" ca="1" si="113"/>
        <v>2.3916799999999998E-3</v>
      </c>
      <c r="T31" s="5">
        <f t="shared" ca="1" si="113"/>
        <v>2.5411599999999998E-3</v>
      </c>
      <c r="U31" s="5">
        <f t="shared" ca="1" si="113"/>
        <v>2.6906399999999998E-3</v>
      </c>
      <c r="V31" s="5">
        <f t="shared" ca="1" si="113"/>
        <v>2.8401199999999998E-3</v>
      </c>
      <c r="W31" s="5">
        <f t="shared" ca="1" si="113"/>
        <v>2.9895999999999998E-3</v>
      </c>
      <c r="X31" s="5">
        <f t="shared" ca="1" si="113"/>
        <v>3.1390799999999998E-3</v>
      </c>
      <c r="Y31" s="5">
        <f t="shared" ca="1" si="113"/>
        <v>3.2885599999999998E-3</v>
      </c>
      <c r="Z31" s="5">
        <f t="shared" ca="1" si="113"/>
        <v>3.4380399999999998E-3</v>
      </c>
      <c r="AA31" s="5">
        <f t="shared" ca="1" si="113"/>
        <v>3.5875199999999999E-3</v>
      </c>
      <c r="AB31" s="5">
        <f t="shared" ca="1" si="113"/>
        <v>3.7369999999999999E-3</v>
      </c>
      <c r="AC31" s="5">
        <f t="shared" ca="1" si="113"/>
        <v>3.8864799999999999E-3</v>
      </c>
      <c r="AD31" s="5">
        <f t="shared" ca="1" si="113"/>
        <v>4.0359599999999999E-3</v>
      </c>
      <c r="AG31" s="38" t="s">
        <v>172</v>
      </c>
      <c r="AH31" s="141">
        <f ca="1">INDEX(Data_WRA!$4:$1048576,MATCH(AH$4,Data_WRA!$A$4:$A$1048576,0),MATCH($A$24&amp;$A$23,Data_WRA!$4:$4,0))</f>
        <v>602763.80631080002</v>
      </c>
      <c r="AI31" s="141">
        <f ca="1">INDEX(Data_WRA!$4:$1048576,MATCH(AI$4,Data_WRA!$A$4:$A$1048576,0),MATCH($A$24&amp;$A$23,Data_WRA!$4:$4,0))</f>
        <v>625943.33777900017</v>
      </c>
      <c r="AJ31" s="141">
        <f ca="1">INDEX(Data_WRA!$4:$1048576,MATCH(AJ$4,Data_WRA!$A$4:$A$1048576,0),MATCH($A$24&amp;$A$23,Data_WRA!$4:$4,0))</f>
        <v>649871.70739740005</v>
      </c>
      <c r="AK31" s="141">
        <f ca="1">INDEX(Data_WRA!$4:$1048576,MATCH(AK$4,Data_WRA!$A$4:$A$1048576,0),MATCH($A$24&amp;$A$23,Data_WRA!$4:$4,0))</f>
        <v>673713.83024859999</v>
      </c>
      <c r="AL31" s="141">
        <f ca="1">INDEX(Data_WRA!$4:$1048576,MATCH(AL$4,Data_WRA!$A$4:$A$1048576,0),MATCH($A$24&amp;$A$23,Data_WRA!$4:$4,0))</f>
        <v>698428.2809394002</v>
      </c>
      <c r="AM31" s="141">
        <f ca="1">INDEX(Data_WRA!$4:$1048576,MATCH(AM$4,Data_WRA!$A$4:$A$1048576,0),MATCH($A$24&amp;$A$23,Data_WRA!$4:$4,0))</f>
        <v>723929.70368160005</v>
      </c>
      <c r="AN31" s="141">
        <f ca="1">INDEX(Data_WRA!$4:$1048576,MATCH(AN$4,Data_WRA!$A$4:$A$1048576,0),MATCH($A$24&amp;$A$23,Data_WRA!$4:$4,0))</f>
        <v>750121.04116280004</v>
      </c>
      <c r="AO31" s="141">
        <f ca="1">INDEX(Data_WRA!$4:$1048576,MATCH(AO$4,Data_WRA!$A$4:$A$1048576,0),MATCH($A$24&amp;$A$23,Data_WRA!$4:$4,0))</f>
        <v>776953.58653099998</v>
      </c>
      <c r="AP31" s="141">
        <f ca="1">INDEX(Data_WRA!$4:$1048576,MATCH(AP$4,Data_WRA!$A$4:$A$1048576,0),MATCH($A$24&amp;$A$23,Data_WRA!$4:$4,0))</f>
        <v>803876.00198100018</v>
      </c>
      <c r="AQ31" s="141">
        <f ca="1">INDEX(Data_WRA!$4:$1048576,MATCH(AQ$4,Data_WRA!$A$4:$A$1048576,0),MATCH($A$24&amp;$A$23,Data_WRA!$4:$4,0))</f>
        <v>831504.42919060006</v>
      </c>
      <c r="AR31" s="141">
        <f ca="1">INDEX(Data_WRA!$4:$1048576,MATCH(AR$4,Data_WRA!$A$4:$A$1048576,0),MATCH($A$24&amp;$A$23,Data_WRA!$4:$4,0))</f>
        <v>859850.21329239989</v>
      </c>
      <c r="AS31" s="141">
        <f ca="1">INDEX(Data_WRA!$4:$1048576,MATCH(AS$4,Data_WRA!$A$4:$A$1048576,0),MATCH($A$24&amp;$A$23,Data_WRA!$4:$4,0))</f>
        <v>888962.65512440004</v>
      </c>
      <c r="AT31" s="141">
        <f ca="1">INDEX(Data_WRA!$4:$1048576,MATCH(AT$4,Data_WRA!$A$4:$A$1048576,0),MATCH($A$24&amp;$A$23,Data_WRA!$4:$4,0))</f>
        <v>918862.30660220003</v>
      </c>
      <c r="AU31" s="141">
        <f ca="1">INDEX(Data_WRA!$4:$1048576,MATCH(AU$4,Data_WRA!$A$4:$A$1048576,0),MATCH($A$24&amp;$A$23,Data_WRA!$4:$4,0))</f>
        <v>948992.30585080001</v>
      </c>
      <c r="AV31" s="141">
        <f ca="1">INDEX(Data_WRA!$4:$1048576,MATCH(AV$4,Data_WRA!$A$4:$A$1048576,0),MATCH($A$24&amp;$A$23,Data_WRA!$4:$4,0))</f>
        <v>979964.39905160002</v>
      </c>
      <c r="AW31" s="141">
        <f ca="1">INDEX(Data_WRA!$4:$1048576,MATCH(AW$4,Data_WRA!$A$4:$A$1048576,0),MATCH($A$24&amp;$A$23,Data_WRA!$4:$4,0))</f>
        <v>1011719.3658004003</v>
      </c>
      <c r="AX31" s="141">
        <f ca="1">INDEX(Data_WRA!$4:$1048576,MATCH(AX$4,Data_WRA!$A$4:$A$1048576,0),MATCH($A$24&amp;$A$23,Data_WRA!$4:$4,0))</f>
        <v>1044189.9668820001</v>
      </c>
      <c r="AY31" s="141">
        <f ca="1">INDEX(Data_WRA!$4:$1048576,MATCH(AY$4,Data_WRA!$A$4:$A$1048576,0),MATCH($A$24&amp;$A$23,Data_WRA!$4:$4,0))</f>
        <v>1077331.1781575999</v>
      </c>
      <c r="AZ31" s="141" t="e">
        <f>INDEX(Data_WRA!$4:$1048576,MATCH(AZ$4,Data_WRA!$A$4:$A$1048576,0),MATCH($A$24&amp;$A$23,Data_WRA!$4:$4,0))</f>
        <v>#N/A</v>
      </c>
      <c r="BA31" s="141" t="e">
        <f>INDEX(Data_WRA!$4:$1048576,MATCH(BA$4,Data_WRA!$A$4:$A$1048576,0),MATCH($A$24&amp;$A$23,Data_WRA!$4:$4,0))</f>
        <v>#N/A</v>
      </c>
      <c r="BB31" s="141" t="e">
        <f>INDEX(Data_WRA!$4:$1048576,MATCH(BB$4,Data_WRA!$A$4:$A$1048576,0),MATCH($A$24&amp;$A$23,Data_WRA!$4:$4,0))</f>
        <v>#N/A</v>
      </c>
    </row>
    <row r="32" spans="1:54" x14ac:dyDescent="0.25">
      <c r="D32" s="5"/>
      <c r="AI32" s="7"/>
      <c r="AJ32" s="7"/>
      <c r="AK32" s="7"/>
      <c r="AL32" s="7"/>
      <c r="AM32" s="7"/>
      <c r="AN32" s="7"/>
      <c r="AO32" s="7"/>
      <c r="AP32" s="7"/>
      <c r="AQ32" s="7"/>
      <c r="AR32" s="7"/>
      <c r="AS32" s="7"/>
      <c r="AT32" s="7"/>
    </row>
    <row r="33" spans="1:54" x14ac:dyDescent="0.25">
      <c r="A33" s="6" t="s">
        <v>173</v>
      </c>
      <c r="C33" s="4" t="s">
        <v>163</v>
      </c>
      <c r="D33" s="4" t="s">
        <v>164</v>
      </c>
      <c r="F33" s="4" t="s">
        <v>165</v>
      </c>
      <c r="G33" s="4"/>
      <c r="H33" s="4" t="s">
        <v>167</v>
      </c>
      <c r="K33" s="205" t="str">
        <f t="shared" ref="K33:AD33" si="114">IF(K34=Yr_Start,"Start Year",IF(K34=Yr_End,"End Year",""))</f>
        <v>Start Year</v>
      </c>
      <c r="L33" s="205" t="str">
        <f t="shared" si="114"/>
        <v/>
      </c>
      <c r="M33" s="205" t="str">
        <f t="shared" si="114"/>
        <v/>
      </c>
      <c r="N33" s="205" t="str">
        <f t="shared" si="114"/>
        <v>End Year</v>
      </c>
      <c r="O33" s="205" t="str">
        <f t="shared" si="114"/>
        <v/>
      </c>
      <c r="P33" s="205" t="str">
        <f t="shared" si="114"/>
        <v/>
      </c>
      <c r="Q33" s="205" t="str">
        <f t="shared" si="114"/>
        <v/>
      </c>
      <c r="R33" s="205" t="str">
        <f t="shared" si="114"/>
        <v/>
      </c>
      <c r="S33" s="205" t="str">
        <f t="shared" si="114"/>
        <v/>
      </c>
      <c r="T33" s="205" t="str">
        <f t="shared" si="114"/>
        <v/>
      </c>
      <c r="U33" s="205" t="str">
        <f t="shared" si="114"/>
        <v/>
      </c>
      <c r="V33" s="205" t="str">
        <f t="shared" si="114"/>
        <v/>
      </c>
      <c r="W33" s="205" t="str">
        <f t="shared" si="114"/>
        <v/>
      </c>
      <c r="X33" s="205" t="str">
        <f t="shared" si="114"/>
        <v/>
      </c>
      <c r="Y33" s="205" t="str">
        <f t="shared" si="114"/>
        <v/>
      </c>
      <c r="Z33" s="205" t="str">
        <f t="shared" si="114"/>
        <v/>
      </c>
      <c r="AA33" s="205" t="str">
        <f t="shared" si="114"/>
        <v/>
      </c>
      <c r="AB33" s="205" t="str">
        <f t="shared" si="114"/>
        <v/>
      </c>
      <c r="AC33" s="205" t="str">
        <f t="shared" si="114"/>
        <v/>
      </c>
      <c r="AD33" s="205" t="str">
        <f t="shared" si="114"/>
        <v/>
      </c>
      <c r="AF33" s="6" t="str">
        <f>A33</f>
        <v>Richer</v>
      </c>
      <c r="AI33" s="205" t="str">
        <f t="shared" ref="AI33:BB33" si="115">IF(AI34=Yr_Start,"Start Year",IF(AI34=Yr_End,"End Year",""))</f>
        <v>Start Year</v>
      </c>
      <c r="AJ33" s="205" t="str">
        <f t="shared" si="115"/>
        <v/>
      </c>
      <c r="AK33" s="205" t="str">
        <f t="shared" si="115"/>
        <v/>
      </c>
      <c r="AL33" s="205" t="str">
        <f t="shared" si="115"/>
        <v>End Year</v>
      </c>
      <c r="AM33" s="205" t="str">
        <f t="shared" si="115"/>
        <v/>
      </c>
      <c r="AN33" s="205" t="str">
        <f t="shared" si="115"/>
        <v/>
      </c>
      <c r="AO33" s="205" t="str">
        <f t="shared" si="115"/>
        <v/>
      </c>
      <c r="AP33" s="205" t="str">
        <f t="shared" si="115"/>
        <v/>
      </c>
      <c r="AQ33" s="205" t="str">
        <f t="shared" si="115"/>
        <v/>
      </c>
      <c r="AR33" s="205" t="str">
        <f t="shared" si="115"/>
        <v/>
      </c>
      <c r="AS33" s="205" t="str">
        <f t="shared" si="115"/>
        <v/>
      </c>
      <c r="AT33" s="205" t="str">
        <f t="shared" si="115"/>
        <v/>
      </c>
      <c r="AU33" s="205" t="str">
        <f t="shared" si="115"/>
        <v/>
      </c>
      <c r="AV33" s="205" t="str">
        <f t="shared" si="115"/>
        <v/>
      </c>
      <c r="AW33" s="205" t="str">
        <f t="shared" si="115"/>
        <v/>
      </c>
      <c r="AX33" s="205" t="str">
        <f t="shared" si="115"/>
        <v/>
      </c>
      <c r="AY33" s="205" t="str">
        <f t="shared" si="115"/>
        <v/>
      </c>
      <c r="AZ33" s="205" t="str">
        <f t="shared" si="115"/>
        <v/>
      </c>
      <c r="BA33" s="205" t="str">
        <f t="shared" si="115"/>
        <v/>
      </c>
      <c r="BB33" s="205" t="str">
        <f t="shared" si="115"/>
        <v/>
      </c>
    </row>
    <row r="34" spans="1:54" x14ac:dyDescent="0.25">
      <c r="A34" s="6" t="s">
        <v>21</v>
      </c>
      <c r="B34" s="36"/>
      <c r="C34" s="36">
        <f>Yr_DHS1</f>
        <v>2011</v>
      </c>
      <c r="D34" s="36">
        <f>Yr_DHS2</f>
        <v>2016</v>
      </c>
      <c r="E34" s="36" t="s">
        <v>168</v>
      </c>
      <c r="F34" s="36">
        <f>Yr_Start</f>
        <v>2019</v>
      </c>
      <c r="G34" s="36"/>
      <c r="H34" s="36">
        <f>Yr_End</f>
        <v>2022</v>
      </c>
      <c r="I34" s="36" t="s">
        <v>169</v>
      </c>
      <c r="J34" s="130">
        <f>K34-1</f>
        <v>2018</v>
      </c>
      <c r="K34" s="130">
        <f>Yr_Start</f>
        <v>2019</v>
      </c>
      <c r="L34" s="130">
        <f>K34+1</f>
        <v>2020</v>
      </c>
      <c r="M34" s="130">
        <f t="shared" ref="M34:AD34" si="116">L34+1</f>
        <v>2021</v>
      </c>
      <c r="N34" s="130">
        <f t="shared" si="116"/>
        <v>2022</v>
      </c>
      <c r="O34" s="130">
        <f t="shared" si="116"/>
        <v>2023</v>
      </c>
      <c r="P34" s="130">
        <f t="shared" si="116"/>
        <v>2024</v>
      </c>
      <c r="Q34" s="130">
        <f t="shared" si="116"/>
        <v>2025</v>
      </c>
      <c r="R34" s="130">
        <f t="shared" si="116"/>
        <v>2026</v>
      </c>
      <c r="S34" s="130">
        <f t="shared" si="116"/>
        <v>2027</v>
      </c>
      <c r="T34" s="130">
        <f t="shared" si="116"/>
        <v>2028</v>
      </c>
      <c r="U34" s="130">
        <f t="shared" si="116"/>
        <v>2029</v>
      </c>
      <c r="V34" s="130">
        <f t="shared" si="116"/>
        <v>2030</v>
      </c>
      <c r="W34" s="130">
        <f t="shared" si="116"/>
        <v>2031</v>
      </c>
      <c r="X34" s="130">
        <f t="shared" si="116"/>
        <v>2032</v>
      </c>
      <c r="Y34" s="130">
        <f t="shared" si="116"/>
        <v>2033</v>
      </c>
      <c r="Z34" s="130">
        <f t="shared" si="116"/>
        <v>2034</v>
      </c>
      <c r="AA34" s="130">
        <f t="shared" si="116"/>
        <v>2035</v>
      </c>
      <c r="AB34" s="130">
        <f t="shared" si="116"/>
        <v>2036</v>
      </c>
      <c r="AC34" s="130">
        <f t="shared" si="116"/>
        <v>2037</v>
      </c>
      <c r="AD34" s="130">
        <f t="shared" si="116"/>
        <v>2038</v>
      </c>
      <c r="AF34" s="6" t="str">
        <f>A34</f>
        <v>Rural</v>
      </c>
      <c r="AG34" s="38"/>
      <c r="AH34" s="161">
        <f>AI34-1</f>
        <v>2018</v>
      </c>
      <c r="AI34" s="36">
        <f>Yr_Start</f>
        <v>2019</v>
      </c>
      <c r="AJ34" s="36">
        <f>AI34+1</f>
        <v>2020</v>
      </c>
      <c r="AK34" s="36">
        <f t="shared" ref="AK34" si="117">AJ34+1</f>
        <v>2021</v>
      </c>
      <c r="AL34" s="36">
        <f t="shared" ref="AL34" si="118">AK34+1</f>
        <v>2022</v>
      </c>
      <c r="AM34" s="36">
        <f t="shared" ref="AM34" si="119">AL34+1</f>
        <v>2023</v>
      </c>
      <c r="AN34" s="36">
        <f t="shared" ref="AN34" si="120">AM34+1</f>
        <v>2024</v>
      </c>
      <c r="AO34" s="36">
        <f t="shared" ref="AO34" si="121">AN34+1</f>
        <v>2025</v>
      </c>
      <c r="AP34" s="36">
        <f t="shared" ref="AP34" si="122">AO34+1</f>
        <v>2026</v>
      </c>
      <c r="AQ34" s="36">
        <f t="shared" ref="AQ34" si="123">AP34+1</f>
        <v>2027</v>
      </c>
      <c r="AR34" s="36">
        <f t="shared" ref="AR34" si="124">AQ34+1</f>
        <v>2028</v>
      </c>
      <c r="AS34" s="36">
        <f t="shared" ref="AS34" si="125">AR34+1</f>
        <v>2029</v>
      </c>
      <c r="AT34" s="36">
        <f t="shared" ref="AT34" si="126">AS34+1</f>
        <v>2030</v>
      </c>
      <c r="AU34" s="36">
        <f t="shared" ref="AU34" si="127">AT34+1</f>
        <v>2031</v>
      </c>
      <c r="AV34" s="36">
        <f t="shared" ref="AV34" si="128">AU34+1</f>
        <v>2032</v>
      </c>
      <c r="AW34" s="36">
        <f t="shared" ref="AW34" si="129">AV34+1</f>
        <v>2033</v>
      </c>
      <c r="AX34" s="36">
        <f t="shared" ref="AX34" si="130">AW34+1</f>
        <v>2034</v>
      </c>
      <c r="AY34" s="36">
        <f t="shared" ref="AY34" si="131">AX34+1</f>
        <v>2035</v>
      </c>
      <c r="AZ34" s="36">
        <f t="shared" ref="AZ34" si="132">AY34+1</f>
        <v>2036</v>
      </c>
      <c r="BA34" s="36">
        <f t="shared" ref="BA34" si="133">AZ34+1</f>
        <v>2037</v>
      </c>
      <c r="BB34" s="36">
        <f t="shared" ref="BB34" si="134">BA34+1</f>
        <v>2038</v>
      </c>
    </row>
    <row r="35" spans="1:54" x14ac:dyDescent="0.25">
      <c r="B35" s="1" t="s">
        <v>52</v>
      </c>
      <c r="C35" s="14">
        <f ca="1">INDEX(Data_FP!$2:$1048576,MATCH(C$4&amp;$A$34&amp;$B35&amp;$A$1,Data_FP!$A$2:$A$1048576,0),MATCH($A$33,Data_FP!$2:$2,0))</f>
        <v>1.23874E-2</v>
      </c>
      <c r="D35" s="14">
        <f ca="1">INDEX(Data_FP!$2:$1048576,MATCH(D$4&amp;$A$34&amp;$B35&amp;$A$1,Data_FP!$A$2:$A$1048576,0),MATCH($A$33,Data_FP!$2:$2,0))</f>
        <v>5.1510000000000002E-3</v>
      </c>
      <c r="E35" s="14">
        <f ca="1">IF('User Settings'!$N$7="On",($D35-$C35)/($D$4-$C$4),0)</f>
        <v>-1.44728E-3</v>
      </c>
      <c r="F35" s="14">
        <f ca="1">MAX(0,MIN(1,($D35+$E35*(F$4-$D$4))))</f>
        <v>8.0916000000000061E-4</v>
      </c>
      <c r="G35" s="14"/>
      <c r="H35" s="14">
        <f ca="1">MAX(0,MIN(1,($D35+$E35*(H$4-$D$4))*$H$1))</f>
        <v>0</v>
      </c>
      <c r="I35" s="14">
        <f ca="1">($H35-$F35)/($H$4-$F$4)</f>
        <v>-2.697200000000002E-4</v>
      </c>
      <c r="J35" s="14">
        <f ca="1">K35-E35</f>
        <v>2.2564400000000006E-3</v>
      </c>
      <c r="K35" s="14">
        <f ca="1">MAX(0,MIN(1,D35+(K$4-D$4)*E35))</f>
        <v>8.0916000000000061E-4</v>
      </c>
      <c r="L35" s="15">
        <f ca="1">MAX(0,MIN(1,K35+$I35))</f>
        <v>5.3944000000000041E-4</v>
      </c>
      <c r="M35" s="15">
        <f t="shared" ref="M35" ca="1" si="135">MAX(0,MIN(1,L35+$I35))</f>
        <v>2.697200000000002E-4</v>
      </c>
      <c r="N35" s="15">
        <f ca="1">MAX(0,MIN(1,M35+$I35))</f>
        <v>0</v>
      </c>
      <c r="O35" s="15">
        <f t="shared" ref="O35:AD35" ca="1" si="136">MAX(0,MIN(1,N35+$I35))</f>
        <v>0</v>
      </c>
      <c r="P35" s="15">
        <f t="shared" ca="1" si="136"/>
        <v>0</v>
      </c>
      <c r="Q35" s="15">
        <f t="shared" ca="1" si="136"/>
        <v>0</v>
      </c>
      <c r="R35" s="15">
        <f t="shared" ca="1" si="136"/>
        <v>0</v>
      </c>
      <c r="S35" s="15">
        <f t="shared" ca="1" si="136"/>
        <v>0</v>
      </c>
      <c r="T35" s="15">
        <f t="shared" ca="1" si="136"/>
        <v>0</v>
      </c>
      <c r="U35" s="15">
        <f t="shared" ca="1" si="136"/>
        <v>0</v>
      </c>
      <c r="V35" s="15">
        <f t="shared" ca="1" si="136"/>
        <v>0</v>
      </c>
      <c r="W35" s="15">
        <f t="shared" ca="1" si="136"/>
        <v>0</v>
      </c>
      <c r="X35" s="15">
        <f t="shared" ca="1" si="136"/>
        <v>0</v>
      </c>
      <c r="Y35" s="15">
        <f t="shared" ca="1" si="136"/>
        <v>0</v>
      </c>
      <c r="Z35" s="15">
        <f t="shared" ca="1" si="136"/>
        <v>0</v>
      </c>
      <c r="AA35" s="15">
        <f t="shared" ca="1" si="136"/>
        <v>0</v>
      </c>
      <c r="AB35" s="15">
        <f t="shared" ca="1" si="136"/>
        <v>0</v>
      </c>
      <c r="AC35" s="15">
        <f t="shared" ca="1" si="136"/>
        <v>0</v>
      </c>
      <c r="AD35" s="15">
        <f t="shared" ca="1" si="136"/>
        <v>0</v>
      </c>
      <c r="AG35" s="1" t="s">
        <v>52</v>
      </c>
      <c r="AH35" s="37">
        <f t="shared" ref="AH35:BB35" ca="1" si="137">J35*AH$41</f>
        <v>3446.5274670564913</v>
      </c>
      <c r="AI35" s="37">
        <f t="shared" ca="1" si="137"/>
        <v>1283.4537241725056</v>
      </c>
      <c r="AJ35" s="37">
        <f t="shared" ca="1" si="137"/>
        <v>888.34479923061247</v>
      </c>
      <c r="AK35" s="37">
        <f t="shared" ca="1" si="137"/>
        <v>460.46794348680544</v>
      </c>
      <c r="AL35" s="37">
        <f t="shared" ca="1" si="137"/>
        <v>0</v>
      </c>
      <c r="AM35" s="37">
        <f t="shared" ca="1" si="137"/>
        <v>0</v>
      </c>
      <c r="AN35" s="37">
        <f t="shared" ca="1" si="137"/>
        <v>0</v>
      </c>
      <c r="AO35" s="37">
        <f t="shared" ca="1" si="137"/>
        <v>0</v>
      </c>
      <c r="AP35" s="37">
        <f t="shared" ca="1" si="137"/>
        <v>0</v>
      </c>
      <c r="AQ35" s="37">
        <f t="shared" ca="1" si="137"/>
        <v>0</v>
      </c>
      <c r="AR35" s="37">
        <f t="shared" ca="1" si="137"/>
        <v>0</v>
      </c>
      <c r="AS35" s="37">
        <f t="shared" ca="1" si="137"/>
        <v>0</v>
      </c>
      <c r="AT35" s="37">
        <f t="shared" ca="1" si="137"/>
        <v>0</v>
      </c>
      <c r="AU35" s="37">
        <f t="shared" ca="1" si="137"/>
        <v>0</v>
      </c>
      <c r="AV35" s="37">
        <f t="shared" ca="1" si="137"/>
        <v>0</v>
      </c>
      <c r="AW35" s="37">
        <f t="shared" ca="1" si="137"/>
        <v>0</v>
      </c>
      <c r="AX35" s="37">
        <f t="shared" ca="1" si="137"/>
        <v>0</v>
      </c>
      <c r="AY35" s="37">
        <f t="shared" ca="1" si="137"/>
        <v>0</v>
      </c>
      <c r="AZ35" s="37" t="e">
        <f t="shared" ca="1" si="137"/>
        <v>#N/A</v>
      </c>
      <c r="BA35" s="37" t="e">
        <f t="shared" ca="1" si="137"/>
        <v>#N/A</v>
      </c>
      <c r="BB35" s="37" t="e">
        <f t="shared" ca="1" si="137"/>
        <v>#N/A</v>
      </c>
    </row>
    <row r="36" spans="1:54" x14ac:dyDescent="0.25">
      <c r="B36" s="1" t="s">
        <v>54</v>
      </c>
      <c r="C36" s="14">
        <f ca="1">INDEX(Data_FP!$2:$1048576,MATCH(C$4&amp;$A$34&amp;$B36&amp;$A$1,Data_FP!$A$2:$A$1048576,0),MATCH($A$33,Data_FP!$2:$2,0))</f>
        <v>9.745E-4</v>
      </c>
      <c r="D36" s="14">
        <f ca="1">INDEX(Data_FP!$2:$1048576,MATCH(D$4&amp;$A$34&amp;$B36&amp;$A$1,Data_FP!$A$2:$A$1048576,0),MATCH($A$33,Data_FP!$2:$2,0))</f>
        <v>0</v>
      </c>
      <c r="E36" s="14">
        <f ca="1">IF('User Settings'!$N$7="On",($D36-$C36)/($D$4-$C$4),0)</f>
        <v>-1.9489999999999999E-4</v>
      </c>
      <c r="F36" s="14">
        <f t="shared" ref="F36:F40" ca="1" si="138">MAX(0,MIN(1,($D36+$E36*(F$4-$D$4))))</f>
        <v>0</v>
      </c>
      <c r="G36" s="14"/>
      <c r="H36" s="14">
        <f t="shared" ref="H36:H40" ca="1" si="139">MAX(0,MIN(1,($D36+$E36*(H$4-$D$4))*$H$1))</f>
        <v>0</v>
      </c>
      <c r="I36" s="14">
        <f ca="1">($H36-$F36)/($H$4-$F$4)</f>
        <v>0</v>
      </c>
      <c r="J36" s="14">
        <f t="shared" ref="J36:J40" ca="1" si="140">K36-E36</f>
        <v>1.9489999999999999E-4</v>
      </c>
      <c r="K36" s="14">
        <f t="shared" ref="K36:K40" ca="1" si="141">MAX(0,MIN(1,D36+(K$4-D$4)*E36))</f>
        <v>0</v>
      </c>
      <c r="L36" s="15">
        <f t="shared" ref="L36:AD36" ca="1" si="142">MAX(0,MIN(1,K36+$I36))</f>
        <v>0</v>
      </c>
      <c r="M36" s="15">
        <f t="shared" ca="1" si="142"/>
        <v>0</v>
      </c>
      <c r="N36" s="15">
        <f t="shared" ca="1" si="142"/>
        <v>0</v>
      </c>
      <c r="O36" s="15">
        <f t="shared" ca="1" si="142"/>
        <v>0</v>
      </c>
      <c r="P36" s="15">
        <f t="shared" ca="1" si="142"/>
        <v>0</v>
      </c>
      <c r="Q36" s="15">
        <f t="shared" ca="1" si="142"/>
        <v>0</v>
      </c>
      <c r="R36" s="15">
        <f t="shared" ca="1" si="142"/>
        <v>0</v>
      </c>
      <c r="S36" s="15">
        <f t="shared" ca="1" si="142"/>
        <v>0</v>
      </c>
      <c r="T36" s="15">
        <f t="shared" ca="1" si="142"/>
        <v>0</v>
      </c>
      <c r="U36" s="15">
        <f t="shared" ca="1" si="142"/>
        <v>0</v>
      </c>
      <c r="V36" s="15">
        <f t="shared" ca="1" si="142"/>
        <v>0</v>
      </c>
      <c r="W36" s="15">
        <f t="shared" ca="1" si="142"/>
        <v>0</v>
      </c>
      <c r="X36" s="15">
        <f t="shared" ca="1" si="142"/>
        <v>0</v>
      </c>
      <c r="Y36" s="15">
        <f t="shared" ca="1" si="142"/>
        <v>0</v>
      </c>
      <c r="Z36" s="15">
        <f t="shared" ca="1" si="142"/>
        <v>0</v>
      </c>
      <c r="AA36" s="15">
        <f t="shared" ca="1" si="142"/>
        <v>0</v>
      </c>
      <c r="AB36" s="15">
        <f t="shared" ca="1" si="142"/>
        <v>0</v>
      </c>
      <c r="AC36" s="15">
        <f t="shared" ca="1" si="142"/>
        <v>0</v>
      </c>
      <c r="AD36" s="15">
        <f t="shared" ca="1" si="142"/>
        <v>0</v>
      </c>
      <c r="AG36" s="1" t="s">
        <v>54</v>
      </c>
      <c r="AH36" s="37">
        <f t="shared" ref="AH36:AI40" ca="1" si="143">J36*AH$41</f>
        <v>297.69380232991347</v>
      </c>
      <c r="AI36" s="37">
        <f t="shared" ca="1" si="143"/>
        <v>0</v>
      </c>
      <c r="AJ36" s="37">
        <f t="shared" ref="AJ36:AJ40" ca="1" si="144">L36*AJ$41</f>
        <v>0</v>
      </c>
      <c r="AK36" s="37">
        <f t="shared" ref="AK36:AT40" ca="1" si="145">M36*AK$41</f>
        <v>0</v>
      </c>
      <c r="AL36" s="37">
        <f t="shared" ca="1" si="145"/>
        <v>0</v>
      </c>
      <c r="AM36" s="37">
        <f t="shared" ca="1" si="145"/>
        <v>0</v>
      </c>
      <c r="AN36" s="37">
        <f t="shared" ca="1" si="145"/>
        <v>0</v>
      </c>
      <c r="AO36" s="37">
        <f t="shared" ca="1" si="145"/>
        <v>0</v>
      </c>
      <c r="AP36" s="37">
        <f t="shared" ca="1" si="145"/>
        <v>0</v>
      </c>
      <c r="AQ36" s="37">
        <f t="shared" ca="1" si="145"/>
        <v>0</v>
      </c>
      <c r="AR36" s="37">
        <f t="shared" ca="1" si="145"/>
        <v>0</v>
      </c>
      <c r="AS36" s="37">
        <f t="shared" ca="1" si="145"/>
        <v>0</v>
      </c>
      <c r="AT36" s="37">
        <f t="shared" ca="1" si="145"/>
        <v>0</v>
      </c>
      <c r="AU36" s="37">
        <f t="shared" ref="AU36:BB40" ca="1" si="146">W36*AU$41</f>
        <v>0</v>
      </c>
      <c r="AV36" s="37">
        <f t="shared" ca="1" si="146"/>
        <v>0</v>
      </c>
      <c r="AW36" s="37">
        <f t="shared" ca="1" si="146"/>
        <v>0</v>
      </c>
      <c r="AX36" s="37">
        <f t="shared" ca="1" si="146"/>
        <v>0</v>
      </c>
      <c r="AY36" s="37">
        <f t="shared" ca="1" si="146"/>
        <v>0</v>
      </c>
      <c r="AZ36" s="37" t="e">
        <f t="shared" ca="1" si="146"/>
        <v>#N/A</v>
      </c>
      <c r="BA36" s="37" t="e">
        <f t="shared" ca="1" si="146"/>
        <v>#N/A</v>
      </c>
      <c r="BB36" s="37" t="e">
        <f t="shared" ca="1" si="146"/>
        <v>#N/A</v>
      </c>
    </row>
    <row r="37" spans="1:54" x14ac:dyDescent="0.25">
      <c r="B37" s="1" t="s">
        <v>170</v>
      </c>
      <c r="C37" s="14">
        <f ca="1">INDEX(Data_FP!$2:$1048576,MATCH(C$4&amp;$A$34&amp;$B37&amp;$A$1,Data_FP!$A$2:$A$1048576,0),MATCH($A$33,Data_FP!$2:$2,0))</f>
        <v>0</v>
      </c>
      <c r="D37" s="14">
        <f ca="1">INDEX(Data_FP!$2:$1048576,MATCH(D$4&amp;$A$34&amp;$B37&amp;$A$1,Data_FP!$A$2:$A$1048576,0),MATCH($A$33,Data_FP!$2:$2,0))</f>
        <v>0</v>
      </c>
      <c r="E37" s="14">
        <f ca="1">IF('User Settings'!$N$7="On",($D37-$C37)/($D$4-$C$4),0)</f>
        <v>0</v>
      </c>
      <c r="F37" s="14">
        <f t="shared" ca="1" si="138"/>
        <v>0</v>
      </c>
      <c r="G37" s="14"/>
      <c r="H37" s="14">
        <f t="shared" ca="1" si="139"/>
        <v>0</v>
      </c>
      <c r="I37" s="14">
        <f t="shared" ref="I37:I40" ca="1" si="147">($H37-$F37)/($H$4-$F$4)</f>
        <v>0</v>
      </c>
      <c r="J37" s="14">
        <f t="shared" ca="1" si="140"/>
        <v>0</v>
      </c>
      <c r="K37" s="14">
        <f t="shared" ca="1" si="141"/>
        <v>0</v>
      </c>
      <c r="L37" s="15">
        <f t="shared" ref="L37:AD37" ca="1" si="148">MAX(0,MIN(1,K37+$I37))</f>
        <v>0</v>
      </c>
      <c r="M37" s="15">
        <f t="shared" ca="1" si="148"/>
        <v>0</v>
      </c>
      <c r="N37" s="15">
        <f t="shared" ca="1" si="148"/>
        <v>0</v>
      </c>
      <c r="O37" s="15">
        <f t="shared" ca="1" si="148"/>
        <v>0</v>
      </c>
      <c r="P37" s="15">
        <f t="shared" ca="1" si="148"/>
        <v>0</v>
      </c>
      <c r="Q37" s="15">
        <f t="shared" ca="1" si="148"/>
        <v>0</v>
      </c>
      <c r="R37" s="15">
        <f t="shared" ca="1" si="148"/>
        <v>0</v>
      </c>
      <c r="S37" s="15">
        <f t="shared" ca="1" si="148"/>
        <v>0</v>
      </c>
      <c r="T37" s="15">
        <f t="shared" ca="1" si="148"/>
        <v>0</v>
      </c>
      <c r="U37" s="15">
        <f t="shared" ca="1" si="148"/>
        <v>0</v>
      </c>
      <c r="V37" s="15">
        <f t="shared" ca="1" si="148"/>
        <v>0</v>
      </c>
      <c r="W37" s="15">
        <f t="shared" ca="1" si="148"/>
        <v>0</v>
      </c>
      <c r="X37" s="15">
        <f t="shared" ca="1" si="148"/>
        <v>0</v>
      </c>
      <c r="Y37" s="15">
        <f t="shared" ca="1" si="148"/>
        <v>0</v>
      </c>
      <c r="Z37" s="15">
        <f t="shared" ca="1" si="148"/>
        <v>0</v>
      </c>
      <c r="AA37" s="15">
        <f t="shared" ca="1" si="148"/>
        <v>0</v>
      </c>
      <c r="AB37" s="15">
        <f t="shared" ca="1" si="148"/>
        <v>0</v>
      </c>
      <c r="AC37" s="15">
        <f t="shared" ca="1" si="148"/>
        <v>0</v>
      </c>
      <c r="AD37" s="15">
        <f t="shared" ca="1" si="148"/>
        <v>0</v>
      </c>
      <c r="AG37" s="1" t="s">
        <v>170</v>
      </c>
      <c r="AH37" s="37">
        <f t="shared" ca="1" si="143"/>
        <v>0</v>
      </c>
      <c r="AI37" s="37">
        <f t="shared" ca="1" si="143"/>
        <v>0</v>
      </c>
      <c r="AJ37" s="37">
        <f t="shared" ca="1" si="144"/>
        <v>0</v>
      </c>
      <c r="AK37" s="37">
        <f t="shared" ca="1" si="145"/>
        <v>0</v>
      </c>
      <c r="AL37" s="37">
        <f t="shared" ca="1" si="145"/>
        <v>0</v>
      </c>
      <c r="AM37" s="37">
        <f t="shared" ca="1" si="145"/>
        <v>0</v>
      </c>
      <c r="AN37" s="37">
        <f t="shared" ca="1" si="145"/>
        <v>0</v>
      </c>
      <c r="AO37" s="37">
        <f t="shared" ca="1" si="145"/>
        <v>0</v>
      </c>
      <c r="AP37" s="37">
        <f t="shared" ca="1" si="145"/>
        <v>0</v>
      </c>
      <c r="AQ37" s="37">
        <f t="shared" ca="1" si="145"/>
        <v>0</v>
      </c>
      <c r="AR37" s="37">
        <f t="shared" ca="1" si="145"/>
        <v>0</v>
      </c>
      <c r="AS37" s="37">
        <f t="shared" ca="1" si="145"/>
        <v>0</v>
      </c>
      <c r="AT37" s="37">
        <f t="shared" ca="1" si="145"/>
        <v>0</v>
      </c>
      <c r="AU37" s="37">
        <f t="shared" ca="1" si="146"/>
        <v>0</v>
      </c>
      <c r="AV37" s="37">
        <f t="shared" ca="1" si="146"/>
        <v>0</v>
      </c>
      <c r="AW37" s="37">
        <f t="shared" ca="1" si="146"/>
        <v>0</v>
      </c>
      <c r="AX37" s="37">
        <f t="shared" ca="1" si="146"/>
        <v>0</v>
      </c>
      <c r="AY37" s="37">
        <f t="shared" ca="1" si="146"/>
        <v>0</v>
      </c>
      <c r="AZ37" s="37" t="e">
        <f t="shared" ca="1" si="146"/>
        <v>#N/A</v>
      </c>
      <c r="BA37" s="37" t="e">
        <f t="shared" ca="1" si="146"/>
        <v>#N/A</v>
      </c>
      <c r="BB37" s="37" t="e">
        <f t="shared" ca="1" si="146"/>
        <v>#N/A</v>
      </c>
    </row>
    <row r="38" spans="1:54" x14ac:dyDescent="0.25">
      <c r="B38" s="1" t="s">
        <v>59</v>
      </c>
      <c r="C38" s="14">
        <f ca="1">INDEX(Data_FP!$2:$1048576,MATCH(C$4&amp;$A$34&amp;$B38&amp;$A$1,Data_FP!$A$2:$A$1048576,0),MATCH($A$33,Data_FP!$2:$2,0))</f>
        <v>2.7531999999999999E-3</v>
      </c>
      <c r="D38" s="14">
        <f ca="1">INDEX(Data_FP!$2:$1048576,MATCH(D$4&amp;$A$34&amp;$B38&amp;$A$1,Data_FP!$A$2:$A$1048576,0),MATCH($A$33,Data_FP!$2:$2,0))</f>
        <v>8.3330000000000001E-3</v>
      </c>
      <c r="E38" s="14">
        <f ca="1">IF('User Settings'!$N$7="On",($D38-$C38)/($D$4-$C$4),0)</f>
        <v>1.11596E-3</v>
      </c>
      <c r="F38" s="14">
        <f t="shared" ca="1" si="138"/>
        <v>1.1680880000000001E-2</v>
      </c>
      <c r="G38" s="14"/>
      <c r="H38" s="14">
        <f t="shared" ca="1" si="139"/>
        <v>1.502876E-2</v>
      </c>
      <c r="I38" s="14">
        <f t="shared" ca="1" si="147"/>
        <v>1.1159599999999998E-3</v>
      </c>
      <c r="J38" s="14">
        <f t="shared" ca="1" si="140"/>
        <v>1.0564920000000002E-2</v>
      </c>
      <c r="K38" s="14">
        <f t="shared" ca="1" si="141"/>
        <v>1.1680880000000001E-2</v>
      </c>
      <c r="L38" s="15">
        <f t="shared" ref="L38:AD38" ca="1" si="149">MAX(0,MIN(1,K38+$I38))</f>
        <v>1.279684E-2</v>
      </c>
      <c r="M38" s="15">
        <f t="shared" ca="1" si="149"/>
        <v>1.3912799999999999E-2</v>
      </c>
      <c r="N38" s="15">
        <f t="shared" ca="1" si="149"/>
        <v>1.5028759999999999E-2</v>
      </c>
      <c r="O38" s="15">
        <f t="shared" ca="1" si="149"/>
        <v>1.6144719999999998E-2</v>
      </c>
      <c r="P38" s="15">
        <f t="shared" ca="1" si="149"/>
        <v>1.7260679999999997E-2</v>
      </c>
      <c r="Q38" s="15">
        <f t="shared" ca="1" si="149"/>
        <v>1.8376639999999996E-2</v>
      </c>
      <c r="R38" s="15">
        <f t="shared" ca="1" si="149"/>
        <v>1.9492599999999995E-2</v>
      </c>
      <c r="S38" s="15">
        <f t="shared" ca="1" si="149"/>
        <v>2.0608559999999995E-2</v>
      </c>
      <c r="T38" s="15">
        <f t="shared" ca="1" si="149"/>
        <v>2.1724519999999994E-2</v>
      </c>
      <c r="U38" s="15">
        <f t="shared" ca="1" si="149"/>
        <v>2.2840479999999993E-2</v>
      </c>
      <c r="V38" s="15">
        <f t="shared" ca="1" si="149"/>
        <v>2.3956439999999992E-2</v>
      </c>
      <c r="W38" s="15">
        <f t="shared" ca="1" si="149"/>
        <v>2.5072399999999991E-2</v>
      </c>
      <c r="X38" s="15">
        <f t="shared" ca="1" si="149"/>
        <v>2.618835999999999E-2</v>
      </c>
      <c r="Y38" s="15">
        <f t="shared" ca="1" si="149"/>
        <v>2.730431999999999E-2</v>
      </c>
      <c r="Z38" s="15">
        <f t="shared" ca="1" si="149"/>
        <v>2.8420279999999989E-2</v>
      </c>
      <c r="AA38" s="15">
        <f t="shared" ca="1" si="149"/>
        <v>2.9536239999999988E-2</v>
      </c>
      <c r="AB38" s="15">
        <f t="shared" ca="1" si="149"/>
        <v>3.0652199999999987E-2</v>
      </c>
      <c r="AC38" s="15">
        <f t="shared" ca="1" si="149"/>
        <v>3.176815999999999E-2</v>
      </c>
      <c r="AD38" s="15">
        <f t="shared" ca="1" si="149"/>
        <v>3.2884119999999989E-2</v>
      </c>
      <c r="AG38" s="1" t="s">
        <v>59</v>
      </c>
      <c r="AH38" s="37">
        <f t="shared" ca="1" si="143"/>
        <v>16137.050826635968</v>
      </c>
      <c r="AI38" s="37">
        <f t="shared" ca="1" si="143"/>
        <v>18527.694074858038</v>
      </c>
      <c r="AJ38" s="37">
        <f t="shared" ca="1" si="144"/>
        <v>21073.717671263275</v>
      </c>
      <c r="AK38" s="37">
        <f t="shared" ca="1" si="145"/>
        <v>23752.033234996372</v>
      </c>
      <c r="AL38" s="37">
        <f t="shared" ca="1" si="145"/>
        <v>26598.41471290651</v>
      </c>
      <c r="AM38" s="37">
        <f t="shared" ca="1" si="145"/>
        <v>29616.770593373742</v>
      </c>
      <c r="AN38" s="37">
        <f t="shared" ca="1" si="145"/>
        <v>32809.532051765527</v>
      </c>
      <c r="AO38" s="37">
        <f t="shared" ca="1" si="145"/>
        <v>36180.283930476246</v>
      </c>
      <c r="AP38" s="37">
        <f t="shared" ca="1" si="145"/>
        <v>39707.232808417488</v>
      </c>
      <c r="AQ38" s="37">
        <f t="shared" ca="1" si="145"/>
        <v>43423.317624518779</v>
      </c>
      <c r="AR38" s="37">
        <f t="shared" ca="1" si="145"/>
        <v>47335.152461662597</v>
      </c>
      <c r="AS38" s="37">
        <f t="shared" ca="1" si="145"/>
        <v>51451.676545919603</v>
      </c>
      <c r="AT38" s="37">
        <f t="shared" ca="1" si="145"/>
        <v>55780.64153085772</v>
      </c>
      <c r="AU38" s="37">
        <f t="shared" ca="1" si="146"/>
        <v>60293.346092899606</v>
      </c>
      <c r="AV38" s="37">
        <f t="shared" ca="1" si="146"/>
        <v>65032.341077483863</v>
      </c>
      <c r="AW38" s="37">
        <f t="shared" ca="1" si="146"/>
        <v>70000.673032220904</v>
      </c>
      <c r="AX38" s="37">
        <f t="shared" ca="1" si="146"/>
        <v>75200.141138160179</v>
      </c>
      <c r="AY38" s="37">
        <f t="shared" ca="1" si="146"/>
        <v>80633.446701012683</v>
      </c>
      <c r="AZ38" s="37" t="e">
        <f t="shared" ca="1" si="146"/>
        <v>#N/A</v>
      </c>
      <c r="BA38" s="37" t="e">
        <f t="shared" ca="1" si="146"/>
        <v>#N/A</v>
      </c>
      <c r="BB38" s="37" t="e">
        <f t="shared" ca="1" si="146"/>
        <v>#N/A</v>
      </c>
    </row>
    <row r="39" spans="1:54" x14ac:dyDescent="0.25">
      <c r="B39" s="1" t="s">
        <v>171</v>
      </c>
      <c r="C39" s="14">
        <f ca="1">INDEX(Data_FP!$2:$1048576,MATCH(C$4&amp;$A$34&amp;$B39&amp;$A$1,Data_FP!$A$2:$A$1048576,0),MATCH($A$33,Data_FP!$2:$2,0))</f>
        <v>0</v>
      </c>
      <c r="D39" s="14">
        <f ca="1">INDEX(Data_FP!$2:$1048576,MATCH(D$4&amp;$A$34&amp;$B39&amp;$A$1,Data_FP!$A$2:$A$1048576,0),MATCH($A$33,Data_FP!$2:$2,0))</f>
        <v>0</v>
      </c>
      <c r="E39" s="14">
        <f ca="1">IF('User Settings'!$N$7="On",($D39-$C39)/($D$4-$C$4),0)</f>
        <v>0</v>
      </c>
      <c r="F39" s="14">
        <f t="shared" ca="1" si="138"/>
        <v>0</v>
      </c>
      <c r="G39" s="14"/>
      <c r="H39" s="14">
        <f t="shared" ca="1" si="139"/>
        <v>0</v>
      </c>
      <c r="I39" s="14">
        <f t="shared" ca="1" si="147"/>
        <v>0</v>
      </c>
      <c r="J39" s="14">
        <f t="shared" ca="1" si="140"/>
        <v>0</v>
      </c>
      <c r="K39" s="14">
        <f t="shared" ca="1" si="141"/>
        <v>0</v>
      </c>
      <c r="L39" s="15">
        <f t="shared" ref="L39:AD39" ca="1" si="150">MAX(0,MIN(1,K39+$I39))</f>
        <v>0</v>
      </c>
      <c r="M39" s="15">
        <f t="shared" ca="1" si="150"/>
        <v>0</v>
      </c>
      <c r="N39" s="15">
        <f t="shared" ca="1" si="150"/>
        <v>0</v>
      </c>
      <c r="O39" s="15">
        <f t="shared" ca="1" si="150"/>
        <v>0</v>
      </c>
      <c r="P39" s="15">
        <f t="shared" ca="1" si="150"/>
        <v>0</v>
      </c>
      <c r="Q39" s="15">
        <f t="shared" ca="1" si="150"/>
        <v>0</v>
      </c>
      <c r="R39" s="15">
        <f t="shared" ca="1" si="150"/>
        <v>0</v>
      </c>
      <c r="S39" s="15">
        <f t="shared" ca="1" si="150"/>
        <v>0</v>
      </c>
      <c r="T39" s="15">
        <f t="shared" ca="1" si="150"/>
        <v>0</v>
      </c>
      <c r="U39" s="15">
        <f t="shared" ca="1" si="150"/>
        <v>0</v>
      </c>
      <c r="V39" s="15">
        <f t="shared" ca="1" si="150"/>
        <v>0</v>
      </c>
      <c r="W39" s="15">
        <f t="shared" ca="1" si="150"/>
        <v>0</v>
      </c>
      <c r="X39" s="15">
        <f t="shared" ca="1" si="150"/>
        <v>0</v>
      </c>
      <c r="Y39" s="15">
        <f t="shared" ca="1" si="150"/>
        <v>0</v>
      </c>
      <c r="Z39" s="15">
        <f t="shared" ca="1" si="150"/>
        <v>0</v>
      </c>
      <c r="AA39" s="15">
        <f t="shared" ca="1" si="150"/>
        <v>0</v>
      </c>
      <c r="AB39" s="15">
        <f t="shared" ca="1" si="150"/>
        <v>0</v>
      </c>
      <c r="AC39" s="15">
        <f t="shared" ca="1" si="150"/>
        <v>0</v>
      </c>
      <c r="AD39" s="15">
        <f t="shared" ca="1" si="150"/>
        <v>0</v>
      </c>
      <c r="AG39" s="1" t="s">
        <v>171</v>
      </c>
      <c r="AH39" s="37">
        <f t="shared" ca="1" si="143"/>
        <v>0</v>
      </c>
      <c r="AI39" s="37">
        <f t="shared" ca="1" si="143"/>
        <v>0</v>
      </c>
      <c r="AJ39" s="37">
        <f t="shared" ca="1" si="144"/>
        <v>0</v>
      </c>
      <c r="AK39" s="37">
        <f t="shared" ca="1" si="145"/>
        <v>0</v>
      </c>
      <c r="AL39" s="37">
        <f t="shared" ca="1" si="145"/>
        <v>0</v>
      </c>
      <c r="AM39" s="37">
        <f t="shared" ca="1" si="145"/>
        <v>0</v>
      </c>
      <c r="AN39" s="37">
        <f t="shared" ca="1" si="145"/>
        <v>0</v>
      </c>
      <c r="AO39" s="37">
        <f t="shared" ca="1" si="145"/>
        <v>0</v>
      </c>
      <c r="AP39" s="37">
        <f t="shared" ca="1" si="145"/>
        <v>0</v>
      </c>
      <c r="AQ39" s="37">
        <f t="shared" ca="1" si="145"/>
        <v>0</v>
      </c>
      <c r="AR39" s="37">
        <f t="shared" ca="1" si="145"/>
        <v>0</v>
      </c>
      <c r="AS39" s="37">
        <f t="shared" ca="1" si="145"/>
        <v>0</v>
      </c>
      <c r="AT39" s="37">
        <f t="shared" ca="1" si="145"/>
        <v>0</v>
      </c>
      <c r="AU39" s="37">
        <f t="shared" ca="1" si="146"/>
        <v>0</v>
      </c>
      <c r="AV39" s="37">
        <f t="shared" ca="1" si="146"/>
        <v>0</v>
      </c>
      <c r="AW39" s="37">
        <f t="shared" ca="1" si="146"/>
        <v>0</v>
      </c>
      <c r="AX39" s="37">
        <f t="shared" ca="1" si="146"/>
        <v>0</v>
      </c>
      <c r="AY39" s="37">
        <f t="shared" ca="1" si="146"/>
        <v>0</v>
      </c>
      <c r="AZ39" s="37" t="e">
        <f t="shared" ca="1" si="146"/>
        <v>#N/A</v>
      </c>
      <c r="BA39" s="37" t="e">
        <f t="shared" ca="1" si="146"/>
        <v>#N/A</v>
      </c>
      <c r="BB39" s="37" t="e">
        <f t="shared" ca="1" si="146"/>
        <v>#N/A</v>
      </c>
    </row>
    <row r="40" spans="1:54" x14ac:dyDescent="0.25">
      <c r="B40" s="1" t="s">
        <v>116</v>
      </c>
      <c r="C40" s="14">
        <f ca="1">INDEX(Data_FP!$2:$1048576,MATCH(C$4&amp;$A$34&amp;$B40&amp;$A$1,Data_FP!$A$2:$A$1048576,0),MATCH($A$33,Data_FP!$2:$2,0))</f>
        <v>0</v>
      </c>
      <c r="D40" s="14">
        <f ca="1">INDEX(Data_FP!$2:$1048576,MATCH(D$4&amp;$A$34&amp;$B40&amp;$A$1,Data_FP!$A$2:$A$1048576,0),MATCH($A$33,Data_FP!$2:$2,0))</f>
        <v>0</v>
      </c>
      <c r="E40" s="14">
        <f ca="1">IF('User Settings'!$N$7="On",($D40-$C40)/($D$4-$C$4),0)</f>
        <v>0</v>
      </c>
      <c r="F40" s="14">
        <f t="shared" ca="1" si="138"/>
        <v>0</v>
      </c>
      <c r="G40" s="14"/>
      <c r="H40" s="14">
        <f t="shared" ca="1" si="139"/>
        <v>0</v>
      </c>
      <c r="I40" s="14">
        <f t="shared" ca="1" si="147"/>
        <v>0</v>
      </c>
      <c r="J40" s="14">
        <f t="shared" ca="1" si="140"/>
        <v>0</v>
      </c>
      <c r="K40" s="14">
        <f t="shared" ca="1" si="141"/>
        <v>0</v>
      </c>
      <c r="L40" s="15">
        <f t="shared" ref="L40:AD40" ca="1" si="151">MAX(0,MIN(1,K40+$I40))</f>
        <v>0</v>
      </c>
      <c r="M40" s="15">
        <f t="shared" ca="1" si="151"/>
        <v>0</v>
      </c>
      <c r="N40" s="15">
        <f t="shared" ca="1" si="151"/>
        <v>0</v>
      </c>
      <c r="O40" s="15">
        <f t="shared" ca="1" si="151"/>
        <v>0</v>
      </c>
      <c r="P40" s="15">
        <f t="shared" ca="1" si="151"/>
        <v>0</v>
      </c>
      <c r="Q40" s="15">
        <f t="shared" ca="1" si="151"/>
        <v>0</v>
      </c>
      <c r="R40" s="15">
        <f t="shared" ca="1" si="151"/>
        <v>0</v>
      </c>
      <c r="S40" s="15">
        <f t="shared" ca="1" si="151"/>
        <v>0</v>
      </c>
      <c r="T40" s="15">
        <f t="shared" ca="1" si="151"/>
        <v>0</v>
      </c>
      <c r="U40" s="15">
        <f t="shared" ca="1" si="151"/>
        <v>0</v>
      </c>
      <c r="V40" s="15">
        <f t="shared" ca="1" si="151"/>
        <v>0</v>
      </c>
      <c r="W40" s="15">
        <f t="shared" ca="1" si="151"/>
        <v>0</v>
      </c>
      <c r="X40" s="15">
        <f t="shared" ca="1" si="151"/>
        <v>0</v>
      </c>
      <c r="Y40" s="15">
        <f t="shared" ca="1" si="151"/>
        <v>0</v>
      </c>
      <c r="Z40" s="15">
        <f t="shared" ca="1" si="151"/>
        <v>0</v>
      </c>
      <c r="AA40" s="15">
        <f t="shared" ca="1" si="151"/>
        <v>0</v>
      </c>
      <c r="AB40" s="15">
        <f t="shared" ca="1" si="151"/>
        <v>0</v>
      </c>
      <c r="AC40" s="15">
        <f t="shared" ca="1" si="151"/>
        <v>0</v>
      </c>
      <c r="AD40" s="15">
        <f t="shared" ca="1" si="151"/>
        <v>0</v>
      </c>
      <c r="AG40" s="1" t="s">
        <v>116</v>
      </c>
      <c r="AH40" s="37">
        <f t="shared" ca="1" si="143"/>
        <v>0</v>
      </c>
      <c r="AI40" s="37">
        <f t="shared" ca="1" si="143"/>
        <v>0</v>
      </c>
      <c r="AJ40" s="37">
        <f t="shared" ca="1" si="144"/>
        <v>0</v>
      </c>
      <c r="AK40" s="37">
        <f t="shared" ca="1" si="145"/>
        <v>0</v>
      </c>
      <c r="AL40" s="37">
        <f t="shared" ca="1" si="145"/>
        <v>0</v>
      </c>
      <c r="AM40" s="37">
        <f t="shared" ca="1" si="145"/>
        <v>0</v>
      </c>
      <c r="AN40" s="37">
        <f t="shared" ca="1" si="145"/>
        <v>0</v>
      </c>
      <c r="AO40" s="37">
        <f t="shared" ca="1" si="145"/>
        <v>0</v>
      </c>
      <c r="AP40" s="37">
        <f t="shared" ca="1" si="145"/>
        <v>0</v>
      </c>
      <c r="AQ40" s="37">
        <f t="shared" ca="1" si="145"/>
        <v>0</v>
      </c>
      <c r="AR40" s="37">
        <f t="shared" ca="1" si="145"/>
        <v>0</v>
      </c>
      <c r="AS40" s="37">
        <f t="shared" ca="1" si="145"/>
        <v>0</v>
      </c>
      <c r="AT40" s="37">
        <f t="shared" ca="1" si="145"/>
        <v>0</v>
      </c>
      <c r="AU40" s="37">
        <f t="shared" ca="1" si="146"/>
        <v>0</v>
      </c>
      <c r="AV40" s="37">
        <f t="shared" ca="1" si="146"/>
        <v>0</v>
      </c>
      <c r="AW40" s="37">
        <f t="shared" ca="1" si="146"/>
        <v>0</v>
      </c>
      <c r="AX40" s="37">
        <f t="shared" ca="1" si="146"/>
        <v>0</v>
      </c>
      <c r="AY40" s="37">
        <f t="shared" ca="1" si="146"/>
        <v>0</v>
      </c>
      <c r="AZ40" s="37" t="e">
        <f t="shared" ca="1" si="146"/>
        <v>#N/A</v>
      </c>
      <c r="BA40" s="37" t="e">
        <f t="shared" ca="1" si="146"/>
        <v>#N/A</v>
      </c>
      <c r="BB40" s="37" t="e">
        <f t="shared" ca="1" si="146"/>
        <v>#N/A</v>
      </c>
    </row>
    <row r="41" spans="1:54" x14ac:dyDescent="0.25">
      <c r="C41" s="5">
        <f ca="1">SUM(C35:C40)</f>
        <v>1.61151E-2</v>
      </c>
      <c r="D41" s="5">
        <f ca="1">SUM(D35:D40)</f>
        <v>1.3483999999999999E-2</v>
      </c>
      <c r="E41" s="131"/>
      <c r="F41" s="132">
        <f ca="1">SUM(F35:F40)</f>
        <v>1.2490040000000001E-2</v>
      </c>
      <c r="G41" s="132"/>
      <c r="H41" s="132">
        <f ca="1">SUM(H35:H40)</f>
        <v>1.502876E-2</v>
      </c>
      <c r="I41" s="132"/>
      <c r="J41" s="132">
        <f ca="1">SUM(J35:J40)</f>
        <v>1.3016260000000002E-2</v>
      </c>
      <c r="K41" s="132">
        <f ca="1">SUM(K35:K40)</f>
        <v>1.2490040000000001E-2</v>
      </c>
      <c r="L41" s="5">
        <f t="shared" ref="L41:AD41" ca="1" si="152">SUM(L35:L40)</f>
        <v>1.3336280000000001E-2</v>
      </c>
      <c r="M41" s="5">
        <f t="shared" ca="1" si="152"/>
        <v>1.4182520000000001E-2</v>
      </c>
      <c r="N41" s="5">
        <f t="shared" ca="1" si="152"/>
        <v>1.5028759999999999E-2</v>
      </c>
      <c r="O41" s="5">
        <f t="shared" ca="1" si="152"/>
        <v>1.6144719999999998E-2</v>
      </c>
      <c r="P41" s="5">
        <f t="shared" ca="1" si="152"/>
        <v>1.7260679999999997E-2</v>
      </c>
      <c r="Q41" s="5">
        <f t="shared" ca="1" si="152"/>
        <v>1.8376639999999996E-2</v>
      </c>
      <c r="R41" s="5">
        <f t="shared" ca="1" si="152"/>
        <v>1.9492599999999995E-2</v>
      </c>
      <c r="S41" s="5">
        <f t="shared" ca="1" si="152"/>
        <v>2.0608559999999995E-2</v>
      </c>
      <c r="T41" s="5">
        <f t="shared" ca="1" si="152"/>
        <v>2.1724519999999994E-2</v>
      </c>
      <c r="U41" s="5">
        <f t="shared" ca="1" si="152"/>
        <v>2.2840479999999993E-2</v>
      </c>
      <c r="V41" s="5">
        <f t="shared" ca="1" si="152"/>
        <v>2.3956439999999992E-2</v>
      </c>
      <c r="W41" s="5">
        <f t="shared" ca="1" si="152"/>
        <v>2.5072399999999991E-2</v>
      </c>
      <c r="X41" s="5">
        <f t="shared" ca="1" si="152"/>
        <v>2.618835999999999E-2</v>
      </c>
      <c r="Y41" s="5">
        <f t="shared" ca="1" si="152"/>
        <v>2.730431999999999E-2</v>
      </c>
      <c r="Z41" s="5">
        <f t="shared" ca="1" si="152"/>
        <v>2.8420279999999989E-2</v>
      </c>
      <c r="AA41" s="5">
        <f t="shared" ca="1" si="152"/>
        <v>2.9536239999999988E-2</v>
      </c>
      <c r="AB41" s="5">
        <f t="shared" ca="1" si="152"/>
        <v>3.0652199999999987E-2</v>
      </c>
      <c r="AC41" s="5">
        <f t="shared" ca="1" si="152"/>
        <v>3.176815999999999E-2</v>
      </c>
      <c r="AD41" s="5">
        <f t="shared" ca="1" si="152"/>
        <v>3.2884119999999989E-2</v>
      </c>
      <c r="AG41" s="38" t="s">
        <v>172</v>
      </c>
      <c r="AH41" s="141">
        <f ca="1">INDEX(Data_WRA!$4:$1048576,MATCH(AH$4,Data_WRA!$A$4:$A$1048576,0),MATCH($A$34&amp;$A$33,Data_WRA!$4:$4,0))</f>
        <v>1527418.175115</v>
      </c>
      <c r="AI41" s="141">
        <f ca="1">INDEX(Data_WRA!$4:$1048576,MATCH(AI$4,Data_WRA!$A$4:$A$1048576,0),MATCH($A$34&amp;$A$33,Data_WRA!$4:$4,0))</f>
        <v>1586155.6727625004</v>
      </c>
      <c r="AJ41" s="141">
        <f ca="1">INDEX(Data_WRA!$4:$1048576,MATCH(AJ$4,Data_WRA!$A$4:$A$1048576,0),MATCH($A$34&amp;$A$33,Data_WRA!$4:$4,0))</f>
        <v>1646790.7445324999</v>
      </c>
      <c r="AK41" s="141">
        <f ca="1">INDEX(Data_WRA!$4:$1048576,MATCH(AK$4,Data_WRA!$A$4:$A$1048576,0),MATCH($A$34&amp;$A$33,Data_WRA!$4:$4,0))</f>
        <v>1707207.2648924999</v>
      </c>
      <c r="AL41" s="141">
        <f ca="1">INDEX(Data_WRA!$4:$1048576,MATCH(AL$4,Data_WRA!$A$4:$A$1048576,0),MATCH($A$34&amp;$A$33,Data_WRA!$4:$4,0))</f>
        <v>1769834.2852575004</v>
      </c>
      <c r="AM41" s="141">
        <f ca="1">INDEX(Data_WRA!$4:$1048576,MATCH(AM$4,Data_WRA!$A$4:$A$1048576,0),MATCH($A$34&amp;$A$33,Data_WRA!$4:$4,0))</f>
        <v>1834455.51198</v>
      </c>
      <c r="AN41" s="141">
        <f ca="1">INDEX(Data_WRA!$4:$1048576,MATCH(AN$4,Data_WRA!$A$4:$A$1048576,0),MATCH($A$34&amp;$A$33,Data_WRA!$4:$4,0))</f>
        <v>1900824.9994649999</v>
      </c>
      <c r="AO41" s="141">
        <f ca="1">INDEX(Data_WRA!$4:$1048576,MATCH(AO$4,Data_WRA!$A$4:$A$1048576,0),MATCH($A$34&amp;$A$33,Data_WRA!$4:$4,0))</f>
        <v>1968819.3233624999</v>
      </c>
      <c r="AP41" s="141">
        <f ca="1">INDEX(Data_WRA!$4:$1048576,MATCH(AP$4,Data_WRA!$A$4:$A$1048576,0),MATCH($A$34&amp;$A$33,Data_WRA!$4:$4,0))</f>
        <v>2037041.3802375002</v>
      </c>
      <c r="AQ41" s="141">
        <f ca="1">INDEX(Data_WRA!$4:$1048576,MATCH(AQ$4,Data_WRA!$A$4:$A$1048576,0),MATCH($A$34&amp;$A$33,Data_WRA!$4:$4,0))</f>
        <v>2107052.4881175002</v>
      </c>
      <c r="AR41" s="141">
        <f ca="1">INDEX(Data_WRA!$4:$1048576,MATCH(AR$4,Data_WRA!$A$4:$A$1048576,0),MATCH($A$34&amp;$A$33,Data_WRA!$4:$4,0))</f>
        <v>2178881.3958449997</v>
      </c>
      <c r="AS41" s="141">
        <f ca="1">INDEX(Data_WRA!$4:$1048576,MATCH(AS$4,Data_WRA!$A$4:$A$1048576,0),MATCH($A$34&amp;$A$33,Data_WRA!$4:$4,0))</f>
        <v>2252653.0329450001</v>
      </c>
      <c r="AT41" s="141">
        <f ca="1">INDEX(Data_WRA!$4:$1048576,MATCH(AT$4,Data_WRA!$A$4:$A$1048576,0),MATCH($A$34&amp;$A$33,Data_WRA!$4:$4,0))</f>
        <v>2328419.4784725001</v>
      </c>
      <c r="AU41" s="141">
        <f ca="1">INDEX(Data_WRA!$4:$1048576,MATCH(AU$4,Data_WRA!$A$4:$A$1048576,0),MATCH($A$34&amp;$A$33,Data_WRA!$4:$4,0))</f>
        <v>2404769.6308650002</v>
      </c>
      <c r="AV41" s="141">
        <f ca="1">INDEX(Data_WRA!$4:$1048576,MATCH(AV$4,Data_WRA!$A$4:$A$1048576,0),MATCH($A$34&amp;$A$33,Data_WRA!$4:$4,0))</f>
        <v>2483253.669855</v>
      </c>
      <c r="AW41" s="141">
        <f ca="1">INDEX(Data_WRA!$4:$1048576,MATCH(AW$4,Data_WRA!$A$4:$A$1048576,0),MATCH($A$34&amp;$A$33,Data_WRA!$4:$4,0))</f>
        <v>2563721.5294950004</v>
      </c>
      <c r="AX41" s="141">
        <f ca="1">INDEX(Data_WRA!$4:$1048576,MATCH(AX$4,Data_WRA!$A$4:$A$1048576,0),MATCH($A$34&amp;$A$33,Data_WRA!$4:$4,0))</f>
        <v>2646002.8239750001</v>
      </c>
      <c r="AY41" s="141">
        <f ca="1">INDEX(Data_WRA!$4:$1048576,MATCH(AY$4,Data_WRA!$A$4:$A$1048576,0),MATCH($A$34&amp;$A$33,Data_WRA!$4:$4,0))</f>
        <v>2729983.4610299994</v>
      </c>
      <c r="AZ41" s="141" t="e">
        <f>INDEX(Data_WRA!$4:$1048576,MATCH(AZ$4,Data_WRA!$A$4:$A$1048576,0),MATCH($A$34&amp;$A$33,Data_WRA!$4:$4,0))</f>
        <v>#N/A</v>
      </c>
      <c r="BA41" s="141" t="e">
        <f>INDEX(Data_WRA!$4:$1048576,MATCH(BA$4,Data_WRA!$A$4:$A$1048576,0),MATCH($A$34&amp;$A$33,Data_WRA!$4:$4,0))</f>
        <v>#N/A</v>
      </c>
      <c r="BB41" s="141" t="e">
        <f>INDEX(Data_WRA!$4:$1048576,MATCH(BB$4,Data_WRA!$A$4:$A$1048576,0),MATCH($A$34&amp;$A$33,Data_WRA!$4:$4,0))</f>
        <v>#N/A</v>
      </c>
    </row>
    <row r="42" spans="1:54" x14ac:dyDescent="0.25">
      <c r="AI42" s="40"/>
      <c r="AJ42" s="40"/>
      <c r="AK42" s="40"/>
      <c r="AL42" s="40"/>
      <c r="AM42" s="40"/>
      <c r="AN42" s="40"/>
      <c r="AO42" s="40"/>
      <c r="AP42" s="40"/>
      <c r="AQ42" s="40"/>
      <c r="AR42" s="40"/>
      <c r="AS42" s="40"/>
      <c r="AT42" s="40"/>
      <c r="AU42" s="40"/>
      <c r="AV42" s="40"/>
      <c r="AW42" s="40"/>
      <c r="AX42" s="40"/>
      <c r="AY42" s="40"/>
      <c r="AZ42" s="40"/>
      <c r="BA42" s="40"/>
      <c r="BB42" s="40"/>
    </row>
    <row r="43" spans="1:54" x14ac:dyDescent="0.25">
      <c r="A43" s="6" t="s">
        <v>116</v>
      </c>
      <c r="C43" s="4" t="s">
        <v>163</v>
      </c>
      <c r="D43" s="4" t="s">
        <v>164</v>
      </c>
      <c r="F43" s="4" t="s">
        <v>165</v>
      </c>
      <c r="G43" s="4"/>
      <c r="H43" s="4" t="s">
        <v>167</v>
      </c>
      <c r="K43" s="205" t="str">
        <f t="shared" ref="K43:AD43" si="153">IF(K44=Yr_Start,"Start Year",IF(K44=Yr_End,"End Year",""))</f>
        <v>Start Year</v>
      </c>
      <c r="L43" s="205" t="str">
        <f t="shared" si="153"/>
        <v/>
      </c>
      <c r="M43" s="205" t="str">
        <f t="shared" si="153"/>
        <v/>
      </c>
      <c r="N43" s="205" t="str">
        <f t="shared" si="153"/>
        <v>End Year</v>
      </c>
      <c r="O43" s="205" t="str">
        <f t="shared" si="153"/>
        <v/>
      </c>
      <c r="P43" s="205" t="str">
        <f t="shared" si="153"/>
        <v/>
      </c>
      <c r="Q43" s="205" t="str">
        <f t="shared" si="153"/>
        <v/>
      </c>
      <c r="R43" s="205" t="str">
        <f t="shared" si="153"/>
        <v/>
      </c>
      <c r="S43" s="205" t="str">
        <f t="shared" si="153"/>
        <v/>
      </c>
      <c r="T43" s="205" t="str">
        <f t="shared" si="153"/>
        <v/>
      </c>
      <c r="U43" s="205" t="str">
        <f t="shared" si="153"/>
        <v/>
      </c>
      <c r="V43" s="205" t="str">
        <f t="shared" si="153"/>
        <v/>
      </c>
      <c r="W43" s="205" t="str">
        <f t="shared" si="153"/>
        <v/>
      </c>
      <c r="X43" s="205" t="str">
        <f t="shared" si="153"/>
        <v/>
      </c>
      <c r="Y43" s="205" t="str">
        <f t="shared" si="153"/>
        <v/>
      </c>
      <c r="Z43" s="205" t="str">
        <f t="shared" si="153"/>
        <v/>
      </c>
      <c r="AA43" s="205" t="str">
        <f t="shared" si="153"/>
        <v/>
      </c>
      <c r="AB43" s="205" t="str">
        <f t="shared" si="153"/>
        <v/>
      </c>
      <c r="AC43" s="205" t="str">
        <f t="shared" si="153"/>
        <v/>
      </c>
      <c r="AD43" s="205" t="str">
        <f t="shared" si="153"/>
        <v/>
      </c>
      <c r="AF43" s="6" t="str">
        <f>A43</f>
        <v>Other</v>
      </c>
      <c r="AI43" s="205" t="str">
        <f t="shared" ref="AI43:BB43" si="154">IF(AI44=Yr_Start,"Start Year",IF(AI44=Yr_End,"End Year",""))</f>
        <v>Start Year</v>
      </c>
      <c r="AJ43" s="205" t="str">
        <f t="shared" si="154"/>
        <v/>
      </c>
      <c r="AK43" s="205" t="str">
        <f t="shared" si="154"/>
        <v/>
      </c>
      <c r="AL43" s="205" t="str">
        <f t="shared" si="154"/>
        <v>End Year</v>
      </c>
      <c r="AM43" s="205" t="str">
        <f t="shared" si="154"/>
        <v/>
      </c>
      <c r="AN43" s="205" t="str">
        <f t="shared" si="154"/>
        <v/>
      </c>
      <c r="AO43" s="205" t="str">
        <f t="shared" si="154"/>
        <v/>
      </c>
      <c r="AP43" s="205" t="str">
        <f t="shared" si="154"/>
        <v/>
      </c>
      <c r="AQ43" s="205" t="str">
        <f t="shared" si="154"/>
        <v/>
      </c>
      <c r="AR43" s="205" t="str">
        <f t="shared" si="154"/>
        <v/>
      </c>
      <c r="AS43" s="205" t="str">
        <f t="shared" si="154"/>
        <v/>
      </c>
      <c r="AT43" s="205" t="str">
        <f t="shared" si="154"/>
        <v/>
      </c>
      <c r="AU43" s="205" t="str">
        <f t="shared" si="154"/>
        <v/>
      </c>
      <c r="AV43" s="205" t="str">
        <f t="shared" si="154"/>
        <v/>
      </c>
      <c r="AW43" s="205" t="str">
        <f t="shared" si="154"/>
        <v/>
      </c>
      <c r="AX43" s="205" t="str">
        <f t="shared" si="154"/>
        <v/>
      </c>
      <c r="AY43" s="205" t="str">
        <f t="shared" si="154"/>
        <v/>
      </c>
      <c r="AZ43" s="205" t="str">
        <f t="shared" si="154"/>
        <v/>
      </c>
      <c r="BA43" s="205" t="str">
        <f t="shared" si="154"/>
        <v/>
      </c>
      <c r="BB43" s="205" t="str">
        <f t="shared" si="154"/>
        <v/>
      </c>
    </row>
    <row r="44" spans="1:54" x14ac:dyDescent="0.25">
      <c r="A44" s="6" t="s">
        <v>20</v>
      </c>
      <c r="B44" s="36"/>
      <c r="C44" s="36">
        <f>Yr_DHS1</f>
        <v>2011</v>
      </c>
      <c r="D44" s="36">
        <f>Yr_DHS2</f>
        <v>2016</v>
      </c>
      <c r="E44" s="36" t="s">
        <v>168</v>
      </c>
      <c r="F44" s="36">
        <f>Yr_Start</f>
        <v>2019</v>
      </c>
      <c r="G44" s="36"/>
      <c r="H44" s="36">
        <f>Yr_End</f>
        <v>2022</v>
      </c>
      <c r="I44" s="36" t="s">
        <v>169</v>
      </c>
      <c r="J44" s="130">
        <f>K44-1</f>
        <v>2018</v>
      </c>
      <c r="K44" s="130">
        <f>Yr_Start</f>
        <v>2019</v>
      </c>
      <c r="L44" s="130">
        <f>K44+1</f>
        <v>2020</v>
      </c>
      <c r="M44" s="130">
        <f t="shared" ref="M44:AD44" si="155">L44+1</f>
        <v>2021</v>
      </c>
      <c r="N44" s="130">
        <f t="shared" si="155"/>
        <v>2022</v>
      </c>
      <c r="O44" s="130">
        <f t="shared" si="155"/>
        <v>2023</v>
      </c>
      <c r="P44" s="130">
        <f t="shared" si="155"/>
        <v>2024</v>
      </c>
      <c r="Q44" s="130">
        <f t="shared" si="155"/>
        <v>2025</v>
      </c>
      <c r="R44" s="130">
        <f t="shared" si="155"/>
        <v>2026</v>
      </c>
      <c r="S44" s="130">
        <f t="shared" si="155"/>
        <v>2027</v>
      </c>
      <c r="T44" s="130">
        <f t="shared" si="155"/>
        <v>2028</v>
      </c>
      <c r="U44" s="130">
        <f t="shared" si="155"/>
        <v>2029</v>
      </c>
      <c r="V44" s="130">
        <f t="shared" si="155"/>
        <v>2030</v>
      </c>
      <c r="W44" s="130">
        <f t="shared" si="155"/>
        <v>2031</v>
      </c>
      <c r="X44" s="130">
        <f t="shared" si="155"/>
        <v>2032</v>
      </c>
      <c r="Y44" s="130">
        <f t="shared" si="155"/>
        <v>2033</v>
      </c>
      <c r="Z44" s="130">
        <f t="shared" si="155"/>
        <v>2034</v>
      </c>
      <c r="AA44" s="130">
        <f t="shared" si="155"/>
        <v>2035</v>
      </c>
      <c r="AB44" s="130">
        <f t="shared" si="155"/>
        <v>2036</v>
      </c>
      <c r="AC44" s="130">
        <f t="shared" si="155"/>
        <v>2037</v>
      </c>
      <c r="AD44" s="130">
        <f t="shared" si="155"/>
        <v>2038</v>
      </c>
      <c r="AF44" s="6" t="str">
        <f>A44</f>
        <v>Urban</v>
      </c>
      <c r="AG44" s="38"/>
      <c r="AH44" s="161">
        <f>AI44-1</f>
        <v>2018</v>
      </c>
      <c r="AI44" s="36">
        <f>Yr_Start</f>
        <v>2019</v>
      </c>
      <c r="AJ44" s="36">
        <f>AI44+1</f>
        <v>2020</v>
      </c>
      <c r="AK44" s="36">
        <f t="shared" ref="AK44" si="156">AJ44+1</f>
        <v>2021</v>
      </c>
      <c r="AL44" s="36">
        <f t="shared" ref="AL44" si="157">AK44+1</f>
        <v>2022</v>
      </c>
      <c r="AM44" s="36">
        <f t="shared" ref="AM44" si="158">AL44+1</f>
        <v>2023</v>
      </c>
      <c r="AN44" s="36">
        <f t="shared" ref="AN44" si="159">AM44+1</f>
        <v>2024</v>
      </c>
      <c r="AO44" s="36">
        <f t="shared" ref="AO44" si="160">AN44+1</f>
        <v>2025</v>
      </c>
      <c r="AP44" s="36">
        <f t="shared" ref="AP44" si="161">AO44+1</f>
        <v>2026</v>
      </c>
      <c r="AQ44" s="36">
        <f t="shared" ref="AQ44" si="162">AP44+1</f>
        <v>2027</v>
      </c>
      <c r="AR44" s="36">
        <f t="shared" ref="AR44" si="163">AQ44+1</f>
        <v>2028</v>
      </c>
      <c r="AS44" s="36">
        <f t="shared" ref="AS44" si="164">AR44+1</f>
        <v>2029</v>
      </c>
      <c r="AT44" s="36">
        <f t="shared" ref="AT44" si="165">AS44+1</f>
        <v>2030</v>
      </c>
      <c r="AU44" s="36">
        <f t="shared" ref="AU44" si="166">AT44+1</f>
        <v>2031</v>
      </c>
      <c r="AV44" s="36">
        <f t="shared" ref="AV44" si="167">AU44+1</f>
        <v>2032</v>
      </c>
      <c r="AW44" s="36">
        <f t="shared" ref="AW44" si="168">AV44+1</f>
        <v>2033</v>
      </c>
      <c r="AX44" s="36">
        <f t="shared" ref="AX44" si="169">AW44+1</f>
        <v>2034</v>
      </c>
      <c r="AY44" s="36">
        <f t="shared" ref="AY44" si="170">AX44+1</f>
        <v>2035</v>
      </c>
      <c r="AZ44" s="36">
        <f t="shared" ref="AZ44" si="171">AY44+1</f>
        <v>2036</v>
      </c>
      <c r="BA44" s="36">
        <f t="shared" ref="BA44" si="172">AZ44+1</f>
        <v>2037</v>
      </c>
      <c r="BB44" s="36">
        <f t="shared" ref="BB44" si="173">BA44+1</f>
        <v>2038</v>
      </c>
    </row>
    <row r="45" spans="1:54" x14ac:dyDescent="0.25">
      <c r="B45" s="1" t="s">
        <v>52</v>
      </c>
      <c r="C45" s="14">
        <f ca="1">INDEX(Data_FP!$2:$1048576,MATCH(C$4&amp;$A$44&amp;$B45&amp;$A$1,Data_FP!$A$2:$A$1048576,0),MATCH($A$43,Data_FP!$2:$2,0))</f>
        <v>1.56975E-2</v>
      </c>
      <c r="D45" s="14">
        <f ca="1">INDEX(Data_FP!$2:$1048576,MATCH(D$4&amp;$A$44&amp;$B45&amp;$A$1,Data_FP!$A$2:$A$1048576,0),MATCH($A$43,Data_FP!$2:$2,0))</f>
        <v>5.5031000000000004E-3</v>
      </c>
      <c r="E45" s="14">
        <f ca="1">IF('User Settings'!$N$7="On",($D45-$C45)/($D$4-$C$4),0)</f>
        <v>-2.0388799999999999E-3</v>
      </c>
      <c r="F45" s="14">
        <f ca="1">MAX(0,MIN(1,($D45+$E45*(F$4-$D$4))))</f>
        <v>0</v>
      </c>
      <c r="G45" s="14"/>
      <c r="H45" s="14">
        <f ca="1">MAX(0,MIN(1,($D45+$E45*(H$4-$D$4))*$H$1))</f>
        <v>0</v>
      </c>
      <c r="I45" s="14">
        <f ca="1">($H45-$F45)/($H$4-$F$4)</f>
        <v>0</v>
      </c>
      <c r="J45" s="14">
        <f ca="1">K45-E45</f>
        <v>2.0388799999999999E-3</v>
      </c>
      <c r="K45" s="14">
        <f ca="1">MAX(0,MIN(1,D45+(K$4-D$4)*E45))</f>
        <v>0</v>
      </c>
      <c r="L45" s="15">
        <f ca="1">MAX(0,MIN(1,K45+$I45))</f>
        <v>0</v>
      </c>
      <c r="M45" s="15">
        <f t="shared" ref="M45" ca="1" si="174">MAX(0,MIN(1,L45+$I45))</f>
        <v>0</v>
      </c>
      <c r="N45" s="15">
        <f ca="1">MAX(0,MIN(1,M45+$I45))</f>
        <v>0</v>
      </c>
      <c r="O45" s="15">
        <f t="shared" ref="O45:AD45" ca="1" si="175">MAX(0,MIN(1,N45+$I45))</f>
        <v>0</v>
      </c>
      <c r="P45" s="15">
        <f t="shared" ca="1" si="175"/>
        <v>0</v>
      </c>
      <c r="Q45" s="15">
        <f t="shared" ca="1" si="175"/>
        <v>0</v>
      </c>
      <c r="R45" s="15">
        <f t="shared" ca="1" si="175"/>
        <v>0</v>
      </c>
      <c r="S45" s="15">
        <f t="shared" ca="1" si="175"/>
        <v>0</v>
      </c>
      <c r="T45" s="15">
        <f t="shared" ca="1" si="175"/>
        <v>0</v>
      </c>
      <c r="U45" s="15">
        <f t="shared" ca="1" si="175"/>
        <v>0</v>
      </c>
      <c r="V45" s="15">
        <f t="shared" ca="1" si="175"/>
        <v>0</v>
      </c>
      <c r="W45" s="15">
        <f t="shared" ca="1" si="175"/>
        <v>0</v>
      </c>
      <c r="X45" s="15">
        <f t="shared" ca="1" si="175"/>
        <v>0</v>
      </c>
      <c r="Y45" s="15">
        <f t="shared" ca="1" si="175"/>
        <v>0</v>
      </c>
      <c r="Z45" s="15">
        <f t="shared" ca="1" si="175"/>
        <v>0</v>
      </c>
      <c r="AA45" s="15">
        <f t="shared" ca="1" si="175"/>
        <v>0</v>
      </c>
      <c r="AB45" s="15">
        <f t="shared" ca="1" si="175"/>
        <v>0</v>
      </c>
      <c r="AC45" s="15">
        <f t="shared" ca="1" si="175"/>
        <v>0</v>
      </c>
      <c r="AD45" s="15">
        <f t="shared" ca="1" si="175"/>
        <v>0</v>
      </c>
      <c r="AG45" s="1" t="s">
        <v>52</v>
      </c>
      <c r="AH45" s="37">
        <f ca="1">J45*AH$51</f>
        <v>2989.2624312029288</v>
      </c>
      <c r="AI45" s="37">
        <f t="shared" ref="AI45:BB45" ca="1" si="176">K45*AI$51</f>
        <v>0</v>
      </c>
      <c r="AJ45" s="37">
        <f t="shared" ca="1" si="176"/>
        <v>0</v>
      </c>
      <c r="AK45" s="37">
        <f t="shared" ca="1" si="176"/>
        <v>0</v>
      </c>
      <c r="AL45" s="37">
        <f t="shared" ca="1" si="176"/>
        <v>0</v>
      </c>
      <c r="AM45" s="37">
        <f t="shared" ca="1" si="176"/>
        <v>0</v>
      </c>
      <c r="AN45" s="37">
        <f t="shared" ca="1" si="176"/>
        <v>0</v>
      </c>
      <c r="AO45" s="37">
        <f t="shared" ca="1" si="176"/>
        <v>0</v>
      </c>
      <c r="AP45" s="37">
        <f t="shared" ca="1" si="176"/>
        <v>0</v>
      </c>
      <c r="AQ45" s="37">
        <f t="shared" ca="1" si="176"/>
        <v>0</v>
      </c>
      <c r="AR45" s="37">
        <f t="shared" ca="1" si="176"/>
        <v>0</v>
      </c>
      <c r="AS45" s="37">
        <f t="shared" ca="1" si="176"/>
        <v>0</v>
      </c>
      <c r="AT45" s="37">
        <f t="shared" ca="1" si="176"/>
        <v>0</v>
      </c>
      <c r="AU45" s="37">
        <f t="shared" ca="1" si="176"/>
        <v>0</v>
      </c>
      <c r="AV45" s="37">
        <f t="shared" ca="1" si="176"/>
        <v>0</v>
      </c>
      <c r="AW45" s="37">
        <f t="shared" ca="1" si="176"/>
        <v>0</v>
      </c>
      <c r="AX45" s="37">
        <f t="shared" ca="1" si="176"/>
        <v>0</v>
      </c>
      <c r="AY45" s="37">
        <f t="shared" ca="1" si="176"/>
        <v>0</v>
      </c>
      <c r="AZ45" s="37" t="e">
        <f t="shared" ca="1" si="176"/>
        <v>#N/A</v>
      </c>
      <c r="BA45" s="37" t="e">
        <f t="shared" ca="1" si="176"/>
        <v>#N/A</v>
      </c>
      <c r="BB45" s="37" t="e">
        <f t="shared" ca="1" si="176"/>
        <v>#N/A</v>
      </c>
    </row>
    <row r="46" spans="1:54" x14ac:dyDescent="0.25">
      <c r="B46" s="1" t="s">
        <v>54</v>
      </c>
      <c r="C46" s="14">
        <f ca="1">INDEX(Data_FP!$2:$1048576,MATCH(C$4&amp;$A$44&amp;$B46&amp;$A$1,Data_FP!$A$2:$A$1048576,0),MATCH($A$43,Data_FP!$2:$2,0))</f>
        <v>0</v>
      </c>
      <c r="D46" s="14">
        <f ca="1">INDEX(Data_FP!$2:$1048576,MATCH(D$4&amp;$A$44&amp;$B46&amp;$A$1,Data_FP!$A$2:$A$1048576,0),MATCH($A$43,Data_FP!$2:$2,0))</f>
        <v>8.8520000000000005E-4</v>
      </c>
      <c r="E46" s="14">
        <f ca="1">IF('User Settings'!$N$7="On",($D46-$C46)/($D$4-$C$4),0)</f>
        <v>1.7704E-4</v>
      </c>
      <c r="F46" s="14">
        <f t="shared" ref="F46:F50" ca="1" si="177">MAX(0,MIN(1,($D46+$E46*(F$4-$D$4))))</f>
        <v>1.41632E-3</v>
      </c>
      <c r="G46" s="14"/>
      <c r="H46" s="14">
        <f t="shared" ref="H46:H50" ca="1" si="178">MAX(0,MIN(1,($D46+$E46*(H$4-$D$4))*$H$1))</f>
        <v>1.9474399999999999E-3</v>
      </c>
      <c r="I46" s="14">
        <f ca="1">($H46-$F46)/($H$4-$F$4)</f>
        <v>1.7703999999999997E-4</v>
      </c>
      <c r="J46" s="14">
        <f t="shared" ref="J46:J50" ca="1" si="179">K46-E46</f>
        <v>1.2392799999999999E-3</v>
      </c>
      <c r="K46" s="14">
        <f t="shared" ref="K46:K50" ca="1" si="180">MAX(0,MIN(1,D46+(K$4-D$4)*E46))</f>
        <v>1.41632E-3</v>
      </c>
      <c r="L46" s="15">
        <f t="shared" ref="L46:AD46" ca="1" si="181">MAX(0,MIN(1,K46+$I46))</f>
        <v>1.59336E-3</v>
      </c>
      <c r="M46" s="15">
        <f t="shared" ca="1" si="181"/>
        <v>1.7704000000000001E-3</v>
      </c>
      <c r="N46" s="15">
        <f t="shared" ca="1" si="181"/>
        <v>1.9474400000000002E-3</v>
      </c>
      <c r="O46" s="15">
        <f t="shared" ca="1" si="181"/>
        <v>2.1244800000000002E-3</v>
      </c>
      <c r="P46" s="15">
        <f t="shared" ca="1" si="181"/>
        <v>2.30152E-3</v>
      </c>
      <c r="Q46" s="15">
        <f t="shared" ca="1" si="181"/>
        <v>2.4785599999999999E-3</v>
      </c>
      <c r="R46" s="15">
        <f t="shared" ca="1" si="181"/>
        <v>2.6555999999999997E-3</v>
      </c>
      <c r="S46" s="15">
        <f t="shared" ca="1" si="181"/>
        <v>2.8326399999999996E-3</v>
      </c>
      <c r="T46" s="15">
        <f t="shared" ca="1" si="181"/>
        <v>3.0096799999999994E-3</v>
      </c>
      <c r="U46" s="15">
        <f t="shared" ca="1" si="181"/>
        <v>3.1867199999999992E-3</v>
      </c>
      <c r="V46" s="15">
        <f t="shared" ca="1" si="181"/>
        <v>3.3637599999999991E-3</v>
      </c>
      <c r="W46" s="15">
        <f t="shared" ca="1" si="181"/>
        <v>3.5407999999999989E-3</v>
      </c>
      <c r="X46" s="15">
        <f t="shared" ca="1" si="181"/>
        <v>3.7178399999999987E-3</v>
      </c>
      <c r="Y46" s="15">
        <f t="shared" ca="1" si="181"/>
        <v>3.8948799999999986E-3</v>
      </c>
      <c r="Z46" s="15">
        <f t="shared" ca="1" si="181"/>
        <v>4.0719199999999988E-3</v>
      </c>
      <c r="AA46" s="15">
        <f t="shared" ca="1" si="181"/>
        <v>4.2489599999999987E-3</v>
      </c>
      <c r="AB46" s="15">
        <f t="shared" ca="1" si="181"/>
        <v>4.4259999999999985E-3</v>
      </c>
      <c r="AC46" s="15">
        <f t="shared" ca="1" si="181"/>
        <v>4.6030399999999983E-3</v>
      </c>
      <c r="AD46" s="15">
        <f t="shared" ca="1" si="181"/>
        <v>4.7800799999999982E-3</v>
      </c>
      <c r="AG46" s="1" t="s">
        <v>54</v>
      </c>
      <c r="AH46" s="37">
        <f t="shared" ref="AH46:AI50" ca="1" si="182">J46*AH$51</f>
        <v>1816.9451589800112</v>
      </c>
      <c r="AI46" s="37">
        <f t="shared" ca="1" si="182"/>
        <v>2156.3617560425541</v>
      </c>
      <c r="AJ46" s="37">
        <f t="shared" ref="AJ46:AJ50" ca="1" si="183">L46*AJ$51</f>
        <v>2518.6438021378531</v>
      </c>
      <c r="AK46" s="37">
        <f t="shared" ref="AK46:AT50" ca="1" si="184">M46*AK$51</f>
        <v>2901.1626340249345</v>
      </c>
      <c r="AL46" s="37">
        <f t="shared" ca="1" si="184"/>
        <v>3308.3474529622872</v>
      </c>
      <c r="AM46" s="37">
        <f t="shared" ca="1" si="184"/>
        <v>3740.8841172938032</v>
      </c>
      <c r="AN46" s="37">
        <f t="shared" ca="1" si="184"/>
        <v>4199.2459547085164</v>
      </c>
      <c r="AO46" s="37">
        <f t="shared" ca="1" si="184"/>
        <v>4684.0306037611008</v>
      </c>
      <c r="AP46" s="37">
        <f t="shared" ca="1" si="184"/>
        <v>5192.5051437849952</v>
      </c>
      <c r="AQ46" s="37">
        <f t="shared" ca="1" si="184"/>
        <v>5729.030865473198</v>
      </c>
      <c r="AR46" s="37">
        <f t="shared" ca="1" si="184"/>
        <v>6294.6028952100287</v>
      </c>
      <c r="AS46" s="37">
        <f t="shared" ca="1" si="184"/>
        <v>6890.5301036345336</v>
      </c>
      <c r="AT46" s="37">
        <f t="shared" ca="1" si="184"/>
        <v>7517.9710628988196</v>
      </c>
      <c r="AU46" s="37">
        <f t="shared" ref="AU46:BB50" ca="1" si="185">W46*AU$51</f>
        <v>8173.1467994224786</v>
      </c>
      <c r="AV46" s="37">
        <f t="shared" ca="1" si="185"/>
        <v>8861.8869556583923</v>
      </c>
      <c r="AW46" s="37">
        <f t="shared" ca="1" si="185"/>
        <v>9584.7183692402323</v>
      </c>
      <c r="AX46" s="37">
        <f t="shared" ca="1" si="185"/>
        <v>10341.986450441578</v>
      </c>
      <c r="AY46" s="37">
        <f t="shared" ca="1" si="185"/>
        <v>11134.150382114283</v>
      </c>
      <c r="AZ46" s="37" t="e">
        <f t="shared" ca="1" si="185"/>
        <v>#N/A</v>
      </c>
      <c r="BA46" s="37" t="e">
        <f t="shared" ca="1" si="185"/>
        <v>#N/A</v>
      </c>
      <c r="BB46" s="37" t="e">
        <f t="shared" ca="1" si="185"/>
        <v>#N/A</v>
      </c>
    </row>
    <row r="47" spans="1:54" x14ac:dyDescent="0.25">
      <c r="B47" s="1" t="s">
        <v>170</v>
      </c>
      <c r="C47" s="14">
        <f ca="1">INDEX(Data_FP!$2:$1048576,MATCH(C$4&amp;$A$44&amp;$B47&amp;$A$1,Data_FP!$A$2:$A$1048576,0),MATCH($A$43,Data_FP!$2:$2,0))</f>
        <v>0</v>
      </c>
      <c r="D47" s="14">
        <f ca="1">INDEX(Data_FP!$2:$1048576,MATCH(D$4&amp;$A$44&amp;$B47&amp;$A$1,Data_FP!$A$2:$A$1048576,0),MATCH($A$43,Data_FP!$2:$2,0))</f>
        <v>2.9329999999999997E-4</v>
      </c>
      <c r="E47" s="14">
        <f ca="1">IF('User Settings'!$N$7="On",($D47-$C47)/($D$4-$C$4),0)</f>
        <v>5.8659999999999997E-5</v>
      </c>
      <c r="F47" s="14">
        <f t="shared" ca="1" si="177"/>
        <v>4.6927999999999998E-4</v>
      </c>
      <c r="G47" s="14"/>
      <c r="H47" s="14">
        <f t="shared" ca="1" si="178"/>
        <v>6.4525999999999993E-4</v>
      </c>
      <c r="I47" s="14">
        <f t="shared" ref="I47:I50" ca="1" si="186">($H47-$F47)/($H$4-$F$4)</f>
        <v>5.8659999999999984E-5</v>
      </c>
      <c r="J47" s="14">
        <f t="shared" ca="1" si="179"/>
        <v>4.1062E-4</v>
      </c>
      <c r="K47" s="14">
        <f t="shared" ca="1" si="180"/>
        <v>4.6927999999999998E-4</v>
      </c>
      <c r="L47" s="15">
        <f t="shared" ref="L47:AD47" ca="1" si="187">MAX(0,MIN(1,K47+$I47))</f>
        <v>5.2793999999999996E-4</v>
      </c>
      <c r="M47" s="15">
        <f t="shared" ca="1" si="187"/>
        <v>5.8659999999999995E-4</v>
      </c>
      <c r="N47" s="15">
        <f t="shared" ca="1" si="187"/>
        <v>6.4525999999999993E-4</v>
      </c>
      <c r="O47" s="15">
        <f t="shared" ca="1" si="187"/>
        <v>7.0391999999999991E-4</v>
      </c>
      <c r="P47" s="15">
        <f t="shared" ca="1" si="187"/>
        <v>7.625799999999999E-4</v>
      </c>
      <c r="Q47" s="15">
        <f t="shared" ca="1" si="187"/>
        <v>8.2123999999999988E-4</v>
      </c>
      <c r="R47" s="15">
        <f t="shared" ca="1" si="187"/>
        <v>8.7989999999999987E-4</v>
      </c>
      <c r="S47" s="15">
        <f t="shared" ca="1" si="187"/>
        <v>9.3855999999999985E-4</v>
      </c>
      <c r="T47" s="15">
        <f t="shared" ca="1" si="187"/>
        <v>9.9721999999999983E-4</v>
      </c>
      <c r="U47" s="15">
        <f t="shared" ca="1" si="187"/>
        <v>1.0558799999999999E-3</v>
      </c>
      <c r="V47" s="15">
        <f t="shared" ca="1" si="187"/>
        <v>1.1145399999999998E-3</v>
      </c>
      <c r="W47" s="15">
        <f t="shared" ca="1" si="187"/>
        <v>1.1731999999999997E-3</v>
      </c>
      <c r="X47" s="15">
        <f t="shared" ca="1" si="187"/>
        <v>1.2318599999999996E-3</v>
      </c>
      <c r="Y47" s="15">
        <f t="shared" ca="1" si="187"/>
        <v>1.2905199999999994E-3</v>
      </c>
      <c r="Z47" s="15">
        <f t="shared" ca="1" si="187"/>
        <v>1.3491799999999993E-3</v>
      </c>
      <c r="AA47" s="15">
        <f t="shared" ca="1" si="187"/>
        <v>1.4078399999999992E-3</v>
      </c>
      <c r="AB47" s="15">
        <f t="shared" ca="1" si="187"/>
        <v>1.4664999999999991E-3</v>
      </c>
      <c r="AC47" s="15">
        <f t="shared" ca="1" si="187"/>
        <v>1.5251599999999989E-3</v>
      </c>
      <c r="AD47" s="15">
        <f t="shared" ca="1" si="187"/>
        <v>1.5838199999999988E-3</v>
      </c>
      <c r="AG47" s="1" t="s">
        <v>170</v>
      </c>
      <c r="AH47" s="37">
        <f t="shared" ca="1" si="182"/>
        <v>602.0221589797078</v>
      </c>
      <c r="AI47" s="37">
        <f t="shared" ca="1" si="182"/>
        <v>714.48362296348967</v>
      </c>
      <c r="AJ47" s="37">
        <f t="shared" ca="1" si="183"/>
        <v>834.52126882854975</v>
      </c>
      <c r="AK47" s="37">
        <f t="shared" ca="1" si="184"/>
        <v>961.2641217346511</v>
      </c>
      <c r="AL47" s="37">
        <f t="shared" ca="1" si="184"/>
        <v>1096.179742378941</v>
      </c>
      <c r="AM47" s="37">
        <f t="shared" ca="1" si="184"/>
        <v>1239.4953813853053</v>
      </c>
      <c r="AN47" s="37">
        <f t="shared" ca="1" si="184"/>
        <v>1391.367869990971</v>
      </c>
      <c r="AO47" s="37">
        <f t="shared" ca="1" si="184"/>
        <v>1551.9952282909294</v>
      </c>
      <c r="AP47" s="37">
        <f t="shared" ca="1" si="184"/>
        <v>1720.4719370448929</v>
      </c>
      <c r="AQ47" s="37">
        <f t="shared" ca="1" si="184"/>
        <v>1898.2430556295626</v>
      </c>
      <c r="AR47" s="37">
        <f t="shared" ca="1" si="184"/>
        <v>2085.6383067838924</v>
      </c>
      <c r="AS47" s="37">
        <f t="shared" ca="1" si="184"/>
        <v>2283.0913684997845</v>
      </c>
      <c r="AT47" s="37">
        <f t="shared" ca="1" si="184"/>
        <v>2490.9861192365838</v>
      </c>
      <c r="AU47" s="37">
        <f t="shared" ca="1" si="185"/>
        <v>2708.0704431434851</v>
      </c>
      <c r="AV47" s="37">
        <f t="shared" ca="1" si="185"/>
        <v>2936.2759196730754</v>
      </c>
      <c r="AW47" s="37">
        <f t="shared" ca="1" si="185"/>
        <v>3175.7771099165839</v>
      </c>
      <c r="AX47" s="37">
        <f t="shared" ca="1" si="185"/>
        <v>3426.688461268091</v>
      </c>
      <c r="AY47" s="37">
        <f t="shared" ca="1" si="185"/>
        <v>3689.1621182491172</v>
      </c>
      <c r="AZ47" s="37" t="e">
        <f t="shared" ca="1" si="185"/>
        <v>#N/A</v>
      </c>
      <c r="BA47" s="37" t="e">
        <f t="shared" ca="1" si="185"/>
        <v>#N/A</v>
      </c>
      <c r="BB47" s="37" t="e">
        <f t="shared" ca="1" si="185"/>
        <v>#N/A</v>
      </c>
    </row>
    <row r="48" spans="1:54" x14ac:dyDescent="0.25">
      <c r="B48" s="1" t="s">
        <v>59</v>
      </c>
      <c r="C48" s="14">
        <f ca="1">INDEX(Data_FP!$2:$1048576,MATCH(C$4&amp;$A$44&amp;$B48&amp;$A$1,Data_FP!$A$2:$A$1048576,0),MATCH($A$43,Data_FP!$2:$2,0))</f>
        <v>2.4985299999999998E-2</v>
      </c>
      <c r="D48" s="14">
        <f ca="1">INDEX(Data_FP!$2:$1048576,MATCH(D$4&amp;$A$44&amp;$B48&amp;$A$1,Data_FP!$A$2:$A$1048576,0),MATCH($A$43,Data_FP!$2:$2,0))</f>
        <v>2.0250500000000001E-2</v>
      </c>
      <c r="E48" s="14">
        <f ca="1">IF('User Settings'!$N$7="On",($D48-$C48)/($D$4-$C$4),0)</f>
        <v>-9.4695999999999951E-4</v>
      </c>
      <c r="F48" s="14">
        <f t="shared" ca="1" si="177"/>
        <v>1.7409620000000001E-2</v>
      </c>
      <c r="G48" s="14"/>
      <c r="H48" s="14">
        <f t="shared" ca="1" si="178"/>
        <v>1.4568740000000004E-2</v>
      </c>
      <c r="I48" s="14">
        <f t="shared" ca="1" si="186"/>
        <v>-9.4695999999999897E-4</v>
      </c>
      <c r="J48" s="14">
        <f t="shared" ca="1" si="179"/>
        <v>1.8356580000000001E-2</v>
      </c>
      <c r="K48" s="14">
        <f t="shared" ca="1" si="180"/>
        <v>1.7409620000000001E-2</v>
      </c>
      <c r="L48" s="15">
        <f t="shared" ref="L48:AD48" ca="1" si="188">MAX(0,MIN(1,K48+$I48))</f>
        <v>1.646266E-2</v>
      </c>
      <c r="M48" s="15">
        <f t="shared" ca="1" si="188"/>
        <v>1.5515700000000002E-2</v>
      </c>
      <c r="N48" s="15">
        <f t="shared" ca="1" si="188"/>
        <v>1.4568740000000004E-2</v>
      </c>
      <c r="O48" s="15">
        <f t="shared" ca="1" si="188"/>
        <v>1.3621780000000005E-2</v>
      </c>
      <c r="P48" s="15">
        <f t="shared" ca="1" si="188"/>
        <v>1.2674820000000007E-2</v>
      </c>
      <c r="Q48" s="15">
        <f t="shared" ca="1" si="188"/>
        <v>1.1727860000000008E-2</v>
      </c>
      <c r="R48" s="15">
        <f t="shared" ca="1" si="188"/>
        <v>1.078090000000001E-2</v>
      </c>
      <c r="S48" s="15">
        <f t="shared" ca="1" si="188"/>
        <v>9.8339400000000115E-3</v>
      </c>
      <c r="T48" s="15">
        <f t="shared" ca="1" si="188"/>
        <v>8.8869800000000131E-3</v>
      </c>
      <c r="U48" s="15">
        <f t="shared" ca="1" si="188"/>
        <v>7.9400200000000146E-3</v>
      </c>
      <c r="V48" s="15">
        <f t="shared" ca="1" si="188"/>
        <v>6.9930600000000153E-3</v>
      </c>
      <c r="W48" s="15">
        <f t="shared" ca="1" si="188"/>
        <v>6.046100000000016E-3</v>
      </c>
      <c r="X48" s="15">
        <f t="shared" ca="1" si="188"/>
        <v>5.0991400000000167E-3</v>
      </c>
      <c r="Y48" s="15">
        <f t="shared" ca="1" si="188"/>
        <v>4.1521800000000175E-3</v>
      </c>
      <c r="Z48" s="15">
        <f t="shared" ca="1" si="188"/>
        <v>3.2052200000000186E-3</v>
      </c>
      <c r="AA48" s="15">
        <f t="shared" ca="1" si="188"/>
        <v>2.2582600000000197E-3</v>
      </c>
      <c r="AB48" s="15">
        <f t="shared" ca="1" si="188"/>
        <v>1.3113000000000209E-3</v>
      </c>
      <c r="AC48" s="15">
        <f t="shared" ca="1" si="188"/>
        <v>3.643400000000219E-4</v>
      </c>
      <c r="AD48" s="15">
        <f t="shared" ca="1" si="188"/>
        <v>0</v>
      </c>
      <c r="AG48" s="1" t="s">
        <v>59</v>
      </c>
      <c r="AH48" s="37">
        <f t="shared" ca="1" si="182"/>
        <v>26913.126304329369</v>
      </c>
      <c r="AI48" s="37">
        <f t="shared" ca="1" si="182"/>
        <v>26506.325375080189</v>
      </c>
      <c r="AJ48" s="37">
        <f t="shared" ca="1" si="183"/>
        <v>26022.729688019499</v>
      </c>
      <c r="AK48" s="37">
        <f t="shared" ca="1" si="184"/>
        <v>25425.649051480275</v>
      </c>
      <c r="AL48" s="37">
        <f t="shared" ca="1" si="184"/>
        <v>24749.647676883396</v>
      </c>
      <c r="AM48" s="37">
        <f t="shared" ca="1" si="184"/>
        <v>23985.869695770445</v>
      </c>
      <c r="AN48" s="37">
        <f t="shared" ca="1" si="184"/>
        <v>23125.884898527329</v>
      </c>
      <c r="AO48" s="37">
        <f t="shared" ca="1" si="184"/>
        <v>22163.536552121273</v>
      </c>
      <c r="AP48" s="37">
        <f t="shared" ca="1" si="184"/>
        <v>21079.936249673035</v>
      </c>
      <c r="AQ48" s="37">
        <f t="shared" ca="1" si="184"/>
        <v>19889.200812391115</v>
      </c>
      <c r="AR48" s="37">
        <f t="shared" ca="1" si="184"/>
        <v>18586.696937107503</v>
      </c>
      <c r="AS48" s="37">
        <f t="shared" ca="1" si="184"/>
        <v>17168.419827741498</v>
      </c>
      <c r="AT48" s="37">
        <f t="shared" ca="1" si="184"/>
        <v>15629.421457272621</v>
      </c>
      <c r="AU48" s="37">
        <f t="shared" ca="1" si="185"/>
        <v>13956.072882961025</v>
      </c>
      <c r="AV48" s="37">
        <f t="shared" ca="1" si="185"/>
        <v>12154.369809103162</v>
      </c>
      <c r="AW48" s="37">
        <f t="shared" ca="1" si="185"/>
        <v>10217.89526722058</v>
      </c>
      <c r="AX48" s="37">
        <f t="shared" ca="1" si="185"/>
        <v>8140.7153899596642</v>
      </c>
      <c r="AY48" s="37">
        <f t="shared" ca="1" si="185"/>
        <v>5917.6378318255829</v>
      </c>
      <c r="AZ48" s="37" t="e">
        <f t="shared" ca="1" si="185"/>
        <v>#N/A</v>
      </c>
      <c r="BA48" s="37" t="e">
        <f t="shared" ca="1" si="185"/>
        <v>#N/A</v>
      </c>
      <c r="BB48" s="37" t="e">
        <f t="shared" ca="1" si="185"/>
        <v>#N/A</v>
      </c>
    </row>
    <row r="49" spans="1:54" x14ac:dyDescent="0.25">
      <c r="B49" s="1" t="s">
        <v>171</v>
      </c>
      <c r="C49" s="14">
        <f ca="1">INDEX(Data_FP!$2:$1048576,MATCH(C$4&amp;$A$44&amp;$B49&amp;$A$1,Data_FP!$A$2:$A$1048576,0),MATCH($A$43,Data_FP!$2:$2,0))</f>
        <v>0</v>
      </c>
      <c r="D49" s="14">
        <f ca="1">INDEX(Data_FP!$2:$1048576,MATCH(D$4&amp;$A$44&amp;$B49&amp;$A$1,Data_FP!$A$2:$A$1048576,0),MATCH($A$43,Data_FP!$2:$2,0))</f>
        <v>0</v>
      </c>
      <c r="E49" s="14">
        <f ca="1">IF('User Settings'!$N$7="On",($D49-$C49)/($D$4-$C$4),0)</f>
        <v>0</v>
      </c>
      <c r="F49" s="14">
        <f t="shared" ca="1" si="177"/>
        <v>0</v>
      </c>
      <c r="G49" s="14"/>
      <c r="H49" s="14">
        <f t="shared" ca="1" si="178"/>
        <v>0</v>
      </c>
      <c r="I49" s="14">
        <f t="shared" ca="1" si="186"/>
        <v>0</v>
      </c>
      <c r="J49" s="14">
        <f t="shared" ca="1" si="179"/>
        <v>0</v>
      </c>
      <c r="K49" s="14">
        <f t="shared" ca="1" si="180"/>
        <v>0</v>
      </c>
      <c r="L49" s="15">
        <f t="shared" ref="L49:AD49" ca="1" si="189">MAX(0,MIN(1,K49+$I49))</f>
        <v>0</v>
      </c>
      <c r="M49" s="15">
        <f t="shared" ca="1" si="189"/>
        <v>0</v>
      </c>
      <c r="N49" s="15">
        <f t="shared" ca="1" si="189"/>
        <v>0</v>
      </c>
      <c r="O49" s="15">
        <f t="shared" ca="1" si="189"/>
        <v>0</v>
      </c>
      <c r="P49" s="15">
        <f t="shared" ca="1" si="189"/>
        <v>0</v>
      </c>
      <c r="Q49" s="15">
        <f t="shared" ca="1" si="189"/>
        <v>0</v>
      </c>
      <c r="R49" s="15">
        <f t="shared" ca="1" si="189"/>
        <v>0</v>
      </c>
      <c r="S49" s="15">
        <f t="shared" ca="1" si="189"/>
        <v>0</v>
      </c>
      <c r="T49" s="15">
        <f t="shared" ca="1" si="189"/>
        <v>0</v>
      </c>
      <c r="U49" s="15">
        <f t="shared" ca="1" si="189"/>
        <v>0</v>
      </c>
      <c r="V49" s="15">
        <f t="shared" ca="1" si="189"/>
        <v>0</v>
      </c>
      <c r="W49" s="15">
        <f t="shared" ca="1" si="189"/>
        <v>0</v>
      </c>
      <c r="X49" s="15">
        <f t="shared" ca="1" si="189"/>
        <v>0</v>
      </c>
      <c r="Y49" s="15">
        <f t="shared" ca="1" si="189"/>
        <v>0</v>
      </c>
      <c r="Z49" s="15">
        <f t="shared" ca="1" si="189"/>
        <v>0</v>
      </c>
      <c r="AA49" s="15">
        <f t="shared" ca="1" si="189"/>
        <v>0</v>
      </c>
      <c r="AB49" s="15">
        <f t="shared" ca="1" si="189"/>
        <v>0</v>
      </c>
      <c r="AC49" s="15">
        <f t="shared" ca="1" si="189"/>
        <v>0</v>
      </c>
      <c r="AD49" s="15">
        <f t="shared" ca="1" si="189"/>
        <v>0</v>
      </c>
      <c r="AG49" s="1" t="s">
        <v>171</v>
      </c>
      <c r="AH49" s="37">
        <f t="shared" ca="1" si="182"/>
        <v>0</v>
      </c>
      <c r="AI49" s="37">
        <f t="shared" ca="1" si="182"/>
        <v>0</v>
      </c>
      <c r="AJ49" s="37">
        <f t="shared" ca="1" si="183"/>
        <v>0</v>
      </c>
      <c r="AK49" s="37">
        <f t="shared" ca="1" si="184"/>
        <v>0</v>
      </c>
      <c r="AL49" s="37">
        <f t="shared" ca="1" si="184"/>
        <v>0</v>
      </c>
      <c r="AM49" s="37">
        <f t="shared" ca="1" si="184"/>
        <v>0</v>
      </c>
      <c r="AN49" s="37">
        <f t="shared" ca="1" si="184"/>
        <v>0</v>
      </c>
      <c r="AO49" s="37">
        <f t="shared" ca="1" si="184"/>
        <v>0</v>
      </c>
      <c r="AP49" s="37">
        <f t="shared" ca="1" si="184"/>
        <v>0</v>
      </c>
      <c r="AQ49" s="37">
        <f t="shared" ca="1" si="184"/>
        <v>0</v>
      </c>
      <c r="AR49" s="37">
        <f t="shared" ca="1" si="184"/>
        <v>0</v>
      </c>
      <c r="AS49" s="37">
        <f t="shared" ca="1" si="184"/>
        <v>0</v>
      </c>
      <c r="AT49" s="37">
        <f t="shared" ca="1" si="184"/>
        <v>0</v>
      </c>
      <c r="AU49" s="37">
        <f t="shared" ca="1" si="185"/>
        <v>0</v>
      </c>
      <c r="AV49" s="37">
        <f t="shared" ca="1" si="185"/>
        <v>0</v>
      </c>
      <c r="AW49" s="37">
        <f t="shared" ca="1" si="185"/>
        <v>0</v>
      </c>
      <c r="AX49" s="37">
        <f t="shared" ca="1" si="185"/>
        <v>0</v>
      </c>
      <c r="AY49" s="37">
        <f t="shared" ca="1" si="185"/>
        <v>0</v>
      </c>
      <c r="AZ49" s="37" t="e">
        <f t="shared" ca="1" si="185"/>
        <v>#N/A</v>
      </c>
      <c r="BA49" s="37" t="e">
        <f t="shared" ca="1" si="185"/>
        <v>#N/A</v>
      </c>
      <c r="BB49" s="37" t="e">
        <f t="shared" ca="1" si="185"/>
        <v>#N/A</v>
      </c>
    </row>
    <row r="50" spans="1:54" x14ac:dyDescent="0.25">
      <c r="B50" s="1" t="s">
        <v>116</v>
      </c>
      <c r="C50" s="14">
        <f ca="1">INDEX(Data_FP!$2:$1048576,MATCH(C$4&amp;$A$44&amp;$B50&amp;$A$1,Data_FP!$A$2:$A$1048576,0),MATCH($A$43,Data_FP!$2:$2,0))</f>
        <v>2.3169999999999999E-4</v>
      </c>
      <c r="D50" s="14">
        <f ca="1">INDEX(Data_FP!$2:$1048576,MATCH(D$4&amp;$A$44&amp;$B50&amp;$A$1,Data_FP!$A$2:$A$1048576,0),MATCH($A$43,Data_FP!$2:$2,0))</f>
        <v>0</v>
      </c>
      <c r="E50" s="14">
        <f ca="1">IF('User Settings'!$N$7="On",($D50-$C50)/($D$4-$C$4),0)</f>
        <v>-4.634E-5</v>
      </c>
      <c r="F50" s="14">
        <f t="shared" ca="1" si="177"/>
        <v>0</v>
      </c>
      <c r="G50" s="14"/>
      <c r="H50" s="14">
        <f t="shared" ca="1" si="178"/>
        <v>0</v>
      </c>
      <c r="I50" s="14">
        <f t="shared" ca="1" si="186"/>
        <v>0</v>
      </c>
      <c r="J50" s="14">
        <f t="shared" ca="1" si="179"/>
        <v>4.634E-5</v>
      </c>
      <c r="K50" s="14">
        <f t="shared" ca="1" si="180"/>
        <v>0</v>
      </c>
      <c r="L50" s="15">
        <f t="shared" ref="L50:AD50" ca="1" si="190">MAX(0,MIN(1,K50+$I50))</f>
        <v>0</v>
      </c>
      <c r="M50" s="15">
        <f t="shared" ca="1" si="190"/>
        <v>0</v>
      </c>
      <c r="N50" s="15">
        <f t="shared" ca="1" si="190"/>
        <v>0</v>
      </c>
      <c r="O50" s="15">
        <f t="shared" ca="1" si="190"/>
        <v>0</v>
      </c>
      <c r="P50" s="15">
        <f t="shared" ca="1" si="190"/>
        <v>0</v>
      </c>
      <c r="Q50" s="15">
        <f t="shared" ca="1" si="190"/>
        <v>0</v>
      </c>
      <c r="R50" s="15">
        <f t="shared" ca="1" si="190"/>
        <v>0</v>
      </c>
      <c r="S50" s="15">
        <f t="shared" ca="1" si="190"/>
        <v>0</v>
      </c>
      <c r="T50" s="15">
        <f t="shared" ca="1" si="190"/>
        <v>0</v>
      </c>
      <c r="U50" s="15">
        <f t="shared" ca="1" si="190"/>
        <v>0</v>
      </c>
      <c r="V50" s="15">
        <f t="shared" ca="1" si="190"/>
        <v>0</v>
      </c>
      <c r="W50" s="15">
        <f t="shared" ca="1" si="190"/>
        <v>0</v>
      </c>
      <c r="X50" s="15">
        <f t="shared" ca="1" si="190"/>
        <v>0</v>
      </c>
      <c r="Y50" s="15">
        <f t="shared" ca="1" si="190"/>
        <v>0</v>
      </c>
      <c r="Z50" s="15">
        <f t="shared" ca="1" si="190"/>
        <v>0</v>
      </c>
      <c r="AA50" s="15">
        <f t="shared" ca="1" si="190"/>
        <v>0</v>
      </c>
      <c r="AB50" s="15">
        <f t="shared" ca="1" si="190"/>
        <v>0</v>
      </c>
      <c r="AC50" s="15">
        <f t="shared" ca="1" si="190"/>
        <v>0</v>
      </c>
      <c r="AD50" s="15">
        <f t="shared" ca="1" si="190"/>
        <v>0</v>
      </c>
      <c r="AG50" s="1" t="s">
        <v>116</v>
      </c>
      <c r="AH50" s="37">
        <f t="shared" ca="1" si="182"/>
        <v>67.940448217621309</v>
      </c>
      <c r="AI50" s="37">
        <f t="shared" ca="1" si="182"/>
        <v>0</v>
      </c>
      <c r="AJ50" s="37">
        <f t="shared" ca="1" si="183"/>
        <v>0</v>
      </c>
      <c r="AK50" s="37">
        <f t="shared" ca="1" si="184"/>
        <v>0</v>
      </c>
      <c r="AL50" s="37">
        <f t="shared" ca="1" si="184"/>
        <v>0</v>
      </c>
      <c r="AM50" s="37">
        <f t="shared" ca="1" si="184"/>
        <v>0</v>
      </c>
      <c r="AN50" s="37">
        <f t="shared" ca="1" si="184"/>
        <v>0</v>
      </c>
      <c r="AO50" s="37">
        <f t="shared" ca="1" si="184"/>
        <v>0</v>
      </c>
      <c r="AP50" s="37">
        <f t="shared" ca="1" si="184"/>
        <v>0</v>
      </c>
      <c r="AQ50" s="37">
        <f t="shared" ca="1" si="184"/>
        <v>0</v>
      </c>
      <c r="AR50" s="37">
        <f t="shared" ca="1" si="184"/>
        <v>0</v>
      </c>
      <c r="AS50" s="37">
        <f t="shared" ca="1" si="184"/>
        <v>0</v>
      </c>
      <c r="AT50" s="37">
        <f t="shared" ca="1" si="184"/>
        <v>0</v>
      </c>
      <c r="AU50" s="37">
        <f t="shared" ca="1" si="185"/>
        <v>0</v>
      </c>
      <c r="AV50" s="37">
        <f t="shared" ca="1" si="185"/>
        <v>0</v>
      </c>
      <c r="AW50" s="37">
        <f t="shared" ca="1" si="185"/>
        <v>0</v>
      </c>
      <c r="AX50" s="37">
        <f t="shared" ca="1" si="185"/>
        <v>0</v>
      </c>
      <c r="AY50" s="37">
        <f t="shared" ca="1" si="185"/>
        <v>0</v>
      </c>
      <c r="AZ50" s="37" t="e">
        <f t="shared" ca="1" si="185"/>
        <v>#N/A</v>
      </c>
      <c r="BA50" s="37" t="e">
        <f t="shared" ca="1" si="185"/>
        <v>#N/A</v>
      </c>
      <c r="BB50" s="37" t="e">
        <f t="shared" ca="1" si="185"/>
        <v>#N/A</v>
      </c>
    </row>
    <row r="51" spans="1:54" x14ac:dyDescent="0.25">
      <c r="C51" s="5">
        <f ca="1">SUM(C45:C50)</f>
        <v>4.0914499999999999E-2</v>
      </c>
      <c r="D51" s="5">
        <f ca="1">SUM(D45:D50)</f>
        <v>2.69321E-2</v>
      </c>
      <c r="F51" s="132">
        <f ca="1">SUM(F45:F50)</f>
        <v>1.9295220000000002E-2</v>
      </c>
      <c r="G51" s="132"/>
      <c r="H51" s="132">
        <f ca="1">SUM(H45:H50)</f>
        <v>1.7161440000000003E-2</v>
      </c>
      <c r="I51" s="132"/>
      <c r="J51" s="132">
        <f ca="1">SUM(J45:J50)</f>
        <v>2.2091699999999999E-2</v>
      </c>
      <c r="K51" s="132">
        <f ca="1">SUM(K45:K50)</f>
        <v>1.9295220000000002E-2</v>
      </c>
      <c r="L51" s="5">
        <f t="shared" ref="L51:AD51" ca="1" si="191">SUM(L45:L50)</f>
        <v>1.858396E-2</v>
      </c>
      <c r="M51" s="5">
        <f t="shared" ca="1" si="191"/>
        <v>1.7872700000000002E-2</v>
      </c>
      <c r="N51" s="5">
        <f t="shared" ca="1" si="191"/>
        <v>1.7161440000000003E-2</v>
      </c>
      <c r="O51" s="5">
        <f t="shared" ca="1" si="191"/>
        <v>1.6450180000000005E-2</v>
      </c>
      <c r="P51" s="5">
        <f t="shared" ca="1" si="191"/>
        <v>1.5738920000000007E-2</v>
      </c>
      <c r="Q51" s="5">
        <f t="shared" ca="1" si="191"/>
        <v>1.5027660000000009E-2</v>
      </c>
      <c r="R51" s="5">
        <f t="shared" ca="1" si="191"/>
        <v>1.431640000000001E-2</v>
      </c>
      <c r="S51" s="5">
        <f t="shared" ca="1" si="191"/>
        <v>1.360514000000001E-2</v>
      </c>
      <c r="T51" s="5">
        <f t="shared" ca="1" si="191"/>
        <v>1.2893880000000012E-2</v>
      </c>
      <c r="U51" s="5">
        <f t="shared" ca="1" si="191"/>
        <v>1.2182620000000014E-2</v>
      </c>
      <c r="V51" s="5">
        <f t="shared" ca="1" si="191"/>
        <v>1.1471360000000014E-2</v>
      </c>
      <c r="W51" s="5">
        <f t="shared" ca="1" si="191"/>
        <v>1.0760100000000015E-2</v>
      </c>
      <c r="X51" s="5">
        <f t="shared" ca="1" si="191"/>
        <v>1.0048840000000014E-2</v>
      </c>
      <c r="Y51" s="5">
        <f t="shared" ca="1" si="191"/>
        <v>9.3375800000000155E-3</v>
      </c>
      <c r="Z51" s="5">
        <f t="shared" ca="1" si="191"/>
        <v>8.6263200000000172E-3</v>
      </c>
      <c r="AA51" s="5">
        <f t="shared" ca="1" si="191"/>
        <v>7.9150600000000189E-3</v>
      </c>
      <c r="AB51" s="5">
        <f t="shared" ca="1" si="191"/>
        <v>7.2038000000000189E-3</v>
      </c>
      <c r="AC51" s="5">
        <f t="shared" ca="1" si="191"/>
        <v>6.4925400000000189E-3</v>
      </c>
      <c r="AD51" s="5">
        <f t="shared" ca="1" si="191"/>
        <v>6.363899999999997E-3</v>
      </c>
      <c r="AG51" s="38" t="s">
        <v>172</v>
      </c>
      <c r="AH51" s="141">
        <f ca="1">INDEX(Data_WRA!$4:$1048576,MATCH(AH$4,Data_WRA!$A$4:$A$1048576,0),MATCH($A$44&amp;$A$43,Data_WRA!$4:$4,0))</f>
        <v>1466129.6551061999</v>
      </c>
      <c r="AI51" s="141">
        <f ca="1">INDEX(Data_WRA!$4:$1048576,MATCH(AI$4,Data_WRA!$A$4:$A$1048576,0),MATCH($A$44&amp;$A$43,Data_WRA!$4:$4,0))</f>
        <v>1522510.2773685001</v>
      </c>
      <c r="AJ51" s="141">
        <f ca="1">INDEX(Data_WRA!$4:$1048576,MATCH(AJ$4,Data_WRA!$A$4:$A$1048576,0),MATCH($A$44&amp;$A$43,Data_WRA!$4:$4,0))</f>
        <v>1580712.3325161</v>
      </c>
      <c r="AK51" s="141">
        <f ca="1">INDEX(Data_WRA!$4:$1048576,MATCH(AK$4,Data_WRA!$A$4:$A$1048576,0),MATCH($A$44&amp;$A$43,Data_WRA!$4:$4,0))</f>
        <v>1638704.6057529</v>
      </c>
      <c r="AL51" s="141">
        <f ca="1">INDEX(Data_WRA!$4:$1048576,MATCH(AL$4,Data_WRA!$A$4:$A$1048576,0),MATCH($A$44&amp;$A$43,Data_WRA!$4:$4,0))</f>
        <v>1698818.6814291002</v>
      </c>
      <c r="AM51" s="141">
        <f ca="1">INDEX(Data_WRA!$4:$1048576,MATCH(AM$4,Data_WRA!$A$4:$A$1048576,0),MATCH($A$44&amp;$A$43,Data_WRA!$4:$4,0))</f>
        <v>1760846.9448024</v>
      </c>
      <c r="AN51" s="141">
        <f ca="1">INDEX(Data_WRA!$4:$1048576,MATCH(AN$4,Data_WRA!$A$4:$A$1048576,0),MATCH($A$44&amp;$A$43,Data_WRA!$4:$4,0))</f>
        <v>1824553.3189842</v>
      </c>
      <c r="AO51" s="141">
        <f ca="1">INDEX(Data_WRA!$4:$1048576,MATCH(AO$4,Data_WRA!$A$4:$A$1048576,0),MATCH($A$44&amp;$A$43,Data_WRA!$4:$4,0))</f>
        <v>1889819.3320964999</v>
      </c>
      <c r="AP51" s="141">
        <f ca="1">INDEX(Data_WRA!$4:$1048576,MATCH(AP$4,Data_WRA!$A$4:$A$1048576,0),MATCH($A$44&amp;$A$43,Data_WRA!$4:$4,0))</f>
        <v>1955303.9402715003</v>
      </c>
      <c r="AQ51" s="141">
        <f ca="1">INDEX(Data_WRA!$4:$1048576,MATCH(AQ$4,Data_WRA!$A$4:$A$1048576,0),MATCH($A$44&amp;$A$43,Data_WRA!$4:$4,0))</f>
        <v>2022505.8127658998</v>
      </c>
      <c r="AR51" s="141">
        <f ca="1">INDEX(Data_WRA!$4:$1048576,MATCH(AR$4,Data_WRA!$A$4:$A$1048576,0),MATCH($A$44&amp;$A$43,Data_WRA!$4:$4,0))</f>
        <v>2091452.5448585995</v>
      </c>
      <c r="AS51" s="141">
        <f ca="1">INDEX(Data_WRA!$4:$1048576,MATCH(AS$4,Data_WRA!$A$4:$A$1048576,0),MATCH($A$44&amp;$A$43,Data_WRA!$4:$4,0))</f>
        <v>2162264.0532065998</v>
      </c>
      <c r="AT51" s="141">
        <f ca="1">INDEX(Data_WRA!$4:$1048576,MATCH(AT$4,Data_WRA!$A$4:$A$1048576,0),MATCH($A$44&amp;$A$43,Data_WRA!$4:$4,0))</f>
        <v>2234990.3271633</v>
      </c>
      <c r="AU51" s="141">
        <f ca="1">INDEX(Data_WRA!$4:$1048576,MATCH(AU$4,Data_WRA!$A$4:$A$1048576,0),MATCH($A$44&amp;$A$43,Data_WRA!$4:$4,0))</f>
        <v>2308276.8864162001</v>
      </c>
      <c r="AV51" s="141">
        <f ca="1">INDEX(Data_WRA!$4:$1048576,MATCH(AV$4,Data_WRA!$A$4:$A$1048576,0),MATCH($A$44&amp;$A$43,Data_WRA!$4:$4,0))</f>
        <v>2383611.7088573999</v>
      </c>
      <c r="AW51" s="141">
        <f ca="1">INDEX(Data_WRA!$4:$1048576,MATCH(AW$4,Data_WRA!$A$4:$A$1048576,0),MATCH($A$44&amp;$A$43,Data_WRA!$4:$4,0))</f>
        <v>2460850.7500206004</v>
      </c>
      <c r="AX51" s="141">
        <f ca="1">INDEX(Data_WRA!$4:$1048576,MATCH(AX$4,Data_WRA!$A$4:$A$1048576,0),MATCH($A$44&amp;$A$43,Data_WRA!$4:$4,0))</f>
        <v>2539830.4609229998</v>
      </c>
      <c r="AY51" s="141">
        <f ca="1">INDEX(Data_WRA!$4:$1048576,MATCH(AY$4,Data_WRA!$A$4:$A$1048576,0),MATCH($A$44&amp;$A$43,Data_WRA!$4:$4,0))</f>
        <v>2620441.3273163992</v>
      </c>
      <c r="AZ51" s="141" t="e">
        <f>INDEX(Data_WRA!$4:$1048576,MATCH(AZ$4,Data_WRA!$A$4:$A$1048576,0),MATCH($A$44&amp;$A$43,Data_WRA!$4:$4,0))</f>
        <v>#N/A</v>
      </c>
      <c r="BA51" s="141" t="e">
        <f>INDEX(Data_WRA!$4:$1048576,MATCH(BA$4,Data_WRA!$A$4:$A$1048576,0),MATCH($A$44&amp;$A$43,Data_WRA!$4:$4,0))</f>
        <v>#N/A</v>
      </c>
      <c r="BB51" s="141" t="e">
        <f>INDEX(Data_WRA!$4:$1048576,MATCH(BB$4,Data_WRA!$A$4:$A$1048576,0),MATCH($A$44&amp;$A$43,Data_WRA!$4:$4,0))</f>
        <v>#N/A</v>
      </c>
    </row>
    <row r="52" spans="1:54" x14ac:dyDescent="0.25">
      <c r="AI52" s="40"/>
      <c r="AJ52" s="40"/>
      <c r="AK52" s="40"/>
      <c r="AL52" s="40"/>
      <c r="AM52" s="40"/>
      <c r="AN52" s="40"/>
      <c r="AO52" s="40"/>
      <c r="AP52" s="40"/>
      <c r="AQ52" s="40"/>
      <c r="AR52" s="40"/>
      <c r="AS52" s="40"/>
      <c r="AT52" s="40"/>
      <c r="AU52" s="40"/>
      <c r="AV52" s="40"/>
      <c r="AW52" s="40"/>
      <c r="AX52" s="40"/>
      <c r="AY52" s="40"/>
      <c r="AZ52" s="40"/>
      <c r="BA52" s="40"/>
      <c r="BB52" s="40"/>
    </row>
    <row r="53" spans="1:54" x14ac:dyDescent="0.25">
      <c r="A53" s="6" t="s">
        <v>116</v>
      </c>
      <c r="C53" s="4" t="s">
        <v>163</v>
      </c>
      <c r="D53" s="4" t="s">
        <v>164</v>
      </c>
      <c r="F53" s="4" t="s">
        <v>165</v>
      </c>
      <c r="G53" s="4"/>
      <c r="H53" s="4" t="s">
        <v>167</v>
      </c>
      <c r="K53" s="205" t="str">
        <f t="shared" ref="K53:AD53" si="192">IF(K54=Yr_Start,"Start Year",IF(K54=Yr_End,"End Year",""))</f>
        <v>Start Year</v>
      </c>
      <c r="L53" s="205" t="str">
        <f t="shared" si="192"/>
        <v/>
      </c>
      <c r="M53" s="205" t="str">
        <f t="shared" si="192"/>
        <v/>
      </c>
      <c r="N53" s="205" t="str">
        <f t="shared" si="192"/>
        <v>End Year</v>
      </c>
      <c r="O53" s="205" t="str">
        <f t="shared" si="192"/>
        <v/>
      </c>
      <c r="P53" s="205" t="str">
        <f t="shared" si="192"/>
        <v/>
      </c>
      <c r="Q53" s="205" t="str">
        <f t="shared" si="192"/>
        <v/>
      </c>
      <c r="R53" s="205" t="str">
        <f t="shared" si="192"/>
        <v/>
      </c>
      <c r="S53" s="205" t="str">
        <f t="shared" si="192"/>
        <v/>
      </c>
      <c r="T53" s="205" t="str">
        <f t="shared" si="192"/>
        <v/>
      </c>
      <c r="U53" s="205" t="str">
        <f t="shared" si="192"/>
        <v/>
      </c>
      <c r="V53" s="205" t="str">
        <f t="shared" si="192"/>
        <v/>
      </c>
      <c r="W53" s="205" t="str">
        <f t="shared" si="192"/>
        <v/>
      </c>
      <c r="X53" s="205" t="str">
        <f t="shared" si="192"/>
        <v/>
      </c>
      <c r="Y53" s="205" t="str">
        <f t="shared" si="192"/>
        <v/>
      </c>
      <c r="Z53" s="205" t="str">
        <f t="shared" si="192"/>
        <v/>
      </c>
      <c r="AA53" s="205" t="str">
        <f t="shared" si="192"/>
        <v/>
      </c>
      <c r="AB53" s="205" t="str">
        <f t="shared" si="192"/>
        <v/>
      </c>
      <c r="AC53" s="205" t="str">
        <f t="shared" si="192"/>
        <v/>
      </c>
      <c r="AD53" s="205" t="str">
        <f t="shared" si="192"/>
        <v/>
      </c>
      <c r="AF53" s="6" t="str">
        <f>A53</f>
        <v>Other</v>
      </c>
      <c r="AI53" s="205" t="str">
        <f t="shared" ref="AI53:BB53" si="193">IF(AI54=Yr_Start,"Start Year",IF(AI54=Yr_End,"End Year",""))</f>
        <v>Start Year</v>
      </c>
      <c r="AJ53" s="205" t="str">
        <f t="shared" si="193"/>
        <v/>
      </c>
      <c r="AK53" s="205" t="str">
        <f t="shared" si="193"/>
        <v/>
      </c>
      <c r="AL53" s="205" t="str">
        <f t="shared" si="193"/>
        <v>End Year</v>
      </c>
      <c r="AM53" s="205" t="str">
        <f t="shared" si="193"/>
        <v/>
      </c>
      <c r="AN53" s="205" t="str">
        <f t="shared" si="193"/>
        <v/>
      </c>
      <c r="AO53" s="205" t="str">
        <f t="shared" si="193"/>
        <v/>
      </c>
      <c r="AP53" s="205" t="str">
        <f t="shared" si="193"/>
        <v/>
      </c>
      <c r="AQ53" s="205" t="str">
        <f t="shared" si="193"/>
        <v/>
      </c>
      <c r="AR53" s="205" t="str">
        <f t="shared" si="193"/>
        <v/>
      </c>
      <c r="AS53" s="205" t="str">
        <f t="shared" si="193"/>
        <v/>
      </c>
      <c r="AT53" s="205" t="str">
        <f t="shared" si="193"/>
        <v/>
      </c>
      <c r="AU53" s="205" t="str">
        <f t="shared" si="193"/>
        <v/>
      </c>
      <c r="AV53" s="205" t="str">
        <f t="shared" si="193"/>
        <v/>
      </c>
      <c r="AW53" s="205" t="str">
        <f t="shared" si="193"/>
        <v/>
      </c>
      <c r="AX53" s="205" t="str">
        <f t="shared" si="193"/>
        <v/>
      </c>
      <c r="AY53" s="205" t="str">
        <f t="shared" si="193"/>
        <v/>
      </c>
      <c r="AZ53" s="205" t="str">
        <f t="shared" si="193"/>
        <v/>
      </c>
      <c r="BA53" s="205" t="str">
        <f t="shared" si="193"/>
        <v/>
      </c>
      <c r="BB53" s="205" t="str">
        <f t="shared" si="193"/>
        <v/>
      </c>
    </row>
    <row r="54" spans="1:54" x14ac:dyDescent="0.25">
      <c r="A54" s="6" t="s">
        <v>21</v>
      </c>
      <c r="B54" s="36"/>
      <c r="C54" s="36">
        <f>Yr_DHS1</f>
        <v>2011</v>
      </c>
      <c r="D54" s="36">
        <f>Yr_DHS2</f>
        <v>2016</v>
      </c>
      <c r="E54" s="36" t="s">
        <v>168</v>
      </c>
      <c r="F54" s="36">
        <f>Yr_Start</f>
        <v>2019</v>
      </c>
      <c r="G54" s="36"/>
      <c r="H54" s="36">
        <f>Yr_End</f>
        <v>2022</v>
      </c>
      <c r="I54" s="36" t="s">
        <v>169</v>
      </c>
      <c r="J54" s="130">
        <f>K54-1</f>
        <v>2018</v>
      </c>
      <c r="K54" s="130">
        <f>Yr_Start</f>
        <v>2019</v>
      </c>
      <c r="L54" s="130">
        <f>K54+1</f>
        <v>2020</v>
      </c>
      <c r="M54" s="130">
        <f t="shared" ref="M54:AD54" si="194">L54+1</f>
        <v>2021</v>
      </c>
      <c r="N54" s="130">
        <f t="shared" si="194"/>
        <v>2022</v>
      </c>
      <c r="O54" s="130">
        <f t="shared" si="194"/>
        <v>2023</v>
      </c>
      <c r="P54" s="130">
        <f t="shared" si="194"/>
        <v>2024</v>
      </c>
      <c r="Q54" s="130">
        <f t="shared" si="194"/>
        <v>2025</v>
      </c>
      <c r="R54" s="130">
        <f t="shared" si="194"/>
        <v>2026</v>
      </c>
      <c r="S54" s="130">
        <f t="shared" si="194"/>
        <v>2027</v>
      </c>
      <c r="T54" s="130">
        <f t="shared" si="194"/>
        <v>2028</v>
      </c>
      <c r="U54" s="130">
        <f t="shared" si="194"/>
        <v>2029</v>
      </c>
      <c r="V54" s="130">
        <f t="shared" si="194"/>
        <v>2030</v>
      </c>
      <c r="W54" s="130">
        <f t="shared" si="194"/>
        <v>2031</v>
      </c>
      <c r="X54" s="130">
        <f t="shared" si="194"/>
        <v>2032</v>
      </c>
      <c r="Y54" s="130">
        <f t="shared" si="194"/>
        <v>2033</v>
      </c>
      <c r="Z54" s="130">
        <f t="shared" si="194"/>
        <v>2034</v>
      </c>
      <c r="AA54" s="130">
        <f t="shared" si="194"/>
        <v>2035</v>
      </c>
      <c r="AB54" s="130">
        <f t="shared" si="194"/>
        <v>2036</v>
      </c>
      <c r="AC54" s="130">
        <f t="shared" si="194"/>
        <v>2037</v>
      </c>
      <c r="AD54" s="130">
        <f t="shared" si="194"/>
        <v>2038</v>
      </c>
      <c r="AF54" s="6" t="str">
        <f>A54</f>
        <v>Rural</v>
      </c>
      <c r="AG54" s="38"/>
      <c r="AH54" s="161">
        <f>AI54-1</f>
        <v>2018</v>
      </c>
      <c r="AI54" s="36">
        <f>Yr_Start</f>
        <v>2019</v>
      </c>
      <c r="AJ54" s="36">
        <f>AI54+1</f>
        <v>2020</v>
      </c>
      <c r="AK54" s="36">
        <f t="shared" ref="AK54" si="195">AJ54+1</f>
        <v>2021</v>
      </c>
      <c r="AL54" s="36">
        <f t="shared" ref="AL54" si="196">AK54+1</f>
        <v>2022</v>
      </c>
      <c r="AM54" s="36">
        <f t="shared" ref="AM54" si="197">AL54+1</f>
        <v>2023</v>
      </c>
      <c r="AN54" s="36">
        <f t="shared" ref="AN54" si="198">AM54+1</f>
        <v>2024</v>
      </c>
      <c r="AO54" s="36">
        <f t="shared" ref="AO54" si="199">AN54+1</f>
        <v>2025</v>
      </c>
      <c r="AP54" s="36">
        <f t="shared" ref="AP54" si="200">AO54+1</f>
        <v>2026</v>
      </c>
      <c r="AQ54" s="36">
        <f t="shared" ref="AQ54" si="201">AP54+1</f>
        <v>2027</v>
      </c>
      <c r="AR54" s="36">
        <f t="shared" ref="AR54" si="202">AQ54+1</f>
        <v>2028</v>
      </c>
      <c r="AS54" s="36">
        <f t="shared" ref="AS54" si="203">AR54+1</f>
        <v>2029</v>
      </c>
      <c r="AT54" s="36">
        <f t="shared" ref="AT54" si="204">AS54+1</f>
        <v>2030</v>
      </c>
      <c r="AU54" s="36">
        <f t="shared" ref="AU54" si="205">AT54+1</f>
        <v>2031</v>
      </c>
      <c r="AV54" s="36">
        <f t="shared" ref="AV54" si="206">AU54+1</f>
        <v>2032</v>
      </c>
      <c r="AW54" s="36">
        <f t="shared" ref="AW54" si="207">AV54+1</f>
        <v>2033</v>
      </c>
      <c r="AX54" s="36">
        <f t="shared" ref="AX54" si="208">AW54+1</f>
        <v>2034</v>
      </c>
      <c r="AY54" s="36">
        <f t="shared" ref="AY54" si="209">AX54+1</f>
        <v>2035</v>
      </c>
      <c r="AZ54" s="36">
        <f t="shared" ref="AZ54" si="210">AY54+1</f>
        <v>2036</v>
      </c>
      <c r="BA54" s="36">
        <f t="shared" ref="BA54" si="211">AZ54+1</f>
        <v>2037</v>
      </c>
      <c r="BB54" s="36">
        <f t="shared" ref="BB54" si="212">BA54+1</f>
        <v>2038</v>
      </c>
    </row>
    <row r="55" spans="1:54" x14ac:dyDescent="0.25">
      <c r="B55" s="1" t="s">
        <v>52</v>
      </c>
      <c r="C55" s="14">
        <f ca="1">INDEX(Data_FP!$2:$1048576,MATCH(C$4&amp;$A$54&amp;$B55&amp;$A$1,Data_FP!$A$2:$A$1048576,0),MATCH($A$53,Data_FP!$2:$2,0))</f>
        <v>5.7631000000000002E-3</v>
      </c>
      <c r="D55" s="14">
        <f ca="1">INDEX(Data_FP!$2:$1048576,MATCH(D$4&amp;$A$54&amp;$B55&amp;$A$1,Data_FP!$A$2:$A$1048576,0),MATCH($A$53,Data_FP!$2:$2,0))</f>
        <v>2.0022E-3</v>
      </c>
      <c r="E55" s="14">
        <f ca="1">IF('User Settings'!$N$7="On",($D55-$C55)/($D$4-$C$4),0)</f>
        <v>-7.5218000000000008E-4</v>
      </c>
      <c r="F55" s="14">
        <f ca="1">MAX(0,MIN(1,($D55+$E55*(F$4-$D$4))))</f>
        <v>0</v>
      </c>
      <c r="G55" s="14"/>
      <c r="H55" s="14">
        <f ca="1">MAX(0,MIN(1,($D55+$E55*(H$4-$D$4))*$H$1))</f>
        <v>0</v>
      </c>
      <c r="I55" s="14">
        <f ca="1">($H55-$F55)/($H$4-$F$4)</f>
        <v>0</v>
      </c>
      <c r="J55" s="14">
        <f ca="1">K55-E55</f>
        <v>7.5218000000000008E-4</v>
      </c>
      <c r="K55" s="14">
        <f ca="1">MAX(0,MIN(1,D55+(K$4-D$4)*E55))</f>
        <v>0</v>
      </c>
      <c r="L55" s="15">
        <f ca="1">MAX(0,MIN(1,K55+$I55))</f>
        <v>0</v>
      </c>
      <c r="M55" s="15">
        <f t="shared" ref="M55" ca="1" si="213">MAX(0,MIN(1,L55+$I55))</f>
        <v>0</v>
      </c>
      <c r="N55" s="15">
        <f ca="1">MAX(0,MIN(1,M55+$I55))</f>
        <v>0</v>
      </c>
      <c r="O55" s="15">
        <f t="shared" ref="O55:AD55" ca="1" si="214">MAX(0,MIN(1,N55+$I55))</f>
        <v>0</v>
      </c>
      <c r="P55" s="15">
        <f t="shared" ca="1" si="214"/>
        <v>0</v>
      </c>
      <c r="Q55" s="15">
        <f t="shared" ca="1" si="214"/>
        <v>0</v>
      </c>
      <c r="R55" s="15">
        <f t="shared" ca="1" si="214"/>
        <v>0</v>
      </c>
      <c r="S55" s="15">
        <f t="shared" ca="1" si="214"/>
        <v>0</v>
      </c>
      <c r="T55" s="15">
        <f t="shared" ca="1" si="214"/>
        <v>0</v>
      </c>
      <c r="U55" s="15">
        <f t="shared" ca="1" si="214"/>
        <v>0</v>
      </c>
      <c r="V55" s="15">
        <f t="shared" ca="1" si="214"/>
        <v>0</v>
      </c>
      <c r="W55" s="15">
        <f t="shared" ca="1" si="214"/>
        <v>0</v>
      </c>
      <c r="X55" s="15">
        <f t="shared" ca="1" si="214"/>
        <v>0</v>
      </c>
      <c r="Y55" s="15">
        <f t="shared" ca="1" si="214"/>
        <v>0</v>
      </c>
      <c r="Z55" s="15">
        <f t="shared" ca="1" si="214"/>
        <v>0</v>
      </c>
      <c r="AA55" s="15">
        <f t="shared" ca="1" si="214"/>
        <v>0</v>
      </c>
      <c r="AB55" s="15">
        <f t="shared" ca="1" si="214"/>
        <v>0</v>
      </c>
      <c r="AC55" s="15">
        <f t="shared" ca="1" si="214"/>
        <v>0</v>
      </c>
      <c r="AD55" s="15">
        <f t="shared" ca="1" si="214"/>
        <v>0</v>
      </c>
      <c r="AG55" s="1" t="s">
        <v>52</v>
      </c>
      <c r="AH55" s="37">
        <f t="shared" ref="AH55:BB55" ca="1" si="215">J55*AH$61</f>
        <v>3199.1900179781273</v>
      </c>
      <c r="AI55" s="37">
        <f t="shared" ca="1" si="215"/>
        <v>0</v>
      </c>
      <c r="AJ55" s="37">
        <f t="shared" ca="1" si="215"/>
        <v>0</v>
      </c>
      <c r="AK55" s="37">
        <f t="shared" ca="1" si="215"/>
        <v>0</v>
      </c>
      <c r="AL55" s="37">
        <f t="shared" ca="1" si="215"/>
        <v>0</v>
      </c>
      <c r="AM55" s="37">
        <f t="shared" ca="1" si="215"/>
        <v>0</v>
      </c>
      <c r="AN55" s="37">
        <f t="shared" ca="1" si="215"/>
        <v>0</v>
      </c>
      <c r="AO55" s="37">
        <f t="shared" ca="1" si="215"/>
        <v>0</v>
      </c>
      <c r="AP55" s="37">
        <f t="shared" ca="1" si="215"/>
        <v>0</v>
      </c>
      <c r="AQ55" s="37">
        <f t="shared" ca="1" si="215"/>
        <v>0</v>
      </c>
      <c r="AR55" s="37">
        <f t="shared" ca="1" si="215"/>
        <v>0</v>
      </c>
      <c r="AS55" s="37">
        <f t="shared" ca="1" si="215"/>
        <v>0</v>
      </c>
      <c r="AT55" s="37">
        <f t="shared" ca="1" si="215"/>
        <v>0</v>
      </c>
      <c r="AU55" s="37">
        <f t="shared" ca="1" si="215"/>
        <v>0</v>
      </c>
      <c r="AV55" s="37">
        <f t="shared" ca="1" si="215"/>
        <v>0</v>
      </c>
      <c r="AW55" s="37">
        <f t="shared" ca="1" si="215"/>
        <v>0</v>
      </c>
      <c r="AX55" s="37">
        <f t="shared" ca="1" si="215"/>
        <v>0</v>
      </c>
      <c r="AY55" s="37">
        <f t="shared" ca="1" si="215"/>
        <v>0</v>
      </c>
      <c r="AZ55" s="37" t="e">
        <f t="shared" ca="1" si="215"/>
        <v>#N/A</v>
      </c>
      <c r="BA55" s="37" t="e">
        <f t="shared" ca="1" si="215"/>
        <v>#N/A</v>
      </c>
      <c r="BB55" s="37" t="e">
        <f t="shared" ca="1" si="215"/>
        <v>#N/A</v>
      </c>
    </row>
    <row r="56" spans="1:54" x14ac:dyDescent="0.25">
      <c r="B56" s="1" t="s">
        <v>54</v>
      </c>
      <c r="C56" s="14">
        <f ca="1">INDEX(Data_FP!$2:$1048576,MATCH(C$4&amp;$A$54&amp;$B56&amp;$A$1,Data_FP!$A$2:$A$1048576,0),MATCH($A$53,Data_FP!$2:$2,0))</f>
        <v>0</v>
      </c>
      <c r="D56" s="14">
        <f ca="1">INDEX(Data_FP!$2:$1048576,MATCH(D$4&amp;$A$54&amp;$B56&amp;$A$1,Data_FP!$A$2:$A$1048576,0),MATCH($A$53,Data_FP!$2:$2,0))</f>
        <v>0</v>
      </c>
      <c r="E56" s="14">
        <f ca="1">IF('User Settings'!$N$7="On",($D56-$C56)/($D$4-$C$4),0)</f>
        <v>0</v>
      </c>
      <c r="F56" s="14">
        <f t="shared" ref="F56:F60" ca="1" si="216">MAX(0,MIN(1,($D56+$E56*(F$4-$D$4))))</f>
        <v>0</v>
      </c>
      <c r="G56" s="14"/>
      <c r="H56" s="14">
        <f t="shared" ref="H56:H60" ca="1" si="217">MAX(0,MIN(1,($D56+$E56*(H$4-$D$4))*$H$1))</f>
        <v>0</v>
      </c>
      <c r="I56" s="14">
        <f ca="1">($H56-$F56)/($H$4-$F$4)</f>
        <v>0</v>
      </c>
      <c r="J56" s="14">
        <f t="shared" ref="J56:J60" ca="1" si="218">K56-E56</f>
        <v>0</v>
      </c>
      <c r="K56" s="14">
        <f t="shared" ref="K56:K60" ca="1" si="219">MAX(0,MIN(1,D56+(K$4-D$4)*E56))</f>
        <v>0</v>
      </c>
      <c r="L56" s="15">
        <f t="shared" ref="L56:AD56" ca="1" si="220">MAX(0,MIN(1,K56+$I56))</f>
        <v>0</v>
      </c>
      <c r="M56" s="15">
        <f t="shared" ca="1" si="220"/>
        <v>0</v>
      </c>
      <c r="N56" s="15">
        <f t="shared" ca="1" si="220"/>
        <v>0</v>
      </c>
      <c r="O56" s="15">
        <f t="shared" ca="1" si="220"/>
        <v>0</v>
      </c>
      <c r="P56" s="15">
        <f t="shared" ca="1" si="220"/>
        <v>0</v>
      </c>
      <c r="Q56" s="15">
        <f t="shared" ca="1" si="220"/>
        <v>0</v>
      </c>
      <c r="R56" s="15">
        <f t="shared" ca="1" si="220"/>
        <v>0</v>
      </c>
      <c r="S56" s="15">
        <f t="shared" ca="1" si="220"/>
        <v>0</v>
      </c>
      <c r="T56" s="15">
        <f t="shared" ca="1" si="220"/>
        <v>0</v>
      </c>
      <c r="U56" s="15">
        <f t="shared" ca="1" si="220"/>
        <v>0</v>
      </c>
      <c r="V56" s="15">
        <f t="shared" ca="1" si="220"/>
        <v>0</v>
      </c>
      <c r="W56" s="15">
        <f t="shared" ca="1" si="220"/>
        <v>0</v>
      </c>
      <c r="X56" s="15">
        <f t="shared" ca="1" si="220"/>
        <v>0</v>
      </c>
      <c r="Y56" s="15">
        <f t="shared" ca="1" si="220"/>
        <v>0</v>
      </c>
      <c r="Z56" s="15">
        <f t="shared" ca="1" si="220"/>
        <v>0</v>
      </c>
      <c r="AA56" s="15">
        <f t="shared" ca="1" si="220"/>
        <v>0</v>
      </c>
      <c r="AB56" s="15">
        <f t="shared" ca="1" si="220"/>
        <v>0</v>
      </c>
      <c r="AC56" s="15">
        <f t="shared" ca="1" si="220"/>
        <v>0</v>
      </c>
      <c r="AD56" s="15">
        <f t="shared" ca="1" si="220"/>
        <v>0</v>
      </c>
      <c r="AG56" s="1" t="s">
        <v>54</v>
      </c>
      <c r="AH56" s="37">
        <f t="shared" ref="AH56:AI60" ca="1" si="221">J56*AH$61</f>
        <v>0</v>
      </c>
      <c r="AI56" s="37">
        <f t="shared" ca="1" si="221"/>
        <v>0</v>
      </c>
      <c r="AJ56" s="37">
        <f t="shared" ref="AJ56:AJ60" ca="1" si="222">L56*AJ$61</f>
        <v>0</v>
      </c>
      <c r="AK56" s="37">
        <f t="shared" ref="AK56:AT60" ca="1" si="223">M56*AK$61</f>
        <v>0</v>
      </c>
      <c r="AL56" s="37">
        <f t="shared" ca="1" si="223"/>
        <v>0</v>
      </c>
      <c r="AM56" s="37">
        <f t="shared" ca="1" si="223"/>
        <v>0</v>
      </c>
      <c r="AN56" s="37">
        <f t="shared" ca="1" si="223"/>
        <v>0</v>
      </c>
      <c r="AO56" s="37">
        <f t="shared" ca="1" si="223"/>
        <v>0</v>
      </c>
      <c r="AP56" s="37">
        <f t="shared" ca="1" si="223"/>
        <v>0</v>
      </c>
      <c r="AQ56" s="37">
        <f t="shared" ca="1" si="223"/>
        <v>0</v>
      </c>
      <c r="AR56" s="37">
        <f t="shared" ca="1" si="223"/>
        <v>0</v>
      </c>
      <c r="AS56" s="37">
        <f t="shared" ca="1" si="223"/>
        <v>0</v>
      </c>
      <c r="AT56" s="37">
        <f t="shared" ca="1" si="223"/>
        <v>0</v>
      </c>
      <c r="AU56" s="37">
        <f t="shared" ref="AU56:BB60" ca="1" si="224">W56*AU$61</f>
        <v>0</v>
      </c>
      <c r="AV56" s="37">
        <f t="shared" ca="1" si="224"/>
        <v>0</v>
      </c>
      <c r="AW56" s="37">
        <f t="shared" ca="1" si="224"/>
        <v>0</v>
      </c>
      <c r="AX56" s="37">
        <f t="shared" ca="1" si="224"/>
        <v>0</v>
      </c>
      <c r="AY56" s="37">
        <f t="shared" ca="1" si="224"/>
        <v>0</v>
      </c>
      <c r="AZ56" s="37" t="e">
        <f t="shared" ca="1" si="224"/>
        <v>#N/A</v>
      </c>
      <c r="BA56" s="37" t="e">
        <f t="shared" ca="1" si="224"/>
        <v>#N/A</v>
      </c>
      <c r="BB56" s="37" t="e">
        <f t="shared" ca="1" si="224"/>
        <v>#N/A</v>
      </c>
    </row>
    <row r="57" spans="1:54" x14ac:dyDescent="0.25">
      <c r="B57" s="1" t="s">
        <v>170</v>
      </c>
      <c r="C57" s="14">
        <f ca="1">INDEX(Data_FP!$2:$1048576,MATCH(C$4&amp;$A$54&amp;$B57&amp;$A$1,Data_FP!$A$2:$A$1048576,0),MATCH($A$53,Data_FP!$2:$2,0))</f>
        <v>0</v>
      </c>
      <c r="D57" s="14">
        <f ca="1">INDEX(Data_FP!$2:$1048576,MATCH(D$4&amp;$A$54&amp;$B57&amp;$A$1,Data_FP!$A$2:$A$1048576,0),MATCH($A$53,Data_FP!$2:$2,0))</f>
        <v>0</v>
      </c>
      <c r="E57" s="14">
        <f ca="1">IF('User Settings'!$N$7="On",($D57-$C57)/($D$4-$C$4),0)</f>
        <v>0</v>
      </c>
      <c r="F57" s="14">
        <f t="shared" ca="1" si="216"/>
        <v>0</v>
      </c>
      <c r="G57" s="14"/>
      <c r="H57" s="14">
        <f t="shared" ca="1" si="217"/>
        <v>0</v>
      </c>
      <c r="I57" s="14">
        <f t="shared" ref="I57:I60" ca="1" si="225">($H57-$F57)/($H$4-$F$4)</f>
        <v>0</v>
      </c>
      <c r="J57" s="14">
        <f t="shared" ca="1" si="218"/>
        <v>0</v>
      </c>
      <c r="K57" s="14">
        <f t="shared" ca="1" si="219"/>
        <v>0</v>
      </c>
      <c r="L57" s="15">
        <f t="shared" ref="L57:AD57" ca="1" si="226">MAX(0,MIN(1,K57+$I57))</f>
        <v>0</v>
      </c>
      <c r="M57" s="15">
        <f t="shared" ca="1" si="226"/>
        <v>0</v>
      </c>
      <c r="N57" s="15">
        <f t="shared" ca="1" si="226"/>
        <v>0</v>
      </c>
      <c r="O57" s="15">
        <f t="shared" ca="1" si="226"/>
        <v>0</v>
      </c>
      <c r="P57" s="15">
        <f t="shared" ca="1" si="226"/>
        <v>0</v>
      </c>
      <c r="Q57" s="15">
        <f t="shared" ca="1" si="226"/>
        <v>0</v>
      </c>
      <c r="R57" s="15">
        <f t="shared" ca="1" si="226"/>
        <v>0</v>
      </c>
      <c r="S57" s="15">
        <f t="shared" ca="1" si="226"/>
        <v>0</v>
      </c>
      <c r="T57" s="15">
        <f t="shared" ca="1" si="226"/>
        <v>0</v>
      </c>
      <c r="U57" s="15">
        <f t="shared" ca="1" si="226"/>
        <v>0</v>
      </c>
      <c r="V57" s="15">
        <f t="shared" ca="1" si="226"/>
        <v>0</v>
      </c>
      <c r="W57" s="15">
        <f t="shared" ca="1" si="226"/>
        <v>0</v>
      </c>
      <c r="X57" s="15">
        <f t="shared" ca="1" si="226"/>
        <v>0</v>
      </c>
      <c r="Y57" s="15">
        <f t="shared" ca="1" si="226"/>
        <v>0</v>
      </c>
      <c r="Z57" s="15">
        <f t="shared" ca="1" si="226"/>
        <v>0</v>
      </c>
      <c r="AA57" s="15">
        <f t="shared" ca="1" si="226"/>
        <v>0</v>
      </c>
      <c r="AB57" s="15">
        <f t="shared" ca="1" si="226"/>
        <v>0</v>
      </c>
      <c r="AC57" s="15">
        <f t="shared" ca="1" si="226"/>
        <v>0</v>
      </c>
      <c r="AD57" s="15">
        <f t="shared" ca="1" si="226"/>
        <v>0</v>
      </c>
      <c r="AG57" s="1" t="s">
        <v>170</v>
      </c>
      <c r="AH57" s="37">
        <f t="shared" ca="1" si="221"/>
        <v>0</v>
      </c>
      <c r="AI57" s="37">
        <f t="shared" ca="1" si="221"/>
        <v>0</v>
      </c>
      <c r="AJ57" s="37">
        <f t="shared" ca="1" si="222"/>
        <v>0</v>
      </c>
      <c r="AK57" s="37">
        <f t="shared" ca="1" si="223"/>
        <v>0</v>
      </c>
      <c r="AL57" s="37">
        <f t="shared" ca="1" si="223"/>
        <v>0</v>
      </c>
      <c r="AM57" s="37">
        <f t="shared" ca="1" si="223"/>
        <v>0</v>
      </c>
      <c r="AN57" s="37">
        <f t="shared" ca="1" si="223"/>
        <v>0</v>
      </c>
      <c r="AO57" s="37">
        <f t="shared" ca="1" si="223"/>
        <v>0</v>
      </c>
      <c r="AP57" s="37">
        <f t="shared" ca="1" si="223"/>
        <v>0</v>
      </c>
      <c r="AQ57" s="37">
        <f t="shared" ca="1" si="223"/>
        <v>0</v>
      </c>
      <c r="AR57" s="37">
        <f t="shared" ca="1" si="223"/>
        <v>0</v>
      </c>
      <c r="AS57" s="37">
        <f t="shared" ca="1" si="223"/>
        <v>0</v>
      </c>
      <c r="AT57" s="37">
        <f t="shared" ca="1" si="223"/>
        <v>0</v>
      </c>
      <c r="AU57" s="37">
        <f t="shared" ca="1" si="224"/>
        <v>0</v>
      </c>
      <c r="AV57" s="37">
        <f t="shared" ca="1" si="224"/>
        <v>0</v>
      </c>
      <c r="AW57" s="37">
        <f t="shared" ca="1" si="224"/>
        <v>0</v>
      </c>
      <c r="AX57" s="37">
        <f t="shared" ca="1" si="224"/>
        <v>0</v>
      </c>
      <c r="AY57" s="37">
        <f t="shared" ca="1" si="224"/>
        <v>0</v>
      </c>
      <c r="AZ57" s="37" t="e">
        <f t="shared" ca="1" si="224"/>
        <v>#N/A</v>
      </c>
      <c r="BA57" s="37" t="e">
        <f t="shared" ca="1" si="224"/>
        <v>#N/A</v>
      </c>
      <c r="BB57" s="37" t="e">
        <f t="shared" ca="1" si="224"/>
        <v>#N/A</v>
      </c>
    </row>
    <row r="58" spans="1:54" x14ac:dyDescent="0.25">
      <c r="B58" s="1" t="s">
        <v>59</v>
      </c>
      <c r="C58" s="14">
        <f ca="1">INDEX(Data_FP!$2:$1048576,MATCH(C$4&amp;$A$54&amp;$B58&amp;$A$1,Data_FP!$A$2:$A$1048576,0),MATCH($A$53,Data_FP!$2:$2,0))</f>
        <v>3.8535000000000002E-3</v>
      </c>
      <c r="D58" s="14">
        <f ca="1">INDEX(Data_FP!$2:$1048576,MATCH(D$4&amp;$A$54&amp;$B58&amp;$A$1,Data_FP!$A$2:$A$1048576,0),MATCH($A$53,Data_FP!$2:$2,0))</f>
        <v>4.3550999999999998E-3</v>
      </c>
      <c r="E58" s="14">
        <f ca="1">IF('User Settings'!$N$7="On",($D58-$C58)/($D$4-$C$4),0)</f>
        <v>1.0031999999999992E-4</v>
      </c>
      <c r="F58" s="14">
        <f t="shared" ca="1" si="216"/>
        <v>4.6560599999999992E-3</v>
      </c>
      <c r="G58" s="14"/>
      <c r="H58" s="14">
        <f t="shared" ca="1" si="217"/>
        <v>4.9570199999999995E-3</v>
      </c>
      <c r="I58" s="14">
        <f t="shared" ca="1" si="225"/>
        <v>1.003200000000001E-4</v>
      </c>
      <c r="J58" s="14">
        <f t="shared" ca="1" si="218"/>
        <v>4.5557399999999991E-3</v>
      </c>
      <c r="K58" s="14">
        <f t="shared" ca="1" si="219"/>
        <v>4.6560599999999992E-3</v>
      </c>
      <c r="L58" s="15">
        <f t="shared" ref="L58:AD58" ca="1" si="227">MAX(0,MIN(1,K58+$I58))</f>
        <v>4.7563799999999993E-3</v>
      </c>
      <c r="M58" s="15">
        <f t="shared" ca="1" si="227"/>
        <v>4.8566999999999994E-3</v>
      </c>
      <c r="N58" s="15">
        <f t="shared" ca="1" si="227"/>
        <v>4.9570199999999995E-3</v>
      </c>
      <c r="O58" s="15">
        <f t="shared" ca="1" si="227"/>
        <v>5.0573399999999996E-3</v>
      </c>
      <c r="P58" s="15">
        <f t="shared" ca="1" si="227"/>
        <v>5.1576599999999997E-3</v>
      </c>
      <c r="Q58" s="15">
        <f t="shared" ca="1" si="227"/>
        <v>5.2579799999999998E-3</v>
      </c>
      <c r="R58" s="15">
        <f t="shared" ca="1" si="227"/>
        <v>5.3582999999999999E-3</v>
      </c>
      <c r="S58" s="15">
        <f t="shared" ca="1" si="227"/>
        <v>5.45862E-3</v>
      </c>
      <c r="T58" s="15">
        <f t="shared" ca="1" si="227"/>
        <v>5.5589400000000001E-3</v>
      </c>
      <c r="U58" s="15">
        <f t="shared" ca="1" si="227"/>
        <v>5.6592600000000002E-3</v>
      </c>
      <c r="V58" s="15">
        <f t="shared" ca="1" si="227"/>
        <v>5.7595800000000003E-3</v>
      </c>
      <c r="W58" s="15">
        <f t="shared" ca="1" si="227"/>
        <v>5.8599000000000004E-3</v>
      </c>
      <c r="X58" s="15">
        <f t="shared" ca="1" si="227"/>
        <v>5.9602200000000004E-3</v>
      </c>
      <c r="Y58" s="15">
        <f t="shared" ca="1" si="227"/>
        <v>6.0605400000000005E-3</v>
      </c>
      <c r="Z58" s="15">
        <f t="shared" ca="1" si="227"/>
        <v>6.1608600000000006E-3</v>
      </c>
      <c r="AA58" s="15">
        <f t="shared" ca="1" si="227"/>
        <v>6.2611800000000007E-3</v>
      </c>
      <c r="AB58" s="15">
        <f t="shared" ca="1" si="227"/>
        <v>6.3615000000000008E-3</v>
      </c>
      <c r="AC58" s="15">
        <f t="shared" ca="1" si="227"/>
        <v>6.4618200000000009E-3</v>
      </c>
      <c r="AD58" s="15">
        <f t="shared" ca="1" si="227"/>
        <v>6.562140000000001E-3</v>
      </c>
      <c r="AG58" s="1" t="s">
        <v>59</v>
      </c>
      <c r="AH58" s="37">
        <f t="shared" ca="1" si="221"/>
        <v>19376.582643122216</v>
      </c>
      <c r="AI58" s="37">
        <f t="shared" ca="1" si="221"/>
        <v>20564.808860690649</v>
      </c>
      <c r="AJ58" s="37">
        <f t="shared" ca="1" si="222"/>
        <v>21810.98414819083</v>
      </c>
      <c r="AK58" s="37">
        <f t="shared" ca="1" si="223"/>
        <v>23088.080518963812</v>
      </c>
      <c r="AL58" s="37">
        <f t="shared" ca="1" si="223"/>
        <v>24429.443590785741</v>
      </c>
      <c r="AM58" s="37">
        <f t="shared" ca="1" si="223"/>
        <v>25833.879895378839</v>
      </c>
      <c r="AN58" s="37">
        <f t="shared" ca="1" si="223"/>
        <v>27299.528419023143</v>
      </c>
      <c r="AO58" s="37">
        <f t="shared" ca="1" si="223"/>
        <v>28826.047197543976</v>
      </c>
      <c r="AP58" s="37">
        <f t="shared" ca="1" si="223"/>
        <v>30393.952251098312</v>
      </c>
      <c r="AQ58" s="37">
        <f t="shared" ca="1" si="223"/>
        <v>32027.166441700836</v>
      </c>
      <c r="AR58" s="37">
        <f t="shared" ca="1" si="223"/>
        <v>33727.634093556764</v>
      </c>
      <c r="AS58" s="37">
        <f t="shared" ca="1" si="223"/>
        <v>35498.847335748505</v>
      </c>
      <c r="AT58" s="37">
        <f t="shared" ca="1" si="223"/>
        <v>37343.269515060121</v>
      </c>
      <c r="AU58" s="37">
        <f t="shared" ca="1" si="224"/>
        <v>39239.54689288581</v>
      </c>
      <c r="AV58" s="37">
        <f t="shared" ca="1" si="224"/>
        <v>41213.896561947833</v>
      </c>
      <c r="AW58" s="37">
        <f t="shared" ca="1" si="224"/>
        <v>43265.574297193067</v>
      </c>
      <c r="AX58" s="37">
        <f t="shared" ca="1" si="224"/>
        <v>45393.319594202927</v>
      </c>
      <c r="AY58" s="37">
        <f t="shared" ca="1" si="224"/>
        <v>47596.663025441521</v>
      </c>
      <c r="AZ58" s="37" t="e">
        <f t="shared" ca="1" si="224"/>
        <v>#N/A</v>
      </c>
      <c r="BA58" s="37" t="e">
        <f t="shared" ca="1" si="224"/>
        <v>#N/A</v>
      </c>
      <c r="BB58" s="37" t="e">
        <f t="shared" ca="1" si="224"/>
        <v>#N/A</v>
      </c>
    </row>
    <row r="59" spans="1:54" x14ac:dyDescent="0.25">
      <c r="B59" s="1" t="s">
        <v>171</v>
      </c>
      <c r="C59" s="14">
        <f ca="1">INDEX(Data_FP!$2:$1048576,MATCH(C$4&amp;$A$54&amp;$B59&amp;$A$1,Data_FP!$A$2:$A$1048576,0),MATCH($A$53,Data_FP!$2:$2,0))</f>
        <v>0</v>
      </c>
      <c r="D59" s="14">
        <f ca="1">INDEX(Data_FP!$2:$1048576,MATCH(D$4&amp;$A$54&amp;$B59&amp;$A$1,Data_FP!$A$2:$A$1048576,0),MATCH($A$53,Data_FP!$2:$2,0))</f>
        <v>0</v>
      </c>
      <c r="E59" s="14">
        <f ca="1">IF('User Settings'!$N$7="On",($D59-$C59)/($D$4-$C$4),0)</f>
        <v>0</v>
      </c>
      <c r="F59" s="14">
        <f t="shared" ca="1" si="216"/>
        <v>0</v>
      </c>
      <c r="G59" s="14"/>
      <c r="H59" s="14">
        <f t="shared" ca="1" si="217"/>
        <v>0</v>
      </c>
      <c r="I59" s="14">
        <f t="shared" ca="1" si="225"/>
        <v>0</v>
      </c>
      <c r="J59" s="14">
        <f t="shared" ca="1" si="218"/>
        <v>0</v>
      </c>
      <c r="K59" s="14">
        <f t="shared" ca="1" si="219"/>
        <v>0</v>
      </c>
      <c r="L59" s="15">
        <f t="shared" ref="L59:AD59" ca="1" si="228">MAX(0,MIN(1,K59+$I59))</f>
        <v>0</v>
      </c>
      <c r="M59" s="15">
        <f t="shared" ca="1" si="228"/>
        <v>0</v>
      </c>
      <c r="N59" s="15">
        <f t="shared" ca="1" si="228"/>
        <v>0</v>
      </c>
      <c r="O59" s="15">
        <f t="shared" ca="1" si="228"/>
        <v>0</v>
      </c>
      <c r="P59" s="15">
        <f t="shared" ca="1" si="228"/>
        <v>0</v>
      </c>
      <c r="Q59" s="15">
        <f t="shared" ca="1" si="228"/>
        <v>0</v>
      </c>
      <c r="R59" s="15">
        <f t="shared" ca="1" si="228"/>
        <v>0</v>
      </c>
      <c r="S59" s="15">
        <f t="shared" ca="1" si="228"/>
        <v>0</v>
      </c>
      <c r="T59" s="15">
        <f t="shared" ca="1" si="228"/>
        <v>0</v>
      </c>
      <c r="U59" s="15">
        <f t="shared" ca="1" si="228"/>
        <v>0</v>
      </c>
      <c r="V59" s="15">
        <f t="shared" ca="1" si="228"/>
        <v>0</v>
      </c>
      <c r="W59" s="15">
        <f t="shared" ca="1" si="228"/>
        <v>0</v>
      </c>
      <c r="X59" s="15">
        <f t="shared" ca="1" si="228"/>
        <v>0</v>
      </c>
      <c r="Y59" s="15">
        <f t="shared" ca="1" si="228"/>
        <v>0</v>
      </c>
      <c r="Z59" s="15">
        <f t="shared" ca="1" si="228"/>
        <v>0</v>
      </c>
      <c r="AA59" s="15">
        <f t="shared" ca="1" si="228"/>
        <v>0</v>
      </c>
      <c r="AB59" s="15">
        <f t="shared" ca="1" si="228"/>
        <v>0</v>
      </c>
      <c r="AC59" s="15">
        <f t="shared" ca="1" si="228"/>
        <v>0</v>
      </c>
      <c r="AD59" s="15">
        <f t="shared" ca="1" si="228"/>
        <v>0</v>
      </c>
      <c r="AG59" s="1" t="s">
        <v>171</v>
      </c>
      <c r="AH59" s="37">
        <f t="shared" ca="1" si="221"/>
        <v>0</v>
      </c>
      <c r="AI59" s="37">
        <f t="shared" ca="1" si="221"/>
        <v>0</v>
      </c>
      <c r="AJ59" s="37">
        <f t="shared" ca="1" si="222"/>
        <v>0</v>
      </c>
      <c r="AK59" s="37">
        <f t="shared" ca="1" si="223"/>
        <v>0</v>
      </c>
      <c r="AL59" s="37">
        <f t="shared" ca="1" si="223"/>
        <v>0</v>
      </c>
      <c r="AM59" s="37">
        <f t="shared" ca="1" si="223"/>
        <v>0</v>
      </c>
      <c r="AN59" s="37">
        <f t="shared" ca="1" si="223"/>
        <v>0</v>
      </c>
      <c r="AO59" s="37">
        <f t="shared" ca="1" si="223"/>
        <v>0</v>
      </c>
      <c r="AP59" s="37">
        <f t="shared" ca="1" si="223"/>
        <v>0</v>
      </c>
      <c r="AQ59" s="37">
        <f t="shared" ca="1" si="223"/>
        <v>0</v>
      </c>
      <c r="AR59" s="37">
        <f t="shared" ca="1" si="223"/>
        <v>0</v>
      </c>
      <c r="AS59" s="37">
        <f t="shared" ca="1" si="223"/>
        <v>0</v>
      </c>
      <c r="AT59" s="37">
        <f t="shared" ca="1" si="223"/>
        <v>0</v>
      </c>
      <c r="AU59" s="37">
        <f t="shared" ca="1" si="224"/>
        <v>0</v>
      </c>
      <c r="AV59" s="37">
        <f t="shared" ca="1" si="224"/>
        <v>0</v>
      </c>
      <c r="AW59" s="37">
        <f t="shared" ca="1" si="224"/>
        <v>0</v>
      </c>
      <c r="AX59" s="37">
        <f t="shared" ca="1" si="224"/>
        <v>0</v>
      </c>
      <c r="AY59" s="37">
        <f t="shared" ca="1" si="224"/>
        <v>0</v>
      </c>
      <c r="AZ59" s="37" t="e">
        <f t="shared" ca="1" si="224"/>
        <v>#N/A</v>
      </c>
      <c r="BA59" s="37" t="e">
        <f t="shared" ca="1" si="224"/>
        <v>#N/A</v>
      </c>
      <c r="BB59" s="37" t="e">
        <f t="shared" ca="1" si="224"/>
        <v>#N/A</v>
      </c>
    </row>
    <row r="60" spans="1:54" x14ac:dyDescent="0.25">
      <c r="B60" s="1" t="s">
        <v>116</v>
      </c>
      <c r="C60" s="14">
        <f ca="1">INDEX(Data_FP!$2:$1048576,MATCH(C$4&amp;$A$54&amp;$B60&amp;$A$1,Data_FP!$A$2:$A$1048576,0),MATCH($A$53,Data_FP!$2:$2,0))</f>
        <v>0</v>
      </c>
      <c r="D60" s="14">
        <f ca="1">INDEX(Data_FP!$2:$1048576,MATCH(D$4&amp;$A$54&amp;$B60&amp;$A$1,Data_FP!$A$2:$A$1048576,0),MATCH($A$53,Data_FP!$2:$2,0))</f>
        <v>1.08E-4</v>
      </c>
      <c r="E60" s="14">
        <f ca="1">IF('User Settings'!$N$7="On",($D60-$C60)/($D$4-$C$4),0)</f>
        <v>2.16E-5</v>
      </c>
      <c r="F60" s="14">
        <f t="shared" ca="1" si="216"/>
        <v>1.728E-4</v>
      </c>
      <c r="G60" s="14"/>
      <c r="H60" s="14">
        <f t="shared" ca="1" si="217"/>
        <v>2.376E-4</v>
      </c>
      <c r="I60" s="14">
        <f t="shared" ca="1" si="225"/>
        <v>2.16E-5</v>
      </c>
      <c r="J60" s="14">
        <f t="shared" ca="1" si="218"/>
        <v>1.5119999999999999E-4</v>
      </c>
      <c r="K60" s="14">
        <f t="shared" ca="1" si="219"/>
        <v>1.728E-4</v>
      </c>
      <c r="L60" s="15">
        <f t="shared" ref="L60:AD60" ca="1" si="229">MAX(0,MIN(1,K60+$I60))</f>
        <v>1.9440000000000001E-4</v>
      </c>
      <c r="M60" s="15">
        <f t="shared" ca="1" si="229"/>
        <v>2.1600000000000002E-4</v>
      </c>
      <c r="N60" s="15">
        <f t="shared" ca="1" si="229"/>
        <v>2.3760000000000003E-4</v>
      </c>
      <c r="O60" s="15">
        <f t="shared" ca="1" si="229"/>
        <v>2.5920000000000001E-4</v>
      </c>
      <c r="P60" s="15">
        <f t="shared" ca="1" si="229"/>
        <v>2.8079999999999999E-4</v>
      </c>
      <c r="Q60" s="15">
        <f t="shared" ca="1" si="229"/>
        <v>3.0239999999999998E-4</v>
      </c>
      <c r="R60" s="15">
        <f t="shared" ca="1" si="229"/>
        <v>3.2399999999999996E-4</v>
      </c>
      <c r="S60" s="15">
        <f t="shared" ca="1" si="229"/>
        <v>3.4559999999999994E-4</v>
      </c>
      <c r="T60" s="15">
        <f t="shared" ca="1" si="229"/>
        <v>3.6719999999999993E-4</v>
      </c>
      <c r="U60" s="15">
        <f t="shared" ca="1" si="229"/>
        <v>3.8879999999999991E-4</v>
      </c>
      <c r="V60" s="15">
        <f t="shared" ca="1" si="229"/>
        <v>4.1039999999999989E-4</v>
      </c>
      <c r="W60" s="15">
        <f t="shared" ca="1" si="229"/>
        <v>4.3199999999999988E-4</v>
      </c>
      <c r="X60" s="15">
        <f t="shared" ca="1" si="229"/>
        <v>4.5359999999999986E-4</v>
      </c>
      <c r="Y60" s="15">
        <f t="shared" ca="1" si="229"/>
        <v>4.7519999999999984E-4</v>
      </c>
      <c r="Z60" s="15">
        <f t="shared" ca="1" si="229"/>
        <v>4.9679999999999982E-4</v>
      </c>
      <c r="AA60" s="15">
        <f t="shared" ca="1" si="229"/>
        <v>5.1839999999999981E-4</v>
      </c>
      <c r="AB60" s="15">
        <f t="shared" ca="1" si="229"/>
        <v>5.3999999999999979E-4</v>
      </c>
      <c r="AC60" s="15">
        <f t="shared" ca="1" si="229"/>
        <v>5.6159999999999977E-4</v>
      </c>
      <c r="AD60" s="15">
        <f t="shared" ca="1" si="229"/>
        <v>5.8319999999999976E-4</v>
      </c>
      <c r="AG60" s="1" t="s">
        <v>116</v>
      </c>
      <c r="AH60" s="37">
        <f t="shared" ca="1" si="221"/>
        <v>643.0874667211209</v>
      </c>
      <c r="AI60" s="37">
        <f t="shared" ca="1" si="221"/>
        <v>763.22018426037141</v>
      </c>
      <c r="AJ60" s="37">
        <f t="shared" ca="1" si="222"/>
        <v>891.44587236686266</v>
      </c>
      <c r="AK60" s="37">
        <f t="shared" ca="1" si="223"/>
        <v>1026.8341450153775</v>
      </c>
      <c r="AL60" s="37">
        <f t="shared" ca="1" si="223"/>
        <v>1170.9526685731937</v>
      </c>
      <c r="AM60" s="37">
        <f t="shared" ca="1" si="223"/>
        <v>1324.0441949487667</v>
      </c>
      <c r="AN60" s="37">
        <f t="shared" ca="1" si="223"/>
        <v>1486.2762531965463</v>
      </c>
      <c r="AO60" s="37">
        <f t="shared" ca="1" si="223"/>
        <v>1657.8603708148944</v>
      </c>
      <c r="AP60" s="37">
        <f t="shared" ca="1" si="223"/>
        <v>1837.8292610260442</v>
      </c>
      <c r="AQ60" s="37">
        <f t="shared" ca="1" si="223"/>
        <v>2027.726554010319</v>
      </c>
      <c r="AR60" s="37">
        <f t="shared" ca="1" si="223"/>
        <v>2227.9044636484728</v>
      </c>
      <c r="AS60" s="37">
        <f t="shared" ca="1" si="223"/>
        <v>2438.8262500996625</v>
      </c>
      <c r="AT60" s="37">
        <f t="shared" ca="1" si="223"/>
        <v>2660.9019770505261</v>
      </c>
      <c r="AU60" s="37">
        <f t="shared" ca="1" si="224"/>
        <v>2892.7941189656249</v>
      </c>
      <c r="AV60" s="37">
        <f t="shared" ca="1" si="224"/>
        <v>3136.5660127477731</v>
      </c>
      <c r="AW60" s="37">
        <f t="shared" ca="1" si="224"/>
        <v>3392.4041266992936</v>
      </c>
      <c r="AX60" s="37">
        <f t="shared" ca="1" si="224"/>
        <v>3660.4307149326564</v>
      </c>
      <c r="AY60" s="37">
        <f t="shared" ca="1" si="224"/>
        <v>3940.8083000950096</v>
      </c>
      <c r="AZ60" s="37" t="e">
        <f t="shared" ca="1" si="224"/>
        <v>#N/A</v>
      </c>
      <c r="BA60" s="37" t="e">
        <f t="shared" ca="1" si="224"/>
        <v>#N/A</v>
      </c>
      <c r="BB60" s="37" t="e">
        <f t="shared" ca="1" si="224"/>
        <v>#N/A</v>
      </c>
    </row>
    <row r="61" spans="1:54" x14ac:dyDescent="0.25">
      <c r="C61" s="5">
        <f ca="1">SUM(C55:C60)</f>
        <v>9.6165999999999995E-3</v>
      </c>
      <c r="D61" s="5">
        <f ca="1">SUM(D55:D60)</f>
        <v>6.4652999999999993E-3</v>
      </c>
      <c r="F61" s="132">
        <f ca="1">SUM(F55:F60)</f>
        <v>4.8288599999999991E-3</v>
      </c>
      <c r="G61" s="132"/>
      <c r="H61" s="132">
        <f ca="1">SUM(H55:H60)</f>
        <v>5.1946199999999996E-3</v>
      </c>
      <c r="I61" s="132"/>
      <c r="J61" s="132">
        <f ca="1">SUM(J55:J60)</f>
        <v>5.4591199999999987E-3</v>
      </c>
      <c r="K61" s="132">
        <f ca="1">SUM(K55:K60)</f>
        <v>4.8288599999999991E-3</v>
      </c>
      <c r="L61" s="5">
        <f t="shared" ref="L61:AD61" ca="1" si="230">SUM(L55:L60)</f>
        <v>4.9507799999999992E-3</v>
      </c>
      <c r="M61" s="5">
        <f t="shared" ca="1" si="230"/>
        <v>5.0726999999999994E-3</v>
      </c>
      <c r="N61" s="5">
        <f t="shared" ca="1" si="230"/>
        <v>5.1946199999999996E-3</v>
      </c>
      <c r="O61" s="5">
        <f t="shared" ca="1" si="230"/>
        <v>5.3165399999999998E-3</v>
      </c>
      <c r="P61" s="5">
        <f t="shared" ca="1" si="230"/>
        <v>5.43846E-3</v>
      </c>
      <c r="Q61" s="5">
        <f t="shared" ca="1" si="230"/>
        <v>5.5603800000000002E-3</v>
      </c>
      <c r="R61" s="5">
        <f t="shared" ca="1" si="230"/>
        <v>5.6822999999999995E-3</v>
      </c>
      <c r="S61" s="5">
        <f t="shared" ca="1" si="230"/>
        <v>5.8042199999999997E-3</v>
      </c>
      <c r="T61" s="5">
        <f t="shared" ca="1" si="230"/>
        <v>5.9261399999999999E-3</v>
      </c>
      <c r="U61" s="5">
        <f t="shared" ca="1" si="230"/>
        <v>6.0480600000000001E-3</v>
      </c>
      <c r="V61" s="5">
        <f t="shared" ca="1" si="230"/>
        <v>6.1699800000000003E-3</v>
      </c>
      <c r="W61" s="5">
        <f t="shared" ca="1" si="230"/>
        <v>6.2919000000000004E-3</v>
      </c>
      <c r="X61" s="5">
        <f t="shared" ca="1" si="230"/>
        <v>6.4138200000000006E-3</v>
      </c>
      <c r="Y61" s="5">
        <f t="shared" ca="1" si="230"/>
        <v>6.53574E-3</v>
      </c>
      <c r="Z61" s="5">
        <f t="shared" ca="1" si="230"/>
        <v>6.6576600000000001E-3</v>
      </c>
      <c r="AA61" s="5">
        <f t="shared" ca="1" si="230"/>
        <v>6.7795800000000003E-3</v>
      </c>
      <c r="AB61" s="5">
        <f t="shared" ca="1" si="230"/>
        <v>6.9015000000000005E-3</v>
      </c>
      <c r="AC61" s="5">
        <f t="shared" ca="1" si="230"/>
        <v>7.0234200000000007E-3</v>
      </c>
      <c r="AD61" s="5">
        <f t="shared" ca="1" si="230"/>
        <v>7.1453400000000009E-3</v>
      </c>
      <c r="AG61" s="38" t="s">
        <v>172</v>
      </c>
      <c r="AH61" s="141">
        <f ca="1">INDEX(Data_WRA!$4:$1048576,MATCH(AH$4,Data_WRA!$A$4:$A$1048576,0),MATCH($A$54&amp;$A$53,Data_WRA!$4:$4,0))</f>
        <v>4253223.9862508001</v>
      </c>
      <c r="AI61" s="141">
        <f ca="1">INDEX(Data_WRA!$4:$1048576,MATCH(AI$4,Data_WRA!$A$4:$A$1048576,0),MATCH($A$54&amp;$A$53,Data_WRA!$4:$4,0))</f>
        <v>4416783.4737290014</v>
      </c>
      <c r="AJ61" s="141">
        <f ca="1">INDEX(Data_WRA!$4:$1048576,MATCH(AJ$4,Data_WRA!$A$4:$A$1048576,0),MATCH($A$54&amp;$A$53,Data_WRA!$4:$4,0))</f>
        <v>4585626.9154674001</v>
      </c>
      <c r="AK61" s="141">
        <f ca="1">INDEX(Data_WRA!$4:$1048576,MATCH(AK$4,Data_WRA!$A$4:$A$1048576,0),MATCH($A$54&amp;$A$53,Data_WRA!$4:$4,0))</f>
        <v>4753861.7824785998</v>
      </c>
      <c r="AL61" s="141">
        <f ca="1">INDEX(Data_WRA!$4:$1048576,MATCH(AL$4,Data_WRA!$A$4:$A$1048576,0),MATCH($A$54&amp;$A$53,Data_WRA!$4:$4,0))</f>
        <v>4928251.9721094007</v>
      </c>
      <c r="AM61" s="141">
        <f ca="1">INDEX(Data_WRA!$4:$1048576,MATCH(AM$4,Data_WRA!$A$4:$A$1048576,0),MATCH($A$54&amp;$A$53,Data_WRA!$4:$4,0))</f>
        <v>5108195.1965616001</v>
      </c>
      <c r="AN61" s="141">
        <f ca="1">INDEX(Data_WRA!$4:$1048576,MATCH(AN$4,Data_WRA!$A$4:$A$1048576,0),MATCH($A$54&amp;$A$53,Data_WRA!$4:$4,0))</f>
        <v>5293006.5997028006</v>
      </c>
      <c r="AO61" s="141">
        <f ca="1">INDEX(Data_WRA!$4:$1048576,MATCH(AO$4,Data_WRA!$A$4:$A$1048576,0),MATCH($A$54&amp;$A$53,Data_WRA!$4:$4,0))</f>
        <v>5482342.4960810002</v>
      </c>
      <c r="AP61" s="141">
        <f ca="1">INDEX(Data_WRA!$4:$1048576,MATCH(AP$4,Data_WRA!$A$4:$A$1048576,0),MATCH($A$54&amp;$A$53,Data_WRA!$4:$4,0))</f>
        <v>5672312.5340310009</v>
      </c>
      <c r="AQ61" s="141">
        <f ca="1">INDEX(Data_WRA!$4:$1048576,MATCH(AQ$4,Data_WRA!$A$4:$A$1048576,0),MATCH($A$54&amp;$A$53,Data_WRA!$4:$4,0))</f>
        <v>5867264.3345205998</v>
      </c>
      <c r="AR61" s="141">
        <f ca="1">INDEX(Data_WRA!$4:$1048576,MATCH(AR$4,Data_WRA!$A$4:$A$1048576,0),MATCH($A$54&amp;$A$53,Data_WRA!$4:$4,0))</f>
        <v>6067277.9511123998</v>
      </c>
      <c r="AS61" s="141">
        <f ca="1">INDEX(Data_WRA!$4:$1048576,MATCH(AS$4,Data_WRA!$A$4:$A$1048576,0),MATCH($A$54&amp;$A$53,Data_WRA!$4:$4,0))</f>
        <v>6272701.2605444007</v>
      </c>
      <c r="AT61" s="141">
        <f ca="1">INDEX(Data_WRA!$4:$1048576,MATCH(AT$4,Data_WRA!$A$4:$A$1048576,0),MATCH($A$54&amp;$A$53,Data_WRA!$4:$4,0))</f>
        <v>6483679.2813122002</v>
      </c>
      <c r="AU61" s="141">
        <f ca="1">INDEX(Data_WRA!$4:$1048576,MATCH(AU$4,Data_WRA!$A$4:$A$1048576,0),MATCH($A$54&amp;$A$53,Data_WRA!$4:$4,0))</f>
        <v>6696282.6827908</v>
      </c>
      <c r="AV61" s="141">
        <f ca="1">INDEX(Data_WRA!$4:$1048576,MATCH(AV$4,Data_WRA!$A$4:$A$1048576,0),MATCH($A$54&amp;$A$53,Data_WRA!$4:$4,0))</f>
        <v>6914828.0704316003</v>
      </c>
      <c r="AW61" s="141">
        <f ca="1">INDEX(Data_WRA!$4:$1048576,MATCH(AW$4,Data_WRA!$A$4:$A$1048576,0),MATCH($A$54&amp;$A$53,Data_WRA!$4:$4,0))</f>
        <v>7138897.5730204014</v>
      </c>
      <c r="AX61" s="141">
        <f ca="1">INDEX(Data_WRA!$4:$1048576,MATCH(AX$4,Data_WRA!$A$4:$A$1048576,0),MATCH($A$54&amp;$A$53,Data_WRA!$4:$4,0))</f>
        <v>7368016.7369820001</v>
      </c>
      <c r="AY61" s="141">
        <f ca="1">INDEX(Data_WRA!$4:$1048576,MATCH(AY$4,Data_WRA!$A$4:$A$1048576,0),MATCH($A$54&amp;$A$53,Data_WRA!$4:$4,0))</f>
        <v>7601867.8628375987</v>
      </c>
      <c r="AZ61" s="141" t="e">
        <f>INDEX(Data_WRA!$4:$1048576,MATCH(AZ$4,Data_WRA!$A$4:$A$1048576,0),MATCH($A$54&amp;$A$53,Data_WRA!$4:$4,0))</f>
        <v>#N/A</v>
      </c>
      <c r="BA61" s="141" t="e">
        <f>INDEX(Data_WRA!$4:$1048576,MATCH(BA$4,Data_WRA!$A$4:$A$1048576,0),MATCH($A$54&amp;$A$53,Data_WRA!$4:$4,0))</f>
        <v>#N/A</v>
      </c>
      <c r="BB61" s="141" t="e">
        <f>INDEX(Data_WRA!$4:$1048576,MATCH(BB$4,Data_WRA!$A$4:$A$1048576,0),MATCH($A$54&amp;$A$53,Data_WRA!$4:$4,0))</f>
        <v>#N/A</v>
      </c>
    </row>
    <row r="62" spans="1:54" x14ac:dyDescent="0.25">
      <c r="AF62"/>
      <c r="AG62" s="6"/>
      <c r="AH62" s="6"/>
      <c r="AJ62" s="40">
        <f ca="1">AI21+AI41+AI61</f>
        <v>7723109.917413502</v>
      </c>
      <c r="AK62" s="40"/>
      <c r="AL62" s="40"/>
      <c r="AM62" s="40"/>
      <c r="AN62" s="40"/>
      <c r="AO62" s="40"/>
      <c r="AP62" s="40"/>
      <c r="AQ62" s="40"/>
      <c r="AR62" s="40"/>
      <c r="AS62" s="40"/>
      <c r="AT62" s="40"/>
      <c r="AU62" s="40"/>
      <c r="AV62" s="40"/>
      <c r="AW62" s="40"/>
      <c r="AX62" s="40"/>
      <c r="AY62" s="40"/>
      <c r="AZ62" s="40"/>
      <c r="BA62" s="40"/>
      <c r="BB62" s="40"/>
    </row>
    <row r="63" spans="1:54" s="11" customFormat="1" ht="5.25" customHeight="1" x14ac:dyDescent="0.25">
      <c r="A63" s="43"/>
      <c r="AF63" s="43"/>
      <c r="AI63" s="44"/>
      <c r="AJ63" s="44"/>
      <c r="AK63" s="44"/>
      <c r="AL63" s="44"/>
      <c r="AM63" s="44"/>
      <c r="AN63" s="44"/>
      <c r="AO63" s="44"/>
      <c r="AP63" s="44"/>
      <c r="AQ63" s="44"/>
      <c r="AR63" s="44"/>
      <c r="AS63" s="44"/>
      <c r="AT63" s="44"/>
      <c r="AU63" s="44"/>
      <c r="AV63" s="44"/>
      <c r="AW63" s="44"/>
      <c r="AX63" s="44"/>
      <c r="AY63" s="44"/>
      <c r="AZ63" s="44"/>
      <c r="BA63" s="44"/>
      <c r="BB63" s="44"/>
    </row>
    <row r="64" spans="1:54" x14ac:dyDescent="0.25">
      <c r="A64"/>
      <c r="AF64" t="s">
        <v>174</v>
      </c>
      <c r="AI64" s="40"/>
      <c r="AJ64" s="40"/>
      <c r="AK64" s="40"/>
      <c r="AL64" s="40"/>
      <c r="AM64" s="40"/>
      <c r="AN64" s="40"/>
      <c r="AO64" s="40"/>
      <c r="AP64" s="40"/>
      <c r="AQ64" s="40"/>
      <c r="AR64" s="40"/>
      <c r="AS64" s="40"/>
      <c r="AT64" s="40"/>
      <c r="AU64" s="40"/>
      <c r="AV64" s="40"/>
      <c r="AW64" s="40"/>
      <c r="AX64" s="40"/>
      <c r="AY64" s="40"/>
      <c r="AZ64" s="40"/>
      <c r="BA64" s="40"/>
      <c r="BB64" s="40"/>
    </row>
    <row r="65" spans="1:54" x14ac:dyDescent="0.25">
      <c r="A65"/>
      <c r="AF65" s="129" t="s">
        <v>175</v>
      </c>
      <c r="AI65" s="40"/>
      <c r="AJ65" s="40"/>
      <c r="AK65" s="40"/>
      <c r="AL65" s="40"/>
      <c r="AM65" s="40"/>
      <c r="AN65" s="40"/>
      <c r="AO65" s="40"/>
      <c r="AP65" s="40"/>
      <c r="AQ65" s="40"/>
      <c r="AR65" s="40"/>
      <c r="AS65" s="40"/>
      <c r="AT65" s="40"/>
      <c r="AU65" s="40"/>
      <c r="AV65" s="40"/>
      <c r="AW65" s="40"/>
      <c r="AX65" s="40"/>
      <c r="AY65" s="40"/>
      <c r="AZ65" s="40"/>
      <c r="BA65" s="40"/>
      <c r="BB65" s="40"/>
    </row>
    <row r="66" spans="1:54" x14ac:dyDescent="0.25">
      <c r="A66"/>
      <c r="AF66"/>
      <c r="AH66" s="36">
        <f>AI66-1</f>
        <v>2018</v>
      </c>
      <c r="AI66" s="36">
        <f>Yr_Start</f>
        <v>2019</v>
      </c>
      <c r="AJ66" s="36">
        <f>AI66+1</f>
        <v>2020</v>
      </c>
      <c r="AK66" s="36">
        <f t="shared" ref="AK66" si="231">AJ66+1</f>
        <v>2021</v>
      </c>
      <c r="AL66" s="36">
        <f t="shared" ref="AL66" si="232">AK66+1</f>
        <v>2022</v>
      </c>
      <c r="AM66" s="36">
        <f t="shared" ref="AM66" si="233">AL66+1</f>
        <v>2023</v>
      </c>
      <c r="AN66" s="36">
        <f t="shared" ref="AN66" si="234">AM66+1</f>
        <v>2024</v>
      </c>
      <c r="AO66" s="36">
        <f t="shared" ref="AO66" si="235">AN66+1</f>
        <v>2025</v>
      </c>
      <c r="AP66" s="36">
        <f t="shared" ref="AP66" si="236">AO66+1</f>
        <v>2026</v>
      </c>
      <c r="AQ66" s="36">
        <f t="shared" ref="AQ66" si="237">AP66+1</f>
        <v>2027</v>
      </c>
      <c r="AR66" s="36">
        <f t="shared" ref="AR66" si="238">AQ66+1</f>
        <v>2028</v>
      </c>
      <c r="AS66" s="36">
        <f t="shared" ref="AS66" si="239">AR66+1</f>
        <v>2029</v>
      </c>
      <c r="AT66" s="36">
        <f t="shared" ref="AT66" si="240">AS66+1</f>
        <v>2030</v>
      </c>
      <c r="AU66" s="36">
        <f t="shared" ref="AU66" si="241">AT66+1</f>
        <v>2031</v>
      </c>
      <c r="AV66" s="36">
        <f t="shared" ref="AV66" si="242">AU66+1</f>
        <v>2032</v>
      </c>
      <c r="AW66" s="36">
        <f t="shared" ref="AW66" si="243">AV66+1</f>
        <v>2033</v>
      </c>
      <c r="AX66" s="36">
        <f t="shared" ref="AX66" si="244">AW66+1</f>
        <v>2034</v>
      </c>
      <c r="AY66" s="36">
        <f t="shared" ref="AY66" si="245">AX66+1</f>
        <v>2035</v>
      </c>
      <c r="AZ66" s="36">
        <f t="shared" ref="AZ66" si="246">AY66+1</f>
        <v>2036</v>
      </c>
      <c r="BA66" s="36">
        <f t="shared" ref="BA66" si="247">AZ66+1</f>
        <v>2037</v>
      </c>
      <c r="BB66" s="36">
        <f t="shared" ref="BB66" si="248">BA66+1</f>
        <v>2038</v>
      </c>
    </row>
    <row r="67" spans="1:54" x14ac:dyDescent="0.25">
      <c r="A67"/>
      <c r="AF67"/>
      <c r="AH67" s="128">
        <f>1-INDEX(Dashboard!$U$4:$V$9,MATCH($A$1,Dashboard!$U$4:$U$9,0),2)</f>
        <v>0.8</v>
      </c>
      <c r="AI67" s="128">
        <f>1-INDEX(Dashboard!$U$4:$V$9,MATCH($A$1,Dashboard!$U$4:$U$9,0),2)</f>
        <v>0.8</v>
      </c>
      <c r="AJ67" s="128">
        <f>1-INDEX(Dashboard!$U$4:$V$9,MATCH($A$1,Dashboard!$U$4:$U$9,0),2)</f>
        <v>0.8</v>
      </c>
      <c r="AK67" s="128">
        <f>1-INDEX(Dashboard!$U$4:$V$9,MATCH($A$1,Dashboard!$U$4:$U$9,0),2)</f>
        <v>0.8</v>
      </c>
      <c r="AL67" s="128">
        <f>1-INDEX(Dashboard!$U$4:$V$9,MATCH($A$1,Dashboard!$U$4:$U$9,0),2)</f>
        <v>0.8</v>
      </c>
      <c r="AM67" s="128">
        <f>1-INDEX(Dashboard!$U$4:$V$9,MATCH($A$1,Dashboard!$U$4:$U$9,0),2)</f>
        <v>0.8</v>
      </c>
      <c r="AN67" s="128">
        <f>1-INDEX(Dashboard!$U$4:$V$9,MATCH($A$1,Dashboard!$U$4:$U$9,0),2)</f>
        <v>0.8</v>
      </c>
      <c r="AO67" s="128">
        <f>1-INDEX(Dashboard!$U$4:$V$9,MATCH($A$1,Dashboard!$U$4:$U$9,0),2)</f>
        <v>0.8</v>
      </c>
      <c r="AP67" s="128">
        <f>1-INDEX(Dashboard!$U$4:$V$9,MATCH($A$1,Dashboard!$U$4:$U$9,0),2)</f>
        <v>0.8</v>
      </c>
      <c r="AQ67" s="128">
        <f>1-INDEX(Dashboard!$U$4:$V$9,MATCH($A$1,Dashboard!$U$4:$U$9,0),2)</f>
        <v>0.8</v>
      </c>
      <c r="AR67" s="128">
        <f>1-INDEX(Dashboard!$U$4:$V$9,MATCH($A$1,Dashboard!$U$4:$U$9,0),2)</f>
        <v>0.8</v>
      </c>
      <c r="AS67" s="128">
        <f>1-INDEX(Dashboard!$U$4:$V$9,MATCH($A$1,Dashboard!$U$4:$U$9,0),2)</f>
        <v>0.8</v>
      </c>
      <c r="AT67" s="128">
        <f>1-INDEX(Dashboard!$U$4:$V$9,MATCH($A$1,Dashboard!$U$4:$U$9,0),2)</f>
        <v>0.8</v>
      </c>
      <c r="AU67" s="128">
        <f>1-INDEX(Dashboard!$U$4:$V$9,MATCH($A$1,Dashboard!$U$4:$U$9,0),2)</f>
        <v>0.8</v>
      </c>
      <c r="AV67" s="128">
        <f>1-INDEX(Dashboard!$U$4:$V$9,MATCH($A$1,Dashboard!$U$4:$U$9,0),2)</f>
        <v>0.8</v>
      </c>
      <c r="AW67" s="128">
        <f>1-INDEX(Dashboard!$U$4:$V$9,MATCH($A$1,Dashboard!$U$4:$U$9,0),2)</f>
        <v>0.8</v>
      </c>
      <c r="AX67" s="128">
        <f>1-INDEX(Dashboard!$U$4:$V$9,MATCH($A$1,Dashboard!$U$4:$U$9,0),2)</f>
        <v>0.8</v>
      </c>
      <c r="AY67" s="128">
        <f>1-INDEX(Dashboard!$U$4:$V$9,MATCH($A$1,Dashboard!$U$4:$U$9,0),2)</f>
        <v>0.8</v>
      </c>
      <c r="AZ67" s="128">
        <f>1-INDEX(Dashboard!$U$4:$V$9,MATCH($A$1,Dashboard!$U$4:$U$9,0),2)</f>
        <v>0.8</v>
      </c>
      <c r="BA67" s="128">
        <f>1-INDEX(Dashboard!$U$4:$V$9,MATCH($A$1,Dashboard!$U$4:$U$9,0),2)</f>
        <v>0.8</v>
      </c>
      <c r="BB67" s="128">
        <f>1-INDEX(Dashboard!$U$4:$V$9,MATCH($A$1,Dashboard!$U$4:$U$9,0),2)</f>
        <v>0.8</v>
      </c>
    </row>
    <row r="68" spans="1:54" x14ac:dyDescent="0.25">
      <c r="A68"/>
      <c r="AF68"/>
      <c r="AI68" s="40"/>
      <c r="AJ68" s="40"/>
      <c r="AK68" s="40"/>
      <c r="AL68" s="40"/>
      <c r="AM68" s="40"/>
      <c r="AN68" s="40"/>
      <c r="AO68" s="40"/>
      <c r="AP68" s="40"/>
      <c r="AQ68" s="40"/>
      <c r="AR68" s="40"/>
      <c r="AS68" s="40"/>
      <c r="AT68" s="40"/>
      <c r="AU68" s="40"/>
      <c r="AV68" s="40"/>
      <c r="AW68" s="40"/>
      <c r="AX68" s="40"/>
      <c r="AY68" s="40"/>
      <c r="AZ68" s="40"/>
      <c r="BA68" s="40"/>
      <c r="BB68" s="40"/>
    </row>
    <row r="69" spans="1:54" x14ac:dyDescent="0.25">
      <c r="A69"/>
      <c r="AF69" s="6" t="s">
        <v>176</v>
      </c>
      <c r="AG69" s="6" t="s">
        <v>177</v>
      </c>
      <c r="AH69" s="6"/>
      <c r="AI69" s="76"/>
      <c r="AJ69" s="35"/>
      <c r="AK69" s="35"/>
      <c r="AL69" s="35"/>
      <c r="AM69" s="35"/>
      <c r="AN69" s="35"/>
      <c r="AO69" s="35"/>
      <c r="AP69" s="35"/>
      <c r="AQ69" s="35"/>
      <c r="AR69" s="35"/>
      <c r="AS69" s="35"/>
      <c r="AT69" s="35"/>
      <c r="AU69" s="35"/>
      <c r="AV69" s="35"/>
      <c r="AW69" s="35"/>
      <c r="AX69" s="35"/>
      <c r="AY69" s="35"/>
      <c r="AZ69" s="35"/>
      <c r="BA69" s="35"/>
      <c r="BB69" s="35"/>
    </row>
    <row r="70" spans="1:54" x14ac:dyDescent="0.25">
      <c r="A70"/>
      <c r="AF70" s="6" t="s">
        <v>178</v>
      </c>
      <c r="AG70" s="38"/>
      <c r="AH70" s="36">
        <f>AI70-1</f>
        <v>2018</v>
      </c>
      <c r="AI70" s="36">
        <f>Yr_Start</f>
        <v>2019</v>
      </c>
      <c r="AJ70" s="36">
        <f>AI70+1</f>
        <v>2020</v>
      </c>
      <c r="AK70" s="36">
        <f t="shared" ref="AK70:BB70" si="249">AJ70+1</f>
        <v>2021</v>
      </c>
      <c r="AL70" s="36">
        <f t="shared" si="249"/>
        <v>2022</v>
      </c>
      <c r="AM70" s="36">
        <f t="shared" si="249"/>
        <v>2023</v>
      </c>
      <c r="AN70" s="36">
        <f t="shared" si="249"/>
        <v>2024</v>
      </c>
      <c r="AO70" s="36">
        <f t="shared" si="249"/>
        <v>2025</v>
      </c>
      <c r="AP70" s="36">
        <f t="shared" si="249"/>
        <v>2026</v>
      </c>
      <c r="AQ70" s="36">
        <f t="shared" si="249"/>
        <v>2027</v>
      </c>
      <c r="AR70" s="36">
        <f t="shared" si="249"/>
        <v>2028</v>
      </c>
      <c r="AS70" s="36">
        <f t="shared" si="249"/>
        <v>2029</v>
      </c>
      <c r="AT70" s="36">
        <f t="shared" si="249"/>
        <v>2030</v>
      </c>
      <c r="AU70" s="36">
        <f t="shared" si="249"/>
        <v>2031</v>
      </c>
      <c r="AV70" s="36">
        <f t="shared" si="249"/>
        <v>2032</v>
      </c>
      <c r="AW70" s="36">
        <f t="shared" si="249"/>
        <v>2033</v>
      </c>
      <c r="AX70" s="36">
        <f t="shared" si="249"/>
        <v>2034</v>
      </c>
      <c r="AY70" s="36">
        <f t="shared" si="249"/>
        <v>2035</v>
      </c>
      <c r="AZ70" s="36">
        <f t="shared" si="249"/>
        <v>2036</v>
      </c>
      <c r="BA70" s="36">
        <f t="shared" si="249"/>
        <v>2037</v>
      </c>
      <c r="BB70" s="36">
        <f t="shared" si="249"/>
        <v>2038</v>
      </c>
    </row>
    <row r="71" spans="1:54" x14ac:dyDescent="0.25">
      <c r="A71"/>
      <c r="AF71" s="6" t="s">
        <v>179</v>
      </c>
      <c r="AG71" s="1" t="s">
        <v>52</v>
      </c>
      <c r="AH71" s="37">
        <f ca="1">SUM(AH35,AH25,AH15,AH5)</f>
        <v>9207.4505529153066</v>
      </c>
      <c r="AI71" s="37">
        <f ca="1">SUM(AI35,AI25,AI15,AI5)</f>
        <v>2566.2241513336935</v>
      </c>
      <c r="AJ71" s="37">
        <f t="shared" ref="AJ71:BB71" ca="1" si="250">SUM(AJ35,AJ25,AJ15,AJ5)</f>
        <v>1776.2166532081926</v>
      </c>
      <c r="AK71" s="37">
        <f t="shared" ca="1" si="250"/>
        <v>920.69073877413439</v>
      </c>
      <c r="AL71" s="37">
        <f t="shared" ca="1" si="250"/>
        <v>0</v>
      </c>
      <c r="AM71" s="37">
        <f t="shared" ca="1" si="250"/>
        <v>0</v>
      </c>
      <c r="AN71" s="37">
        <f t="shared" ca="1" si="250"/>
        <v>0</v>
      </c>
      <c r="AO71" s="37">
        <f t="shared" ca="1" si="250"/>
        <v>0</v>
      </c>
      <c r="AP71" s="37">
        <f t="shared" ca="1" si="250"/>
        <v>0</v>
      </c>
      <c r="AQ71" s="37">
        <f t="shared" ca="1" si="250"/>
        <v>0</v>
      </c>
      <c r="AR71" s="37">
        <f t="shared" ca="1" si="250"/>
        <v>0</v>
      </c>
      <c r="AS71" s="37">
        <f ca="1">SUM(AS35,AS25,AS15,AS5)</f>
        <v>0</v>
      </c>
      <c r="AT71" s="37">
        <f t="shared" ca="1" si="250"/>
        <v>0</v>
      </c>
      <c r="AU71" s="37">
        <f t="shared" ca="1" si="250"/>
        <v>0</v>
      </c>
      <c r="AV71" s="37">
        <f t="shared" ca="1" si="250"/>
        <v>0</v>
      </c>
      <c r="AW71" s="37">
        <f t="shared" ca="1" si="250"/>
        <v>0</v>
      </c>
      <c r="AX71" s="37">
        <f t="shared" ca="1" si="250"/>
        <v>0</v>
      </c>
      <c r="AY71" s="37">
        <f t="shared" ca="1" si="250"/>
        <v>0</v>
      </c>
      <c r="AZ71" s="37" t="e">
        <f t="shared" ca="1" si="250"/>
        <v>#N/A</v>
      </c>
      <c r="BA71" s="37" t="e">
        <f t="shared" ca="1" si="250"/>
        <v>#N/A</v>
      </c>
      <c r="BB71" s="37" t="e">
        <f t="shared" ca="1" si="250"/>
        <v>#N/A</v>
      </c>
    </row>
    <row r="72" spans="1:54" x14ac:dyDescent="0.25">
      <c r="B72" s="6"/>
      <c r="AG72" s="1" t="s">
        <v>54</v>
      </c>
      <c r="AH72" s="37">
        <f ca="1">SUM(AH36,AH26,AH16,AH6)+SUM(AH40,AH30,AH20,AH10)</f>
        <v>1223.6760042728047</v>
      </c>
      <c r="AI72" s="37">
        <f ca="1">SUM(AI36,AI26,AI16,AI6)+SUM(AI40,AI30,AI20,AI10)</f>
        <v>0</v>
      </c>
      <c r="AJ72" s="37">
        <f t="shared" ref="AJ72:BB72" ca="1" si="251">SUM(AJ36,AJ26,AJ16,AJ6)+SUM(AJ40,AJ30,AJ20,AJ10)</f>
        <v>0</v>
      </c>
      <c r="AK72" s="37">
        <f t="shared" ca="1" si="251"/>
        <v>0</v>
      </c>
      <c r="AL72" s="37">
        <f t="shared" ca="1" si="251"/>
        <v>0</v>
      </c>
      <c r="AM72" s="37">
        <f t="shared" ca="1" si="251"/>
        <v>0</v>
      </c>
      <c r="AN72" s="37">
        <f t="shared" ca="1" si="251"/>
        <v>0</v>
      </c>
      <c r="AO72" s="37">
        <f t="shared" ca="1" si="251"/>
        <v>0</v>
      </c>
      <c r="AP72" s="37">
        <f t="shared" ca="1" si="251"/>
        <v>0</v>
      </c>
      <c r="AQ72" s="37">
        <f t="shared" ca="1" si="251"/>
        <v>0</v>
      </c>
      <c r="AR72" s="37">
        <f t="shared" ca="1" si="251"/>
        <v>0</v>
      </c>
      <c r="AS72" s="37">
        <f t="shared" ca="1" si="251"/>
        <v>0</v>
      </c>
      <c r="AT72" s="37">
        <f t="shared" ca="1" si="251"/>
        <v>0</v>
      </c>
      <c r="AU72" s="37">
        <f t="shared" ca="1" si="251"/>
        <v>0</v>
      </c>
      <c r="AV72" s="37">
        <f t="shared" ca="1" si="251"/>
        <v>0</v>
      </c>
      <c r="AW72" s="37">
        <f t="shared" ca="1" si="251"/>
        <v>0</v>
      </c>
      <c r="AX72" s="37">
        <f t="shared" ca="1" si="251"/>
        <v>0</v>
      </c>
      <c r="AY72" s="37">
        <f t="shared" ca="1" si="251"/>
        <v>0</v>
      </c>
      <c r="AZ72" s="37" t="e">
        <f t="shared" ca="1" si="251"/>
        <v>#N/A</v>
      </c>
      <c r="BA72" s="37" t="e">
        <f t="shared" ca="1" si="251"/>
        <v>#N/A</v>
      </c>
      <c r="BB72" s="37" t="e">
        <f t="shared" ca="1" si="251"/>
        <v>#N/A</v>
      </c>
    </row>
    <row r="73" spans="1:54" x14ac:dyDescent="0.25">
      <c r="L73" s="6"/>
      <c r="M73" s="6"/>
      <c r="N73" s="6"/>
      <c r="O73" s="6"/>
      <c r="P73" s="6"/>
      <c r="Q73" s="6"/>
      <c r="R73" s="6"/>
      <c r="S73" s="6"/>
      <c r="T73" s="6"/>
      <c r="U73" s="6"/>
      <c r="V73" s="6"/>
      <c r="W73" s="6"/>
      <c r="X73" s="6"/>
      <c r="Y73" s="6"/>
      <c r="Z73" s="6"/>
      <c r="AA73" s="6"/>
      <c r="AB73" s="6"/>
      <c r="AC73" s="6"/>
      <c r="AD73" s="6"/>
      <c r="AE73" s="6"/>
      <c r="AG73" s="1" t="s">
        <v>56</v>
      </c>
      <c r="AH73" s="39">
        <f ca="1">SUM(AH37,AH27,AH17,AH7)+SUM(AH38,AH28,AH18,AH8)*AH67</f>
        <v>52042.072775387889</v>
      </c>
      <c r="AI73" s="39">
        <f ca="1">SUM(AI37,AI27,AI17,AI7)+SUM(AI38,AI28,AI18,AI8)*AI67</f>
        <v>52430.488411973522</v>
      </c>
      <c r="AJ73" s="39">
        <f t="shared" ref="AJ73:BB73" ca="1" si="252">SUM(AJ37,AJ27,AJ17,AJ7)+SUM(AJ38,AJ28,AJ18,AJ8)*AJ67</f>
        <v>53778.969417942462</v>
      </c>
      <c r="AK73" s="39">
        <f t="shared" ca="1" si="252"/>
        <v>55072.105813710288</v>
      </c>
      <c r="AL73" s="39">
        <f t="shared" ca="1" si="252"/>
        <v>56387.549147201964</v>
      </c>
      <c r="AM73" s="39">
        <f t="shared" ca="1" si="252"/>
        <v>59061.752660741506</v>
      </c>
      <c r="AN73" s="39">
        <f t="shared" ca="1" si="252"/>
        <v>61836.182237524823</v>
      </c>
      <c r="AO73" s="39">
        <f t="shared" ca="1" si="252"/>
        <v>64708.540635336984</v>
      </c>
      <c r="AP73" s="39">
        <f t="shared" ca="1" si="252"/>
        <v>67634.076170802757</v>
      </c>
      <c r="AQ73" s="39">
        <f t="shared" ca="1" si="252"/>
        <v>70665.380798977552</v>
      </c>
      <c r="AR73" s="39">
        <f t="shared" ca="1" si="252"/>
        <v>73805.228682586341</v>
      </c>
      <c r="AS73" s="39">
        <f ca="1">SUM(AS37,AS27,AS17,AS7)+SUM(AS38,AS28,AS18,AS8)*AS67</f>
        <v>77059.722748416665</v>
      </c>
      <c r="AT73" s="39">
        <f t="shared" ca="1" si="252"/>
        <v>80432.617011211521</v>
      </c>
      <c r="AU73" s="39">
        <f t="shared" ca="1" si="252"/>
        <v>84750.013935802795</v>
      </c>
      <c r="AV73" s="39">
        <f t="shared" ca="1" si="252"/>
        <v>90211.526802227832</v>
      </c>
      <c r="AW73" s="39">
        <f t="shared" ca="1" si="252"/>
        <v>95917.648172532092</v>
      </c>
      <c r="AX73" s="39">
        <f t="shared" ca="1" si="252"/>
        <v>101868.27861500144</v>
      </c>
      <c r="AY73" s="39">
        <f ca="1">SUM(AY37,AY27,AY17,AY7)+SUM(AY38,AY28,AY18,AY8)*AY67</f>
        <v>108064.80723823703</v>
      </c>
      <c r="AZ73" s="39" t="e">
        <f t="shared" ca="1" si="252"/>
        <v>#N/A</v>
      </c>
      <c r="BA73" s="39" t="e">
        <f t="shared" ca="1" si="252"/>
        <v>#N/A</v>
      </c>
      <c r="BB73" s="39" t="e">
        <f t="shared" ca="1" si="252"/>
        <v>#N/A</v>
      </c>
    </row>
    <row r="74" spans="1:54" x14ac:dyDescent="0.25">
      <c r="L74" s="132"/>
      <c r="M74" s="5"/>
      <c r="N74" s="5"/>
      <c r="O74" s="5"/>
      <c r="P74" s="5"/>
      <c r="Q74" s="5"/>
      <c r="R74" s="5"/>
      <c r="S74" s="5"/>
      <c r="T74" s="5"/>
      <c r="U74" s="5"/>
      <c r="V74" s="5"/>
      <c r="W74" s="5"/>
      <c r="X74" s="5"/>
      <c r="Y74" s="5"/>
      <c r="Z74" s="5"/>
      <c r="AA74" s="5"/>
      <c r="AB74" s="5"/>
      <c r="AC74" s="5"/>
      <c r="AD74" s="5"/>
      <c r="AE74" s="5"/>
      <c r="AG74" s="1" t="s">
        <v>57</v>
      </c>
      <c r="AH74" s="37">
        <f ca="1">SUM(AH39,AH29,AH19,AH9)</f>
        <v>697.09006237075369</v>
      </c>
      <c r="AI74" s="37">
        <f ca="1">SUM(AI39,AI29,AI19,AI9)</f>
        <v>0</v>
      </c>
      <c r="AJ74" s="37">
        <f t="shared" ref="AJ74:BB74" ca="1" si="253">SUM(AJ39,AJ29,AJ19,AJ9)</f>
        <v>0</v>
      </c>
      <c r="AK74" s="37">
        <f t="shared" ca="1" si="253"/>
        <v>0</v>
      </c>
      <c r="AL74" s="37">
        <f t="shared" ca="1" si="253"/>
        <v>0</v>
      </c>
      <c r="AM74" s="37">
        <f t="shared" ca="1" si="253"/>
        <v>0</v>
      </c>
      <c r="AN74" s="37">
        <f t="shared" ca="1" si="253"/>
        <v>0</v>
      </c>
      <c r="AO74" s="37">
        <f t="shared" ca="1" si="253"/>
        <v>0</v>
      </c>
      <c r="AP74" s="37">
        <f t="shared" ca="1" si="253"/>
        <v>0</v>
      </c>
      <c r="AQ74" s="37">
        <f t="shared" ca="1" si="253"/>
        <v>0</v>
      </c>
      <c r="AR74" s="37">
        <f t="shared" ca="1" si="253"/>
        <v>0</v>
      </c>
      <c r="AS74" s="37">
        <f t="shared" ca="1" si="253"/>
        <v>0</v>
      </c>
      <c r="AT74" s="37">
        <f t="shared" ca="1" si="253"/>
        <v>0</v>
      </c>
      <c r="AU74" s="37">
        <f t="shared" ca="1" si="253"/>
        <v>0</v>
      </c>
      <c r="AV74" s="37">
        <f t="shared" ca="1" si="253"/>
        <v>0</v>
      </c>
      <c r="AW74" s="37">
        <f t="shared" ca="1" si="253"/>
        <v>0</v>
      </c>
      <c r="AX74" s="37">
        <f t="shared" ca="1" si="253"/>
        <v>0</v>
      </c>
      <c r="AY74" s="37">
        <f t="shared" ca="1" si="253"/>
        <v>0</v>
      </c>
      <c r="AZ74" s="37" t="e">
        <f t="shared" ca="1" si="253"/>
        <v>#N/A</v>
      </c>
      <c r="BA74" s="37" t="e">
        <f t="shared" ca="1" si="253"/>
        <v>#N/A</v>
      </c>
      <c r="BB74" s="37" t="e">
        <f t="shared" ca="1" si="253"/>
        <v>#N/A</v>
      </c>
    </row>
    <row r="75" spans="1:54" x14ac:dyDescent="0.25">
      <c r="AG75" s="1" t="s">
        <v>59</v>
      </c>
      <c r="AH75" s="37">
        <f ca="1">+SUM(AH38,AH28,AH18,AH8)*(1-AH67)</f>
        <v>12852.841209754126</v>
      </c>
      <c r="AI75" s="37">
        <f ca="1">+SUM(AI38,AI28,AI18,AI8)*(1-AI67)</f>
        <v>12920.490082730967</v>
      </c>
      <c r="AJ75" s="37">
        <f t="shared" ref="AJ75:BB75" ca="1" si="254">+SUM(AJ38,AJ28,AJ18,AJ8)*(1-AJ67)</f>
        <v>13226.171003136644</v>
      </c>
      <c r="AK75" s="37">
        <f t="shared" ca="1" si="254"/>
        <v>13516.259595063666</v>
      </c>
      <c r="AL75" s="37">
        <f t="shared" ca="1" si="254"/>
        <v>13809.784373354729</v>
      </c>
      <c r="AM75" s="37">
        <f t="shared" ca="1" si="254"/>
        <v>14440.799128866396</v>
      </c>
      <c r="AN75" s="37">
        <f t="shared" ca="1" si="254"/>
        <v>15094.629256373903</v>
      </c>
      <c r="AO75" s="37">
        <f t="shared" ca="1" si="254"/>
        <v>15770.648581432952</v>
      </c>
      <c r="AP75" s="37">
        <f t="shared" ca="1" si="254"/>
        <v>16457.906349790235</v>
      </c>
      <c r="AQ75" s="37">
        <f t="shared" ca="1" si="254"/>
        <v>17169.172071442739</v>
      </c>
      <c r="AR75" s="37">
        <f t="shared" ca="1" si="254"/>
        <v>17905.052928644054</v>
      </c>
      <c r="AS75" s="37">
        <f ca="1">+SUM(AS38,AS28,AS18,AS8)*(1-AS67)</f>
        <v>18666.961067508179</v>
      </c>
      <c r="AT75" s="37">
        <f t="shared" ca="1" si="254"/>
        <v>19455.734449246112</v>
      </c>
      <c r="AU75" s="37">
        <f t="shared" ca="1" si="254"/>
        <v>20478.226634557803</v>
      </c>
      <c r="AV75" s="37">
        <f t="shared" ca="1" si="254"/>
        <v>21783.835039113226</v>
      </c>
      <c r="AW75" s="37">
        <f t="shared" ca="1" si="254"/>
        <v>23147.637083733876</v>
      </c>
      <c r="AX75" s="37">
        <f t="shared" ca="1" si="254"/>
        <v>24569.577935315607</v>
      </c>
      <c r="AY75" s="37">
        <f t="shared" ca="1" si="254"/>
        <v>26049.965022493263</v>
      </c>
      <c r="AZ75" s="37" t="e">
        <f t="shared" ca="1" si="254"/>
        <v>#N/A</v>
      </c>
      <c r="BA75" s="37" t="e">
        <f t="shared" ca="1" si="254"/>
        <v>#N/A</v>
      </c>
      <c r="BB75" s="37" t="e">
        <f t="shared" ca="1" si="254"/>
        <v>#N/A</v>
      </c>
    </row>
    <row r="76" spans="1:54" x14ac:dyDescent="0.25">
      <c r="AG76" s="12" t="s">
        <v>60</v>
      </c>
      <c r="AH76" s="45">
        <f ca="1">SUM(AH71:AH75)</f>
        <v>76023.130604700884</v>
      </c>
      <c r="AI76" s="45">
        <f ca="1">SUM(AI71:AI75)</f>
        <v>67917.202646038175</v>
      </c>
      <c r="AJ76" s="45">
        <f t="shared" ref="AJ76:BB76" ca="1" si="255">SUM(AJ71:AJ75)</f>
        <v>68781.357074287298</v>
      </c>
      <c r="AK76" s="45">
        <f t="shared" ca="1" si="255"/>
        <v>69509.056147548094</v>
      </c>
      <c r="AL76" s="45">
        <f t="shared" ca="1" si="255"/>
        <v>70197.333520556698</v>
      </c>
      <c r="AM76" s="45">
        <f t="shared" ca="1" si="255"/>
        <v>73502.551789607896</v>
      </c>
      <c r="AN76" s="45">
        <f t="shared" ca="1" si="255"/>
        <v>76930.811493898727</v>
      </c>
      <c r="AO76" s="45">
        <f t="shared" ca="1" si="255"/>
        <v>80479.189216769941</v>
      </c>
      <c r="AP76" s="45">
        <f t="shared" ca="1" si="255"/>
        <v>84091.982520592996</v>
      </c>
      <c r="AQ76" s="45">
        <f t="shared" ca="1" si="255"/>
        <v>87834.552870420288</v>
      </c>
      <c r="AR76" s="45">
        <f t="shared" ca="1" si="255"/>
        <v>91710.281611230399</v>
      </c>
      <c r="AS76" s="45">
        <f ca="1">SUM(AS71:AS75)</f>
        <v>95726.683815924844</v>
      </c>
      <c r="AT76" s="45">
        <f t="shared" ca="1" si="255"/>
        <v>99888.351460457634</v>
      </c>
      <c r="AU76" s="45">
        <f t="shared" ca="1" si="255"/>
        <v>105228.24057036059</v>
      </c>
      <c r="AV76" s="45">
        <f t="shared" ca="1" si="255"/>
        <v>111995.36184134106</v>
      </c>
      <c r="AW76" s="45">
        <f t="shared" ca="1" si="255"/>
        <v>119065.28525626597</v>
      </c>
      <c r="AX76" s="45">
        <f t="shared" ca="1" si="255"/>
        <v>126437.85655031705</v>
      </c>
      <c r="AY76" s="45">
        <f t="shared" ca="1" si="255"/>
        <v>134114.7722607303</v>
      </c>
      <c r="AZ76" s="45" t="e">
        <f t="shared" ca="1" si="255"/>
        <v>#N/A</v>
      </c>
      <c r="BA76" s="45" t="e">
        <f t="shared" ca="1" si="255"/>
        <v>#N/A</v>
      </c>
      <c r="BB76" s="45" t="e">
        <f t="shared" ca="1" si="255"/>
        <v>#N/A</v>
      </c>
    </row>
    <row r="77" spans="1:54" x14ac:dyDescent="0.25">
      <c r="AI77" s="42"/>
      <c r="AJ77" s="42"/>
      <c r="AK77" s="42"/>
      <c r="AL77" s="42"/>
      <c r="AM77" s="42"/>
      <c r="AN77" s="42"/>
      <c r="AO77" s="42"/>
      <c r="AP77" s="42"/>
      <c r="AQ77" s="42"/>
      <c r="AR77" s="42"/>
      <c r="AS77" s="42"/>
      <c r="AT77" s="42"/>
      <c r="AU77" s="42"/>
      <c r="AV77" s="42"/>
      <c r="AW77" s="42"/>
      <c r="AX77" s="42"/>
      <c r="AY77" s="42"/>
      <c r="AZ77" s="42"/>
      <c r="BA77" s="42"/>
      <c r="BB77" s="42"/>
    </row>
    <row r="78" spans="1:54" x14ac:dyDescent="0.25">
      <c r="AF78" s="6" t="s">
        <v>116</v>
      </c>
      <c r="AG78" s="6" t="s">
        <v>177</v>
      </c>
      <c r="AH78" s="6"/>
    </row>
    <row r="79" spans="1:54" x14ac:dyDescent="0.25">
      <c r="AF79" s="6" t="s">
        <v>178</v>
      </c>
      <c r="AG79" s="38"/>
      <c r="AH79" s="36">
        <f>AI79-1</f>
        <v>2018</v>
      </c>
      <c r="AI79" s="36">
        <f>Yr_Start</f>
        <v>2019</v>
      </c>
      <c r="AJ79" s="36">
        <f>AI79+1</f>
        <v>2020</v>
      </c>
      <c r="AK79" s="36">
        <f t="shared" ref="AK79:BB79" si="256">AJ79+1</f>
        <v>2021</v>
      </c>
      <c r="AL79" s="36">
        <f t="shared" si="256"/>
        <v>2022</v>
      </c>
      <c r="AM79" s="36">
        <f t="shared" si="256"/>
        <v>2023</v>
      </c>
      <c r="AN79" s="36">
        <f t="shared" si="256"/>
        <v>2024</v>
      </c>
      <c r="AO79" s="36">
        <f t="shared" si="256"/>
        <v>2025</v>
      </c>
      <c r="AP79" s="36">
        <f t="shared" si="256"/>
        <v>2026</v>
      </c>
      <c r="AQ79" s="36">
        <f t="shared" si="256"/>
        <v>2027</v>
      </c>
      <c r="AR79" s="36">
        <f t="shared" si="256"/>
        <v>2028</v>
      </c>
      <c r="AS79" s="36">
        <f t="shared" si="256"/>
        <v>2029</v>
      </c>
      <c r="AT79" s="36">
        <f t="shared" si="256"/>
        <v>2030</v>
      </c>
      <c r="AU79" s="36">
        <f t="shared" si="256"/>
        <v>2031</v>
      </c>
      <c r="AV79" s="36">
        <f t="shared" si="256"/>
        <v>2032</v>
      </c>
      <c r="AW79" s="36">
        <f t="shared" si="256"/>
        <v>2033</v>
      </c>
      <c r="AX79" s="36">
        <f t="shared" si="256"/>
        <v>2034</v>
      </c>
      <c r="AY79" s="36">
        <f t="shared" si="256"/>
        <v>2035</v>
      </c>
      <c r="AZ79" s="36">
        <f t="shared" si="256"/>
        <v>2036</v>
      </c>
      <c r="BA79" s="36">
        <f t="shared" si="256"/>
        <v>2037</v>
      </c>
      <c r="BB79" s="36">
        <f t="shared" si="256"/>
        <v>2038</v>
      </c>
    </row>
    <row r="80" spans="1:54" x14ac:dyDescent="0.25">
      <c r="AG80" s="1" t="s">
        <v>52</v>
      </c>
      <c r="AH80" s="37">
        <f ca="1">SUM(AH55,AH45)</f>
        <v>6188.4524491810562</v>
      </c>
      <c r="AI80" s="37">
        <f ca="1">SUM(AI55,AI45)</f>
        <v>0</v>
      </c>
      <c r="AJ80" s="37">
        <f t="shared" ref="AJ80:BB80" ca="1" si="257">SUM(AJ55,AJ45)</f>
        <v>0</v>
      </c>
      <c r="AK80" s="37">
        <f t="shared" ca="1" si="257"/>
        <v>0</v>
      </c>
      <c r="AL80" s="37">
        <f t="shared" ca="1" si="257"/>
        <v>0</v>
      </c>
      <c r="AM80" s="37">
        <f t="shared" ca="1" si="257"/>
        <v>0</v>
      </c>
      <c r="AN80" s="37">
        <f t="shared" ca="1" si="257"/>
        <v>0</v>
      </c>
      <c r="AO80" s="37">
        <f t="shared" ca="1" si="257"/>
        <v>0</v>
      </c>
      <c r="AP80" s="37">
        <f t="shared" ca="1" si="257"/>
        <v>0</v>
      </c>
      <c r="AQ80" s="37">
        <f t="shared" ca="1" si="257"/>
        <v>0</v>
      </c>
      <c r="AR80" s="37">
        <f t="shared" ca="1" si="257"/>
        <v>0</v>
      </c>
      <c r="AS80" s="37">
        <f t="shared" ca="1" si="257"/>
        <v>0</v>
      </c>
      <c r="AT80" s="37">
        <f t="shared" ca="1" si="257"/>
        <v>0</v>
      </c>
      <c r="AU80" s="37">
        <f t="shared" ca="1" si="257"/>
        <v>0</v>
      </c>
      <c r="AV80" s="37">
        <f t="shared" ca="1" si="257"/>
        <v>0</v>
      </c>
      <c r="AW80" s="37">
        <f t="shared" ca="1" si="257"/>
        <v>0</v>
      </c>
      <c r="AX80" s="37">
        <f t="shared" ca="1" si="257"/>
        <v>0</v>
      </c>
      <c r="AY80" s="37">
        <f t="shared" ca="1" si="257"/>
        <v>0</v>
      </c>
      <c r="AZ80" s="37" t="e">
        <f t="shared" ca="1" si="257"/>
        <v>#N/A</v>
      </c>
      <c r="BA80" s="37" t="e">
        <f t="shared" ca="1" si="257"/>
        <v>#N/A</v>
      </c>
      <c r="BB80" s="37" t="e">
        <f t="shared" ca="1" si="257"/>
        <v>#N/A</v>
      </c>
    </row>
    <row r="81" spans="12:54" x14ac:dyDescent="0.25">
      <c r="AG81" s="1" t="s">
        <v>54</v>
      </c>
      <c r="AH81" s="37">
        <f ca="1">SUM(AH56,AH46,AH50,AH60)</f>
        <v>2527.9730739187535</v>
      </c>
      <c r="AI81" s="37">
        <f ca="1">SUM(AI56,AI46,AI50,AI60)</f>
        <v>2919.5819403029254</v>
      </c>
      <c r="AJ81" s="37">
        <f t="shared" ref="AJ81:BB81" ca="1" si="258">SUM(AJ56,AJ46,AJ50,AJ60)</f>
        <v>3410.0896745047157</v>
      </c>
      <c r="AK81" s="37">
        <f t="shared" ca="1" si="258"/>
        <v>3927.996779040312</v>
      </c>
      <c r="AL81" s="37">
        <f t="shared" ca="1" si="258"/>
        <v>4479.3001215354807</v>
      </c>
      <c r="AM81" s="37">
        <f t="shared" ca="1" si="258"/>
        <v>5064.9283122425695</v>
      </c>
      <c r="AN81" s="37">
        <f t="shared" ca="1" si="258"/>
        <v>5685.5222079050627</v>
      </c>
      <c r="AO81" s="37">
        <f t="shared" ca="1" si="258"/>
        <v>6341.8909745759956</v>
      </c>
      <c r="AP81" s="37">
        <f t="shared" ca="1" si="258"/>
        <v>7030.3344048110393</v>
      </c>
      <c r="AQ81" s="37">
        <f t="shared" ca="1" si="258"/>
        <v>7756.757419483517</v>
      </c>
      <c r="AR81" s="37">
        <f t="shared" ca="1" si="258"/>
        <v>8522.5073588585019</v>
      </c>
      <c r="AS81" s="37">
        <f t="shared" ca="1" si="258"/>
        <v>9329.3563537341961</v>
      </c>
      <c r="AT81" s="37">
        <f t="shared" ca="1" si="258"/>
        <v>10178.873039949345</v>
      </c>
      <c r="AU81" s="37">
        <f t="shared" ca="1" si="258"/>
        <v>11065.940918388103</v>
      </c>
      <c r="AV81" s="37">
        <f t="shared" ca="1" si="258"/>
        <v>11998.452968406165</v>
      </c>
      <c r="AW81" s="37">
        <f t="shared" ca="1" si="258"/>
        <v>12977.122495939526</v>
      </c>
      <c r="AX81" s="37">
        <f t="shared" ca="1" si="258"/>
        <v>14002.417165374234</v>
      </c>
      <c r="AY81" s="37">
        <f t="shared" ca="1" si="258"/>
        <v>15074.958682209293</v>
      </c>
      <c r="AZ81" s="37" t="e">
        <f t="shared" ca="1" si="258"/>
        <v>#N/A</v>
      </c>
      <c r="BA81" s="37" t="e">
        <f t="shared" ca="1" si="258"/>
        <v>#N/A</v>
      </c>
      <c r="BB81" s="37" t="e">
        <f t="shared" ca="1" si="258"/>
        <v>#N/A</v>
      </c>
    </row>
    <row r="82" spans="12:54" x14ac:dyDescent="0.25">
      <c r="L82" s="6"/>
      <c r="M82" s="6"/>
      <c r="N82" s="6"/>
      <c r="O82" s="6"/>
      <c r="P82" s="6"/>
      <c r="Q82" s="6"/>
      <c r="R82" s="6"/>
      <c r="S82" s="6"/>
      <c r="T82" s="6"/>
      <c r="U82" s="6"/>
      <c r="V82" s="6"/>
      <c r="W82" s="6"/>
      <c r="X82" s="6"/>
      <c r="Y82" s="6"/>
      <c r="Z82" s="6"/>
      <c r="AA82" s="6"/>
      <c r="AB82" s="6"/>
      <c r="AC82" s="6"/>
      <c r="AD82" s="6"/>
      <c r="AE82" s="6"/>
      <c r="AG82" s="1" t="s">
        <v>56</v>
      </c>
      <c r="AH82" s="39">
        <f ca="1">SUM(AH57,AH47)+SUM(AH48,AH58)*AH67</f>
        <v>37633.789316940973</v>
      </c>
      <c r="AI82" s="39">
        <f ca="1">SUM(AI57,AI47)+SUM(AI48,AI58)*AI67</f>
        <v>38371.391011580155</v>
      </c>
      <c r="AJ82" s="39">
        <f t="shared" ref="AJ82:BB82" ca="1" si="259">SUM(AJ57,AJ47)+SUM(AJ48,AJ58)*AJ67</f>
        <v>39101.492337796808</v>
      </c>
      <c r="AK82" s="39">
        <f t="shared" ca="1" si="259"/>
        <v>39772.247778089928</v>
      </c>
      <c r="AL82" s="39">
        <f t="shared" ca="1" si="259"/>
        <v>40439.452756514249</v>
      </c>
      <c r="AM82" s="39">
        <f t="shared" ca="1" si="259"/>
        <v>41095.295054304741</v>
      </c>
      <c r="AN82" s="39">
        <f t="shared" ca="1" si="259"/>
        <v>41731.698524031352</v>
      </c>
      <c r="AO82" s="39">
        <f t="shared" ca="1" si="259"/>
        <v>42343.662228023131</v>
      </c>
      <c r="AP82" s="39">
        <f t="shared" ca="1" si="259"/>
        <v>42899.582737661978</v>
      </c>
      <c r="AQ82" s="39">
        <f t="shared" ca="1" si="259"/>
        <v>43431.336858903131</v>
      </c>
      <c r="AR82" s="39">
        <f t="shared" ca="1" si="259"/>
        <v>43937.103131315307</v>
      </c>
      <c r="AS82" s="39">
        <f t="shared" ca="1" si="259"/>
        <v>44416.905099291791</v>
      </c>
      <c r="AT82" s="39">
        <f t="shared" ca="1" si="259"/>
        <v>44869.138897102785</v>
      </c>
      <c r="AU82" s="39">
        <f t="shared" ca="1" si="259"/>
        <v>45264.566263820954</v>
      </c>
      <c r="AV82" s="39">
        <f t="shared" ca="1" si="259"/>
        <v>45630.889016513873</v>
      </c>
      <c r="AW82" s="39">
        <f t="shared" ca="1" si="259"/>
        <v>45962.5527614475</v>
      </c>
      <c r="AX82" s="39">
        <f t="shared" ca="1" si="259"/>
        <v>46253.916448598167</v>
      </c>
      <c r="AY82" s="39">
        <f t="shared" ca="1" si="259"/>
        <v>46500.602804062801</v>
      </c>
      <c r="AZ82" s="39" t="e">
        <f t="shared" ca="1" si="259"/>
        <v>#N/A</v>
      </c>
      <c r="BA82" s="39" t="e">
        <f t="shared" ca="1" si="259"/>
        <v>#N/A</v>
      </c>
      <c r="BB82" s="39" t="e">
        <f t="shared" ca="1" si="259"/>
        <v>#N/A</v>
      </c>
    </row>
    <row r="83" spans="12:54" x14ac:dyDescent="0.25">
      <c r="L83" s="132"/>
      <c r="M83" s="5"/>
      <c r="N83" s="5"/>
      <c r="O83" s="5"/>
      <c r="P83" s="5"/>
      <c r="Q83" s="5"/>
      <c r="R83" s="5"/>
      <c r="S83" s="5"/>
      <c r="T83" s="5"/>
      <c r="U83" s="5"/>
      <c r="V83" s="5"/>
      <c r="W83" s="5"/>
      <c r="X83" s="5"/>
      <c r="Y83" s="5"/>
      <c r="Z83" s="5"/>
      <c r="AA83" s="5"/>
      <c r="AB83" s="5"/>
      <c r="AC83" s="5"/>
      <c r="AD83" s="5"/>
      <c r="AE83" s="5"/>
      <c r="AG83" s="1" t="s">
        <v>57</v>
      </c>
      <c r="AH83" s="37">
        <f ca="1">SUM(AH59,AH49)</f>
        <v>0</v>
      </c>
      <c r="AI83" s="37">
        <f ca="1">SUM(AI59,AI49)</f>
        <v>0</v>
      </c>
      <c r="AJ83" s="37">
        <f t="shared" ref="AJ83:BB83" ca="1" si="260">SUM(AJ59,AJ49)</f>
        <v>0</v>
      </c>
      <c r="AK83" s="37">
        <f t="shared" ca="1" si="260"/>
        <v>0</v>
      </c>
      <c r="AL83" s="37">
        <f t="shared" ca="1" si="260"/>
        <v>0</v>
      </c>
      <c r="AM83" s="37">
        <f t="shared" ca="1" si="260"/>
        <v>0</v>
      </c>
      <c r="AN83" s="37">
        <f t="shared" ca="1" si="260"/>
        <v>0</v>
      </c>
      <c r="AO83" s="37">
        <f t="shared" ca="1" si="260"/>
        <v>0</v>
      </c>
      <c r="AP83" s="37">
        <f t="shared" ca="1" si="260"/>
        <v>0</v>
      </c>
      <c r="AQ83" s="37">
        <f t="shared" ca="1" si="260"/>
        <v>0</v>
      </c>
      <c r="AR83" s="37">
        <f t="shared" ca="1" si="260"/>
        <v>0</v>
      </c>
      <c r="AS83" s="37">
        <f t="shared" ca="1" si="260"/>
        <v>0</v>
      </c>
      <c r="AT83" s="37">
        <f t="shared" ca="1" si="260"/>
        <v>0</v>
      </c>
      <c r="AU83" s="37">
        <f t="shared" ca="1" si="260"/>
        <v>0</v>
      </c>
      <c r="AV83" s="37">
        <f t="shared" ca="1" si="260"/>
        <v>0</v>
      </c>
      <c r="AW83" s="37">
        <f t="shared" ca="1" si="260"/>
        <v>0</v>
      </c>
      <c r="AX83" s="37">
        <f t="shared" ca="1" si="260"/>
        <v>0</v>
      </c>
      <c r="AY83" s="37">
        <f t="shared" ca="1" si="260"/>
        <v>0</v>
      </c>
      <c r="AZ83" s="37" t="e">
        <f t="shared" ca="1" si="260"/>
        <v>#N/A</v>
      </c>
      <c r="BA83" s="37" t="e">
        <f t="shared" ca="1" si="260"/>
        <v>#N/A</v>
      </c>
      <c r="BB83" s="37" t="e">
        <f t="shared" ca="1" si="260"/>
        <v>#N/A</v>
      </c>
    </row>
    <row r="84" spans="12:54" x14ac:dyDescent="0.25">
      <c r="AG84" s="1" t="s">
        <v>59</v>
      </c>
      <c r="AH84" s="37">
        <f ca="1">SUM(AH48,AH58)*(1-AH67)</f>
        <v>9257.9417894903145</v>
      </c>
      <c r="AI84" s="37">
        <f ca="1">SUM(AI48,AI58)*(1-AI67)</f>
        <v>9414.2268471541647</v>
      </c>
      <c r="AJ84" s="37">
        <f t="shared" ref="AJ84:BB84" ca="1" si="261">SUM(AJ48,AJ58)*(1-AJ67)</f>
        <v>9566.7427672420636</v>
      </c>
      <c r="AK84" s="37">
        <f t="shared" ca="1" si="261"/>
        <v>9702.7459140888168</v>
      </c>
      <c r="AL84" s="37">
        <f t="shared" ca="1" si="261"/>
        <v>9835.8182535338256</v>
      </c>
      <c r="AM84" s="37">
        <f t="shared" ca="1" si="261"/>
        <v>9963.949918229855</v>
      </c>
      <c r="AN84" s="37">
        <f t="shared" ca="1" si="261"/>
        <v>10085.082663510091</v>
      </c>
      <c r="AO84" s="37">
        <f t="shared" ca="1" si="261"/>
        <v>10197.916749933049</v>
      </c>
      <c r="AP84" s="37">
        <f t="shared" ca="1" si="261"/>
        <v>10294.777700154267</v>
      </c>
      <c r="AQ84" s="37">
        <f t="shared" ca="1" si="261"/>
        <v>10383.273450818388</v>
      </c>
      <c r="AR84" s="37">
        <f t="shared" ca="1" si="261"/>
        <v>10462.86620613285</v>
      </c>
      <c r="AS84" s="37">
        <f t="shared" ca="1" si="261"/>
        <v>10533.453432697999</v>
      </c>
      <c r="AT84" s="37">
        <f t="shared" ca="1" si="261"/>
        <v>10594.538194466546</v>
      </c>
      <c r="AU84" s="37">
        <f t="shared" ca="1" si="261"/>
        <v>10639.123955169365</v>
      </c>
      <c r="AV84" s="37">
        <f t="shared" ca="1" si="261"/>
        <v>10673.653274210197</v>
      </c>
      <c r="AW84" s="37">
        <f t="shared" ca="1" si="261"/>
        <v>10696.693912882727</v>
      </c>
      <c r="AX84" s="37">
        <f t="shared" ca="1" si="261"/>
        <v>10706.806996832516</v>
      </c>
      <c r="AY84" s="37">
        <f t="shared" ca="1" si="261"/>
        <v>10702.860171453418</v>
      </c>
      <c r="AZ84" s="37" t="e">
        <f t="shared" ca="1" si="261"/>
        <v>#N/A</v>
      </c>
      <c r="BA84" s="37" t="e">
        <f t="shared" ca="1" si="261"/>
        <v>#N/A</v>
      </c>
      <c r="BB84" s="37" t="e">
        <f t="shared" ca="1" si="261"/>
        <v>#N/A</v>
      </c>
    </row>
    <row r="85" spans="12:54" x14ac:dyDescent="0.25">
      <c r="AG85" s="12" t="s">
        <v>60</v>
      </c>
      <c r="AH85" s="45">
        <f ca="1">SUM(AH80:AH84)</f>
        <v>55608.156629531099</v>
      </c>
      <c r="AI85" s="45">
        <f ca="1">SUM(AI80:AI84)</f>
        <v>50705.199799037247</v>
      </c>
      <c r="AJ85" s="45">
        <f t="shared" ref="AJ85:BB85" ca="1" si="262">SUM(AJ80:AJ84)</f>
        <v>52078.324779543589</v>
      </c>
      <c r="AK85" s="45">
        <f t="shared" ca="1" si="262"/>
        <v>53402.990471219055</v>
      </c>
      <c r="AL85" s="45">
        <f t="shared" ca="1" si="262"/>
        <v>54754.571131583558</v>
      </c>
      <c r="AM85" s="45">
        <f t="shared" ca="1" si="262"/>
        <v>56124.173284777164</v>
      </c>
      <c r="AN85" s="45">
        <f t="shared" ca="1" si="262"/>
        <v>57502.303395446506</v>
      </c>
      <c r="AO85" s="45">
        <f t="shared" ca="1" si="262"/>
        <v>58883.469952532178</v>
      </c>
      <c r="AP85" s="45">
        <f t="shared" ca="1" si="262"/>
        <v>60224.694842627287</v>
      </c>
      <c r="AQ85" s="45">
        <f t="shared" ca="1" si="262"/>
        <v>61571.367729205034</v>
      </c>
      <c r="AR85" s="45">
        <f t="shared" ca="1" si="262"/>
        <v>62922.476696306658</v>
      </c>
      <c r="AS85" s="45">
        <f t="shared" ca="1" si="262"/>
        <v>64279.714885723988</v>
      </c>
      <c r="AT85" s="45">
        <f t="shared" ca="1" si="262"/>
        <v>65642.55013151867</v>
      </c>
      <c r="AU85" s="45">
        <f t="shared" ca="1" si="262"/>
        <v>66969.631137378427</v>
      </c>
      <c r="AV85" s="45">
        <f t="shared" ca="1" si="262"/>
        <v>68302.995259130228</v>
      </c>
      <c r="AW85" s="45">
        <f t="shared" ca="1" si="262"/>
        <v>69636.369170269754</v>
      </c>
      <c r="AX85" s="45">
        <f t="shared" ca="1" si="262"/>
        <v>70963.140610804912</v>
      </c>
      <c r="AY85" s="45">
        <f t="shared" ca="1" si="262"/>
        <v>72278.421657725514</v>
      </c>
      <c r="AZ85" s="45" t="e">
        <f t="shared" ca="1" si="262"/>
        <v>#N/A</v>
      </c>
      <c r="BA85" s="45" t="e">
        <f t="shared" ca="1" si="262"/>
        <v>#N/A</v>
      </c>
      <c r="BB85" s="45" t="e">
        <f t="shared" ca="1" si="262"/>
        <v>#N/A</v>
      </c>
    </row>
    <row r="86" spans="12:54" x14ac:dyDescent="0.25">
      <c r="AI86" s="42"/>
      <c r="AJ86" s="42"/>
      <c r="AK86" s="42"/>
      <c r="AL86" s="42"/>
      <c r="AM86" s="42"/>
      <c r="AN86" s="42"/>
      <c r="AO86" s="42"/>
      <c r="AP86" s="42"/>
      <c r="AQ86" s="42"/>
      <c r="AR86" s="42"/>
      <c r="AS86" s="42"/>
      <c r="AT86" s="42"/>
      <c r="AU86" s="42"/>
      <c r="AV86" s="42"/>
      <c r="AW86" s="42"/>
      <c r="AX86" s="42"/>
      <c r="AY86" s="42"/>
      <c r="AZ86" s="42"/>
      <c r="BA86" s="42"/>
      <c r="BB86" s="42"/>
    </row>
    <row r="87" spans="12:54" x14ac:dyDescent="0.25">
      <c r="AF87" s="6" t="s">
        <v>176</v>
      </c>
      <c r="AG87" s="6" t="s">
        <v>180</v>
      </c>
      <c r="AH87" s="6"/>
    </row>
    <row r="88" spans="12:54" x14ac:dyDescent="0.25">
      <c r="AF88" s="6" t="s">
        <v>178</v>
      </c>
      <c r="AG88" s="38"/>
      <c r="AH88" s="36">
        <f>AI88-1</f>
        <v>2018</v>
      </c>
      <c r="AI88" s="36">
        <f>Yr_Start</f>
        <v>2019</v>
      </c>
      <c r="AJ88" s="36">
        <f>AI88+1</f>
        <v>2020</v>
      </c>
      <c r="AK88" s="36">
        <f t="shared" ref="AK88:BB88" si="263">AJ88+1</f>
        <v>2021</v>
      </c>
      <c r="AL88" s="36">
        <f t="shared" si="263"/>
        <v>2022</v>
      </c>
      <c r="AM88" s="36">
        <f t="shared" si="263"/>
        <v>2023</v>
      </c>
      <c r="AN88" s="36">
        <f t="shared" si="263"/>
        <v>2024</v>
      </c>
      <c r="AO88" s="36">
        <f t="shared" si="263"/>
        <v>2025</v>
      </c>
      <c r="AP88" s="36">
        <f t="shared" si="263"/>
        <v>2026</v>
      </c>
      <c r="AQ88" s="36">
        <f t="shared" si="263"/>
        <v>2027</v>
      </c>
      <c r="AR88" s="36">
        <f t="shared" si="263"/>
        <v>2028</v>
      </c>
      <c r="AS88" s="36">
        <f t="shared" si="263"/>
        <v>2029</v>
      </c>
      <c r="AT88" s="36">
        <f t="shared" si="263"/>
        <v>2030</v>
      </c>
      <c r="AU88" s="36">
        <f t="shared" si="263"/>
        <v>2031</v>
      </c>
      <c r="AV88" s="36">
        <f t="shared" si="263"/>
        <v>2032</v>
      </c>
      <c r="AW88" s="36">
        <f t="shared" si="263"/>
        <v>2033</v>
      </c>
      <c r="AX88" s="36">
        <f t="shared" si="263"/>
        <v>2034</v>
      </c>
      <c r="AY88" s="36">
        <f t="shared" si="263"/>
        <v>2035</v>
      </c>
      <c r="AZ88" s="36">
        <f t="shared" si="263"/>
        <v>2036</v>
      </c>
      <c r="BA88" s="36">
        <f t="shared" si="263"/>
        <v>2037</v>
      </c>
      <c r="BB88" s="36">
        <f t="shared" si="263"/>
        <v>2038</v>
      </c>
    </row>
    <row r="89" spans="12:54" x14ac:dyDescent="0.25">
      <c r="AG89" s="1" t="s">
        <v>52</v>
      </c>
      <c r="AH89" s="1"/>
      <c r="AI89" s="39">
        <f ca="1">AI71*13</f>
        <v>33360.913967338012</v>
      </c>
      <c r="AJ89" s="37">
        <f ca="1">AJ71*13</f>
        <v>23090.816491706504</v>
      </c>
      <c r="AK89" s="37">
        <f t="shared" ref="AK89:BB93" ca="1" si="264">AK71*13</f>
        <v>11968.979604063747</v>
      </c>
      <c r="AL89" s="37">
        <f t="shared" ca="1" si="264"/>
        <v>0</v>
      </c>
      <c r="AM89" s="37">
        <f t="shared" ca="1" si="264"/>
        <v>0</v>
      </c>
      <c r="AN89" s="37">
        <f t="shared" ca="1" si="264"/>
        <v>0</v>
      </c>
      <c r="AO89" s="37">
        <f t="shared" ca="1" si="264"/>
        <v>0</v>
      </c>
      <c r="AP89" s="37">
        <f t="shared" ca="1" si="264"/>
        <v>0</v>
      </c>
      <c r="AQ89" s="37">
        <f t="shared" ca="1" si="264"/>
        <v>0</v>
      </c>
      <c r="AR89" s="37">
        <f t="shared" ca="1" si="264"/>
        <v>0</v>
      </c>
      <c r="AS89" s="39">
        <f ca="1">AS71*13</f>
        <v>0</v>
      </c>
      <c r="AT89" s="37">
        <f t="shared" ca="1" si="264"/>
        <v>0</v>
      </c>
      <c r="AU89" s="37">
        <f t="shared" ca="1" si="264"/>
        <v>0</v>
      </c>
      <c r="AV89" s="37">
        <f t="shared" ca="1" si="264"/>
        <v>0</v>
      </c>
      <c r="AW89" s="37">
        <f t="shared" ca="1" si="264"/>
        <v>0</v>
      </c>
      <c r="AX89" s="37">
        <f t="shared" ca="1" si="264"/>
        <v>0</v>
      </c>
      <c r="AY89" s="37">
        <f t="shared" ca="1" si="264"/>
        <v>0</v>
      </c>
      <c r="AZ89" s="37" t="e">
        <f t="shared" ca="1" si="264"/>
        <v>#N/A</v>
      </c>
      <c r="BA89" s="37" t="e">
        <f t="shared" ca="1" si="264"/>
        <v>#N/A</v>
      </c>
      <c r="BB89" s="37" t="e">
        <f t="shared" ca="1" si="264"/>
        <v>#N/A</v>
      </c>
    </row>
    <row r="90" spans="12:54" x14ac:dyDescent="0.25">
      <c r="AG90" s="1" t="s">
        <v>54</v>
      </c>
      <c r="AH90" s="1"/>
      <c r="AI90" s="37">
        <f t="shared" ref="AI90" ca="1" si="265">AI72*13</f>
        <v>0</v>
      </c>
      <c r="AJ90" s="37">
        <f t="shared" ref="AJ90:AY93" ca="1" si="266">AJ72*13</f>
        <v>0</v>
      </c>
      <c r="AK90" s="37">
        <f t="shared" ca="1" si="266"/>
        <v>0</v>
      </c>
      <c r="AL90" s="37">
        <f t="shared" ca="1" si="266"/>
        <v>0</v>
      </c>
      <c r="AM90" s="37">
        <f t="shared" ca="1" si="266"/>
        <v>0</v>
      </c>
      <c r="AN90" s="37">
        <f t="shared" ca="1" si="266"/>
        <v>0</v>
      </c>
      <c r="AO90" s="37">
        <f t="shared" ca="1" si="266"/>
        <v>0</v>
      </c>
      <c r="AP90" s="37">
        <f t="shared" ca="1" si="266"/>
        <v>0</v>
      </c>
      <c r="AQ90" s="37">
        <f t="shared" ca="1" si="266"/>
        <v>0</v>
      </c>
      <c r="AR90" s="37">
        <f t="shared" ca="1" si="266"/>
        <v>0</v>
      </c>
      <c r="AS90" s="37">
        <f t="shared" ca="1" si="266"/>
        <v>0</v>
      </c>
      <c r="AT90" s="37">
        <f t="shared" ca="1" si="266"/>
        <v>0</v>
      </c>
      <c r="AU90" s="37">
        <f t="shared" ca="1" si="266"/>
        <v>0</v>
      </c>
      <c r="AV90" s="37">
        <f t="shared" ca="1" si="266"/>
        <v>0</v>
      </c>
      <c r="AW90" s="37">
        <f t="shared" ca="1" si="266"/>
        <v>0</v>
      </c>
      <c r="AX90" s="37">
        <f t="shared" ca="1" si="266"/>
        <v>0</v>
      </c>
      <c r="AY90" s="37">
        <f t="shared" ca="1" si="266"/>
        <v>0</v>
      </c>
      <c r="AZ90" s="37" t="e">
        <f t="shared" ca="1" si="264"/>
        <v>#N/A</v>
      </c>
      <c r="BA90" s="37" t="e">
        <f t="shared" ca="1" si="264"/>
        <v>#N/A</v>
      </c>
      <c r="BB90" s="37" t="e">
        <f t="shared" ca="1" si="264"/>
        <v>#N/A</v>
      </c>
    </row>
    <row r="91" spans="12:54" x14ac:dyDescent="0.25">
      <c r="AG91" s="1" t="s">
        <v>56</v>
      </c>
      <c r="AH91" s="1"/>
      <c r="AI91" s="37">
        <f t="shared" ref="AI91" ca="1" si="267">AI73*13</f>
        <v>681596.34935565572</v>
      </c>
      <c r="AJ91" s="37">
        <f t="shared" ca="1" si="266"/>
        <v>699126.60243325203</v>
      </c>
      <c r="AK91" s="37">
        <f t="shared" ca="1" si="264"/>
        <v>715937.37557823374</v>
      </c>
      <c r="AL91" s="37">
        <f t="shared" ca="1" si="264"/>
        <v>733038.1389136255</v>
      </c>
      <c r="AM91" s="37">
        <f t="shared" ca="1" si="264"/>
        <v>767802.78458963963</v>
      </c>
      <c r="AN91" s="37">
        <f t="shared" ca="1" si="264"/>
        <v>803870.36908782274</v>
      </c>
      <c r="AO91" s="37">
        <f t="shared" ca="1" si="264"/>
        <v>841211.02825938084</v>
      </c>
      <c r="AP91" s="37">
        <f t="shared" ca="1" si="264"/>
        <v>879242.9902204359</v>
      </c>
      <c r="AQ91" s="37">
        <f t="shared" ca="1" si="264"/>
        <v>918649.95038670814</v>
      </c>
      <c r="AR91" s="37">
        <f t="shared" ca="1" si="264"/>
        <v>959467.97287362244</v>
      </c>
      <c r="AS91" s="37">
        <f ca="1">AS73*13</f>
        <v>1001776.3957294166</v>
      </c>
      <c r="AT91" s="37">
        <f t="shared" ca="1" si="264"/>
        <v>1045624.0211457498</v>
      </c>
      <c r="AU91" s="37">
        <f t="shared" ca="1" si="264"/>
        <v>1101750.1811654363</v>
      </c>
      <c r="AV91" s="37">
        <f t="shared" ca="1" si="264"/>
        <v>1172749.8484289618</v>
      </c>
      <c r="AW91" s="37">
        <f t="shared" ca="1" si="264"/>
        <v>1246929.4262429173</v>
      </c>
      <c r="AX91" s="37">
        <f t="shared" ca="1" si="264"/>
        <v>1324287.6219950188</v>
      </c>
      <c r="AY91" s="37">
        <f t="shared" ca="1" si="264"/>
        <v>1404842.4940970815</v>
      </c>
      <c r="AZ91" s="37" t="e">
        <f t="shared" ca="1" si="264"/>
        <v>#N/A</v>
      </c>
      <c r="BA91" s="37" t="e">
        <f t="shared" ca="1" si="264"/>
        <v>#N/A</v>
      </c>
      <c r="BB91" s="37" t="e">
        <f t="shared" ca="1" si="264"/>
        <v>#N/A</v>
      </c>
    </row>
    <row r="92" spans="12:54" x14ac:dyDescent="0.25">
      <c r="AG92" s="1" t="s">
        <v>57</v>
      </c>
      <c r="AH92" s="1"/>
      <c r="AI92" s="37">
        <f t="shared" ref="AI92" ca="1" si="268">AI74*13</f>
        <v>0</v>
      </c>
      <c r="AJ92" s="37">
        <f t="shared" ca="1" si="266"/>
        <v>0</v>
      </c>
      <c r="AK92" s="37">
        <f t="shared" ca="1" si="264"/>
        <v>0</v>
      </c>
      <c r="AL92" s="37">
        <f t="shared" ca="1" si="264"/>
        <v>0</v>
      </c>
      <c r="AM92" s="37">
        <f t="shared" ca="1" si="264"/>
        <v>0</v>
      </c>
      <c r="AN92" s="37">
        <f t="shared" ca="1" si="264"/>
        <v>0</v>
      </c>
      <c r="AO92" s="37">
        <f t="shared" ca="1" si="264"/>
        <v>0</v>
      </c>
      <c r="AP92" s="37">
        <f t="shared" ca="1" si="264"/>
        <v>0</v>
      </c>
      <c r="AQ92" s="37">
        <f t="shared" ca="1" si="264"/>
        <v>0</v>
      </c>
      <c r="AR92" s="37">
        <f t="shared" ca="1" si="264"/>
        <v>0</v>
      </c>
      <c r="AS92" s="37">
        <f t="shared" ca="1" si="264"/>
        <v>0</v>
      </c>
      <c r="AT92" s="37">
        <f t="shared" ca="1" si="264"/>
        <v>0</v>
      </c>
      <c r="AU92" s="37">
        <f t="shared" ca="1" si="264"/>
        <v>0</v>
      </c>
      <c r="AV92" s="37">
        <f t="shared" ca="1" si="264"/>
        <v>0</v>
      </c>
      <c r="AW92" s="37">
        <f t="shared" ca="1" si="264"/>
        <v>0</v>
      </c>
      <c r="AX92" s="37">
        <f t="shared" ca="1" si="264"/>
        <v>0</v>
      </c>
      <c r="AY92" s="37">
        <f t="shared" ca="1" si="264"/>
        <v>0</v>
      </c>
      <c r="AZ92" s="37" t="e">
        <f t="shared" ca="1" si="264"/>
        <v>#N/A</v>
      </c>
      <c r="BA92" s="37" t="e">
        <f t="shared" ca="1" si="264"/>
        <v>#N/A</v>
      </c>
      <c r="BB92" s="37" t="e">
        <f t="shared" ca="1" si="264"/>
        <v>#N/A</v>
      </c>
    </row>
    <row r="93" spans="12:54" x14ac:dyDescent="0.25">
      <c r="AG93" s="1" t="s">
        <v>59</v>
      </c>
      <c r="AH93" s="1"/>
      <c r="AI93" s="37">
        <f t="shared" ref="AI93" ca="1" si="269">AI75*13</f>
        <v>167966.37107550257</v>
      </c>
      <c r="AJ93" s="37">
        <f t="shared" ca="1" si="266"/>
        <v>171940.22304077636</v>
      </c>
      <c r="AK93" s="37">
        <f t="shared" ca="1" si="264"/>
        <v>175711.37473582765</v>
      </c>
      <c r="AL93" s="37">
        <f t="shared" ca="1" si="264"/>
        <v>179527.19685361147</v>
      </c>
      <c r="AM93" s="37">
        <f t="shared" ca="1" si="264"/>
        <v>187730.38867526315</v>
      </c>
      <c r="AN93" s="37">
        <f t="shared" ca="1" si="264"/>
        <v>196230.18033286073</v>
      </c>
      <c r="AO93" s="37">
        <f t="shared" ca="1" si="264"/>
        <v>205018.43155862836</v>
      </c>
      <c r="AP93" s="37">
        <f t="shared" ca="1" si="264"/>
        <v>213952.78254727306</v>
      </c>
      <c r="AQ93" s="37">
        <f t="shared" ca="1" si="264"/>
        <v>223199.23692875562</v>
      </c>
      <c r="AR93" s="37">
        <f t="shared" ca="1" si="264"/>
        <v>232765.68807237269</v>
      </c>
      <c r="AS93" s="39">
        <f ca="1">AS75*13</f>
        <v>242670.49387760632</v>
      </c>
      <c r="AT93" s="37">
        <f t="shared" ca="1" si="264"/>
        <v>252924.54784019946</v>
      </c>
      <c r="AU93" s="37">
        <f t="shared" ca="1" si="264"/>
        <v>266216.94624925143</v>
      </c>
      <c r="AV93" s="37">
        <f t="shared" ca="1" si="264"/>
        <v>283189.85550847196</v>
      </c>
      <c r="AW93" s="37">
        <f t="shared" ca="1" si="264"/>
        <v>300919.28208854038</v>
      </c>
      <c r="AX93" s="37">
        <f t="shared" ca="1" si="264"/>
        <v>319404.51315910288</v>
      </c>
      <c r="AY93" s="37">
        <f t="shared" ca="1" si="264"/>
        <v>338649.5452924124</v>
      </c>
      <c r="AZ93" s="37" t="e">
        <f t="shared" ca="1" si="264"/>
        <v>#N/A</v>
      </c>
      <c r="BA93" s="37" t="e">
        <f t="shared" ca="1" si="264"/>
        <v>#N/A</v>
      </c>
      <c r="BB93" s="37" t="e">
        <f t="shared" ca="1" si="264"/>
        <v>#N/A</v>
      </c>
    </row>
    <row r="94" spans="12:54" x14ac:dyDescent="0.25">
      <c r="AG94" s="12" t="s">
        <v>60</v>
      </c>
      <c r="AH94" s="12"/>
      <c r="AI94" s="45">
        <f ca="1">SUM(AI89:AI93)</f>
        <v>882923.63439849636</v>
      </c>
      <c r="AJ94" s="45">
        <f ca="1">SUM(AJ89:AJ93)</f>
        <v>894157.64196573489</v>
      </c>
      <c r="AK94" s="45">
        <f t="shared" ref="AK94:BB94" ca="1" si="270">SUM(AK89:AK93)</f>
        <v>903617.7299181252</v>
      </c>
      <c r="AL94" s="45">
        <f t="shared" ca="1" si="270"/>
        <v>912565.335767237</v>
      </c>
      <c r="AM94" s="45">
        <f t="shared" ca="1" si="270"/>
        <v>955533.17326490278</v>
      </c>
      <c r="AN94" s="45">
        <f t="shared" ca="1" si="270"/>
        <v>1000100.5494206834</v>
      </c>
      <c r="AO94" s="45">
        <f t="shared" ca="1" si="270"/>
        <v>1046229.4598180092</v>
      </c>
      <c r="AP94" s="45">
        <f t="shared" ca="1" si="270"/>
        <v>1093195.7727677089</v>
      </c>
      <c r="AQ94" s="45">
        <f t="shared" ca="1" si="270"/>
        <v>1141849.1873154638</v>
      </c>
      <c r="AR94" s="45">
        <f t="shared" ca="1" si="270"/>
        <v>1192233.6609459952</v>
      </c>
      <c r="AS94" s="45">
        <f t="shared" ca="1" si="270"/>
        <v>1244446.889607023</v>
      </c>
      <c r="AT94" s="45">
        <f t="shared" ca="1" si="270"/>
        <v>1298548.5689859493</v>
      </c>
      <c r="AU94" s="45">
        <f t="shared" ca="1" si="270"/>
        <v>1367967.1274146878</v>
      </c>
      <c r="AV94" s="45">
        <f t="shared" ca="1" si="270"/>
        <v>1455939.7039374337</v>
      </c>
      <c r="AW94" s="45">
        <f t="shared" ca="1" si="270"/>
        <v>1547848.7083314578</v>
      </c>
      <c r="AX94" s="45">
        <f t="shared" ca="1" si="270"/>
        <v>1643692.1351541216</v>
      </c>
      <c r="AY94" s="45">
        <f t="shared" ca="1" si="270"/>
        <v>1743492.0393894939</v>
      </c>
      <c r="AZ94" s="45" t="e">
        <f t="shared" ca="1" si="270"/>
        <v>#N/A</v>
      </c>
      <c r="BA94" s="45" t="e">
        <f t="shared" ca="1" si="270"/>
        <v>#N/A</v>
      </c>
      <c r="BB94" s="45" t="e">
        <f t="shared" ca="1" si="270"/>
        <v>#N/A</v>
      </c>
    </row>
    <row r="95" spans="12:54" x14ac:dyDescent="0.25">
      <c r="AK95" s="42"/>
      <c r="AL95" s="42"/>
      <c r="AM95" s="42"/>
      <c r="AN95" s="42"/>
      <c r="AO95" s="42"/>
      <c r="AP95" s="42"/>
      <c r="AQ95" s="42"/>
      <c r="AR95" s="42"/>
      <c r="AS95" s="42"/>
      <c r="AT95" s="42"/>
      <c r="AU95" s="42"/>
      <c r="AV95" s="42"/>
      <c r="AW95" s="42"/>
      <c r="AX95" s="42"/>
      <c r="AY95" s="42"/>
      <c r="AZ95" s="42"/>
      <c r="BA95" s="42"/>
      <c r="BB95" s="42"/>
    </row>
    <row r="96" spans="12:54" x14ac:dyDescent="0.25">
      <c r="AF96" s="6" t="s">
        <v>116</v>
      </c>
      <c r="AG96" s="6" t="s">
        <v>180</v>
      </c>
      <c r="AH96" s="6"/>
      <c r="AS96" s="142"/>
    </row>
    <row r="97" spans="32:54" x14ac:dyDescent="0.25">
      <c r="AF97" s="6" t="s">
        <v>178</v>
      </c>
      <c r="AG97" s="38"/>
      <c r="AH97" s="36">
        <f>AI97-1</f>
        <v>2018</v>
      </c>
      <c r="AI97" s="36">
        <f>Yr_Start</f>
        <v>2019</v>
      </c>
      <c r="AJ97" s="36">
        <f>AI97+1</f>
        <v>2020</v>
      </c>
      <c r="AK97" s="36">
        <f t="shared" ref="AK97:BB97" si="271">AJ97+1</f>
        <v>2021</v>
      </c>
      <c r="AL97" s="36">
        <f t="shared" si="271"/>
        <v>2022</v>
      </c>
      <c r="AM97" s="36">
        <f t="shared" si="271"/>
        <v>2023</v>
      </c>
      <c r="AN97" s="36">
        <f t="shared" si="271"/>
        <v>2024</v>
      </c>
      <c r="AO97" s="36">
        <f t="shared" si="271"/>
        <v>2025</v>
      </c>
      <c r="AP97" s="36">
        <f t="shared" si="271"/>
        <v>2026</v>
      </c>
      <c r="AQ97" s="36">
        <f t="shared" si="271"/>
        <v>2027</v>
      </c>
      <c r="AR97" s="36">
        <f t="shared" si="271"/>
        <v>2028</v>
      </c>
      <c r="AS97" s="36">
        <f t="shared" si="271"/>
        <v>2029</v>
      </c>
      <c r="AT97" s="36">
        <f t="shared" si="271"/>
        <v>2030</v>
      </c>
      <c r="AU97" s="36">
        <f t="shared" si="271"/>
        <v>2031</v>
      </c>
      <c r="AV97" s="36">
        <f t="shared" si="271"/>
        <v>2032</v>
      </c>
      <c r="AW97" s="36">
        <f t="shared" si="271"/>
        <v>2033</v>
      </c>
      <c r="AX97" s="36">
        <f t="shared" si="271"/>
        <v>2034</v>
      </c>
      <c r="AY97" s="36">
        <f t="shared" si="271"/>
        <v>2035</v>
      </c>
      <c r="AZ97" s="36">
        <f t="shared" si="271"/>
        <v>2036</v>
      </c>
      <c r="BA97" s="36">
        <f t="shared" si="271"/>
        <v>2037</v>
      </c>
      <c r="BB97" s="36">
        <f t="shared" si="271"/>
        <v>2038</v>
      </c>
    </row>
    <row r="98" spans="32:54" x14ac:dyDescent="0.25">
      <c r="AG98" s="1" t="s">
        <v>52</v>
      </c>
      <c r="AH98" s="1"/>
      <c r="AI98" s="39">
        <f ca="1">AI80*13</f>
        <v>0</v>
      </c>
      <c r="AJ98" s="39">
        <f ca="1">AJ80*13</f>
        <v>0</v>
      </c>
      <c r="AK98" s="37">
        <f t="shared" ref="AK98:AR98" ca="1" si="272">AK80*13</f>
        <v>0</v>
      </c>
      <c r="AL98" s="37">
        <f t="shared" ca="1" si="272"/>
        <v>0</v>
      </c>
      <c r="AM98" s="37">
        <f t="shared" ca="1" si="272"/>
        <v>0</v>
      </c>
      <c r="AN98" s="37">
        <f t="shared" ca="1" si="272"/>
        <v>0</v>
      </c>
      <c r="AO98" s="37">
        <f t="shared" ca="1" si="272"/>
        <v>0</v>
      </c>
      <c r="AP98" s="37">
        <f t="shared" ca="1" si="272"/>
        <v>0</v>
      </c>
      <c r="AQ98" s="37">
        <f t="shared" ca="1" si="272"/>
        <v>0</v>
      </c>
      <c r="AR98" s="37">
        <f t="shared" ca="1" si="272"/>
        <v>0</v>
      </c>
      <c r="AS98" s="39">
        <f ca="1">AS80*13</f>
        <v>0</v>
      </c>
      <c r="AT98" s="37">
        <f t="shared" ref="AT98:BB98" ca="1" si="273">AT80*13</f>
        <v>0</v>
      </c>
      <c r="AU98" s="37">
        <f t="shared" ca="1" si="273"/>
        <v>0</v>
      </c>
      <c r="AV98" s="37">
        <f t="shared" ca="1" si="273"/>
        <v>0</v>
      </c>
      <c r="AW98" s="37">
        <f t="shared" ca="1" si="273"/>
        <v>0</v>
      </c>
      <c r="AX98" s="37">
        <f t="shared" ca="1" si="273"/>
        <v>0</v>
      </c>
      <c r="AY98" s="37">
        <f t="shared" ca="1" si="273"/>
        <v>0</v>
      </c>
      <c r="AZ98" s="37" t="e">
        <f t="shared" ca="1" si="273"/>
        <v>#N/A</v>
      </c>
      <c r="BA98" s="37" t="e">
        <f t="shared" ca="1" si="273"/>
        <v>#N/A</v>
      </c>
      <c r="BB98" s="37" t="e">
        <f t="shared" ca="1" si="273"/>
        <v>#N/A</v>
      </c>
    </row>
    <row r="99" spans="32:54" x14ac:dyDescent="0.25">
      <c r="AG99" s="1" t="s">
        <v>54</v>
      </c>
      <c r="AH99" s="1"/>
      <c r="AI99" s="39">
        <f ca="1">AI81*13</f>
        <v>37954.565223938029</v>
      </c>
      <c r="AJ99" s="37">
        <f t="shared" ref="AJ99:BB99" ca="1" si="274">AJ81*13</f>
        <v>44331.165768561303</v>
      </c>
      <c r="AK99" s="37">
        <f t="shared" ca="1" si="274"/>
        <v>51063.958127524056</v>
      </c>
      <c r="AL99" s="37">
        <f t="shared" ca="1" si="274"/>
        <v>58230.901579961246</v>
      </c>
      <c r="AM99" s="37">
        <f t="shared" ca="1" si="274"/>
        <v>65844.068059153404</v>
      </c>
      <c r="AN99" s="37">
        <f t="shared" ca="1" si="274"/>
        <v>73911.788702765814</v>
      </c>
      <c r="AO99" s="37">
        <f t="shared" ca="1" si="274"/>
        <v>82444.582669487951</v>
      </c>
      <c r="AP99" s="37">
        <f t="shared" ca="1" si="274"/>
        <v>91394.34726254351</v>
      </c>
      <c r="AQ99" s="37">
        <f t="shared" ca="1" si="274"/>
        <v>100837.84645328572</v>
      </c>
      <c r="AR99" s="37">
        <f t="shared" ca="1" si="274"/>
        <v>110792.59566516052</v>
      </c>
      <c r="AS99" s="37">
        <f t="shared" ca="1" si="274"/>
        <v>121281.63259854454</v>
      </c>
      <c r="AT99" s="37">
        <f t="shared" ca="1" si="274"/>
        <v>132325.34951934149</v>
      </c>
      <c r="AU99" s="37">
        <f t="shared" ca="1" si="274"/>
        <v>143857.23193904533</v>
      </c>
      <c r="AV99" s="37">
        <f t="shared" ca="1" si="274"/>
        <v>155979.88858928016</v>
      </c>
      <c r="AW99" s="37">
        <f t="shared" ca="1" si="274"/>
        <v>168702.59244721383</v>
      </c>
      <c r="AX99" s="37">
        <f t="shared" ca="1" si="274"/>
        <v>182031.42314986503</v>
      </c>
      <c r="AY99" s="37">
        <f t="shared" ca="1" si="274"/>
        <v>195974.46286872082</v>
      </c>
      <c r="AZ99" s="37" t="e">
        <f t="shared" ca="1" si="274"/>
        <v>#N/A</v>
      </c>
      <c r="BA99" s="37" t="e">
        <f t="shared" ca="1" si="274"/>
        <v>#N/A</v>
      </c>
      <c r="BB99" s="37" t="e">
        <f t="shared" ca="1" si="274"/>
        <v>#N/A</v>
      </c>
    </row>
    <row r="100" spans="32:54" x14ac:dyDescent="0.25">
      <c r="AG100" s="1" t="s">
        <v>56</v>
      </c>
      <c r="AH100" s="1"/>
      <c r="AI100" s="37">
        <f ca="1">AI82*13</f>
        <v>498828.08315054199</v>
      </c>
      <c r="AJ100" s="37">
        <f t="shared" ref="AJ100:AR100" ca="1" si="275">AJ82*13</f>
        <v>508319.40039135853</v>
      </c>
      <c r="AK100" s="37">
        <f t="shared" ca="1" si="275"/>
        <v>517039.22111516906</v>
      </c>
      <c r="AL100" s="37">
        <f t="shared" ca="1" si="275"/>
        <v>525712.88583468529</v>
      </c>
      <c r="AM100" s="37">
        <f t="shared" ca="1" si="275"/>
        <v>534238.83570596168</v>
      </c>
      <c r="AN100" s="37">
        <f t="shared" ca="1" si="275"/>
        <v>542512.08081240754</v>
      </c>
      <c r="AO100" s="37">
        <f t="shared" ca="1" si="275"/>
        <v>550467.60896430071</v>
      </c>
      <c r="AP100" s="37">
        <f t="shared" ca="1" si="275"/>
        <v>557694.57558960572</v>
      </c>
      <c r="AQ100" s="37">
        <f t="shared" ca="1" si="275"/>
        <v>564607.37916574068</v>
      </c>
      <c r="AR100" s="37">
        <f t="shared" ca="1" si="275"/>
        <v>571182.34070709895</v>
      </c>
      <c r="AS100" s="37">
        <f ca="1">AS82*13</f>
        <v>577419.76629079331</v>
      </c>
      <c r="AT100" s="37">
        <f t="shared" ref="AT100:BB100" ca="1" si="276">AT82*13</f>
        <v>583298.80566233618</v>
      </c>
      <c r="AU100" s="37">
        <f t="shared" ca="1" si="276"/>
        <v>588439.36142967246</v>
      </c>
      <c r="AV100" s="37">
        <f t="shared" ca="1" si="276"/>
        <v>593201.55721468036</v>
      </c>
      <c r="AW100" s="37">
        <f t="shared" ca="1" si="276"/>
        <v>597513.18589881749</v>
      </c>
      <c r="AX100" s="37">
        <f t="shared" ca="1" si="276"/>
        <v>601300.91383177612</v>
      </c>
      <c r="AY100" s="37">
        <f t="shared" ca="1" si="276"/>
        <v>604507.83645281638</v>
      </c>
      <c r="AZ100" s="37" t="e">
        <f t="shared" ca="1" si="276"/>
        <v>#N/A</v>
      </c>
      <c r="BA100" s="37" t="e">
        <f t="shared" ca="1" si="276"/>
        <v>#N/A</v>
      </c>
      <c r="BB100" s="37" t="e">
        <f t="shared" ca="1" si="276"/>
        <v>#N/A</v>
      </c>
    </row>
    <row r="101" spans="32:54" x14ac:dyDescent="0.25">
      <c r="AG101" s="1" t="s">
        <v>57</v>
      </c>
      <c r="AH101" s="1"/>
      <c r="AI101" s="37">
        <f t="shared" ref="AI101" ca="1" si="277">AI83*13</f>
        <v>0</v>
      </c>
      <c r="AJ101" s="37">
        <f t="shared" ref="AJ101:BB101" ca="1" si="278">AJ83*13</f>
        <v>0</v>
      </c>
      <c r="AK101" s="37">
        <f t="shared" ca="1" si="278"/>
        <v>0</v>
      </c>
      <c r="AL101" s="37">
        <f t="shared" ca="1" si="278"/>
        <v>0</v>
      </c>
      <c r="AM101" s="37">
        <f t="shared" ca="1" si="278"/>
        <v>0</v>
      </c>
      <c r="AN101" s="37">
        <f t="shared" ca="1" si="278"/>
        <v>0</v>
      </c>
      <c r="AO101" s="37">
        <f t="shared" ca="1" si="278"/>
        <v>0</v>
      </c>
      <c r="AP101" s="37">
        <f t="shared" ca="1" si="278"/>
        <v>0</v>
      </c>
      <c r="AQ101" s="37">
        <f t="shared" ca="1" si="278"/>
        <v>0</v>
      </c>
      <c r="AR101" s="37">
        <f t="shared" ca="1" si="278"/>
        <v>0</v>
      </c>
      <c r="AS101" s="37">
        <f t="shared" ca="1" si="278"/>
        <v>0</v>
      </c>
      <c r="AT101" s="37">
        <f t="shared" ca="1" si="278"/>
        <v>0</v>
      </c>
      <c r="AU101" s="37">
        <f t="shared" ca="1" si="278"/>
        <v>0</v>
      </c>
      <c r="AV101" s="37">
        <f t="shared" ca="1" si="278"/>
        <v>0</v>
      </c>
      <c r="AW101" s="37">
        <f t="shared" ca="1" si="278"/>
        <v>0</v>
      </c>
      <c r="AX101" s="37">
        <f t="shared" ca="1" si="278"/>
        <v>0</v>
      </c>
      <c r="AY101" s="37">
        <f t="shared" ca="1" si="278"/>
        <v>0</v>
      </c>
      <c r="AZ101" s="37" t="e">
        <f t="shared" ca="1" si="278"/>
        <v>#N/A</v>
      </c>
      <c r="BA101" s="37" t="e">
        <f t="shared" ca="1" si="278"/>
        <v>#N/A</v>
      </c>
      <c r="BB101" s="37" t="e">
        <f t="shared" ca="1" si="278"/>
        <v>#N/A</v>
      </c>
    </row>
    <row r="102" spans="32:54" x14ac:dyDescent="0.25">
      <c r="AG102" s="1" t="s">
        <v>59</v>
      </c>
      <c r="AH102" s="1"/>
      <c r="AI102" s="37">
        <f t="shared" ref="AI102" ca="1" si="279">AI84*13</f>
        <v>122384.94901300414</v>
      </c>
      <c r="AJ102" s="37">
        <f t="shared" ref="AJ102:AR102" ca="1" si="280">AJ84*13</f>
        <v>124367.65597414682</v>
      </c>
      <c r="AK102" s="37">
        <f t="shared" ca="1" si="280"/>
        <v>126135.69688315463</v>
      </c>
      <c r="AL102" s="37">
        <f t="shared" ca="1" si="280"/>
        <v>127865.63729593973</v>
      </c>
      <c r="AM102" s="37">
        <f t="shared" ca="1" si="280"/>
        <v>129531.34893698811</v>
      </c>
      <c r="AN102" s="37">
        <f t="shared" ca="1" si="280"/>
        <v>131106.07462563118</v>
      </c>
      <c r="AO102" s="37">
        <f t="shared" ca="1" si="280"/>
        <v>132572.91774912964</v>
      </c>
      <c r="AP102" s="37">
        <f t="shared" ca="1" si="280"/>
        <v>133832.11010200548</v>
      </c>
      <c r="AQ102" s="37">
        <f t="shared" ca="1" si="280"/>
        <v>134982.55486063904</v>
      </c>
      <c r="AR102" s="37">
        <f t="shared" ca="1" si="280"/>
        <v>136017.26067972707</v>
      </c>
      <c r="AS102" s="39">
        <f ca="1">AS84*13</f>
        <v>136934.894625074</v>
      </c>
      <c r="AT102" s="37">
        <f t="shared" ref="AT102:BB102" ca="1" si="281">AT84*13</f>
        <v>137728.99652806509</v>
      </c>
      <c r="AU102" s="37">
        <f t="shared" ca="1" si="281"/>
        <v>138308.61141720176</v>
      </c>
      <c r="AV102" s="37">
        <f t="shared" ca="1" si="281"/>
        <v>138757.49256473256</v>
      </c>
      <c r="AW102" s="37">
        <f t="shared" ca="1" si="281"/>
        <v>139057.02086747545</v>
      </c>
      <c r="AX102" s="37">
        <f t="shared" ca="1" si="281"/>
        <v>139188.49095882272</v>
      </c>
      <c r="AY102" s="37">
        <f t="shared" ca="1" si="281"/>
        <v>139137.18222889444</v>
      </c>
      <c r="AZ102" s="37" t="e">
        <f t="shared" ca="1" si="281"/>
        <v>#N/A</v>
      </c>
      <c r="BA102" s="37" t="e">
        <f t="shared" ca="1" si="281"/>
        <v>#N/A</v>
      </c>
      <c r="BB102" s="37" t="e">
        <f t="shared" ca="1" si="281"/>
        <v>#N/A</v>
      </c>
    </row>
    <row r="103" spans="32:54" x14ac:dyDescent="0.25">
      <c r="AG103" s="12" t="s">
        <v>60</v>
      </c>
      <c r="AH103" s="12"/>
      <c r="AI103" s="45">
        <f ca="1">SUM(AI98:AI102)</f>
        <v>659167.59738748404</v>
      </c>
      <c r="AJ103" s="45">
        <f ca="1">SUM(AJ98:AJ102)</f>
        <v>677018.22213406663</v>
      </c>
      <c r="AK103" s="45">
        <f t="shared" ref="AK103" ca="1" si="282">SUM(AK98:AK102)</f>
        <v>694238.87612584769</v>
      </c>
      <c r="AL103" s="45">
        <f t="shared" ref="AL103" ca="1" si="283">SUM(AL98:AL102)</f>
        <v>711809.42471058632</v>
      </c>
      <c r="AM103" s="45">
        <f t="shared" ref="AM103" ca="1" si="284">SUM(AM98:AM102)</f>
        <v>729614.25270210323</v>
      </c>
      <c r="AN103" s="45">
        <f t="shared" ref="AN103" ca="1" si="285">SUM(AN98:AN102)</f>
        <v>747529.94414080458</v>
      </c>
      <c r="AO103" s="45">
        <f t="shared" ref="AO103" ca="1" si="286">SUM(AO98:AO102)</f>
        <v>765485.10938291834</v>
      </c>
      <c r="AP103" s="45">
        <f t="shared" ref="AP103" ca="1" si="287">SUM(AP98:AP102)</f>
        <v>782921.03295415477</v>
      </c>
      <c r="AQ103" s="45">
        <f t="shared" ref="AQ103" ca="1" si="288">SUM(AQ98:AQ102)</f>
        <v>800427.7804796655</v>
      </c>
      <c r="AR103" s="45">
        <f t="shared" ref="AR103" ca="1" si="289">SUM(AR98:AR102)</f>
        <v>817992.19705198659</v>
      </c>
      <c r="AS103" s="45">
        <f t="shared" ref="AS103" ca="1" si="290">SUM(AS98:AS102)</f>
        <v>835636.2935144119</v>
      </c>
      <c r="AT103" s="45">
        <f t="shared" ref="AT103" ca="1" si="291">SUM(AT98:AT102)</f>
        <v>853353.15170974273</v>
      </c>
      <c r="AU103" s="45">
        <f t="shared" ref="AU103" ca="1" si="292">SUM(AU98:AU102)</f>
        <v>870605.20478591952</v>
      </c>
      <c r="AV103" s="45">
        <f t="shared" ref="AV103" ca="1" si="293">SUM(AV98:AV102)</f>
        <v>887938.93836869311</v>
      </c>
      <c r="AW103" s="45">
        <f t="shared" ref="AW103" ca="1" si="294">SUM(AW98:AW102)</f>
        <v>905272.79921350675</v>
      </c>
      <c r="AX103" s="45">
        <f t="shared" ref="AX103" ca="1" si="295">SUM(AX98:AX102)</f>
        <v>922520.82794046379</v>
      </c>
      <c r="AY103" s="45">
        <f t="shared" ref="AY103" ca="1" si="296">SUM(AY98:AY102)</f>
        <v>939619.48155043158</v>
      </c>
      <c r="AZ103" s="45" t="e">
        <f t="shared" ref="AZ103" ca="1" si="297">SUM(AZ98:AZ102)</f>
        <v>#N/A</v>
      </c>
      <c r="BA103" s="45" t="e">
        <f t="shared" ref="BA103" ca="1" si="298">SUM(BA98:BA102)</f>
        <v>#N/A</v>
      </c>
      <c r="BB103" s="45" t="e">
        <f t="shared" ref="BB103" ca="1" si="299">SUM(BB98:BB102)</f>
        <v>#N/A</v>
      </c>
    </row>
    <row r="104" spans="32:54" x14ac:dyDescent="0.25">
      <c r="AK104" s="42"/>
      <c r="AL104" s="42"/>
      <c r="AM104" s="42"/>
      <c r="AN104" s="42"/>
      <c r="AO104" s="42"/>
      <c r="AP104" s="42"/>
      <c r="AQ104" s="42"/>
      <c r="AR104" s="42"/>
      <c r="AS104" s="42"/>
      <c r="AT104" s="42"/>
      <c r="AU104" s="42"/>
      <c r="AV104" s="42"/>
      <c r="AW104" s="42"/>
      <c r="AX104" s="42"/>
      <c r="AY104" s="42"/>
      <c r="AZ104" s="42"/>
      <c r="BA104" s="42"/>
      <c r="BB104" s="42"/>
    </row>
    <row r="105" spans="32:54" x14ac:dyDescent="0.25">
      <c r="AF105"/>
    </row>
    <row r="106" spans="32:54" x14ac:dyDescent="0.25">
      <c r="AF106"/>
      <c r="AG106" s="6" t="s">
        <v>66</v>
      </c>
      <c r="AH106" s="6"/>
    </row>
    <row r="107" spans="32:54" x14ac:dyDescent="0.25">
      <c r="AF107" s="6" t="s">
        <v>60</v>
      </c>
      <c r="AG107" s="38"/>
      <c r="AH107" s="36">
        <f>AI107-1</f>
        <v>2018</v>
      </c>
      <c r="AI107" s="36">
        <f>Yr_Start</f>
        <v>2019</v>
      </c>
      <c r="AJ107" s="36">
        <f>AI107+1</f>
        <v>2020</v>
      </c>
      <c r="AK107" s="36">
        <f t="shared" ref="AK107:BB107" si="300">AJ107+1</f>
        <v>2021</v>
      </c>
      <c r="AL107" s="36">
        <f t="shared" si="300"/>
        <v>2022</v>
      </c>
      <c r="AM107" s="36">
        <f t="shared" si="300"/>
        <v>2023</v>
      </c>
      <c r="AN107" s="36">
        <f t="shared" si="300"/>
        <v>2024</v>
      </c>
      <c r="AO107" s="36">
        <f t="shared" si="300"/>
        <v>2025</v>
      </c>
      <c r="AP107" s="36">
        <f t="shared" si="300"/>
        <v>2026</v>
      </c>
      <c r="AQ107" s="36">
        <f t="shared" si="300"/>
        <v>2027</v>
      </c>
      <c r="AR107" s="36">
        <f t="shared" si="300"/>
        <v>2028</v>
      </c>
      <c r="AS107" s="36">
        <f t="shared" si="300"/>
        <v>2029</v>
      </c>
      <c r="AT107" s="36">
        <f t="shared" si="300"/>
        <v>2030</v>
      </c>
      <c r="AU107" s="36">
        <f t="shared" si="300"/>
        <v>2031</v>
      </c>
      <c r="AV107" s="36">
        <f t="shared" si="300"/>
        <v>2032</v>
      </c>
      <c r="AW107" s="36">
        <f t="shared" si="300"/>
        <v>2033</v>
      </c>
      <c r="AX107" s="36">
        <f t="shared" si="300"/>
        <v>2034</v>
      </c>
      <c r="AY107" s="36">
        <f t="shared" si="300"/>
        <v>2035</v>
      </c>
      <c r="AZ107" s="36">
        <f t="shared" si="300"/>
        <v>2036</v>
      </c>
      <c r="BA107" s="36">
        <f t="shared" si="300"/>
        <v>2037</v>
      </c>
      <c r="BB107" s="36">
        <f t="shared" si="300"/>
        <v>2038</v>
      </c>
    </row>
    <row r="108" spans="32:54" x14ac:dyDescent="0.25">
      <c r="AF108"/>
      <c r="AG108" s="1" t="s">
        <v>52</v>
      </c>
      <c r="AH108" s="1"/>
      <c r="AI108" s="37">
        <f ca="1">AI89+AI98</f>
        <v>33360.913967338012</v>
      </c>
      <c r="AJ108" s="37">
        <f ca="1">AJ89+AJ98</f>
        <v>23090.816491706504</v>
      </c>
      <c r="AK108" s="37">
        <f t="shared" ref="AK108:BB108" ca="1" si="301">AK89+AK98</f>
        <v>11968.979604063747</v>
      </c>
      <c r="AL108" s="37">
        <f t="shared" ca="1" si="301"/>
        <v>0</v>
      </c>
      <c r="AM108" s="37">
        <f t="shared" ca="1" si="301"/>
        <v>0</v>
      </c>
      <c r="AN108" s="37">
        <f t="shared" ca="1" si="301"/>
        <v>0</v>
      </c>
      <c r="AO108" s="37">
        <f t="shared" ca="1" si="301"/>
        <v>0</v>
      </c>
      <c r="AP108" s="37">
        <f t="shared" ca="1" si="301"/>
        <v>0</v>
      </c>
      <c r="AQ108" s="37">
        <f t="shared" ca="1" si="301"/>
        <v>0</v>
      </c>
      <c r="AR108" s="37">
        <f t="shared" ca="1" si="301"/>
        <v>0</v>
      </c>
      <c r="AS108" s="37">
        <f t="shared" ca="1" si="301"/>
        <v>0</v>
      </c>
      <c r="AT108" s="37">
        <f t="shared" ca="1" si="301"/>
        <v>0</v>
      </c>
      <c r="AU108" s="37">
        <f t="shared" ca="1" si="301"/>
        <v>0</v>
      </c>
      <c r="AV108" s="37">
        <f t="shared" ca="1" si="301"/>
        <v>0</v>
      </c>
      <c r="AW108" s="37">
        <f t="shared" ca="1" si="301"/>
        <v>0</v>
      </c>
      <c r="AX108" s="37">
        <f t="shared" ca="1" si="301"/>
        <v>0</v>
      </c>
      <c r="AY108" s="37">
        <f t="shared" ca="1" si="301"/>
        <v>0</v>
      </c>
      <c r="AZ108" s="37" t="e">
        <f t="shared" ca="1" si="301"/>
        <v>#N/A</v>
      </c>
      <c r="BA108" s="37" t="e">
        <f t="shared" ca="1" si="301"/>
        <v>#N/A</v>
      </c>
      <c r="BB108" s="37" t="e">
        <f t="shared" ca="1" si="301"/>
        <v>#N/A</v>
      </c>
    </row>
    <row r="109" spans="32:54" x14ac:dyDescent="0.25">
      <c r="AF109"/>
      <c r="AG109" s="1" t="s">
        <v>54</v>
      </c>
      <c r="AH109" s="1"/>
      <c r="AI109" s="37">
        <f t="shared" ref="AI109:BB112" ca="1" si="302">AI90+AI99</f>
        <v>37954.565223938029</v>
      </c>
      <c r="AJ109" s="37">
        <f t="shared" ca="1" si="302"/>
        <v>44331.165768561303</v>
      </c>
      <c r="AK109" s="37">
        <f t="shared" ca="1" si="302"/>
        <v>51063.958127524056</v>
      </c>
      <c r="AL109" s="37">
        <f t="shared" ca="1" si="302"/>
        <v>58230.901579961246</v>
      </c>
      <c r="AM109" s="37">
        <f t="shared" ca="1" si="302"/>
        <v>65844.068059153404</v>
      </c>
      <c r="AN109" s="37">
        <f t="shared" ca="1" si="302"/>
        <v>73911.788702765814</v>
      </c>
      <c r="AO109" s="37">
        <f t="shared" ca="1" si="302"/>
        <v>82444.582669487951</v>
      </c>
      <c r="AP109" s="37">
        <f t="shared" ca="1" si="302"/>
        <v>91394.34726254351</v>
      </c>
      <c r="AQ109" s="37">
        <f t="shared" ca="1" si="302"/>
        <v>100837.84645328572</v>
      </c>
      <c r="AR109" s="37">
        <f t="shared" ca="1" si="302"/>
        <v>110792.59566516052</v>
      </c>
      <c r="AS109" s="37">
        <f t="shared" ca="1" si="302"/>
        <v>121281.63259854454</v>
      </c>
      <c r="AT109" s="37">
        <f t="shared" ca="1" si="302"/>
        <v>132325.34951934149</v>
      </c>
      <c r="AU109" s="37">
        <f t="shared" ca="1" si="302"/>
        <v>143857.23193904533</v>
      </c>
      <c r="AV109" s="37">
        <f t="shared" ca="1" si="302"/>
        <v>155979.88858928016</v>
      </c>
      <c r="AW109" s="37">
        <f t="shared" ca="1" si="302"/>
        <v>168702.59244721383</v>
      </c>
      <c r="AX109" s="37">
        <f t="shared" ca="1" si="302"/>
        <v>182031.42314986503</v>
      </c>
      <c r="AY109" s="37">
        <f t="shared" ca="1" si="302"/>
        <v>195974.46286872082</v>
      </c>
      <c r="AZ109" s="37" t="e">
        <f t="shared" ca="1" si="302"/>
        <v>#N/A</v>
      </c>
      <c r="BA109" s="37" t="e">
        <f t="shared" ca="1" si="302"/>
        <v>#N/A</v>
      </c>
      <c r="BB109" s="37" t="e">
        <f t="shared" ca="1" si="302"/>
        <v>#N/A</v>
      </c>
    </row>
    <row r="110" spans="32:54" x14ac:dyDescent="0.25">
      <c r="AF110"/>
      <c r="AG110" s="1" t="s">
        <v>56</v>
      </c>
      <c r="AH110" s="1"/>
      <c r="AI110" s="37">
        <f t="shared" ca="1" si="302"/>
        <v>1180424.4325061976</v>
      </c>
      <c r="AJ110" s="37">
        <f t="shared" ca="1" si="302"/>
        <v>1207446.0028246106</v>
      </c>
      <c r="AK110" s="37">
        <f t="shared" ca="1" si="302"/>
        <v>1232976.5966934029</v>
      </c>
      <c r="AL110" s="37">
        <f t="shared" ca="1" si="302"/>
        <v>1258751.0247483109</v>
      </c>
      <c r="AM110" s="37">
        <f t="shared" ca="1" si="302"/>
        <v>1302041.6202956014</v>
      </c>
      <c r="AN110" s="37">
        <f t="shared" ca="1" si="302"/>
        <v>1346382.4499002304</v>
      </c>
      <c r="AO110" s="37">
        <f t="shared" ca="1" si="302"/>
        <v>1391678.6372236814</v>
      </c>
      <c r="AP110" s="37">
        <f t="shared" ca="1" si="302"/>
        <v>1436937.5658100415</v>
      </c>
      <c r="AQ110" s="37">
        <f t="shared" ca="1" si="302"/>
        <v>1483257.3295524488</v>
      </c>
      <c r="AR110" s="37">
        <f t="shared" ca="1" si="302"/>
        <v>1530650.3135807214</v>
      </c>
      <c r="AS110" s="37">
        <f t="shared" ca="1" si="302"/>
        <v>1579196.1620202099</v>
      </c>
      <c r="AT110" s="37">
        <f t="shared" ca="1" si="302"/>
        <v>1628922.8268080861</v>
      </c>
      <c r="AU110" s="37">
        <f t="shared" ca="1" si="302"/>
        <v>1690189.5425951087</v>
      </c>
      <c r="AV110" s="37">
        <f t="shared" ca="1" si="302"/>
        <v>1765951.4056436422</v>
      </c>
      <c r="AW110" s="37">
        <f t="shared" ca="1" si="302"/>
        <v>1844442.6121417349</v>
      </c>
      <c r="AX110" s="37">
        <f t="shared" ca="1" si="302"/>
        <v>1925588.5358267948</v>
      </c>
      <c r="AY110" s="37">
        <f t="shared" ca="1" si="302"/>
        <v>2009350.3305498979</v>
      </c>
      <c r="AZ110" s="37" t="e">
        <f t="shared" ca="1" si="302"/>
        <v>#N/A</v>
      </c>
      <c r="BA110" s="37" t="e">
        <f t="shared" ca="1" si="302"/>
        <v>#N/A</v>
      </c>
      <c r="BB110" s="37" t="e">
        <f t="shared" ca="1" si="302"/>
        <v>#N/A</v>
      </c>
    </row>
    <row r="111" spans="32:54" x14ac:dyDescent="0.25">
      <c r="AF111"/>
      <c r="AG111" s="1" t="s">
        <v>57</v>
      </c>
      <c r="AH111" s="1"/>
      <c r="AI111" s="37">
        <f t="shared" ca="1" si="302"/>
        <v>0</v>
      </c>
      <c r="AJ111" s="37">
        <f t="shared" ca="1" si="302"/>
        <v>0</v>
      </c>
      <c r="AK111" s="37">
        <f t="shared" ca="1" si="302"/>
        <v>0</v>
      </c>
      <c r="AL111" s="37">
        <f t="shared" ca="1" si="302"/>
        <v>0</v>
      </c>
      <c r="AM111" s="37">
        <f t="shared" ca="1" si="302"/>
        <v>0</v>
      </c>
      <c r="AN111" s="37">
        <f t="shared" ca="1" si="302"/>
        <v>0</v>
      </c>
      <c r="AO111" s="37">
        <f t="shared" ca="1" si="302"/>
        <v>0</v>
      </c>
      <c r="AP111" s="37">
        <f t="shared" ca="1" si="302"/>
        <v>0</v>
      </c>
      <c r="AQ111" s="37">
        <f t="shared" ca="1" si="302"/>
        <v>0</v>
      </c>
      <c r="AR111" s="37">
        <f t="shared" ca="1" si="302"/>
        <v>0</v>
      </c>
      <c r="AS111" s="37">
        <f t="shared" ca="1" si="302"/>
        <v>0</v>
      </c>
      <c r="AT111" s="37">
        <f t="shared" ca="1" si="302"/>
        <v>0</v>
      </c>
      <c r="AU111" s="37">
        <f t="shared" ca="1" si="302"/>
        <v>0</v>
      </c>
      <c r="AV111" s="37">
        <f t="shared" ca="1" si="302"/>
        <v>0</v>
      </c>
      <c r="AW111" s="37">
        <f t="shared" ca="1" si="302"/>
        <v>0</v>
      </c>
      <c r="AX111" s="37">
        <f t="shared" ca="1" si="302"/>
        <v>0</v>
      </c>
      <c r="AY111" s="37">
        <f t="shared" ca="1" si="302"/>
        <v>0</v>
      </c>
      <c r="AZ111" s="37" t="e">
        <f t="shared" ca="1" si="302"/>
        <v>#N/A</v>
      </c>
      <c r="BA111" s="37" t="e">
        <f t="shared" ca="1" si="302"/>
        <v>#N/A</v>
      </c>
      <c r="BB111" s="37" t="e">
        <f t="shared" ca="1" si="302"/>
        <v>#N/A</v>
      </c>
    </row>
    <row r="112" spans="32:54" x14ac:dyDescent="0.25">
      <c r="AF112"/>
      <c r="AG112" s="1" t="s">
        <v>59</v>
      </c>
      <c r="AH112" s="1"/>
      <c r="AI112" s="37">
        <f t="shared" ca="1" si="302"/>
        <v>290351.32008850668</v>
      </c>
      <c r="AJ112" s="37">
        <f ca="1">AJ93+AJ102</f>
        <v>296307.87901492318</v>
      </c>
      <c r="AK112" s="37">
        <f t="shared" ca="1" si="302"/>
        <v>301847.07161898224</v>
      </c>
      <c r="AL112" s="37">
        <f t="shared" ca="1" si="302"/>
        <v>307392.83414955123</v>
      </c>
      <c r="AM112" s="37">
        <f t="shared" ca="1" si="302"/>
        <v>317261.73761225125</v>
      </c>
      <c r="AN112" s="37">
        <f t="shared" ca="1" si="302"/>
        <v>327336.25495849189</v>
      </c>
      <c r="AO112" s="37">
        <f t="shared" ca="1" si="302"/>
        <v>337591.34930775804</v>
      </c>
      <c r="AP112" s="37">
        <f t="shared" ca="1" si="302"/>
        <v>347784.89264927851</v>
      </c>
      <c r="AQ112" s="37">
        <f t="shared" ca="1" si="302"/>
        <v>358181.79178939469</v>
      </c>
      <c r="AR112" s="37">
        <f t="shared" ca="1" si="302"/>
        <v>368782.94875209976</v>
      </c>
      <c r="AS112" s="37">
        <f t="shared" ca="1" si="302"/>
        <v>379605.38850268035</v>
      </c>
      <c r="AT112" s="37">
        <f t="shared" ca="1" si="302"/>
        <v>390653.54436826456</v>
      </c>
      <c r="AU112" s="37">
        <f t="shared" ca="1" si="302"/>
        <v>404525.55766645318</v>
      </c>
      <c r="AV112" s="37">
        <f t="shared" ca="1" si="302"/>
        <v>421947.34807320451</v>
      </c>
      <c r="AW112" s="37">
        <f t="shared" ca="1" si="302"/>
        <v>439976.3029560158</v>
      </c>
      <c r="AX112" s="37">
        <f t="shared" ca="1" si="302"/>
        <v>458593.00411792559</v>
      </c>
      <c r="AY112" s="37">
        <f t="shared" ca="1" si="302"/>
        <v>477786.72752130684</v>
      </c>
      <c r="AZ112" s="37" t="e">
        <f t="shared" ca="1" si="302"/>
        <v>#N/A</v>
      </c>
      <c r="BA112" s="37" t="e">
        <f t="shared" ca="1" si="302"/>
        <v>#N/A</v>
      </c>
      <c r="BB112" s="37" t="e">
        <f t="shared" ca="1" si="302"/>
        <v>#N/A</v>
      </c>
    </row>
    <row r="113" spans="32:54" x14ac:dyDescent="0.25">
      <c r="AF113"/>
      <c r="AG113" s="12" t="s">
        <v>60</v>
      </c>
      <c r="AH113" s="12"/>
      <c r="AI113" s="45">
        <f ca="1">SUM(AI108:AI112)</f>
        <v>1542091.2317859803</v>
      </c>
      <c r="AJ113" s="45">
        <f ca="1">SUM(AJ108:AJ112)</f>
        <v>1571175.8640998015</v>
      </c>
      <c r="AK113" s="45">
        <f t="shared" ref="AK113" ca="1" si="303">SUM(AK108:AK112)</f>
        <v>1597856.606043973</v>
      </c>
      <c r="AL113" s="45">
        <f t="shared" ref="AL113" ca="1" si="304">SUM(AL108:AL112)</f>
        <v>1624374.7604778232</v>
      </c>
      <c r="AM113" s="45">
        <f t="shared" ref="AM113" ca="1" si="305">SUM(AM108:AM112)</f>
        <v>1685147.425967006</v>
      </c>
      <c r="AN113" s="45">
        <f t="shared" ref="AN113" ca="1" si="306">SUM(AN108:AN112)</f>
        <v>1747630.4935614881</v>
      </c>
      <c r="AO113" s="45">
        <f t="shared" ref="AO113" ca="1" si="307">SUM(AO108:AO112)</f>
        <v>1811714.5692009274</v>
      </c>
      <c r="AP113" s="45">
        <f t="shared" ref="AP113" ca="1" si="308">SUM(AP108:AP112)</f>
        <v>1876116.8057218636</v>
      </c>
      <c r="AQ113" s="45">
        <f t="shared" ref="AQ113" ca="1" si="309">SUM(AQ108:AQ112)</f>
        <v>1942276.9677951294</v>
      </c>
      <c r="AR113" s="45">
        <f t="shared" ref="AR113" ca="1" si="310">SUM(AR108:AR112)</f>
        <v>2010225.8579979818</v>
      </c>
      <c r="AS113" s="45">
        <f t="shared" ref="AS113" ca="1" si="311">SUM(AS108:AS112)</f>
        <v>2080083.1831214349</v>
      </c>
      <c r="AT113" s="45">
        <f t="shared" ref="AT113" ca="1" si="312">SUM(AT108:AT112)</f>
        <v>2151901.7206956921</v>
      </c>
      <c r="AU113" s="45">
        <f t="shared" ref="AU113" ca="1" si="313">SUM(AU108:AU112)</f>
        <v>2238572.3322006073</v>
      </c>
      <c r="AV113" s="45">
        <f t="shared" ref="AV113" ca="1" si="314">SUM(AV108:AV112)</f>
        <v>2343878.6423061267</v>
      </c>
      <c r="AW113" s="45">
        <f t="shared" ref="AW113" ca="1" si="315">SUM(AW108:AW112)</f>
        <v>2453121.5075449646</v>
      </c>
      <c r="AX113" s="45">
        <f t="shared" ref="AX113" ca="1" si="316">SUM(AX108:AX112)</f>
        <v>2566212.9630945856</v>
      </c>
      <c r="AY113" s="45">
        <f t="shared" ref="AY113" ca="1" si="317">SUM(AY108:AY112)</f>
        <v>2683111.5209399257</v>
      </c>
      <c r="AZ113" s="45" t="e">
        <f t="shared" ref="AZ113" ca="1" si="318">SUM(AZ108:AZ112)</f>
        <v>#N/A</v>
      </c>
      <c r="BA113" s="45" t="e">
        <f t="shared" ref="BA113" ca="1" si="319">SUM(BA108:BA112)</f>
        <v>#N/A</v>
      </c>
      <c r="BB113" s="45" t="e">
        <f t="shared" ref="BB113" ca="1" si="320">SUM(BB108:BB112)</f>
        <v>#N/A</v>
      </c>
    </row>
    <row r="114" spans="32:54" x14ac:dyDescent="0.25">
      <c r="AF114"/>
    </row>
    <row r="115" spans="32:54" x14ac:dyDescent="0.25">
      <c r="AF115"/>
      <c r="AG115" s="6" t="s">
        <v>47</v>
      </c>
      <c r="AH115" s="6"/>
    </row>
    <row r="116" spans="32:54" x14ac:dyDescent="0.25">
      <c r="AF116" s="6" t="s">
        <v>60</v>
      </c>
      <c r="AG116" s="38"/>
      <c r="AH116" s="36">
        <f>AI116-1</f>
        <v>2018</v>
      </c>
      <c r="AI116" s="36">
        <f>Yr_Start</f>
        <v>2019</v>
      </c>
      <c r="AJ116" s="36">
        <f>AI116+1</f>
        <v>2020</v>
      </c>
      <c r="AK116" s="36">
        <f t="shared" ref="AK116:BB116" si="321">AJ116+1</f>
        <v>2021</v>
      </c>
      <c r="AL116" s="36">
        <f t="shared" si="321"/>
        <v>2022</v>
      </c>
      <c r="AM116" s="36">
        <f t="shared" si="321"/>
        <v>2023</v>
      </c>
      <c r="AN116" s="36">
        <f t="shared" si="321"/>
        <v>2024</v>
      </c>
      <c r="AO116" s="36">
        <f t="shared" si="321"/>
        <v>2025</v>
      </c>
      <c r="AP116" s="36">
        <f t="shared" si="321"/>
        <v>2026</v>
      </c>
      <c r="AQ116" s="36">
        <f t="shared" si="321"/>
        <v>2027</v>
      </c>
      <c r="AR116" s="36">
        <f t="shared" si="321"/>
        <v>2028</v>
      </c>
      <c r="AS116" s="36">
        <f t="shared" si="321"/>
        <v>2029</v>
      </c>
      <c r="AT116" s="36">
        <f t="shared" si="321"/>
        <v>2030</v>
      </c>
      <c r="AU116" s="36">
        <f t="shared" si="321"/>
        <v>2031</v>
      </c>
      <c r="AV116" s="36">
        <f t="shared" si="321"/>
        <v>2032</v>
      </c>
      <c r="AW116" s="36">
        <f t="shared" si="321"/>
        <v>2033</v>
      </c>
      <c r="AX116" s="36">
        <f t="shared" si="321"/>
        <v>2034</v>
      </c>
      <c r="AY116" s="36">
        <f t="shared" si="321"/>
        <v>2035</v>
      </c>
      <c r="AZ116" s="36">
        <f t="shared" si="321"/>
        <v>2036</v>
      </c>
      <c r="BA116" s="36">
        <f t="shared" si="321"/>
        <v>2037</v>
      </c>
      <c r="BB116" s="36">
        <f t="shared" si="321"/>
        <v>2038</v>
      </c>
    </row>
    <row r="117" spans="32:54" x14ac:dyDescent="0.25">
      <c r="AF117"/>
      <c r="AG117" s="1" t="s">
        <v>52</v>
      </c>
      <c r="AH117" s="1"/>
      <c r="AI117" s="37">
        <f ca="1">AI71+AI80</f>
        <v>2566.2241513336935</v>
      </c>
      <c r="AJ117" s="37">
        <f t="shared" ref="AJ117:BB117" ca="1" si="322">AJ71+AJ80</f>
        <v>1776.2166532081926</v>
      </c>
      <c r="AK117" s="37">
        <f t="shared" ca="1" si="322"/>
        <v>920.69073877413439</v>
      </c>
      <c r="AL117" s="37">
        <f t="shared" ca="1" si="322"/>
        <v>0</v>
      </c>
      <c r="AM117" s="37">
        <f t="shared" ca="1" si="322"/>
        <v>0</v>
      </c>
      <c r="AN117" s="37">
        <f t="shared" ca="1" si="322"/>
        <v>0</v>
      </c>
      <c r="AO117" s="37">
        <f t="shared" ca="1" si="322"/>
        <v>0</v>
      </c>
      <c r="AP117" s="37">
        <f t="shared" ca="1" si="322"/>
        <v>0</v>
      </c>
      <c r="AQ117" s="37">
        <f t="shared" ca="1" si="322"/>
        <v>0</v>
      </c>
      <c r="AR117" s="37">
        <f t="shared" ca="1" si="322"/>
        <v>0</v>
      </c>
      <c r="AS117" s="37">
        <f t="shared" ca="1" si="322"/>
        <v>0</v>
      </c>
      <c r="AT117" s="37">
        <f t="shared" ca="1" si="322"/>
        <v>0</v>
      </c>
      <c r="AU117" s="37">
        <f t="shared" ca="1" si="322"/>
        <v>0</v>
      </c>
      <c r="AV117" s="37">
        <f t="shared" ca="1" si="322"/>
        <v>0</v>
      </c>
      <c r="AW117" s="37">
        <f t="shared" ca="1" si="322"/>
        <v>0</v>
      </c>
      <c r="AX117" s="37">
        <f t="shared" ca="1" si="322"/>
        <v>0</v>
      </c>
      <c r="AY117" s="37">
        <f t="shared" ca="1" si="322"/>
        <v>0</v>
      </c>
      <c r="AZ117" s="37" t="e">
        <f t="shared" ca="1" si="322"/>
        <v>#N/A</v>
      </c>
      <c r="BA117" s="37" t="e">
        <f t="shared" ca="1" si="322"/>
        <v>#N/A</v>
      </c>
      <c r="BB117" s="37" t="e">
        <f t="shared" ca="1" si="322"/>
        <v>#N/A</v>
      </c>
    </row>
    <row r="118" spans="32:54" x14ac:dyDescent="0.25">
      <c r="AF118"/>
      <c r="AG118" s="1" t="s">
        <v>54</v>
      </c>
      <c r="AH118" s="1"/>
      <c r="AI118" s="37">
        <f t="shared" ref="AI118:BB121" ca="1" si="323">AI72+AI81</f>
        <v>2919.5819403029254</v>
      </c>
      <c r="AJ118" s="37">
        <f t="shared" ca="1" si="323"/>
        <v>3410.0896745047157</v>
      </c>
      <c r="AK118" s="37">
        <f t="shared" ca="1" si="323"/>
        <v>3927.996779040312</v>
      </c>
      <c r="AL118" s="37">
        <f t="shared" ca="1" si="323"/>
        <v>4479.3001215354807</v>
      </c>
      <c r="AM118" s="37">
        <f t="shared" ca="1" si="323"/>
        <v>5064.9283122425695</v>
      </c>
      <c r="AN118" s="37">
        <f t="shared" ca="1" si="323"/>
        <v>5685.5222079050627</v>
      </c>
      <c r="AO118" s="37">
        <f t="shared" ca="1" si="323"/>
        <v>6341.8909745759956</v>
      </c>
      <c r="AP118" s="37">
        <f t="shared" ca="1" si="323"/>
        <v>7030.3344048110393</v>
      </c>
      <c r="AQ118" s="37">
        <f t="shared" ca="1" si="323"/>
        <v>7756.757419483517</v>
      </c>
      <c r="AR118" s="37">
        <f t="shared" ca="1" si="323"/>
        <v>8522.5073588585019</v>
      </c>
      <c r="AS118" s="37">
        <f t="shared" ca="1" si="323"/>
        <v>9329.3563537341961</v>
      </c>
      <c r="AT118" s="37">
        <f t="shared" ca="1" si="323"/>
        <v>10178.873039949345</v>
      </c>
      <c r="AU118" s="37">
        <f t="shared" ca="1" si="323"/>
        <v>11065.940918388103</v>
      </c>
      <c r="AV118" s="37">
        <f t="shared" ca="1" si="323"/>
        <v>11998.452968406165</v>
      </c>
      <c r="AW118" s="37">
        <f t="shared" ca="1" si="323"/>
        <v>12977.122495939526</v>
      </c>
      <c r="AX118" s="37">
        <f t="shared" ca="1" si="323"/>
        <v>14002.417165374234</v>
      </c>
      <c r="AY118" s="37">
        <f t="shared" ca="1" si="323"/>
        <v>15074.958682209293</v>
      </c>
      <c r="AZ118" s="37" t="e">
        <f t="shared" ca="1" si="323"/>
        <v>#N/A</v>
      </c>
      <c r="BA118" s="37" t="e">
        <f t="shared" ca="1" si="323"/>
        <v>#N/A</v>
      </c>
      <c r="BB118" s="37" t="e">
        <f t="shared" ca="1" si="323"/>
        <v>#N/A</v>
      </c>
    </row>
    <row r="119" spans="32:54" x14ac:dyDescent="0.25">
      <c r="AF119"/>
      <c r="AG119" s="1" t="s">
        <v>56</v>
      </c>
      <c r="AH119" s="1"/>
      <c r="AI119" s="37">
        <f t="shared" ca="1" si="323"/>
        <v>90801.879423553677</v>
      </c>
      <c r="AJ119" s="37">
        <f t="shared" ca="1" si="323"/>
        <v>92880.461755739263</v>
      </c>
      <c r="AK119" s="37">
        <f t="shared" ca="1" si="323"/>
        <v>94844.353591800216</v>
      </c>
      <c r="AL119" s="37">
        <f t="shared" ca="1" si="323"/>
        <v>96827.001903716213</v>
      </c>
      <c r="AM119" s="37">
        <f t="shared" ca="1" si="323"/>
        <v>100157.04771504624</v>
      </c>
      <c r="AN119" s="37">
        <f t="shared" ca="1" si="323"/>
        <v>103567.88076155618</v>
      </c>
      <c r="AO119" s="37">
        <f t="shared" ca="1" si="323"/>
        <v>107052.20286336011</v>
      </c>
      <c r="AP119" s="37">
        <f t="shared" ca="1" si="323"/>
        <v>110533.65890846474</v>
      </c>
      <c r="AQ119" s="37">
        <f t="shared" ca="1" si="323"/>
        <v>114096.71765788068</v>
      </c>
      <c r="AR119" s="37">
        <f t="shared" ca="1" si="323"/>
        <v>117742.33181390165</v>
      </c>
      <c r="AS119" s="37">
        <f t="shared" ca="1" si="323"/>
        <v>121476.62784770846</v>
      </c>
      <c r="AT119" s="37">
        <f t="shared" ca="1" si="323"/>
        <v>125301.75590831431</v>
      </c>
      <c r="AU119" s="37">
        <f t="shared" ca="1" si="323"/>
        <v>130014.58019962374</v>
      </c>
      <c r="AV119" s="37">
        <f t="shared" ca="1" si="323"/>
        <v>135842.41581874172</v>
      </c>
      <c r="AW119" s="37">
        <f t="shared" ca="1" si="323"/>
        <v>141880.20093397959</v>
      </c>
      <c r="AX119" s="37">
        <f t="shared" ca="1" si="323"/>
        <v>148122.19506359962</v>
      </c>
      <c r="AY119" s="37">
        <f t="shared" ca="1" si="323"/>
        <v>154565.41004229983</v>
      </c>
      <c r="AZ119" s="37" t="e">
        <f t="shared" ca="1" si="323"/>
        <v>#N/A</v>
      </c>
      <c r="BA119" s="37" t="e">
        <f t="shared" ca="1" si="323"/>
        <v>#N/A</v>
      </c>
      <c r="BB119" s="37" t="e">
        <f t="shared" ca="1" si="323"/>
        <v>#N/A</v>
      </c>
    </row>
    <row r="120" spans="32:54" x14ac:dyDescent="0.25">
      <c r="AF120"/>
      <c r="AG120" s="1" t="s">
        <v>57</v>
      </c>
      <c r="AH120" s="1"/>
      <c r="AI120" s="37">
        <f t="shared" ca="1" si="323"/>
        <v>0</v>
      </c>
      <c r="AJ120" s="37">
        <f t="shared" ca="1" si="323"/>
        <v>0</v>
      </c>
      <c r="AK120" s="37">
        <f t="shared" ca="1" si="323"/>
        <v>0</v>
      </c>
      <c r="AL120" s="37">
        <f t="shared" ca="1" si="323"/>
        <v>0</v>
      </c>
      <c r="AM120" s="37">
        <f t="shared" ca="1" si="323"/>
        <v>0</v>
      </c>
      <c r="AN120" s="37">
        <f t="shared" ca="1" si="323"/>
        <v>0</v>
      </c>
      <c r="AO120" s="37">
        <f t="shared" ca="1" si="323"/>
        <v>0</v>
      </c>
      <c r="AP120" s="37">
        <f t="shared" ca="1" si="323"/>
        <v>0</v>
      </c>
      <c r="AQ120" s="37">
        <f t="shared" ca="1" si="323"/>
        <v>0</v>
      </c>
      <c r="AR120" s="37">
        <f t="shared" ca="1" si="323"/>
        <v>0</v>
      </c>
      <c r="AS120" s="37">
        <f t="shared" ca="1" si="323"/>
        <v>0</v>
      </c>
      <c r="AT120" s="37">
        <f t="shared" ca="1" si="323"/>
        <v>0</v>
      </c>
      <c r="AU120" s="37">
        <f t="shared" ca="1" si="323"/>
        <v>0</v>
      </c>
      <c r="AV120" s="37">
        <f t="shared" ca="1" si="323"/>
        <v>0</v>
      </c>
      <c r="AW120" s="37">
        <f t="shared" ca="1" si="323"/>
        <v>0</v>
      </c>
      <c r="AX120" s="37">
        <f t="shared" ca="1" si="323"/>
        <v>0</v>
      </c>
      <c r="AY120" s="37">
        <f t="shared" ca="1" si="323"/>
        <v>0</v>
      </c>
      <c r="AZ120" s="37" t="e">
        <f t="shared" ca="1" si="323"/>
        <v>#N/A</v>
      </c>
      <c r="BA120" s="37" t="e">
        <f t="shared" ca="1" si="323"/>
        <v>#N/A</v>
      </c>
      <c r="BB120" s="37" t="e">
        <f t="shared" ca="1" si="323"/>
        <v>#N/A</v>
      </c>
    </row>
    <row r="121" spans="32:54" x14ac:dyDescent="0.25">
      <c r="AF121"/>
      <c r="AG121" s="1" t="s">
        <v>59</v>
      </c>
      <c r="AH121" s="1"/>
      <c r="AI121" s="37">
        <f t="shared" ca="1" si="323"/>
        <v>22334.71692988513</v>
      </c>
      <c r="AJ121" s="37">
        <f t="shared" ca="1" si="323"/>
        <v>22792.913770378706</v>
      </c>
      <c r="AK121" s="37">
        <f t="shared" ca="1" si="323"/>
        <v>23219.005509152485</v>
      </c>
      <c r="AL121" s="37">
        <f t="shared" ca="1" si="323"/>
        <v>23645.602626888554</v>
      </c>
      <c r="AM121" s="37">
        <f t="shared" ca="1" si="323"/>
        <v>24404.749047096251</v>
      </c>
      <c r="AN121" s="37">
        <f t="shared" ca="1" si="323"/>
        <v>25179.711919883994</v>
      </c>
      <c r="AO121" s="37">
        <f t="shared" ca="1" si="323"/>
        <v>25968.565331366</v>
      </c>
      <c r="AP121" s="37">
        <f t="shared" ca="1" si="323"/>
        <v>26752.684049944502</v>
      </c>
      <c r="AQ121" s="37">
        <f t="shared" ca="1" si="323"/>
        <v>27552.445522261129</v>
      </c>
      <c r="AR121" s="37">
        <f t="shared" ca="1" si="323"/>
        <v>28367.919134776905</v>
      </c>
      <c r="AS121" s="37">
        <f t="shared" ca="1" si="323"/>
        <v>29200.414500206178</v>
      </c>
      <c r="AT121" s="37">
        <f t="shared" ca="1" si="323"/>
        <v>30050.272643712658</v>
      </c>
      <c r="AU121" s="37">
        <f t="shared" ca="1" si="323"/>
        <v>31117.350589727168</v>
      </c>
      <c r="AV121" s="37">
        <f t="shared" ca="1" si="323"/>
        <v>32457.488313323425</v>
      </c>
      <c r="AW121" s="37">
        <f t="shared" ca="1" si="323"/>
        <v>33844.330996616605</v>
      </c>
      <c r="AX121" s="37">
        <f t="shared" ca="1" si="323"/>
        <v>35276.384932148125</v>
      </c>
      <c r="AY121" s="37">
        <f t="shared" ca="1" si="323"/>
        <v>36752.825193946679</v>
      </c>
      <c r="AZ121" s="37" t="e">
        <f t="shared" ca="1" si="323"/>
        <v>#N/A</v>
      </c>
      <c r="BA121" s="37" t="e">
        <f t="shared" ca="1" si="323"/>
        <v>#N/A</v>
      </c>
      <c r="BB121" s="37" t="e">
        <f t="shared" ca="1" si="323"/>
        <v>#N/A</v>
      </c>
    </row>
    <row r="122" spans="32:54" x14ac:dyDescent="0.25">
      <c r="AF122"/>
      <c r="AG122" s="12" t="s">
        <v>60</v>
      </c>
      <c r="AH122" s="12"/>
      <c r="AI122" s="45">
        <f ca="1">SUM(AI117:AI121)</f>
        <v>118622.40244507542</v>
      </c>
      <c r="AJ122" s="45">
        <f ca="1">SUM(AJ117:AJ121)</f>
        <v>120859.68185383087</v>
      </c>
      <c r="AK122" s="45">
        <f t="shared" ref="AK122" ca="1" si="324">SUM(AK117:AK121)</f>
        <v>122912.04661876714</v>
      </c>
      <c r="AL122" s="45">
        <f t="shared" ref="AL122" ca="1" si="325">SUM(AL117:AL121)</f>
        <v>124951.90465214025</v>
      </c>
      <c r="AM122" s="45">
        <f t="shared" ref="AM122" ca="1" si="326">SUM(AM117:AM121)</f>
        <v>129626.72507438506</v>
      </c>
      <c r="AN122" s="45">
        <f t="shared" ref="AN122" ca="1" si="327">SUM(AN117:AN121)</f>
        <v>134433.11488934525</v>
      </c>
      <c r="AO122" s="45">
        <f t="shared" ref="AO122" ca="1" si="328">SUM(AO117:AO121)</f>
        <v>139362.65916930212</v>
      </c>
      <c r="AP122" s="45">
        <f t="shared" ref="AP122" ca="1" si="329">SUM(AP117:AP121)</f>
        <v>144316.67736322028</v>
      </c>
      <c r="AQ122" s="45">
        <f t="shared" ref="AQ122" ca="1" si="330">SUM(AQ117:AQ121)</f>
        <v>149405.92059962533</v>
      </c>
      <c r="AR122" s="45">
        <f t="shared" ref="AR122" ca="1" si="331">SUM(AR117:AR121)</f>
        <v>154632.75830753706</v>
      </c>
      <c r="AS122" s="45">
        <f t="shared" ref="AS122" ca="1" si="332">SUM(AS117:AS121)</f>
        <v>160006.39870164884</v>
      </c>
      <c r="AT122" s="45">
        <f t="shared" ref="AT122" ca="1" si="333">SUM(AT117:AT121)</f>
        <v>165530.90159197632</v>
      </c>
      <c r="AU122" s="45">
        <f t="shared" ref="AU122" ca="1" si="334">SUM(AU117:AU121)</f>
        <v>172197.87170773902</v>
      </c>
      <c r="AV122" s="45">
        <f t="shared" ref="AV122" ca="1" si="335">SUM(AV117:AV121)</f>
        <v>180298.35710047133</v>
      </c>
      <c r="AW122" s="45">
        <f t="shared" ref="AW122" ca="1" si="336">SUM(AW117:AW121)</f>
        <v>188701.65442653571</v>
      </c>
      <c r="AX122" s="45">
        <f t="shared" ref="AX122" ca="1" si="337">SUM(AX117:AX121)</f>
        <v>197400.99716112198</v>
      </c>
      <c r="AY122" s="45">
        <f t="shared" ref="AY122" ca="1" si="338">SUM(AY117:AY121)</f>
        <v>206393.1939184558</v>
      </c>
      <c r="AZ122" s="45" t="e">
        <f t="shared" ref="AZ122" ca="1" si="339">SUM(AZ117:AZ121)</f>
        <v>#N/A</v>
      </c>
      <c r="BA122" s="45" t="e">
        <f t="shared" ref="BA122" ca="1" si="340">SUM(BA117:BA121)</f>
        <v>#N/A</v>
      </c>
      <c r="BB122" s="45" t="e">
        <f t="shared" ref="BB122" ca="1" si="341">SUM(BB117:BB121)</f>
        <v>#N/A</v>
      </c>
    </row>
    <row r="123" spans="32:54" x14ac:dyDescent="0.25">
      <c r="AF123"/>
    </row>
  </sheetData>
  <conditionalFormatting sqref="AJ77">
    <cfRule type="cellIs" dxfId="141" priority="9" operator="equal">
      <formula>"Check"</formula>
    </cfRule>
  </conditionalFormatting>
  <conditionalFormatting sqref="AK77:BB77">
    <cfRule type="cellIs" dxfId="140" priority="13" operator="equal">
      <formula>"Check"</formula>
    </cfRule>
  </conditionalFormatting>
  <conditionalFormatting sqref="AK86:BB86">
    <cfRule type="cellIs" dxfId="139" priority="12" operator="equal">
      <formula>"Check"</formula>
    </cfRule>
  </conditionalFormatting>
  <conditionalFormatting sqref="AK95:BB95">
    <cfRule type="cellIs" dxfId="138" priority="11" operator="equal">
      <formula>"Check"</formula>
    </cfRule>
  </conditionalFormatting>
  <conditionalFormatting sqref="AK104:BB104">
    <cfRule type="cellIs" dxfId="137" priority="10" operator="equal">
      <formula>"Check"</formula>
    </cfRule>
  </conditionalFormatting>
  <conditionalFormatting sqref="AI77">
    <cfRule type="cellIs" dxfId="136" priority="8" operator="equal">
      <formula>"Check"</formula>
    </cfRule>
  </conditionalFormatting>
  <conditionalFormatting sqref="AI86:AJ86">
    <cfRule type="cellIs" dxfId="135" priority="7" operator="equal">
      <formula>"Check"</formula>
    </cfRule>
  </conditionalFormatting>
  <conditionalFormatting sqref="K21:AD21 K31:AD31 K41:AD41 K51:AD51 K61:AD61 J11:AD11">
    <cfRule type="expression" dxfId="134" priority="6">
      <formula>J11&gt;1</formula>
    </cfRule>
  </conditionalFormatting>
  <conditionalFormatting sqref="J21">
    <cfRule type="expression" dxfId="133" priority="5">
      <formula>J21&gt;1</formula>
    </cfRule>
  </conditionalFormatting>
  <conditionalFormatting sqref="J31">
    <cfRule type="expression" dxfId="132" priority="4">
      <formula>J31&gt;1</formula>
    </cfRule>
  </conditionalFormatting>
  <conditionalFormatting sqref="J41">
    <cfRule type="expression" dxfId="131" priority="3">
      <formula>J41&gt;1</formula>
    </cfRule>
  </conditionalFormatting>
  <conditionalFormatting sqref="J51">
    <cfRule type="expression" dxfId="130" priority="2">
      <formula>J51&gt;1</formula>
    </cfRule>
  </conditionalFormatting>
  <conditionalFormatting sqref="J61">
    <cfRule type="expression" dxfId="129" priority="1">
      <formula>J61&gt;1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5092CC60E49349B69F107C6B76ACF9" ma:contentTypeVersion="13" ma:contentTypeDescription="Create a new document." ma:contentTypeScope="" ma:versionID="4f38805aae0bf1350ef4e79f2cf6e969">
  <xsd:schema xmlns:xsd="http://www.w3.org/2001/XMLSchema" xmlns:xs="http://www.w3.org/2001/XMLSchema" xmlns:p="http://schemas.microsoft.com/office/2006/metadata/properties" xmlns:ns3="4a9bcf5c-66cb-423b-9115-09477b81baef" xmlns:ns4="f8f022e4-f62b-4483-a245-263b6e7d1d7f" targetNamespace="http://schemas.microsoft.com/office/2006/metadata/properties" ma:root="true" ma:fieldsID="e1147473715eaf2465e8ea80aaf25c7a" ns3:_="" ns4:_="">
    <xsd:import namespace="4a9bcf5c-66cb-423b-9115-09477b81baef"/>
    <xsd:import namespace="f8f022e4-f62b-4483-a245-263b6e7d1d7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DateTaken"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9bcf5c-66cb-423b-9115-09477b81bae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f022e4-f62b-4483-a245-263b6e7d1d7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E956C9-16EB-4D06-98EA-333E01C64C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9bcf5c-66cb-423b-9115-09477b81baef"/>
    <ds:schemaRef ds:uri="f8f022e4-f62b-4483-a245-263b6e7d1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2BFD98-61D6-48EF-B8A0-D9B3D2C3EE76}">
  <ds:schemaRefs>
    <ds:schemaRef ds:uri="http://schemas.microsoft.com/sharepoint/v3/contenttype/forms"/>
  </ds:schemaRefs>
</ds:datastoreItem>
</file>

<file path=customXml/itemProps3.xml><?xml version="1.0" encoding="utf-8"?>
<ds:datastoreItem xmlns:ds="http://schemas.openxmlformats.org/officeDocument/2006/customXml" ds:itemID="{87386B62-93B0-4A4D-B755-A610ECB58BCF}">
  <ds:schemaRefs>
    <ds:schemaRef ds:uri="4a9bcf5c-66cb-423b-9115-09477b81baef"/>
    <ds:schemaRef ds:uri="http://www.w3.org/XML/1998/namespace"/>
    <ds:schemaRef ds:uri="http://purl.org/dc/elements/1.1/"/>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f8f022e4-f62b-4483-a245-263b6e7d1d7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54</vt:i4>
      </vt:variant>
    </vt:vector>
  </HeadingPairs>
  <TitlesOfParts>
    <vt:vector size="82" baseType="lpstr">
      <vt:lpstr>Cover</vt:lpstr>
      <vt:lpstr>Dashboard</vt:lpstr>
      <vt:lpstr>Method-Specific Results</vt:lpstr>
      <vt:lpstr>Results Summary</vt:lpstr>
      <vt:lpstr>Results</vt:lpstr>
      <vt:lpstr>Parameters</vt:lpstr>
      <vt:lpstr>User Settings</vt:lpstr>
      <vt:lpstr>Financial Settings</vt:lpstr>
      <vt:lpstr>Pill_Base</vt:lpstr>
      <vt:lpstr>Pill_TMA</vt:lpstr>
      <vt:lpstr>IUD_Base</vt:lpstr>
      <vt:lpstr>IUD_TMA</vt:lpstr>
      <vt:lpstr>Implant_Base</vt:lpstr>
      <vt:lpstr>Implant_TMA</vt:lpstr>
      <vt:lpstr>Injectable_Base</vt:lpstr>
      <vt:lpstr>Injectable_TMA</vt:lpstr>
      <vt:lpstr>Condom_Base</vt:lpstr>
      <vt:lpstr>Condom_TMA</vt:lpstr>
      <vt:lpstr>FCondom</vt:lpstr>
      <vt:lpstr>DHS_Years</vt:lpstr>
      <vt:lpstr>Data_FP</vt:lpstr>
      <vt:lpstr>Data_WRA</vt:lpstr>
      <vt:lpstr>wra_trend_raw</vt:lpstr>
      <vt:lpstr>fp_wealth_breakdown_raw</vt:lpstr>
      <vt:lpstr>fp_income_breakdown_raw</vt:lpstr>
      <vt:lpstr>mcpr_breakdown_raw</vt:lpstr>
      <vt:lpstr>geo_income_breakdown_raw</vt:lpstr>
      <vt:lpstr>geo_wealth_breakdown_raw</vt:lpstr>
      <vt:lpstr>ExchRate</vt:lpstr>
      <vt:lpstr>QuoWomenPill</vt:lpstr>
      <vt:lpstr>QuoWomenPill_Src</vt:lpstr>
      <vt:lpstr>QuoWomenPill_Yrs</vt:lpstr>
      <vt:lpstr>Shift_RurQ1</vt:lpstr>
      <vt:lpstr>Shift_RurQ1Condom</vt:lpstr>
      <vt:lpstr>Shift_RurQ1Implant</vt:lpstr>
      <vt:lpstr>Shift_RurQ1Injectable</vt:lpstr>
      <vt:lpstr>Shift_RurQ1IUD</vt:lpstr>
      <vt:lpstr>Shift_RurQ1Pill</vt:lpstr>
      <vt:lpstr>Shift_RurQ2</vt:lpstr>
      <vt:lpstr>Shift_RurQ2Condom</vt:lpstr>
      <vt:lpstr>Shift_RurQ2Implant</vt:lpstr>
      <vt:lpstr>Shift_RurQ2Injectable</vt:lpstr>
      <vt:lpstr>Shift_RurQ2IUD</vt:lpstr>
      <vt:lpstr>Shift_RurQ2Pill</vt:lpstr>
      <vt:lpstr>Shift_Subsidy</vt:lpstr>
      <vt:lpstr>Shift_UrbQ1</vt:lpstr>
      <vt:lpstr>Shift_UrbQ1Condom</vt:lpstr>
      <vt:lpstr>Shift_UrbQ1Implant</vt:lpstr>
      <vt:lpstr>Shift_UrbQ1Injectable</vt:lpstr>
      <vt:lpstr>Shift_UrbQ1IUD</vt:lpstr>
      <vt:lpstr>Shift_UrbQ1Pill</vt:lpstr>
      <vt:lpstr>Shift_UrbQ2</vt:lpstr>
      <vt:lpstr>Shift_UrbQ2Condom</vt:lpstr>
      <vt:lpstr>Shift_UrbQ2Implant</vt:lpstr>
      <vt:lpstr>Shift_UrbQ2Injectable</vt:lpstr>
      <vt:lpstr>Shift_UrbQ2IUD</vt:lpstr>
      <vt:lpstr>Shift_UrbQ2Pill</vt:lpstr>
      <vt:lpstr>Tbl_PillB_HI</vt:lpstr>
      <vt:lpstr>Tbl_PillB_HI_N</vt:lpstr>
      <vt:lpstr>Tbl_PillB_HI_N_Source</vt:lpstr>
      <vt:lpstr>Tbl_PillB_HI_N_Yr</vt:lpstr>
      <vt:lpstr>Tbl_PillB_HI_Source</vt:lpstr>
      <vt:lpstr>Tbl_PillB_HI_Yr</vt:lpstr>
      <vt:lpstr>Tbl_PillB_Ot</vt:lpstr>
      <vt:lpstr>Tbl_PillB_Ot_N</vt:lpstr>
      <vt:lpstr>Tbl_PillB_Ot_N_Source</vt:lpstr>
      <vt:lpstr>Tbl_PillB_Ot_N_Yr</vt:lpstr>
      <vt:lpstr>Tbl_PillB_Ot_Source</vt:lpstr>
      <vt:lpstr>Tbl_PillB_Ot_Yr</vt:lpstr>
      <vt:lpstr>Tbl_Price</vt:lpstr>
      <vt:lpstr>Tbl_PriceType</vt:lpstr>
      <vt:lpstr>Tbl_Product</vt:lpstr>
      <vt:lpstr>Tbl_SubCost</vt:lpstr>
      <vt:lpstr>Tbl_Subsid</vt:lpstr>
      <vt:lpstr>Tbl_Subsid_Product</vt:lpstr>
      <vt:lpstr>Tbl_Subsid_Yr</vt:lpstr>
      <vt:lpstr>Tbl_SubType</vt:lpstr>
      <vt:lpstr>Yr_DHS1</vt:lpstr>
      <vt:lpstr>Yr_DHS2</vt:lpstr>
      <vt:lpstr>Yr_End</vt:lpstr>
      <vt:lpstr>Yr_End2</vt:lpstr>
      <vt:lpstr>Yr_Start</vt:lpstr>
    </vt:vector>
  </TitlesOfParts>
  <Manager/>
  <Company>Futures Group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Sayaka Koseki</dc:creator>
  <cp:keywords/>
  <dc:description/>
  <cp:lastModifiedBy>Susan Pitcher</cp:lastModifiedBy>
  <cp:revision/>
  <dcterms:created xsi:type="dcterms:W3CDTF">2016-12-16T13:54:19Z</dcterms:created>
  <dcterms:modified xsi:type="dcterms:W3CDTF">2019-09-30T13:55:29Z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0x010100CB5092CC60E49349B69F107C6B76ACF9</vt:lpwstr>
  </property>
</Properties>
</file>